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5.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6.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comments1.xml" ContentType="application/vnd.openxmlformats-officedocument.spreadsheetml.comments+xml"/>
  <Override PartName="/xl/drawings/drawing7.xml" ContentType="application/vnd.openxmlformats-officedocument.drawing+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comments2.xml" ContentType="application/vnd.openxmlformats-officedocument.spreadsheetml.comments+xml"/>
  <Override PartName="/xl/tables/table7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autoCompressPictures="0"/>
  <bookViews>
    <workbookView xWindow="40" yWindow="0" windowWidth="28800" windowHeight="17480" tabRatio="744" firstSheet="5" activeTab="14"/>
  </bookViews>
  <sheets>
    <sheet name="Front page" sheetId="18" r:id="rId1"/>
    <sheet name="Contents" sheetId="19" r:id="rId2"/>
    <sheet name="User guide" sheetId="50" r:id="rId3"/>
    <sheet name="User inputs" sheetId="6" r:id="rId4"/>
    <sheet name="User output preferences" sheetId="4" r:id="rId5"/>
    <sheet name="Detailed lever guides" sheetId="42" r:id="rId6"/>
    <sheet name="Outputs - Energy" sheetId="12" r:id="rId7"/>
    <sheet name="Structure of the model" sheetId="10" r:id="rId8"/>
    <sheet name="Constants" sheetId="9" r:id="rId9"/>
    <sheet name="Conversion" sheetId="7" r:id="rId10"/>
    <sheet name="Translation" sheetId="1" r:id="rId11"/>
    <sheet name="G.Universal data" sheetId="35" r:id="rId12"/>
    <sheet name="G.30 (data)" sheetId="34" r:id="rId13"/>
    <sheet name="G.30" sheetId="29" r:id="rId14"/>
    <sheet name="G.2011.energy" sheetId="52" r:id="rId15"/>
    <sheet name="Developer's notes" sheetId="21" r:id="rId16"/>
    <sheet name="Version control" sheetId="5" r:id="rId17"/>
    <sheet name="Glossary" sheetId="45" r:id="rId18"/>
  </sheets>
  <definedNames>
    <definedName name="arable.land.bio.crop.yields">#REF!</definedName>
    <definedName name="arable.land.food.crop.yields">#REF!</definedName>
    <definedName name="arable.land.other">#REF!</definedName>
    <definedName name="Area.conversion.squaremeters">Conversion!$E$52:$E$61</definedName>
    <definedName name="Area.conversion.unit">Conversion!$B$52:$B$61</definedName>
    <definedName name="CD">Conversion!$F$87</definedName>
    <definedName name="CH4.as.CO2e">Constants!$AJ$8</definedName>
    <definedName name="clim.area.earth">Constants!$Y$10</definedName>
    <definedName name="clim.area.ice">Constants!$Y$17</definedName>
    <definedName name="clim.area.ocean">Constants!$Y$18</definedName>
    <definedName name="clim.carbon.CO2">Constants!$Y$19</definedName>
    <definedName name="clim.conc.ratio">Constants!$Y$8</definedName>
    <definedName name="clim.ice.latheat">Constants!$Y$12</definedName>
    <definedName name="clim.log.coeff">Constants!$Y$9</definedName>
    <definedName name="clim.pi.co2">Constants!$Y$7</definedName>
    <definedName name="clim.seawater.density">Constants!$Y$16</definedName>
    <definedName name="clim.seawater.heatcap">Constants!$Y$14</definedName>
    <definedName name="clim.seawater.te">Constants!$Y$13</definedName>
    <definedName name="clim.water.density">Constants!$Y$15</definedName>
    <definedName name="CO2.fraction">#REF!</definedName>
    <definedName name="Conversion.to.annual.energy">Conversion!$E$67</definedName>
    <definedName name="Conversion.to.average.power">Conversion!$E$66</definedName>
    <definedName name="Converson.to.energy.per.second">Conversion!$E$68</definedName>
    <definedName name="Cost.conversion.unit">Conversion!$B$73:$B$117</definedName>
    <definedName name="Cost.conversions.dollars">Conversion!$E$73:$E$117</definedName>
    <definedName name="E">Conversion!$F$97</definedName>
    <definedName name="efficiency.crops.to.meat">#REF!</definedName>
    <definedName name="electricity.oversupply" localSheetId="14">G.2011.energy!$W$369</definedName>
    <definedName name="Energy.conversion.joules">Conversion!$E$7:$E$28</definedName>
    <definedName name="Energy.conversion.unit">Conversion!$B$7:$B$28</definedName>
    <definedName name="F.gases.as.CO2e">Constants!$AJ$10</definedName>
    <definedName name="forest.residues.yield">#REF!</definedName>
    <definedName name="G.30.Assumptions.EF">'G.30 (data)'!$D$1251:$G$1256</definedName>
    <definedName name="G.30.assumptions.EF.CH4">'G.30 (data)'!$F$1251:$F$1256</definedName>
    <definedName name="G.30.assumptions.EF.CO2">'G.30 (data)'!$E$1251:$E$1256</definedName>
    <definedName name="G.30.assumptions.EF.N2O">'G.30 (data)'!$G$1251:$G$1256</definedName>
    <definedName name="gas.volume.conversions.cm">Conversion!$E$142:$E$147</definedName>
    <definedName name="gas.volume.conversions.litre">Conversion!$E$152:$E$156</definedName>
    <definedName name="gas.volume.conversions.unit">Conversion!$B$142:$B$147</definedName>
    <definedName name="GBP">Conversion!$F$77</definedName>
    <definedName name="GCD">Conversion!$F$84</definedName>
    <definedName name="GCY">Conversion!$F$89</definedName>
    <definedName name="GE">Conversion!$F$94</definedName>
    <definedName name="GGBP">Conversion!$F$74</definedName>
    <definedName name="GIR">Conversion!$F$99</definedName>
    <definedName name="GJY">Conversion!$F$104</definedName>
    <definedName name="GKW">Conversion!$F$109</definedName>
    <definedName name="global.total.CO2.array">#REF!</definedName>
    <definedName name="global.total.CO2.cumulative">#REF!</definedName>
    <definedName name="GRR">Conversion!$F$114</definedName>
    <definedName name="GUSD">Conversion!$F$79</definedName>
    <definedName name="IR">Conversion!$F$102</definedName>
    <definedName name="JY">Conversion!$F$107</definedName>
    <definedName name="KCD">Conversion!$F$86</definedName>
    <definedName name="KCY">Conversion!$F$91</definedName>
    <definedName name="KE">Conversion!$F$96</definedName>
    <definedName name="kGBP">Conversion!$F$76</definedName>
    <definedName name="KIR">Conversion!$F$101</definedName>
    <definedName name="KJY">Conversion!$F$106</definedName>
    <definedName name="KKW">Conversion!$F$111</definedName>
    <definedName name="KRR">Conversion!$F$116</definedName>
    <definedName name="kUSD">Conversion!$F$81</definedName>
    <definedName name="KW">Conversion!$F$112</definedName>
    <definedName name="liquid.volume.conversions.unit">Conversion!$B$152:$B$156</definedName>
    <definedName name="MCD">Conversion!$F$85</definedName>
    <definedName name="MCY">Conversion!$F$90</definedName>
    <definedName name="ME">Conversion!$F$95</definedName>
    <definedName name="MGBP">Conversion!$F$75</definedName>
    <definedName name="MIR">Conversion!$F$100</definedName>
    <definedName name="MJY">Conversion!$F$105</definedName>
    <definedName name="MKW">Conversion!$F$110</definedName>
    <definedName name="MRR">Conversion!$F$115</definedName>
    <definedName name="MUSD">Conversion!$F$80</definedName>
    <definedName name="N2O.as.CO2e">Constants!$AJ$9</definedName>
    <definedName name="number.conversions.one">Conversion!$E$122:$E$125</definedName>
    <definedName name="number.conversions.unit">Conversion!$B$122:$B$125</definedName>
    <definedName name="other.land.unproductive">#REF!</definedName>
    <definedName name="outputs.emissions.years">#REF!</definedName>
    <definedName name="pasture.land.meat.yields">#REF!</definedName>
    <definedName name="Power.conversions.unit">Conversion!$B$33:$B$38</definedName>
    <definedName name="Power.conversions.watts">Conversion!$E$33:$E$38</definedName>
    <definedName name="Preferences.area">'User output preferences'!$C$13</definedName>
    <definedName name="preferences.area.meters.squared">'User output preferences'!$H$13</definedName>
    <definedName name="Preferences.energy">'User output preferences'!$C$9</definedName>
    <definedName name="preferences.energy.joules">'User output preferences'!$H$9</definedName>
    <definedName name="Preferences.language">'User output preferences'!$C$7</definedName>
    <definedName name="Preferences.money">'User output preferences'!$C$15</definedName>
    <definedName name="preferences.money.gbp">'User output preferences'!$H$15</definedName>
    <definedName name="preferences.other.numbers">'User output preferences'!$C$17</definedName>
    <definedName name="Preferences.power">'User output preferences'!$C$11</definedName>
    <definedName name="preferences.power.watts">'User output preferences'!$H$11</definedName>
    <definedName name="Preferences.time">'User output preferences'!$C$19</definedName>
    <definedName name="preferences.volume.gas">'User output preferences'!$C$23</definedName>
    <definedName name="preferences.volume.liquid">'User output preferences'!$C$25</definedName>
    <definedName name="Preferences.weight">'User output preferences'!$C$21</definedName>
    <definedName name="proportion.intensively.farmed">#REF!</definedName>
    <definedName name="RR">Conversion!$F$117</definedName>
    <definedName name="seconds.per.day">Conversion!$E$44</definedName>
    <definedName name="seconds.per.hour">Conversion!$E$45</definedName>
    <definedName name="seconds.per.minute">Conversion!$E$46</definedName>
    <definedName name="seconds.per.year">Conversion!$E$43</definedName>
    <definedName name="TCD">Conversion!$F$83</definedName>
    <definedName name="TCY">Conversion!$F$88</definedName>
    <definedName name="TE">Conversion!$F$93</definedName>
    <definedName name="TGBP">Conversion!$F$73</definedName>
    <definedName name="This.year" localSheetId="14">G.2011.energy!$B$2</definedName>
    <definedName name="time.conversions.seconds">Conversion!$E$43:$E$47</definedName>
    <definedName name="time.conversions.unit">Conversion!$B$43:$B$47</definedName>
    <definedName name="TIR">Conversion!$F$98</definedName>
    <definedName name="TJY">Conversion!$F$103</definedName>
    <definedName name="TKW">Conversion!$F$108</definedName>
    <definedName name="total.land">#REF!</definedName>
    <definedName name="TRR">Conversion!$F$113</definedName>
    <definedName name="TUSD">Conversion!$F$78</definedName>
    <definedName name="uint.kt">Conversion!$F$135</definedName>
    <definedName name="Unit.acre">Conversion!$F$54</definedName>
    <definedName name="Unit.Africa">Conversion!$F$57</definedName>
    <definedName name="Unit.Australia">Conversion!$F$57</definedName>
    <definedName name="unit.bbl">Conversion!$F$154</definedName>
    <definedName name="Unit.bcm.energy">Conversion!$F$28</definedName>
    <definedName name="unit.billion">Conversion!$F$122</definedName>
    <definedName name="Unit.boe">Conversion!$F$17</definedName>
    <definedName name="Unit.Brazil">Conversion!$F$59</definedName>
    <definedName name="Unit.Btu">Conversion!$F$24</definedName>
    <definedName name="Unit.calorie.not.food">Conversion!$F$25</definedName>
    <definedName name="Unit.China">Conversion!$F$60</definedName>
    <definedName name="unit.d">Conversion!$F$44</definedName>
    <definedName name="unit.EJ">Conversion!$F$7</definedName>
    <definedName name="unit.G.m3.gas">Conversion!$F$143</definedName>
    <definedName name="Unit.GJ">Conversion!$F$10</definedName>
    <definedName name="unit.Greenland">Conversion!$F$130</definedName>
    <definedName name="unit.Gt">Conversion!$F$133</definedName>
    <definedName name="Unit.GW">Conversion!$F$33</definedName>
    <definedName name="Unit.GWh">Conversion!$F$14</definedName>
    <definedName name="Unit.GWyear">Conversion!$F$27</definedName>
    <definedName name="unit.h">Conversion!$F$45</definedName>
    <definedName name="Unit.ha">Conversion!$F$52</definedName>
    <definedName name="Unit.India">Conversion!$F$58</definedName>
    <definedName name="Unit.J">Conversion!$F$12</definedName>
    <definedName name="unit.k.m3.gas">Conversion!$F$145</definedName>
    <definedName name="Unit.kcal.food">Conversion!$F$26</definedName>
    <definedName name="unit.kg">Conversion!$F$131</definedName>
    <definedName name="Unit.km2">Conversion!$F$55</definedName>
    <definedName name="unit.kt">Conversion!$F$135</definedName>
    <definedName name="Unit.ktoe">Conversion!$F$20</definedName>
    <definedName name="Unit.kW">Conversion!$F$35</definedName>
    <definedName name="Unit.kWh">Conversion!$F$16</definedName>
    <definedName name="unit.l">Conversion!$F$152</definedName>
    <definedName name="unit.m">Conversion!$F$46</definedName>
    <definedName name="unit.M.m3.gas">Conversion!$F$144</definedName>
    <definedName name="Unit.m2">Conversion!$F$56</definedName>
    <definedName name="unit.m3.gas">Conversion!$F$146</definedName>
    <definedName name="unit.m3.liquid">Conversion!$F$153</definedName>
    <definedName name="Unit.Mboe">Conversion!$F$18</definedName>
    <definedName name="Unit.mcm.d">Conversion!$F$37</definedName>
    <definedName name="Unit.Mha">Conversion!$F$53</definedName>
    <definedName name="unit.million">Conversion!$F$123</definedName>
    <definedName name="Unit.MJ">Conversion!$F$11</definedName>
    <definedName name="unit.Mt">Conversion!$F$134</definedName>
    <definedName name="Unit.Mtoe">Conversion!$F$21</definedName>
    <definedName name="Unit.Mtoe.y">Conversion!$F$38</definedName>
    <definedName name="Unit.MW">Conversion!$F$34</definedName>
    <definedName name="Unit.MWh">Conversion!$F$15</definedName>
    <definedName name="unit.one">Conversion!$F$125</definedName>
    <definedName name="Unit.PJ">Conversion!$F$8</definedName>
    <definedName name="unit.s">Conversion!$F$47</definedName>
    <definedName name="unit.scf">Conversion!$F$147</definedName>
    <definedName name="unit.short.ton">Conversion!$F$137</definedName>
    <definedName name="Unit.SouthAfrica">Conversion!$F$61</definedName>
    <definedName name="unit.t">Conversion!$F$136</definedName>
    <definedName name="unit.T.m3.gas">Conversion!$F$142</definedName>
    <definedName name="Unit.therm">Conversion!$F$23</definedName>
    <definedName name="unit.thousand">Conversion!$F$124</definedName>
    <definedName name="Unit.TJ">Conversion!$F$9</definedName>
    <definedName name="Unit.toe">Conversion!$F$19</definedName>
    <definedName name="unit.Tt">Conversion!$F$132</definedName>
    <definedName name="Unit.TWh">Conversion!$F$13</definedName>
    <definedName name="unit.uk.gal">Conversion!$F$155</definedName>
    <definedName name="unit.us.gal">Conversion!$F$156</definedName>
    <definedName name="Unit.W">Conversion!$F$36</definedName>
    <definedName name="unit.y">Conversion!$F$43</definedName>
    <definedName name="Unit.year">Conversion!$F$42</definedName>
    <definedName name="USD">Conversion!$F$82</definedName>
    <definedName name="user.choice.0.1">'User inputs'!$E$7</definedName>
    <definedName name="user.choice.0.2">'User inputs'!$E$8</definedName>
    <definedName name="user.choice.10.1">'User inputs'!$E$9</definedName>
    <definedName name="user.choice.10.2">'User inputs'!$E$10</definedName>
    <definedName name="user.choice.10.3">'User inputs'!$E$11</definedName>
    <definedName name="user.choice.10.4">'User inputs'!$E$12</definedName>
    <definedName name="user.choice.10.5">'User inputs'!$E$13</definedName>
    <definedName name="user.choice.20.1">'User inputs'!$E$14</definedName>
    <definedName name="user.choice.20.2">'User inputs'!$E$15</definedName>
    <definedName name="user.choice.20.3">'User inputs'!$E$16</definedName>
    <definedName name="user.choice.20.4">'User inputs'!$E$17</definedName>
    <definedName name="user.choice.20.5">'User inputs'!$E$18</definedName>
    <definedName name="user.choice.20.6">'User inputs'!$E$19</definedName>
    <definedName name="user.choice.30.1">'User inputs'!$E$20</definedName>
    <definedName name="user.choice.30.2">'User inputs'!$E$21</definedName>
    <definedName name="user.choice.30.3">'User inputs'!$E$22</definedName>
    <definedName name="user.choice.30.4">'User inputs'!$E$23</definedName>
    <definedName name="user.choice.40.1">'User inputs'!$E$24</definedName>
    <definedName name="user.choice.40.10">'User inputs'!$E$33</definedName>
    <definedName name="user.choice.40.2">'User inputs'!$E$25</definedName>
    <definedName name="user.choice.40.3">'User inputs'!$E$26</definedName>
    <definedName name="user.choice.40.4">'User inputs'!$E$27</definedName>
    <definedName name="user.choice.40.5">'User inputs'!$E$28</definedName>
    <definedName name="user.choice.40.6">'User inputs'!$E$29</definedName>
    <definedName name="user.choice.40.7">'User inputs'!$E$30</definedName>
    <definedName name="user.choice.40.8">'User inputs'!$E$31</definedName>
    <definedName name="user.choice.40.9">'User inputs'!$E$32</definedName>
    <definedName name="user.choice.60.1">'User inputs'!$E$34</definedName>
    <definedName name="user.choice.60.10">'User inputs'!$E$43</definedName>
    <definedName name="user.choice.60.2">'User inputs'!$E$35</definedName>
    <definedName name="user.choice.60.3">'User inputs'!$E$36</definedName>
    <definedName name="user.choice.60.4">'User inputs'!$E$37</definedName>
    <definedName name="user.choice.60.5">'User inputs'!$E$38</definedName>
    <definedName name="user.choice.60.6">'User inputs'!$E$39</definedName>
    <definedName name="user.choice.60.7">'User inputs'!$E$40</definedName>
    <definedName name="user.choice.60.8">'User inputs'!$E$41</definedName>
    <definedName name="user.choice.60.9">'User inputs'!$E$42</definedName>
    <definedName name="user.choice.climate.1">'User inputs'!$E$45</definedName>
    <definedName name="user.choice.climate.2">'User inputs'!$E$46</definedName>
    <definedName name="user.choice.Emissions.1">'User inputs'!$E$44</definedName>
    <definedName name="waste.from.animals">#REF!</definedName>
    <definedName name="waste.per.human">#REF!</definedName>
    <definedName name="webtool.1990.to.2050.demand">'Outputs - Energy'!$K$33:$Z$35</definedName>
    <definedName name="webtool.1990.to.2050.supply">'Outputs - Energy'!$K$70:$Z$78</definedName>
    <definedName name="webtool.bio.2011">'Outputs - Energy'!$R$57:$R$59</definedName>
    <definedName name="webtool.bio.2050">'Outputs - Energy'!$Z$57:$Z$59</definedName>
    <definedName name="webtool.buildings.2011.to.2050">'Outputs - Energy'!$R$19:$Z$21</definedName>
    <definedName name="webtool.buildings.historic">'Outputs - Energy'!$K$34:$P$34</definedName>
    <definedName name="webtool.C02e.timeseries">#REF!</definedName>
    <definedName name="Webtool.CO2.50.percent.2C">#REF!</definedName>
    <definedName name="webtool.CO2e.total.emissions">#REF!</definedName>
    <definedName name="webtool.cumulative.CO2e.2011">#REF!</definedName>
    <definedName name="webtool.cumulative.CO2e.2100">#REF!</definedName>
    <definedName name="webtool.demand.2011.actual">'Outputs - Energy'!$P$36</definedName>
    <definedName name="webtool.demand.2050">'Outputs - Energy'!$Z$33:$Z$35</definedName>
    <definedName name="webtool.diet.2050">#REF!</definedName>
    <definedName name="webtool.electricity">'Outputs - Energy'!$H$159:$Z$164</definedName>
    <definedName name="webtool.electricity.2011">'Outputs - Energy'!$R$159:$R$164</definedName>
    <definedName name="webtool.electricity.2050">'Outputs - Energy'!$Z$159:$Z$164</definedName>
    <definedName name="webtool.land.use">#REF!</definedName>
    <definedName name="webtool.remaining.coal">'Outputs - Energy'!$N$108:$N$110</definedName>
    <definedName name="webtool.remaining.gas">'Outputs - Energy'!$N$122:$N$124</definedName>
    <definedName name="webtool.remaining.oil">'Outputs - Energy'!$N$115:$N$117</definedName>
    <definedName name="webtool.supply.2011.actual">'Outputs - Energy'!$P$79</definedName>
    <definedName name="webtool.supply.2050">'Outputs - Energy'!$Z$70:$Z$78</definedName>
    <definedName name="webtool.transport.2011.to.2050">'Outputs - Energy'!$R$10:$Z$13</definedName>
    <definedName name="webtool.transport.historic">'Outputs - Energy'!$K$33:$P$33</definedName>
    <definedName name="webtool.vehicles.2011">#REF!</definedName>
    <definedName name="webtool.vehicles.2050">#REF!</definedName>
    <definedName name="webtool.warming.2100">#REF!</definedName>
    <definedName name="weight.conversions.kg">Conversion!$E$130:$E$137</definedName>
    <definedName name="weight.conversions.unit">Conversion!$B$130:$B$137</definedName>
    <definedName name="Y">Conversion!$F$92</definedName>
    <definedName name="Year.matrix" localSheetId="14">G.2011.energy!$E$8:$BI$368</definedName>
    <definedName name="Year.net.balance" localSheetId="14">G.2011.energy!$E$367:$BI$367</definedName>
    <definedName name="Year.sub.sectors" localSheetId="14">G.2011.energy!$C$8:$C$368</definedName>
    <definedName name="Year.vectors" localSheetId="14">G.2011.energy!$E$6:$BI$6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S9" i="10" l="1"/>
  <c r="T9" i="10"/>
  <c r="U9" i="10"/>
  <c r="V9" i="10"/>
  <c r="S10" i="10"/>
  <c r="T10" i="10"/>
  <c r="U10" i="10"/>
  <c r="V10" i="10"/>
  <c r="S11" i="10"/>
  <c r="T11" i="10"/>
  <c r="U11" i="10"/>
  <c r="V11" i="10"/>
  <c r="S12" i="10"/>
  <c r="T12" i="10"/>
  <c r="U12" i="10"/>
  <c r="V12" i="10"/>
  <c r="S13" i="10"/>
  <c r="T13" i="10"/>
  <c r="U13" i="10"/>
  <c r="V13" i="10"/>
  <c r="S14" i="10"/>
  <c r="T14" i="10"/>
  <c r="U14" i="10"/>
  <c r="V14" i="10"/>
  <c r="S15" i="10"/>
  <c r="T15" i="10"/>
  <c r="U15" i="10"/>
  <c r="S16" i="10"/>
  <c r="T16" i="10"/>
  <c r="U16" i="10"/>
  <c r="V16" i="10"/>
  <c r="S17" i="10"/>
  <c r="T17" i="10"/>
  <c r="U17" i="10"/>
  <c r="V17" i="10"/>
  <c r="S18" i="10"/>
  <c r="T18" i="10"/>
  <c r="U18" i="10"/>
  <c r="V18" i="10"/>
  <c r="S19" i="10"/>
  <c r="T19" i="10"/>
  <c r="U19" i="10"/>
  <c r="V19" i="10"/>
  <c r="S20" i="10"/>
  <c r="T20" i="10"/>
  <c r="U20" i="10"/>
  <c r="S21" i="10"/>
  <c r="T21" i="10"/>
  <c r="U21" i="10"/>
  <c r="V21" i="10"/>
  <c r="S22" i="10"/>
  <c r="T22" i="10"/>
  <c r="U22" i="10"/>
  <c r="V22" i="10"/>
  <c r="S23" i="10"/>
  <c r="T23" i="10"/>
  <c r="U23" i="10"/>
  <c r="V23" i="10"/>
  <c r="S24" i="10"/>
  <c r="T24" i="10"/>
  <c r="U24" i="10"/>
  <c r="V24" i="10"/>
  <c r="S25" i="10"/>
  <c r="T25" i="10"/>
  <c r="U25" i="10"/>
  <c r="V25" i="10"/>
  <c r="S26" i="10"/>
  <c r="T26" i="10"/>
  <c r="U26" i="10"/>
  <c r="V26" i="10"/>
  <c r="S27" i="10"/>
  <c r="T27" i="10"/>
  <c r="U27" i="10"/>
  <c r="V27" i="10"/>
  <c r="S28" i="10"/>
  <c r="T28" i="10"/>
  <c r="U28" i="10"/>
  <c r="V28" i="10"/>
  <c r="S29" i="10"/>
  <c r="T29" i="10"/>
  <c r="U29" i="10"/>
  <c r="V29" i="10"/>
  <c r="S30" i="10"/>
  <c r="T30" i="10"/>
  <c r="U30" i="10"/>
  <c r="V30" i="10"/>
  <c r="S31" i="10"/>
  <c r="T31" i="10"/>
  <c r="U31" i="10"/>
  <c r="S32" i="10"/>
  <c r="T32" i="10"/>
  <c r="U32" i="10"/>
  <c r="V32" i="10"/>
  <c r="S33" i="10"/>
  <c r="T33" i="10"/>
  <c r="U33" i="10"/>
  <c r="V33" i="10"/>
  <c r="S34" i="10"/>
  <c r="T34" i="10"/>
  <c r="U34" i="10"/>
  <c r="V34" i="10"/>
  <c r="S35" i="10"/>
  <c r="T35" i="10"/>
  <c r="U35" i="10"/>
  <c r="V35" i="10"/>
  <c r="S36" i="10"/>
  <c r="T36" i="10"/>
  <c r="U36" i="10"/>
  <c r="S37" i="10"/>
  <c r="T37" i="10"/>
  <c r="U37" i="10"/>
  <c r="V37" i="10"/>
  <c r="S38" i="10"/>
  <c r="T38" i="10"/>
  <c r="U38" i="10"/>
  <c r="V38" i="10"/>
  <c r="S39" i="10"/>
  <c r="T39" i="10"/>
  <c r="U39" i="10"/>
  <c r="V39" i="10"/>
  <c r="S40" i="10"/>
  <c r="T40" i="10"/>
  <c r="U40" i="10"/>
  <c r="V40" i="10"/>
  <c r="S41" i="10"/>
  <c r="T41" i="10"/>
  <c r="U41" i="10"/>
  <c r="V41" i="10"/>
  <c r="S42" i="10"/>
  <c r="T42" i="10"/>
  <c r="U42" i="10"/>
  <c r="V42" i="10"/>
  <c r="S43" i="10"/>
  <c r="T43" i="10"/>
  <c r="U43" i="10"/>
  <c r="V43" i="10"/>
  <c r="S44" i="10"/>
  <c r="T44" i="10"/>
  <c r="U44" i="10"/>
  <c r="V44" i="10"/>
  <c r="S45" i="10"/>
  <c r="T45" i="10"/>
  <c r="U45" i="10"/>
  <c r="V45" i="10"/>
  <c r="S46" i="10"/>
  <c r="T46" i="10"/>
  <c r="U46" i="10"/>
  <c r="V46" i="10"/>
  <c r="S47" i="10"/>
  <c r="T47" i="10"/>
  <c r="U47" i="10"/>
  <c r="V47" i="10"/>
  <c r="S48" i="10"/>
  <c r="T48" i="10"/>
  <c r="U48" i="10"/>
  <c r="V48" i="10"/>
  <c r="S49" i="10"/>
  <c r="T49" i="10"/>
  <c r="U49" i="10"/>
  <c r="V49" i="10"/>
  <c r="S50" i="10"/>
  <c r="T50" i="10"/>
  <c r="U50" i="10"/>
  <c r="V50" i="10"/>
  <c r="S51" i="10"/>
  <c r="T51" i="10"/>
  <c r="U51" i="10"/>
  <c r="V51" i="10"/>
  <c r="S52" i="10"/>
  <c r="T52" i="10"/>
  <c r="U52" i="10"/>
  <c r="V52" i="10"/>
  <c r="S53" i="10"/>
  <c r="T53" i="10"/>
  <c r="U53" i="10"/>
  <c r="V53" i="10"/>
  <c r="S54" i="10"/>
  <c r="T54" i="10"/>
  <c r="U54" i="10"/>
  <c r="V54" i="10"/>
  <c r="S55" i="10"/>
  <c r="T55" i="10"/>
  <c r="U55" i="10"/>
  <c r="V55" i="10"/>
  <c r="S56" i="10"/>
  <c r="T56" i="10"/>
  <c r="U56" i="10"/>
  <c r="V56" i="10"/>
  <c r="S57" i="10"/>
  <c r="T57" i="10"/>
  <c r="U57" i="10"/>
  <c r="V57" i="10"/>
  <c r="S58" i="10"/>
  <c r="T58" i="10"/>
  <c r="U58" i="10"/>
  <c r="V58" i="10"/>
  <c r="S59" i="10"/>
  <c r="T59" i="10"/>
  <c r="U59" i="10"/>
  <c r="V59" i="10"/>
  <c r="S60" i="10"/>
  <c r="T60" i="10"/>
  <c r="U60" i="10"/>
  <c r="V60" i="10"/>
  <c r="S61" i="10"/>
  <c r="T61" i="10"/>
  <c r="U61" i="10"/>
  <c r="V61" i="10"/>
  <c r="S62" i="10"/>
  <c r="T62" i="10"/>
  <c r="U62" i="10"/>
  <c r="V62" i="10"/>
  <c r="S63" i="10"/>
  <c r="T63" i="10"/>
  <c r="U63" i="10"/>
  <c r="V63" i="10"/>
  <c r="S64" i="10"/>
  <c r="T64" i="10"/>
  <c r="U64" i="10"/>
  <c r="V64" i="10"/>
  <c r="S65" i="10"/>
  <c r="T65" i="10"/>
  <c r="U65" i="10"/>
  <c r="V65" i="10"/>
  <c r="S66" i="10"/>
  <c r="T66" i="10"/>
  <c r="U66" i="10"/>
  <c r="V66" i="10"/>
  <c r="S67" i="10"/>
  <c r="T67" i="10"/>
  <c r="U67" i="10"/>
  <c r="V67" i="10"/>
  <c r="S68" i="10"/>
  <c r="T68" i="10"/>
  <c r="U68" i="10"/>
  <c r="V68" i="10"/>
  <c r="E46" i="7"/>
  <c r="E45" i="7"/>
  <c r="E16" i="7"/>
  <c r="F6" i="7"/>
  <c r="E7" i="7"/>
  <c r="F16" i="7"/>
  <c r="E136" i="7"/>
  <c r="F129" i="7"/>
  <c r="E135" i="7"/>
  <c r="E134" i="7"/>
  <c r="E133" i="7"/>
  <c r="F136" i="7"/>
  <c r="E9" i="7"/>
  <c r="F9" i="7"/>
  <c r="M12" i="9"/>
  <c r="S8" i="9"/>
  <c r="S11" i="9"/>
  <c r="F134" i="7"/>
  <c r="M16" i="9"/>
  <c r="S14" i="9"/>
  <c r="N12" i="9"/>
  <c r="T8" i="9"/>
  <c r="T11" i="9"/>
  <c r="T14" i="9"/>
  <c r="O12" i="9"/>
  <c r="U8" i="9"/>
  <c r="U11" i="9"/>
  <c r="U14" i="9"/>
  <c r="H9" i="35"/>
  <c r="E40" i="35"/>
  <c r="J26" i="35"/>
  <c r="H26" i="35"/>
  <c r="I26" i="35"/>
  <c r="I40" i="35"/>
  <c r="F26" i="7"/>
  <c r="E52" i="7"/>
  <c r="F51" i="7"/>
  <c r="F52" i="7"/>
  <c r="J40" i="35"/>
  <c r="F7" i="7"/>
  <c r="M10" i="9"/>
  <c r="S7" i="9"/>
  <c r="S10" i="9"/>
  <c r="K9" i="10"/>
  <c r="L9" i="10"/>
  <c r="K26" i="35"/>
  <c r="K40" i="35"/>
  <c r="L26" i="35"/>
  <c r="L40" i="35"/>
  <c r="M26" i="35"/>
  <c r="M40" i="35"/>
  <c r="N26" i="35"/>
  <c r="N40" i="35"/>
  <c r="O26" i="35"/>
  <c r="O40" i="35"/>
  <c r="P26" i="35"/>
  <c r="P40" i="35"/>
  <c r="Q26" i="35"/>
  <c r="Q40" i="35"/>
  <c r="AE9" i="10"/>
  <c r="AF9" i="10"/>
  <c r="AE10" i="10"/>
  <c r="AF10" i="10"/>
  <c r="AE11" i="10"/>
  <c r="AF11" i="10"/>
  <c r="AE12" i="10"/>
  <c r="AF12" i="10"/>
  <c r="AE13" i="10"/>
  <c r="AF13" i="10"/>
  <c r="AE14" i="10"/>
  <c r="AF14" i="10"/>
  <c r="AE15" i="10"/>
  <c r="AF15" i="10"/>
  <c r="AE16" i="10"/>
  <c r="AF16" i="10"/>
  <c r="AE17" i="10"/>
  <c r="AF17" i="10"/>
  <c r="AE18" i="10"/>
  <c r="AF18" i="10"/>
  <c r="AE19" i="10"/>
  <c r="AF19" i="10"/>
  <c r="AE20" i="10"/>
  <c r="AF20" i="10"/>
  <c r="AE21" i="10"/>
  <c r="AF21" i="10"/>
  <c r="AE22" i="10"/>
  <c r="AF22" i="10"/>
  <c r="AE23" i="10"/>
  <c r="AF23" i="10"/>
  <c r="AE24" i="10"/>
  <c r="AF24" i="10"/>
  <c r="AE25" i="10"/>
  <c r="AF25" i="10"/>
  <c r="AE26" i="10"/>
  <c r="AF26" i="10"/>
  <c r="AE27" i="10"/>
  <c r="AF27" i="10"/>
  <c r="AE28" i="10"/>
  <c r="AF28" i="10"/>
  <c r="AE29" i="10"/>
  <c r="AF29" i="10"/>
  <c r="AE30" i="10"/>
  <c r="AF30" i="10"/>
  <c r="AE31" i="10"/>
  <c r="AF31" i="10"/>
  <c r="AE32" i="10"/>
  <c r="AF32" i="10"/>
  <c r="AE33" i="10"/>
  <c r="AF33" i="10"/>
  <c r="AE34" i="10"/>
  <c r="AF34" i="10"/>
  <c r="AE35" i="10"/>
  <c r="AF35" i="10"/>
  <c r="AE36" i="10"/>
  <c r="AF36" i="10"/>
  <c r="AE37" i="10"/>
  <c r="AF37" i="10"/>
  <c r="AE38" i="10"/>
  <c r="AF38" i="10"/>
  <c r="AE39" i="10"/>
  <c r="AF39" i="10"/>
  <c r="AE40" i="10"/>
  <c r="AF40" i="10"/>
  <c r="AE41" i="10"/>
  <c r="AF41" i="10"/>
  <c r="AE42" i="10"/>
  <c r="AF42" i="10"/>
  <c r="AE43" i="10"/>
  <c r="AF43" i="10"/>
  <c r="AE44" i="10"/>
  <c r="AF44" i="10"/>
  <c r="AE45" i="10"/>
  <c r="AF45" i="10"/>
  <c r="AE46" i="10"/>
  <c r="AF46" i="10"/>
  <c r="AE47" i="10"/>
  <c r="AF47" i="10"/>
  <c r="AE48" i="10"/>
  <c r="AF48" i="10"/>
  <c r="AE49" i="10"/>
  <c r="AF49" i="10"/>
  <c r="AE50" i="10"/>
  <c r="AF50" i="10"/>
  <c r="AE51" i="10"/>
  <c r="AF51" i="10"/>
  <c r="AE52" i="10"/>
  <c r="AF52" i="10"/>
  <c r="AE53" i="10"/>
  <c r="AF53" i="10"/>
  <c r="AE54" i="10"/>
  <c r="AF54" i="10"/>
  <c r="AE55" i="10"/>
  <c r="AF55" i="10"/>
  <c r="AE56" i="10"/>
  <c r="AF56" i="10"/>
  <c r="AE57" i="10"/>
  <c r="AF57" i="10"/>
  <c r="AE58" i="10"/>
  <c r="AF58" i="10"/>
  <c r="AE59" i="10"/>
  <c r="AF59" i="10"/>
  <c r="AE60" i="10"/>
  <c r="AF60" i="10"/>
  <c r="AE61" i="10"/>
  <c r="AF61" i="10"/>
  <c r="AE62" i="10"/>
  <c r="AF62" i="10"/>
  <c r="AE63" i="10"/>
  <c r="AF63" i="10"/>
  <c r="AE64" i="10"/>
  <c r="AF64" i="10"/>
  <c r="AE65" i="10"/>
  <c r="AF65" i="10"/>
  <c r="AE66" i="10"/>
  <c r="AF66" i="10"/>
  <c r="AE67" i="10"/>
  <c r="AF67" i="10"/>
  <c r="AE68" i="10"/>
  <c r="AF68" i="10"/>
  <c r="AE69" i="10"/>
  <c r="AF69" i="10"/>
  <c r="AE70" i="10"/>
  <c r="AF70" i="10"/>
  <c r="AE71" i="10"/>
  <c r="AF71" i="10"/>
  <c r="AE72" i="10"/>
  <c r="AF72" i="10"/>
  <c r="AE73" i="10"/>
  <c r="AF73" i="10"/>
  <c r="AE74" i="10"/>
  <c r="AF74"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G74" i="10"/>
  <c r="C13" i="52"/>
  <c r="W6" i="52"/>
  <c r="W5" i="52"/>
  <c r="C14" i="52"/>
  <c r="C15" i="52"/>
  <c r="C16" i="52"/>
  <c r="C17" i="52"/>
  <c r="C18" i="52"/>
  <c r="C19" i="52"/>
  <c r="C20" i="52"/>
  <c r="C21" i="52"/>
  <c r="C22" i="52"/>
  <c r="C23" i="52"/>
  <c r="C24" i="52"/>
  <c r="C25" i="52"/>
  <c r="C26" i="52"/>
  <c r="C27" i="52"/>
  <c r="C28" i="52"/>
  <c r="C31" i="52"/>
  <c r="C32" i="52"/>
  <c r="C33" i="52"/>
  <c r="C34" i="52"/>
  <c r="C35" i="52"/>
  <c r="C36" i="52"/>
  <c r="C37" i="52"/>
  <c r="C38" i="52"/>
  <c r="C39" i="52"/>
  <c r="C40" i="52"/>
  <c r="C41" i="52"/>
  <c r="C42" i="52"/>
  <c r="C43" i="52"/>
  <c r="C44" i="52"/>
  <c r="C45" i="52"/>
  <c r="C46" i="52"/>
  <c r="C49" i="52"/>
  <c r="C50" i="52"/>
  <c r="C51" i="52"/>
  <c r="C52" i="52"/>
  <c r="C53" i="52"/>
  <c r="C54" i="52"/>
  <c r="C57" i="52"/>
  <c r="C58" i="52"/>
  <c r="C59" i="52"/>
  <c r="C60" i="52"/>
  <c r="C61" i="52"/>
  <c r="C62" i="52"/>
  <c r="C63" i="52"/>
  <c r="C64" i="52"/>
  <c r="C65" i="52"/>
  <c r="C66" i="52"/>
  <c r="C67" i="52"/>
  <c r="C68" i="52"/>
  <c r="C69" i="52"/>
  <c r="C70" i="52"/>
  <c r="C73" i="52"/>
  <c r="C74" i="52"/>
  <c r="C75" i="52"/>
  <c r="C76" i="52"/>
  <c r="C77" i="52"/>
  <c r="C78" i="52"/>
  <c r="C79" i="52"/>
  <c r="C80" i="52"/>
  <c r="C81" i="52"/>
  <c r="C82" i="52"/>
  <c r="C83" i="52"/>
  <c r="S69" i="10"/>
  <c r="T69" i="10"/>
  <c r="U69" i="10"/>
  <c r="S70" i="10"/>
  <c r="T70" i="10"/>
  <c r="U70" i="10"/>
  <c r="S71" i="10"/>
  <c r="T71" i="10"/>
  <c r="U71" i="10"/>
  <c r="S72" i="10"/>
  <c r="T72" i="10"/>
  <c r="U72" i="10"/>
  <c r="S73" i="10"/>
  <c r="T73" i="10"/>
  <c r="U73" i="10"/>
  <c r="S74" i="10"/>
  <c r="T74" i="10"/>
  <c r="U74" i="10"/>
  <c r="S75" i="10"/>
  <c r="T75" i="10"/>
  <c r="U75" i="10"/>
  <c r="S76" i="10"/>
  <c r="T76" i="10"/>
  <c r="U76" i="10"/>
  <c r="S77" i="10"/>
  <c r="T77" i="10"/>
  <c r="U77" i="10"/>
  <c r="S78" i="10"/>
  <c r="T78" i="10"/>
  <c r="U78" i="10"/>
  <c r="S79" i="10"/>
  <c r="T79" i="10"/>
  <c r="U79" i="10"/>
  <c r="S80" i="10"/>
  <c r="T80" i="10"/>
  <c r="U80" i="10"/>
  <c r="S81" i="10"/>
  <c r="T81" i="10"/>
  <c r="U81" i="10"/>
  <c r="S82" i="10"/>
  <c r="T82" i="10"/>
  <c r="U82" i="10"/>
  <c r="S83" i="10"/>
  <c r="T83" i="10"/>
  <c r="U83" i="10"/>
  <c r="S84" i="10"/>
  <c r="T84" i="10"/>
  <c r="U84" i="10"/>
  <c r="S85" i="10"/>
  <c r="T85" i="10"/>
  <c r="U85" i="10"/>
  <c r="S86" i="10"/>
  <c r="T86" i="10"/>
  <c r="U86" i="10"/>
  <c r="S87" i="10"/>
  <c r="T87" i="10"/>
  <c r="U87" i="10"/>
  <c r="S88" i="10"/>
  <c r="T88" i="10"/>
  <c r="U88" i="10"/>
  <c r="S89" i="10"/>
  <c r="T89" i="10"/>
  <c r="U89" i="10"/>
  <c r="S90" i="10"/>
  <c r="T90" i="10"/>
  <c r="U90" i="10"/>
  <c r="S91" i="10"/>
  <c r="T91" i="10"/>
  <c r="U91" i="10"/>
  <c r="S92" i="10"/>
  <c r="T92" i="10"/>
  <c r="U92" i="10"/>
  <c r="S93" i="10"/>
  <c r="T93" i="10"/>
  <c r="U93" i="10"/>
  <c r="S94" i="10"/>
  <c r="T94" i="10"/>
  <c r="U94" i="10"/>
  <c r="S95" i="10"/>
  <c r="T95" i="10"/>
  <c r="U95" i="10"/>
  <c r="S96" i="10"/>
  <c r="T96" i="10"/>
  <c r="U96" i="10"/>
  <c r="S97" i="10"/>
  <c r="T97" i="10"/>
  <c r="U97" i="10"/>
  <c r="S98" i="10"/>
  <c r="T98" i="10"/>
  <c r="U98" i="10"/>
  <c r="S99" i="10"/>
  <c r="T99" i="10"/>
  <c r="U99" i="10"/>
  <c r="S100" i="10"/>
  <c r="T100" i="10"/>
  <c r="U100" i="10"/>
  <c r="S101" i="10"/>
  <c r="T101" i="10"/>
  <c r="U101" i="10"/>
  <c r="S102" i="10"/>
  <c r="T102" i="10"/>
  <c r="U102" i="10"/>
  <c r="S103" i="10"/>
  <c r="T103" i="10"/>
  <c r="U103" i="10"/>
  <c r="S104" i="10"/>
  <c r="T104" i="10"/>
  <c r="U104" i="10"/>
  <c r="S105" i="10"/>
  <c r="T105" i="10"/>
  <c r="U105" i="10"/>
  <c r="S106" i="10"/>
  <c r="T106" i="10"/>
  <c r="U106" i="10"/>
  <c r="S107" i="10"/>
  <c r="T107" i="10"/>
  <c r="U107" i="10"/>
  <c r="S108" i="10"/>
  <c r="T108" i="10"/>
  <c r="U108" i="10"/>
  <c r="S109" i="10"/>
  <c r="T109" i="10"/>
  <c r="U109" i="10"/>
  <c r="S110" i="10"/>
  <c r="T110" i="10"/>
  <c r="U110" i="10"/>
  <c r="S111" i="10"/>
  <c r="T111" i="10"/>
  <c r="U111" i="10"/>
  <c r="S112" i="10"/>
  <c r="T112" i="10"/>
  <c r="U112" i="10"/>
  <c r="S113" i="10"/>
  <c r="T113" i="10"/>
  <c r="U113" i="10"/>
  <c r="S114" i="10"/>
  <c r="T114" i="10"/>
  <c r="U114" i="10"/>
  <c r="S115" i="10"/>
  <c r="T115" i="10"/>
  <c r="U115" i="10"/>
  <c r="S116" i="10"/>
  <c r="T116" i="10"/>
  <c r="U116" i="10"/>
  <c r="S117" i="10"/>
  <c r="T117" i="10"/>
  <c r="U117" i="10"/>
  <c r="S118" i="10"/>
  <c r="T118" i="10"/>
  <c r="U118" i="10"/>
  <c r="S119" i="10"/>
  <c r="T119" i="10"/>
  <c r="U119" i="10"/>
  <c r="S120" i="10"/>
  <c r="T120" i="10"/>
  <c r="U120" i="10"/>
  <c r="S121" i="10"/>
  <c r="T121" i="10"/>
  <c r="U121" i="10"/>
  <c r="S122" i="10"/>
  <c r="T122" i="10"/>
  <c r="U122" i="10"/>
  <c r="S123" i="10"/>
  <c r="T123" i="10"/>
  <c r="U123" i="10"/>
  <c r="S124" i="10"/>
  <c r="T124" i="10"/>
  <c r="U124" i="10"/>
  <c r="S125" i="10"/>
  <c r="T125" i="10"/>
  <c r="U125" i="10"/>
  <c r="S126" i="10"/>
  <c r="T126" i="10"/>
  <c r="U126" i="10"/>
  <c r="S127" i="10"/>
  <c r="T127" i="10"/>
  <c r="U127" i="10"/>
  <c r="S128" i="10"/>
  <c r="T128" i="10"/>
  <c r="U128" i="10"/>
  <c r="S129" i="10"/>
  <c r="T129" i="10"/>
  <c r="U129" i="10"/>
  <c r="S130" i="10"/>
  <c r="T130" i="10"/>
  <c r="U130" i="10"/>
  <c r="S131" i="10"/>
  <c r="T131" i="10"/>
  <c r="U131" i="10"/>
  <c r="S132" i="10"/>
  <c r="T132" i="10"/>
  <c r="U132" i="10"/>
  <c r="S133" i="10"/>
  <c r="T133" i="10"/>
  <c r="U133" i="10"/>
  <c r="S134" i="10"/>
  <c r="T134" i="10"/>
  <c r="U134" i="10"/>
  <c r="S135" i="10"/>
  <c r="T135" i="10"/>
  <c r="U135" i="10"/>
  <c r="S136" i="10"/>
  <c r="T136" i="10"/>
  <c r="U136" i="10"/>
  <c r="S137" i="10"/>
  <c r="T137" i="10"/>
  <c r="U137" i="10"/>
  <c r="S138" i="10"/>
  <c r="T138" i="10"/>
  <c r="U138" i="10"/>
  <c r="S139" i="10"/>
  <c r="T139" i="10"/>
  <c r="U139" i="10"/>
  <c r="S140" i="10"/>
  <c r="T140" i="10"/>
  <c r="U140" i="10"/>
  <c r="S141" i="10"/>
  <c r="T141" i="10"/>
  <c r="U141" i="10"/>
  <c r="S142" i="10"/>
  <c r="T142" i="10"/>
  <c r="U142" i="10"/>
  <c r="S143" i="10"/>
  <c r="T143" i="10"/>
  <c r="U143" i="10"/>
  <c r="S144" i="10"/>
  <c r="T144" i="10"/>
  <c r="U144" i="10"/>
  <c r="S145" i="10"/>
  <c r="T145" i="10"/>
  <c r="U145" i="10"/>
  <c r="S146" i="10"/>
  <c r="T146" i="10"/>
  <c r="U146" i="10"/>
  <c r="S147" i="10"/>
  <c r="T147" i="10"/>
  <c r="U147" i="10"/>
  <c r="S148" i="10"/>
  <c r="T148" i="10"/>
  <c r="U148" i="10"/>
  <c r="S149" i="10"/>
  <c r="T149" i="10"/>
  <c r="U149" i="10"/>
  <c r="S150" i="10"/>
  <c r="T150" i="10"/>
  <c r="U150" i="10"/>
  <c r="S151" i="10"/>
  <c r="T151" i="10"/>
  <c r="U151" i="10"/>
  <c r="S152" i="10"/>
  <c r="T152" i="10"/>
  <c r="U152" i="10"/>
  <c r="S153" i="10"/>
  <c r="T153" i="10"/>
  <c r="U153" i="10"/>
  <c r="S154" i="10"/>
  <c r="T154" i="10"/>
  <c r="U154" i="10"/>
  <c r="S155" i="10"/>
  <c r="T155" i="10"/>
  <c r="U155" i="10"/>
  <c r="S156" i="10"/>
  <c r="T156" i="10"/>
  <c r="U156" i="10"/>
  <c r="S157" i="10"/>
  <c r="T157" i="10"/>
  <c r="U157" i="10"/>
  <c r="S158" i="10"/>
  <c r="T158" i="10"/>
  <c r="U158" i="10"/>
  <c r="S159" i="10"/>
  <c r="T159" i="10"/>
  <c r="U159" i="10"/>
  <c r="S160" i="10"/>
  <c r="T160" i="10"/>
  <c r="U160" i="10"/>
  <c r="S161" i="10"/>
  <c r="T161" i="10"/>
  <c r="U161" i="10"/>
  <c r="S162" i="10"/>
  <c r="T162" i="10"/>
  <c r="U162" i="10"/>
  <c r="S163" i="10"/>
  <c r="T163" i="10"/>
  <c r="U163" i="10"/>
  <c r="S164" i="10"/>
  <c r="T164" i="10"/>
  <c r="U164" i="10"/>
  <c r="S165" i="10"/>
  <c r="T165" i="10"/>
  <c r="U165" i="10"/>
  <c r="S166" i="10"/>
  <c r="T166" i="10"/>
  <c r="U166" i="10"/>
  <c r="S167" i="10"/>
  <c r="T167" i="10"/>
  <c r="U167" i="10"/>
  <c r="S168" i="10"/>
  <c r="T168" i="10"/>
  <c r="U168" i="10"/>
  <c r="S169" i="10"/>
  <c r="T169" i="10"/>
  <c r="U169" i="10"/>
  <c r="S170" i="10"/>
  <c r="T170" i="10"/>
  <c r="U170" i="10"/>
  <c r="S171" i="10"/>
  <c r="T171" i="10"/>
  <c r="U171" i="10"/>
  <c r="S172" i="10"/>
  <c r="T172" i="10"/>
  <c r="U172" i="10"/>
  <c r="S173" i="10"/>
  <c r="T173" i="10"/>
  <c r="U173" i="10"/>
  <c r="S174" i="10"/>
  <c r="T174" i="10"/>
  <c r="U174" i="10"/>
  <c r="S175" i="10"/>
  <c r="T175" i="10"/>
  <c r="U175" i="10"/>
  <c r="S176" i="10"/>
  <c r="T176" i="10"/>
  <c r="U176" i="10"/>
  <c r="S177" i="10"/>
  <c r="T177" i="10"/>
  <c r="U177" i="10"/>
  <c r="S178" i="10"/>
  <c r="T178" i="10"/>
  <c r="U178" i="10"/>
  <c r="S179" i="10"/>
  <c r="T179" i="10"/>
  <c r="U179" i="10"/>
  <c r="S180" i="10"/>
  <c r="T180" i="10"/>
  <c r="U180" i="10"/>
  <c r="S181" i="10"/>
  <c r="T181" i="10"/>
  <c r="U181" i="10"/>
  <c r="S182" i="10"/>
  <c r="T182" i="10"/>
  <c r="U182" i="10"/>
  <c r="S183" i="10"/>
  <c r="T183" i="10"/>
  <c r="U183" i="10"/>
  <c r="S184" i="10"/>
  <c r="T184" i="10"/>
  <c r="U184" i="10"/>
  <c r="S185" i="10"/>
  <c r="T185" i="10"/>
  <c r="U185" i="10"/>
  <c r="S186" i="10"/>
  <c r="T186" i="10"/>
  <c r="U186" i="10"/>
  <c r="S187" i="10"/>
  <c r="T187" i="10"/>
  <c r="U187" i="10"/>
  <c r="S188" i="10"/>
  <c r="T188" i="10"/>
  <c r="U188" i="10"/>
  <c r="S189" i="10"/>
  <c r="T189" i="10"/>
  <c r="U189" i="10"/>
  <c r="S190" i="10"/>
  <c r="T190" i="10"/>
  <c r="U190" i="10"/>
  <c r="S191" i="10"/>
  <c r="T191" i="10"/>
  <c r="U191" i="10"/>
  <c r="S192" i="10"/>
  <c r="T192" i="10"/>
  <c r="U192" i="10"/>
  <c r="S193" i="10"/>
  <c r="T193" i="10"/>
  <c r="U193" i="10"/>
  <c r="S194" i="10"/>
  <c r="T194" i="10"/>
  <c r="U194" i="10"/>
  <c r="S195" i="10"/>
  <c r="T195" i="10"/>
  <c r="U195" i="10"/>
  <c r="S196" i="10"/>
  <c r="T196" i="10"/>
  <c r="U196" i="10"/>
  <c r="S197" i="10"/>
  <c r="T197" i="10"/>
  <c r="U197" i="10"/>
  <c r="S198" i="10"/>
  <c r="T198" i="10"/>
  <c r="U198" i="10"/>
  <c r="S199" i="10"/>
  <c r="T199" i="10"/>
  <c r="U199" i="10"/>
  <c r="S200" i="10"/>
  <c r="T200" i="10"/>
  <c r="U200" i="10"/>
  <c r="S201" i="10"/>
  <c r="T201" i="10"/>
  <c r="U201" i="10"/>
  <c r="S202" i="10"/>
  <c r="T202" i="10"/>
  <c r="U202" i="10"/>
  <c r="S203" i="10"/>
  <c r="T203" i="10"/>
  <c r="U203" i="10"/>
  <c r="S204" i="10"/>
  <c r="T204" i="10"/>
  <c r="U204" i="10"/>
  <c r="S205" i="10"/>
  <c r="T205" i="10"/>
  <c r="U205" i="10"/>
  <c r="S206" i="10"/>
  <c r="T206" i="10"/>
  <c r="U206" i="10"/>
  <c r="S207" i="10"/>
  <c r="T207" i="10"/>
  <c r="U207" i="10"/>
  <c r="S208" i="10"/>
  <c r="T208" i="10"/>
  <c r="U208" i="10"/>
  <c r="S209" i="10"/>
  <c r="T209" i="10"/>
  <c r="U209" i="10"/>
  <c r="S210" i="10"/>
  <c r="T210" i="10"/>
  <c r="U210" i="10"/>
  <c r="S211" i="10"/>
  <c r="T211" i="10"/>
  <c r="U211" i="10"/>
  <c r="S212" i="10"/>
  <c r="T212" i="10"/>
  <c r="U212" i="10"/>
  <c r="S213" i="10"/>
  <c r="T213" i="10"/>
  <c r="U213" i="10"/>
  <c r="S214" i="10"/>
  <c r="T214" i="10"/>
  <c r="U214" i="10"/>
  <c r="S215" i="10"/>
  <c r="T215" i="10"/>
  <c r="U215" i="10"/>
  <c r="S216" i="10"/>
  <c r="T216" i="10"/>
  <c r="U216" i="10"/>
  <c r="S217" i="10"/>
  <c r="T217" i="10"/>
  <c r="U217" i="10"/>
  <c r="S218" i="10"/>
  <c r="T218" i="10"/>
  <c r="U218" i="10"/>
  <c r="S219" i="10"/>
  <c r="T219" i="10"/>
  <c r="U219" i="10"/>
  <c r="S220" i="10"/>
  <c r="T220" i="10"/>
  <c r="U220" i="10"/>
  <c r="S221" i="10"/>
  <c r="T221" i="10"/>
  <c r="U221" i="10"/>
  <c r="S222" i="10"/>
  <c r="T222" i="10"/>
  <c r="U222" i="10"/>
  <c r="S223" i="10"/>
  <c r="T223" i="10"/>
  <c r="U223" i="10"/>
  <c r="S224" i="10"/>
  <c r="T224" i="10"/>
  <c r="U224" i="10"/>
  <c r="S225" i="10"/>
  <c r="T225" i="10"/>
  <c r="U225" i="10"/>
  <c r="S226" i="10"/>
  <c r="T226" i="10"/>
  <c r="U226" i="10"/>
  <c r="S227" i="10"/>
  <c r="T227" i="10"/>
  <c r="U227" i="10"/>
  <c r="S228" i="10"/>
  <c r="T228" i="10"/>
  <c r="U228" i="10"/>
  <c r="V15" i="10"/>
  <c r="V20" i="10"/>
  <c r="V31" i="10"/>
  <c r="V36"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O132" i="10"/>
  <c r="V132" i="10"/>
  <c r="O133" i="10"/>
  <c r="V133" i="10"/>
  <c r="O134" i="10"/>
  <c r="V134" i="10"/>
  <c r="O135" i="10"/>
  <c r="V135" i="10"/>
  <c r="O136" i="10"/>
  <c r="V136" i="10"/>
  <c r="O137" i="10"/>
  <c r="V137" i="10"/>
  <c r="O138" i="10"/>
  <c r="V138" i="10"/>
  <c r="O139" i="10"/>
  <c r="V139" i="10"/>
  <c r="O140" i="10"/>
  <c r="V140" i="10"/>
  <c r="O141" i="10"/>
  <c r="V141" i="10"/>
  <c r="O142" i="10"/>
  <c r="V142" i="10"/>
  <c r="O143" i="10"/>
  <c r="V143" i="10"/>
  <c r="O144" i="10"/>
  <c r="V144" i="10"/>
  <c r="O145" i="10"/>
  <c r="V145" i="10"/>
  <c r="O146" i="10"/>
  <c r="V146" i="10"/>
  <c r="O147" i="10"/>
  <c r="V147" i="10"/>
  <c r="O148" i="10"/>
  <c r="V148" i="10"/>
  <c r="O149" i="10"/>
  <c r="V149" i="10"/>
  <c r="O150" i="10"/>
  <c r="V150" i="10"/>
  <c r="O151" i="10"/>
  <c r="V151" i="10"/>
  <c r="O152" i="10"/>
  <c r="V152" i="10"/>
  <c r="O153" i="10"/>
  <c r="V153" i="10"/>
  <c r="O154" i="10"/>
  <c r="V154" i="10"/>
  <c r="O155" i="10"/>
  <c r="V155" i="10"/>
  <c r="O156" i="10"/>
  <c r="V156" i="10"/>
  <c r="O157" i="10"/>
  <c r="V157" i="10"/>
  <c r="O158" i="10"/>
  <c r="V158" i="10"/>
  <c r="O159" i="10"/>
  <c r="V159" i="10"/>
  <c r="O160" i="10"/>
  <c r="V160" i="10"/>
  <c r="O161" i="10"/>
  <c r="V161" i="10"/>
  <c r="O162" i="10"/>
  <c r="V162" i="10"/>
  <c r="O163" i="10"/>
  <c r="V163" i="10"/>
  <c r="O164" i="10"/>
  <c r="V164" i="10"/>
  <c r="O165" i="10"/>
  <c r="V165" i="10"/>
  <c r="O166" i="10"/>
  <c r="V166" i="10"/>
  <c r="O167" i="10"/>
  <c r="V167" i="10"/>
  <c r="O168" i="10"/>
  <c r="V168" i="10"/>
  <c r="O169" i="10"/>
  <c r="V169" i="10"/>
  <c r="O170" i="10"/>
  <c r="V170" i="10"/>
  <c r="O171" i="10"/>
  <c r="V171" i="10"/>
  <c r="O172" i="10"/>
  <c r="V172" i="10"/>
  <c r="O173" i="10"/>
  <c r="V173" i="10"/>
  <c r="O174" i="10"/>
  <c r="V174" i="10"/>
  <c r="O175" i="10"/>
  <c r="V175" i="10"/>
  <c r="O176" i="10"/>
  <c r="V176" i="10"/>
  <c r="O177" i="10"/>
  <c r="V177" i="10"/>
  <c r="O178" i="10"/>
  <c r="V178" i="10"/>
  <c r="O179" i="10"/>
  <c r="V179" i="10"/>
  <c r="O180" i="10"/>
  <c r="V180" i="10"/>
  <c r="O181" i="10"/>
  <c r="V181" i="10"/>
  <c r="O182" i="10"/>
  <c r="V182" i="10"/>
  <c r="O183" i="10"/>
  <c r="V183" i="10"/>
  <c r="O184" i="10"/>
  <c r="V184" i="10"/>
  <c r="O185" i="10"/>
  <c r="V185" i="10"/>
  <c r="O186" i="10"/>
  <c r="V186" i="10"/>
  <c r="O187" i="10"/>
  <c r="V187" i="10"/>
  <c r="O188" i="10"/>
  <c r="V188" i="10"/>
  <c r="O189" i="10"/>
  <c r="V189" i="10"/>
  <c r="O190" i="10"/>
  <c r="V190" i="10"/>
  <c r="O191" i="10"/>
  <c r="V191" i="10"/>
  <c r="O192" i="10"/>
  <c r="V192" i="10"/>
  <c r="O193" i="10"/>
  <c r="V193" i="10"/>
  <c r="O194" i="10"/>
  <c r="V194" i="10"/>
  <c r="O195" i="10"/>
  <c r="V195" i="10"/>
  <c r="O196" i="10"/>
  <c r="V196" i="10"/>
  <c r="O197" i="10"/>
  <c r="V197" i="10"/>
  <c r="O198" i="10"/>
  <c r="V198" i="10"/>
  <c r="O199" i="10"/>
  <c r="V199" i="10"/>
  <c r="O200" i="10"/>
  <c r="V200" i="10"/>
  <c r="O201" i="10"/>
  <c r="V201" i="10"/>
  <c r="O202" i="10"/>
  <c r="V202" i="10"/>
  <c r="O203" i="10"/>
  <c r="V203" i="10"/>
  <c r="O204" i="10"/>
  <c r="V204" i="10"/>
  <c r="O205" i="10"/>
  <c r="V205" i="10"/>
  <c r="O206" i="10"/>
  <c r="V206" i="10"/>
  <c r="O207" i="10"/>
  <c r="V207" i="10"/>
  <c r="O208" i="10"/>
  <c r="V208" i="10"/>
  <c r="O209" i="10"/>
  <c r="V209" i="10"/>
  <c r="O210" i="10"/>
  <c r="V210" i="10"/>
  <c r="O211" i="10"/>
  <c r="V211" i="10"/>
  <c r="O212" i="10"/>
  <c r="V212" i="10"/>
  <c r="O213" i="10"/>
  <c r="V213" i="10"/>
  <c r="O214" i="10"/>
  <c r="V214" i="10"/>
  <c r="O215" i="10"/>
  <c r="V215" i="10"/>
  <c r="O216" i="10"/>
  <c r="V216" i="10"/>
  <c r="O217" i="10"/>
  <c r="V217" i="10"/>
  <c r="O218" i="10"/>
  <c r="V218" i="10"/>
  <c r="O219" i="10"/>
  <c r="V219" i="10"/>
  <c r="O220" i="10"/>
  <c r="V220" i="10"/>
  <c r="O221" i="10"/>
  <c r="V221" i="10"/>
  <c r="V222" i="10"/>
  <c r="V223" i="10"/>
  <c r="V224" i="10"/>
  <c r="V225" i="10"/>
  <c r="V226" i="10"/>
  <c r="V227" i="10"/>
  <c r="V228" i="10"/>
  <c r="F131" i="7"/>
  <c r="F135" i="7"/>
  <c r="K10" i="10"/>
  <c r="K11" i="10"/>
  <c r="K12" i="10"/>
  <c r="K13" i="10"/>
  <c r="K14" i="10"/>
  <c r="L10" i="10"/>
  <c r="L11" i="10"/>
  <c r="L12" i="10"/>
  <c r="L13" i="10"/>
  <c r="L14" i="10"/>
  <c r="Z6" i="52"/>
  <c r="Z5" i="52"/>
  <c r="Y6" i="52"/>
  <c r="Y5" i="52"/>
  <c r="X6" i="52"/>
  <c r="X5" i="52"/>
  <c r="C270" i="52"/>
  <c r="AS6" i="52"/>
  <c r="AS5" i="52"/>
  <c r="AS270" i="52" a="1"/>
  <c r="AS270" i="52"/>
  <c r="C271" i="52"/>
  <c r="AS271" i="52" a="1"/>
  <c r="AS271" i="52"/>
  <c r="C272" i="52"/>
  <c r="AS272" i="52" a="1"/>
  <c r="C273" i="52"/>
  <c r="AS273" i="52" a="1"/>
  <c r="C274" i="52"/>
  <c r="AS274" i="52" a="1"/>
  <c r="C275" i="52"/>
  <c r="AS275" i="52" a="1"/>
  <c r="C276" i="52"/>
  <c r="AS276" i="52" a="1"/>
  <c r="AS272" i="52"/>
  <c r="AS273" i="52"/>
  <c r="AS274" i="52"/>
  <c r="AS275" i="52"/>
  <c r="AS276" i="52"/>
  <c r="AS269" i="52"/>
  <c r="C279" i="52"/>
  <c r="AS279" i="52" a="1"/>
  <c r="AS279" i="52"/>
  <c r="C280" i="52"/>
  <c r="AS280" i="52" a="1"/>
  <c r="AS280" i="52"/>
  <c r="C281" i="52"/>
  <c r="AS281" i="52" a="1"/>
  <c r="C282" i="52"/>
  <c r="AS282" i="52" a="1"/>
  <c r="C283" i="52"/>
  <c r="AS283" i="52" a="1"/>
  <c r="C284" i="52"/>
  <c r="AS284" i="52" a="1"/>
  <c r="C285" i="52"/>
  <c r="AS285" i="52" a="1"/>
  <c r="AS281" i="52"/>
  <c r="AS282" i="52"/>
  <c r="AS283" i="52"/>
  <c r="AS284" i="52"/>
  <c r="AS285" i="52"/>
  <c r="AS278" i="52"/>
  <c r="C288" i="52"/>
  <c r="AS288" i="52" a="1"/>
  <c r="AS288" i="52"/>
  <c r="AS287" i="52"/>
  <c r="C291" i="52"/>
  <c r="AS291" i="52" a="1"/>
  <c r="AS291" i="52"/>
  <c r="C292" i="52"/>
  <c r="AS292" i="52" a="1"/>
  <c r="AS292" i="52"/>
  <c r="AS290" i="52"/>
  <c r="C295" i="52"/>
  <c r="AS295" i="52" a="1"/>
  <c r="AS295" i="52"/>
  <c r="AS294" i="52"/>
  <c r="C298" i="52"/>
  <c r="AS298" i="52" a="1"/>
  <c r="AS298" i="52"/>
  <c r="C299" i="52"/>
  <c r="AS299" i="52" a="1"/>
  <c r="AS299" i="52"/>
  <c r="AS297" i="52"/>
  <c r="C302" i="52"/>
  <c r="AS302" i="52" a="1"/>
  <c r="AS302" i="52"/>
  <c r="C303" i="52"/>
  <c r="AS303" i="52" a="1"/>
  <c r="AS303" i="52"/>
  <c r="AS301" i="52"/>
  <c r="C306" i="52"/>
  <c r="AS306" i="52" a="1"/>
  <c r="AS306" i="52"/>
  <c r="AS305" i="52"/>
  <c r="C309" i="52"/>
  <c r="AS309" i="52" a="1"/>
  <c r="AS309" i="52"/>
  <c r="AS308" i="52"/>
  <c r="AS267" i="52"/>
  <c r="C314" i="52"/>
  <c r="AS314" i="52" a="1"/>
  <c r="AS314" i="52"/>
  <c r="C315" i="52"/>
  <c r="AS315" i="52" a="1"/>
  <c r="AS315" i="52"/>
  <c r="C316" i="52"/>
  <c r="AS316" i="52" a="1"/>
  <c r="AS316" i="52"/>
  <c r="AS313" i="52"/>
  <c r="C319" i="52"/>
  <c r="AS319" i="52" a="1"/>
  <c r="AS319" i="52"/>
  <c r="C320" i="52"/>
  <c r="AS320" i="52" a="1"/>
  <c r="AS320" i="52"/>
  <c r="AR6" i="52"/>
  <c r="AR5" i="52"/>
  <c r="AR270" i="52" a="1"/>
  <c r="AR270" i="52"/>
  <c r="AR271" i="52" a="1"/>
  <c r="AR271" i="52"/>
  <c r="AR272" i="52" a="1"/>
  <c r="AR273" i="52" a="1"/>
  <c r="AR274" i="52" a="1"/>
  <c r="AR275" i="52" a="1"/>
  <c r="AR276" i="52" a="1"/>
  <c r="AR272" i="52"/>
  <c r="AR273" i="52"/>
  <c r="AR274" i="52"/>
  <c r="AR275" i="52"/>
  <c r="AR276" i="52"/>
  <c r="AR269" i="52"/>
  <c r="AR279" i="52" a="1"/>
  <c r="AR279" i="52"/>
  <c r="AR280" i="52" a="1"/>
  <c r="AR280" i="52"/>
  <c r="AR281" i="52" a="1"/>
  <c r="AR282" i="52" a="1"/>
  <c r="AR283" i="52" a="1"/>
  <c r="AR284" i="52" a="1"/>
  <c r="AR285" i="52" a="1"/>
  <c r="AR281" i="52"/>
  <c r="AR282" i="52"/>
  <c r="AR283" i="52"/>
  <c r="AR284" i="52"/>
  <c r="AR285" i="52"/>
  <c r="AR278" i="52"/>
  <c r="AR288" i="52" a="1"/>
  <c r="AR288" i="52"/>
  <c r="AR287" i="52"/>
  <c r="AR291" i="52" a="1"/>
  <c r="AR291" i="52"/>
  <c r="AR292" i="52" a="1"/>
  <c r="AR292" i="52"/>
  <c r="AR290" i="52"/>
  <c r="AR295" i="52" a="1"/>
  <c r="AR295" i="52"/>
  <c r="AR294" i="52"/>
  <c r="AR298" i="52" a="1"/>
  <c r="AR298" i="52"/>
  <c r="AR299" i="52" a="1"/>
  <c r="AR299" i="52"/>
  <c r="AR297" i="52"/>
  <c r="AR302" i="52" a="1"/>
  <c r="AR302" i="52"/>
  <c r="AR303" i="52" a="1"/>
  <c r="AR303" i="52"/>
  <c r="AR301" i="52"/>
  <c r="AR306" i="52" a="1"/>
  <c r="AR306" i="52"/>
  <c r="AR305" i="52"/>
  <c r="AR309" i="52" a="1"/>
  <c r="AR309" i="52"/>
  <c r="AR308" i="52"/>
  <c r="AR267" i="52"/>
  <c r="AR314" i="52" a="1"/>
  <c r="AR314" i="52"/>
  <c r="AR315" i="52" a="1"/>
  <c r="AR315" i="52"/>
  <c r="AR316" i="52" a="1"/>
  <c r="AR316" i="52"/>
  <c r="AR313" i="52"/>
  <c r="AQ6" i="52"/>
  <c r="AQ5" i="52"/>
  <c r="AQ270" i="52" a="1"/>
  <c r="AQ270" i="52"/>
  <c r="AQ271" i="52" a="1"/>
  <c r="AQ271" i="52"/>
  <c r="AQ272" i="52" a="1"/>
  <c r="AQ273" i="52" a="1"/>
  <c r="AQ274" i="52" a="1"/>
  <c r="AQ275" i="52" a="1"/>
  <c r="AQ276" i="52" a="1"/>
  <c r="AQ272" i="52"/>
  <c r="AQ273" i="52"/>
  <c r="AQ274" i="52"/>
  <c r="AQ275" i="52"/>
  <c r="AQ276" i="52"/>
  <c r="AQ269" i="52"/>
  <c r="AQ279" i="52" a="1"/>
  <c r="AQ279" i="52"/>
  <c r="AQ280" i="52" a="1"/>
  <c r="AQ280" i="52"/>
  <c r="AQ281" i="52" a="1"/>
  <c r="AQ282" i="52" a="1"/>
  <c r="AQ283" i="52" a="1"/>
  <c r="AQ284" i="52" a="1"/>
  <c r="AQ285" i="52" a="1"/>
  <c r="AQ281" i="52"/>
  <c r="AQ282" i="52"/>
  <c r="AQ283" i="52"/>
  <c r="AQ284" i="52"/>
  <c r="AQ285" i="52"/>
  <c r="AQ278" i="52"/>
  <c r="AQ288" i="52" a="1"/>
  <c r="AQ288" i="52"/>
  <c r="AQ287" i="52"/>
  <c r="AQ291" i="52" a="1"/>
  <c r="AQ291" i="52"/>
  <c r="AQ292" i="52" a="1"/>
  <c r="AQ292" i="52"/>
  <c r="AQ290" i="52"/>
  <c r="AQ295" i="52" a="1"/>
  <c r="AQ295" i="52"/>
  <c r="AQ294" i="52"/>
  <c r="AQ298" i="52" a="1"/>
  <c r="AQ298" i="52"/>
  <c r="AQ299" i="52" a="1"/>
  <c r="AQ299" i="52"/>
  <c r="AQ297" i="52"/>
  <c r="AQ302" i="52" a="1"/>
  <c r="AQ302" i="52"/>
  <c r="AQ303" i="52" a="1"/>
  <c r="AQ303" i="52"/>
  <c r="AQ301" i="52"/>
  <c r="AQ306" i="52" a="1"/>
  <c r="AQ306" i="52"/>
  <c r="AQ305" i="52"/>
  <c r="AQ309" i="52" a="1"/>
  <c r="AQ309" i="52"/>
  <c r="AQ308" i="52"/>
  <c r="AQ267" i="52"/>
  <c r="AQ314" i="52" a="1"/>
  <c r="AQ314" i="52"/>
  <c r="AQ315" i="52" a="1"/>
  <c r="AQ315" i="52"/>
  <c r="AQ316" i="52" a="1"/>
  <c r="AQ316" i="52"/>
  <c r="AQ313" i="52"/>
  <c r="AQ319" i="52" a="1"/>
  <c r="AQ319" i="52"/>
  <c r="F133" i="7"/>
  <c r="AN9" i="10"/>
  <c r="F151" i="7"/>
  <c r="E154" i="7"/>
  <c r="F154" i="7"/>
  <c r="F12" i="7"/>
  <c r="C16" i="9"/>
  <c r="Q4" i="9"/>
  <c r="O6" i="9"/>
  <c r="N6" i="9"/>
  <c r="M6" i="9"/>
  <c r="E13" i="7"/>
  <c r="H10" i="35"/>
  <c r="E35" i="35"/>
  <c r="J35" i="35"/>
  <c r="J41" i="35"/>
  <c r="E125" i="7"/>
  <c r="F121" i="7"/>
  <c r="F125" i="7"/>
  <c r="E44" i="7"/>
  <c r="E43" i="7"/>
  <c r="F42" i="7"/>
  <c r="F43" i="7"/>
  <c r="J42" i="35"/>
  <c r="D10" i="29"/>
  <c r="G10" i="29"/>
  <c r="D11"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D12"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98" i="29"/>
  <c r="D99" i="29"/>
  <c r="D101" i="29"/>
  <c r="D102" i="29"/>
  <c r="D103" i="29"/>
  <c r="D104" i="29"/>
  <c r="D105" i="29"/>
  <c r="D106" i="29"/>
  <c r="D107" i="29"/>
  <c r="D108" i="29"/>
  <c r="D109" i="29"/>
  <c r="D110" i="29"/>
  <c r="D111" i="29"/>
  <c r="D112" i="29"/>
  <c r="D113" i="29"/>
  <c r="D114" i="29"/>
  <c r="D115" i="29"/>
  <c r="D116" i="29"/>
  <c r="D117" i="29"/>
  <c r="D118" i="29"/>
  <c r="D119" i="29"/>
  <c r="D120" i="29"/>
  <c r="D121" i="29"/>
  <c r="D122" i="29"/>
  <c r="D123" i="29"/>
  <c r="D124" i="29"/>
  <c r="D125" i="29"/>
  <c r="D126" i="29"/>
  <c r="D127" i="29"/>
  <c r="D128" i="29"/>
  <c r="D129" i="29"/>
  <c r="D130" i="29"/>
  <c r="D131" i="29"/>
  <c r="D132" i="29"/>
  <c r="D133" i="29"/>
  <c r="D134" i="29"/>
  <c r="D135" i="29"/>
  <c r="D136"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F32" i="7"/>
  <c r="F33" i="7"/>
  <c r="D50" i="35"/>
  <c r="D51" i="35"/>
  <c r="D52" i="35"/>
  <c r="D53" i="35"/>
  <c r="D54" i="35"/>
  <c r="D55" i="35"/>
  <c r="D56" i="35"/>
  <c r="D58" i="35"/>
  <c r="D59" i="35"/>
  <c r="D60" i="35"/>
  <c r="D61" i="35"/>
  <c r="D62" i="35"/>
  <c r="D63" i="35"/>
  <c r="D64" i="35"/>
  <c r="D65" i="35"/>
  <c r="D66" i="35"/>
  <c r="D67" i="35"/>
  <c r="D68" i="35"/>
  <c r="D69" i="35"/>
  <c r="D70" i="35"/>
  <c r="D71" i="35"/>
  <c r="D72" i="35"/>
  <c r="D73" i="35"/>
  <c r="D74" i="35"/>
  <c r="F36" i="7"/>
  <c r="H11" i="4"/>
  <c r="H9" i="4"/>
  <c r="I50" i="35"/>
  <c r="I51" i="35"/>
  <c r="I52" i="35"/>
  <c r="I53" i="35"/>
  <c r="I54" i="35"/>
  <c r="I55" i="35"/>
  <c r="I56" i="35"/>
  <c r="L50" i="35"/>
  <c r="L51" i="35"/>
  <c r="L52" i="35"/>
  <c r="L53" i="35"/>
  <c r="L54" i="35"/>
  <c r="L55" i="35"/>
  <c r="L56" i="35"/>
  <c r="E14" i="7"/>
  <c r="F14" i="7"/>
  <c r="F13" i="7"/>
  <c r="E15" i="7"/>
  <c r="F15" i="7"/>
  <c r="K35" i="35"/>
  <c r="K41" i="35"/>
  <c r="K42" i="35"/>
  <c r="L35" i="35"/>
  <c r="L41" i="35"/>
  <c r="L42" i="35"/>
  <c r="M35" i="35"/>
  <c r="M41" i="35"/>
  <c r="M42" i="35"/>
  <c r="N35" i="35"/>
  <c r="N41" i="35"/>
  <c r="N42" i="35"/>
  <c r="O35" i="35"/>
  <c r="O41" i="35"/>
  <c r="O42" i="35"/>
  <c r="P35" i="35"/>
  <c r="P41" i="35"/>
  <c r="P42" i="35"/>
  <c r="Q35" i="35"/>
  <c r="Q41" i="35"/>
  <c r="Q42" i="35"/>
  <c r="C10" i="52"/>
  <c r="C86" i="52"/>
  <c r="C158" i="52"/>
  <c r="C161" i="52"/>
  <c r="C162" i="52"/>
  <c r="C163" i="52"/>
  <c r="C164" i="52"/>
  <c r="C165" i="52"/>
  <c r="C166" i="52"/>
  <c r="C167" i="52"/>
  <c r="C168" i="52"/>
  <c r="C169" i="52"/>
  <c r="C170" i="52"/>
  <c r="C171" i="52"/>
  <c r="C172" i="52"/>
  <c r="C173" i="52"/>
  <c r="C174" i="52"/>
  <c r="C175" i="52"/>
  <c r="C176" i="52"/>
  <c r="C177" i="52"/>
  <c r="C178" i="52"/>
  <c r="C181" i="52"/>
  <c r="C182" i="52"/>
  <c r="C183" i="52"/>
  <c r="C184" i="52"/>
  <c r="C185" i="52"/>
  <c r="C186" i="52"/>
  <c r="C187" i="52"/>
  <c r="C188" i="52"/>
  <c r="C189" i="52"/>
  <c r="C190" i="52"/>
  <c r="C191" i="52"/>
  <c r="C192" i="52"/>
  <c r="C193" i="52"/>
  <c r="C194" i="52"/>
  <c r="C195" i="52"/>
  <c r="C196" i="52"/>
  <c r="C197" i="52"/>
  <c r="C198" i="52"/>
  <c r="C201" i="52"/>
  <c r="C202" i="52"/>
  <c r="C203" i="52"/>
  <c r="C204" i="52"/>
  <c r="C205" i="52"/>
  <c r="C206" i="52"/>
  <c r="C207" i="52"/>
  <c r="C208" i="52"/>
  <c r="C209" i="52"/>
  <c r="C210" i="52"/>
  <c r="C211" i="52"/>
  <c r="C212" i="52"/>
  <c r="C213" i="52"/>
  <c r="C214" i="52"/>
  <c r="C215" i="52"/>
  <c r="C216" i="52"/>
  <c r="C217" i="52"/>
  <c r="C218" i="52"/>
  <c r="C219" i="52"/>
  <c r="C220" i="52"/>
  <c r="C221" i="52"/>
  <c r="C222" i="52"/>
  <c r="C223" i="52"/>
  <c r="C224" i="52"/>
  <c r="C227" i="52"/>
  <c r="C228" i="52"/>
  <c r="C229" i="52"/>
  <c r="C230" i="52"/>
  <c r="C231" i="52"/>
  <c r="C232" i="52"/>
  <c r="C233" i="52"/>
  <c r="C234" i="52"/>
  <c r="C235" i="52"/>
  <c r="C236" i="52"/>
  <c r="C237" i="52"/>
  <c r="C238" i="52"/>
  <c r="C239" i="52"/>
  <c r="C240" i="52"/>
  <c r="C241" i="52"/>
  <c r="C242" i="52"/>
  <c r="C243" i="52"/>
  <c r="C244" i="52"/>
  <c r="C247" i="52"/>
  <c r="C248" i="52"/>
  <c r="C249" i="52"/>
  <c r="C250" i="52"/>
  <c r="C251" i="52"/>
  <c r="C252" i="52"/>
  <c r="C255" i="52"/>
  <c r="C256" i="52"/>
  <c r="C257" i="52"/>
  <c r="C258" i="52"/>
  <c r="C259" i="52"/>
  <c r="C260" i="52"/>
  <c r="C267" i="52"/>
  <c r="C311" i="52"/>
  <c r="C321" i="52"/>
  <c r="C324" i="52"/>
  <c r="C325" i="52"/>
  <c r="C326" i="52"/>
  <c r="C327" i="52"/>
  <c r="C330" i="52"/>
  <c r="C331" i="52"/>
  <c r="C332" i="52"/>
  <c r="C333" i="52"/>
  <c r="C334" i="52"/>
  <c r="C335" i="52"/>
  <c r="C337" i="52"/>
  <c r="C339" i="52"/>
  <c r="C340" i="52"/>
  <c r="C341" i="52"/>
  <c r="C342" i="52"/>
  <c r="C343" i="52"/>
  <c r="C344" i="52"/>
  <c r="C345" i="52"/>
  <c r="C346" i="52"/>
  <c r="C347" i="52"/>
  <c r="E6" i="52"/>
  <c r="F6" i="52"/>
  <c r="G6" i="52"/>
  <c r="H6" i="52"/>
  <c r="I6" i="52"/>
  <c r="J6" i="52"/>
  <c r="K6" i="52"/>
  <c r="L6" i="52"/>
  <c r="M6" i="52"/>
  <c r="N6" i="52"/>
  <c r="O6" i="52"/>
  <c r="P6" i="52"/>
  <c r="Q6" i="52"/>
  <c r="R6" i="52"/>
  <c r="S6" i="52"/>
  <c r="V6" i="52"/>
  <c r="AA6" i="52"/>
  <c r="AB6" i="52"/>
  <c r="AC6" i="52"/>
  <c r="AD6" i="52"/>
  <c r="AE6" i="52"/>
  <c r="AF6" i="52"/>
  <c r="AG6" i="52"/>
  <c r="AH6" i="52"/>
  <c r="AI6" i="52"/>
  <c r="AJ6" i="52"/>
  <c r="AK6" i="52"/>
  <c r="AL6" i="52"/>
  <c r="AM6" i="52"/>
  <c r="AN6" i="52"/>
  <c r="AT6" i="52"/>
  <c r="AU6" i="52"/>
  <c r="AV6" i="52"/>
  <c r="AW6" i="52"/>
  <c r="AX6" i="52"/>
  <c r="AY6" i="52"/>
  <c r="AZ6" i="52"/>
  <c r="BA6" i="52"/>
  <c r="BB6" i="52"/>
  <c r="BC6" i="52"/>
  <c r="BF6" i="52"/>
  <c r="BG6" i="52"/>
  <c r="BI6" i="52"/>
  <c r="E5" i="52"/>
  <c r="F5" i="52"/>
  <c r="G5" i="52"/>
  <c r="H5" i="52"/>
  <c r="I5" i="52"/>
  <c r="J5" i="52"/>
  <c r="K5" i="52"/>
  <c r="L5" i="52"/>
  <c r="M5" i="52"/>
  <c r="N5" i="52"/>
  <c r="O5" i="52"/>
  <c r="P5" i="52"/>
  <c r="Q5" i="52"/>
  <c r="R5" i="52"/>
  <c r="S5" i="52"/>
  <c r="V5" i="52"/>
  <c r="AA5" i="52"/>
  <c r="AB5" i="52"/>
  <c r="AC5" i="52"/>
  <c r="AD5" i="52"/>
  <c r="AE5" i="52"/>
  <c r="AF5" i="52"/>
  <c r="AG5" i="52"/>
  <c r="AH5" i="52"/>
  <c r="AI5" i="52"/>
  <c r="AJ5" i="52"/>
  <c r="AK5" i="52"/>
  <c r="AL5" i="52"/>
  <c r="AM5" i="52"/>
  <c r="AN5" i="52"/>
  <c r="AT5" i="52"/>
  <c r="AU5" i="52"/>
  <c r="AV5" i="52"/>
  <c r="AW5" i="52"/>
  <c r="AX5" i="52"/>
  <c r="AY5" i="52"/>
  <c r="AZ5" i="52"/>
  <c r="BA5" i="52"/>
  <c r="BB5" i="52"/>
  <c r="BC5" i="52"/>
  <c r="BF5" i="52"/>
  <c r="BG5" i="52"/>
  <c r="I19" i="35"/>
  <c r="I35" i="35"/>
  <c r="I41" i="35"/>
  <c r="I42" i="35"/>
  <c r="E161" i="52" a="1"/>
  <c r="E161" i="52"/>
  <c r="E162" i="52" a="1"/>
  <c r="E162" i="52"/>
  <c r="E163" i="52" a="1"/>
  <c r="E164" i="52" a="1"/>
  <c r="E165" i="52" a="1"/>
  <c r="E166" i="52" a="1"/>
  <c r="E167" i="52" a="1"/>
  <c r="E168" i="52" a="1"/>
  <c r="E169" i="52" a="1"/>
  <c r="E170" i="52" a="1"/>
  <c r="E171" i="52" a="1"/>
  <c r="E172" i="52" a="1"/>
  <c r="E173" i="52" a="1"/>
  <c r="E174" i="52" a="1"/>
  <c r="E175" i="52" a="1"/>
  <c r="E176" i="52" a="1"/>
  <c r="E177" i="52" a="1"/>
  <c r="E178" i="52" a="1"/>
  <c r="E163" i="52"/>
  <c r="E164" i="52"/>
  <c r="E165" i="52"/>
  <c r="E166" i="52"/>
  <c r="E167" i="52"/>
  <c r="E168" i="52"/>
  <c r="E169" i="52"/>
  <c r="E170" i="52"/>
  <c r="E171" i="52"/>
  <c r="E172" i="52"/>
  <c r="E173" i="52"/>
  <c r="E174" i="52"/>
  <c r="E175" i="52"/>
  <c r="E176" i="52"/>
  <c r="E177" i="52"/>
  <c r="E178" i="52"/>
  <c r="E160" i="52"/>
  <c r="E181" i="52" a="1"/>
  <c r="E181" i="52"/>
  <c r="E182" i="52" a="1"/>
  <c r="E182" i="52"/>
  <c r="E183" i="52" a="1"/>
  <c r="E184" i="52" a="1"/>
  <c r="E185" i="52" a="1"/>
  <c r="E186" i="52" a="1"/>
  <c r="E187" i="52" a="1"/>
  <c r="E188" i="52" a="1"/>
  <c r="E189" i="52" a="1"/>
  <c r="E190" i="52" a="1"/>
  <c r="E191" i="52" a="1"/>
  <c r="E192" i="52" a="1"/>
  <c r="E193" i="52" a="1"/>
  <c r="E194" i="52" a="1"/>
  <c r="E195" i="52" a="1"/>
  <c r="E196" i="52" a="1"/>
  <c r="E197" i="52" a="1"/>
  <c r="E198" i="52" a="1"/>
  <c r="E183" i="52"/>
  <c r="E184" i="52"/>
  <c r="E185" i="52"/>
  <c r="E186" i="52"/>
  <c r="E187" i="52"/>
  <c r="E188" i="52"/>
  <c r="E189" i="52"/>
  <c r="E190" i="52"/>
  <c r="E191" i="52"/>
  <c r="E192" i="52"/>
  <c r="E193" i="52"/>
  <c r="E194" i="52"/>
  <c r="E195" i="52"/>
  <c r="E196" i="52"/>
  <c r="E197" i="52"/>
  <c r="E198" i="52"/>
  <c r="E180" i="52"/>
  <c r="E201" i="52" a="1"/>
  <c r="E201" i="52"/>
  <c r="E202" i="52" a="1"/>
  <c r="E202" i="52"/>
  <c r="E203" i="52" a="1"/>
  <c r="E204" i="52" a="1"/>
  <c r="E205" i="52" a="1"/>
  <c r="E206" i="52" a="1"/>
  <c r="E207" i="52" a="1"/>
  <c r="E208" i="52" a="1"/>
  <c r="E209" i="52" a="1"/>
  <c r="E210" i="52" a="1"/>
  <c r="E211" i="52" a="1"/>
  <c r="E212" i="52" a="1"/>
  <c r="E213" i="52" a="1"/>
  <c r="E214" i="52" a="1"/>
  <c r="E215" i="52" a="1"/>
  <c r="E216" i="52" a="1"/>
  <c r="E217" i="52" a="1"/>
  <c r="E218" i="52" a="1"/>
  <c r="E219" i="52" a="1"/>
  <c r="E220" i="52" a="1"/>
  <c r="E221" i="52" a="1"/>
  <c r="E222" i="52" a="1"/>
  <c r="E223" i="52" a="1"/>
  <c r="E224" i="52" a="1"/>
  <c r="E203" i="52"/>
  <c r="E204" i="52"/>
  <c r="E205" i="52"/>
  <c r="E206" i="52"/>
  <c r="E207" i="52"/>
  <c r="E208" i="52"/>
  <c r="E209" i="52"/>
  <c r="E210" i="52"/>
  <c r="E211" i="52"/>
  <c r="E212" i="52"/>
  <c r="E213" i="52"/>
  <c r="E214" i="52"/>
  <c r="E215" i="52"/>
  <c r="E216" i="52"/>
  <c r="E217" i="52"/>
  <c r="E218" i="52"/>
  <c r="E219" i="52"/>
  <c r="E220" i="52"/>
  <c r="E221" i="52"/>
  <c r="E222" i="52"/>
  <c r="E223" i="52"/>
  <c r="E224" i="52"/>
  <c r="E200" i="52"/>
  <c r="E227" i="52" a="1"/>
  <c r="E227" i="52"/>
  <c r="E228" i="52" a="1"/>
  <c r="E228" i="52"/>
  <c r="E229" i="52" a="1"/>
  <c r="E230" i="52" a="1"/>
  <c r="E231" i="52" a="1"/>
  <c r="E232" i="52" a="1"/>
  <c r="E233" i="52" a="1"/>
  <c r="E234" i="52" a="1"/>
  <c r="E235" i="52" a="1"/>
  <c r="E236" i="52" a="1"/>
  <c r="E237" i="52" a="1"/>
  <c r="E238" i="52" a="1"/>
  <c r="E239" i="52" a="1"/>
  <c r="E240" i="52" a="1"/>
  <c r="E241" i="52" a="1"/>
  <c r="E242" i="52" a="1"/>
  <c r="E243" i="52" a="1"/>
  <c r="E244" i="52" a="1"/>
  <c r="E229" i="52"/>
  <c r="E230" i="52"/>
  <c r="E231" i="52"/>
  <c r="E232" i="52"/>
  <c r="E233" i="52"/>
  <c r="E234" i="52"/>
  <c r="E235" i="52"/>
  <c r="E236" i="52"/>
  <c r="E237" i="52"/>
  <c r="E238" i="52"/>
  <c r="E239" i="52"/>
  <c r="E240" i="52"/>
  <c r="E241" i="52"/>
  <c r="E242" i="52"/>
  <c r="E243" i="52"/>
  <c r="E244" i="52"/>
  <c r="E226" i="52"/>
  <c r="E247" i="52" a="1"/>
  <c r="E247" i="52"/>
  <c r="E248" i="52" a="1"/>
  <c r="E248" i="52"/>
  <c r="E249" i="52" a="1"/>
  <c r="E250" i="52" a="1"/>
  <c r="E251" i="52" a="1"/>
  <c r="E252" i="52" a="1"/>
  <c r="E249" i="52"/>
  <c r="E250" i="52"/>
  <c r="E251" i="52"/>
  <c r="E252" i="52"/>
  <c r="E246" i="52"/>
  <c r="E255" i="52" a="1"/>
  <c r="E255" i="52"/>
  <c r="E256" i="52" a="1"/>
  <c r="E256" i="52"/>
  <c r="E257" i="52" a="1"/>
  <c r="E258" i="52" a="1"/>
  <c r="E259" i="52" a="1"/>
  <c r="E260" i="52" a="1"/>
  <c r="E257" i="52"/>
  <c r="E258" i="52"/>
  <c r="E259" i="52"/>
  <c r="E260" i="52"/>
  <c r="E254" i="52"/>
  <c r="E158" i="52"/>
  <c r="F161" i="52" a="1"/>
  <c r="F161" i="52"/>
  <c r="F162" i="52" a="1"/>
  <c r="F162" i="52"/>
  <c r="F163" i="52" a="1"/>
  <c r="F164" i="52" a="1"/>
  <c r="F165" i="52" a="1"/>
  <c r="F166" i="52" a="1"/>
  <c r="F167" i="52" a="1"/>
  <c r="F168" i="52" a="1"/>
  <c r="F169" i="52" a="1"/>
  <c r="F170" i="52" a="1"/>
  <c r="F171" i="52" a="1"/>
  <c r="F172" i="52" a="1"/>
  <c r="F173" i="52" a="1"/>
  <c r="F174" i="52" a="1"/>
  <c r="F175" i="52" a="1"/>
  <c r="F176" i="52" a="1"/>
  <c r="F177" i="52" a="1"/>
  <c r="F178" i="52" a="1"/>
  <c r="F163" i="52"/>
  <c r="F164" i="52"/>
  <c r="F165" i="52"/>
  <c r="F166" i="52"/>
  <c r="F167" i="52"/>
  <c r="F168" i="52"/>
  <c r="F169" i="52"/>
  <c r="F170" i="52"/>
  <c r="F171" i="52"/>
  <c r="F172" i="52"/>
  <c r="F173" i="52"/>
  <c r="F174" i="52"/>
  <c r="F175" i="52"/>
  <c r="F176" i="52"/>
  <c r="F177" i="52"/>
  <c r="F178" i="52"/>
  <c r="F160" i="52"/>
  <c r="F181" i="52" a="1"/>
  <c r="F181" i="52"/>
  <c r="F182" i="52" a="1"/>
  <c r="F182" i="52"/>
  <c r="F183" i="52" a="1"/>
  <c r="F184" i="52" a="1"/>
  <c r="F185" i="52" a="1"/>
  <c r="F186" i="52" a="1"/>
  <c r="F187" i="52" a="1"/>
  <c r="F188" i="52" a="1"/>
  <c r="F189" i="52" a="1"/>
  <c r="F190" i="52" a="1"/>
  <c r="F191" i="52" a="1"/>
  <c r="F192" i="52" a="1"/>
  <c r="F193" i="52" a="1"/>
  <c r="F194" i="52" a="1"/>
  <c r="F195" i="52" a="1"/>
  <c r="F196" i="52" a="1"/>
  <c r="F197" i="52" a="1"/>
  <c r="F198" i="52" a="1"/>
  <c r="F183" i="52"/>
  <c r="F184" i="52"/>
  <c r="F185" i="52"/>
  <c r="F186" i="52"/>
  <c r="F187" i="52"/>
  <c r="F188" i="52"/>
  <c r="F189" i="52"/>
  <c r="F190" i="52"/>
  <c r="F191" i="52"/>
  <c r="F192" i="52"/>
  <c r="F193" i="52"/>
  <c r="F194" i="52"/>
  <c r="F195" i="52"/>
  <c r="F196" i="52"/>
  <c r="F197" i="52"/>
  <c r="F198" i="52"/>
  <c r="F180" i="52"/>
  <c r="F201" i="52" a="1"/>
  <c r="F201" i="52"/>
  <c r="F202" i="52" a="1"/>
  <c r="F202" i="52"/>
  <c r="F203" i="52" a="1"/>
  <c r="F204" i="52" a="1"/>
  <c r="F205" i="52" a="1"/>
  <c r="F206" i="52" a="1"/>
  <c r="F207" i="52" a="1"/>
  <c r="F208" i="52" a="1"/>
  <c r="F209" i="52" a="1"/>
  <c r="F210" i="52" a="1"/>
  <c r="F211" i="52" a="1"/>
  <c r="F212" i="52" a="1"/>
  <c r="F213" i="52" a="1"/>
  <c r="F214" i="52" a="1"/>
  <c r="F215" i="52" a="1"/>
  <c r="F216" i="52" a="1"/>
  <c r="F217" i="52" a="1"/>
  <c r="F218" i="52" a="1"/>
  <c r="F219" i="52" a="1"/>
  <c r="F220" i="52" a="1"/>
  <c r="F221" i="52" a="1"/>
  <c r="F222" i="52" a="1"/>
  <c r="F223" i="52" a="1"/>
  <c r="F224" i="52" a="1"/>
  <c r="F203" i="52"/>
  <c r="F204" i="52"/>
  <c r="F205" i="52"/>
  <c r="F206" i="52"/>
  <c r="F207" i="52"/>
  <c r="F208" i="52"/>
  <c r="F209" i="52"/>
  <c r="F210" i="52"/>
  <c r="F211" i="52"/>
  <c r="F212" i="52"/>
  <c r="F213" i="52"/>
  <c r="F214" i="52"/>
  <c r="F215" i="52"/>
  <c r="F216" i="52"/>
  <c r="F217" i="52"/>
  <c r="F218" i="52"/>
  <c r="F219" i="52"/>
  <c r="F220" i="52"/>
  <c r="F221" i="52"/>
  <c r="F222" i="52"/>
  <c r="F223" i="52"/>
  <c r="F224" i="52"/>
  <c r="F200" i="52"/>
  <c r="F227" i="52" a="1"/>
  <c r="F227" i="52"/>
  <c r="F228" i="52" a="1"/>
  <c r="F228" i="52"/>
  <c r="F229" i="52" a="1"/>
  <c r="F230" i="52" a="1"/>
  <c r="F231" i="52" a="1"/>
  <c r="F232" i="52" a="1"/>
  <c r="F233" i="52" a="1"/>
  <c r="F234" i="52" a="1"/>
  <c r="F235" i="52" a="1"/>
  <c r="F236" i="52" a="1"/>
  <c r="F237" i="52" a="1"/>
  <c r="F238" i="52" a="1"/>
  <c r="F239" i="52" a="1"/>
  <c r="F240" i="52" a="1"/>
  <c r="F241" i="52" a="1"/>
  <c r="F242" i="52" a="1"/>
  <c r="F243" i="52" a="1"/>
  <c r="F244" i="52" a="1"/>
  <c r="F229" i="52"/>
  <c r="F230" i="52"/>
  <c r="F231" i="52"/>
  <c r="F232" i="52"/>
  <c r="F233" i="52"/>
  <c r="F234" i="52"/>
  <c r="F235" i="52"/>
  <c r="F236" i="52"/>
  <c r="F237" i="52"/>
  <c r="F238" i="52"/>
  <c r="F239" i="52"/>
  <c r="F240" i="52"/>
  <c r="F241" i="52"/>
  <c r="F242" i="52"/>
  <c r="F243" i="52"/>
  <c r="F244" i="52"/>
  <c r="F226" i="52"/>
  <c r="F247" i="52" a="1"/>
  <c r="F247" i="52"/>
  <c r="F248" i="52" a="1"/>
  <c r="F248" i="52"/>
  <c r="F249" i="52" a="1"/>
  <c r="F250" i="52" a="1"/>
  <c r="F251" i="52" a="1"/>
  <c r="F252" i="52" a="1"/>
  <c r="F249" i="52"/>
  <c r="F250" i="52"/>
  <c r="F251" i="52"/>
  <c r="F252" i="52"/>
  <c r="F246" i="52"/>
  <c r="F255" i="52" a="1"/>
  <c r="F255" i="52"/>
  <c r="F256" i="52" a="1"/>
  <c r="F256" i="52"/>
  <c r="F257" i="52" a="1"/>
  <c r="F258" i="52" a="1"/>
  <c r="F259" i="52" a="1"/>
  <c r="F260" i="52" a="1"/>
  <c r="F257" i="52"/>
  <c r="F258" i="52"/>
  <c r="F259" i="52"/>
  <c r="F260" i="52"/>
  <c r="F254" i="52"/>
  <c r="F158" i="52"/>
  <c r="G161" i="52" a="1"/>
  <c r="G161" i="52"/>
  <c r="G162" i="52" a="1"/>
  <c r="G162" i="52"/>
  <c r="G163" i="52" a="1"/>
  <c r="G164" i="52" a="1"/>
  <c r="G165" i="52" a="1"/>
  <c r="G166" i="52" a="1"/>
  <c r="G167" i="52" a="1"/>
  <c r="G168" i="52" a="1"/>
  <c r="G169" i="52" a="1"/>
  <c r="G170" i="52" a="1"/>
  <c r="G171" i="52" a="1"/>
  <c r="G172" i="52" a="1"/>
  <c r="G173" i="52" a="1"/>
  <c r="G174" i="52" a="1"/>
  <c r="G175" i="52" a="1"/>
  <c r="G176" i="52" a="1"/>
  <c r="G177" i="52" a="1"/>
  <c r="G178" i="52" a="1"/>
  <c r="G163" i="52"/>
  <c r="G164" i="52"/>
  <c r="G165" i="52"/>
  <c r="G166" i="52"/>
  <c r="G167" i="52"/>
  <c r="G168" i="52"/>
  <c r="G169" i="52"/>
  <c r="G170" i="52"/>
  <c r="G171" i="52"/>
  <c r="G172" i="52"/>
  <c r="G173" i="52"/>
  <c r="G174" i="52"/>
  <c r="G175" i="52"/>
  <c r="G176" i="52"/>
  <c r="G177" i="52"/>
  <c r="G178" i="52"/>
  <c r="G160" i="52"/>
  <c r="G181" i="52" a="1"/>
  <c r="G181" i="52"/>
  <c r="G182" i="52" a="1"/>
  <c r="G182" i="52"/>
  <c r="G183" i="52" a="1"/>
  <c r="G184" i="52" a="1"/>
  <c r="G185" i="52" a="1"/>
  <c r="G186" i="52" a="1"/>
  <c r="G187" i="52" a="1"/>
  <c r="G188" i="52" a="1"/>
  <c r="G189" i="52" a="1"/>
  <c r="G190" i="52" a="1"/>
  <c r="G191" i="52" a="1"/>
  <c r="G192" i="52" a="1"/>
  <c r="G193" i="52" a="1"/>
  <c r="G194" i="52" a="1"/>
  <c r="G195" i="52" a="1"/>
  <c r="G196" i="52" a="1"/>
  <c r="G197" i="52" a="1"/>
  <c r="G198" i="52" a="1"/>
  <c r="G183" i="52"/>
  <c r="G184" i="52"/>
  <c r="G185" i="52"/>
  <c r="G186" i="52"/>
  <c r="G187" i="52"/>
  <c r="G188" i="52"/>
  <c r="G189" i="52"/>
  <c r="G190" i="52"/>
  <c r="G191" i="52"/>
  <c r="G192" i="52"/>
  <c r="G193" i="52"/>
  <c r="G194" i="52"/>
  <c r="G195" i="52"/>
  <c r="G196" i="52"/>
  <c r="G197" i="52"/>
  <c r="G198" i="52"/>
  <c r="G180" i="52"/>
  <c r="G201" i="52" a="1"/>
  <c r="G201" i="52"/>
  <c r="G202" i="52" a="1"/>
  <c r="G202" i="52"/>
  <c r="G203" i="52" a="1"/>
  <c r="G204" i="52" a="1"/>
  <c r="G205" i="52" a="1"/>
  <c r="G206" i="52" a="1"/>
  <c r="G207" i="52" a="1"/>
  <c r="G208" i="52" a="1"/>
  <c r="G209" i="52" a="1"/>
  <c r="G210" i="52" a="1"/>
  <c r="G211" i="52" a="1"/>
  <c r="G212" i="52" a="1"/>
  <c r="G213" i="52" a="1"/>
  <c r="G214" i="52" a="1"/>
  <c r="G215" i="52" a="1"/>
  <c r="G216" i="52" a="1"/>
  <c r="G217" i="52" a="1"/>
  <c r="G218" i="52" a="1"/>
  <c r="G219" i="52" a="1"/>
  <c r="G220" i="52" a="1"/>
  <c r="G221" i="52" a="1"/>
  <c r="G222" i="52" a="1"/>
  <c r="G223" i="52" a="1"/>
  <c r="G224" i="52" a="1"/>
  <c r="G203" i="52"/>
  <c r="G204" i="52"/>
  <c r="G205" i="52"/>
  <c r="G206" i="52"/>
  <c r="G207" i="52"/>
  <c r="G208" i="52"/>
  <c r="G209" i="52"/>
  <c r="G210" i="52"/>
  <c r="G211" i="52"/>
  <c r="G212" i="52"/>
  <c r="G213" i="52"/>
  <c r="G214" i="52"/>
  <c r="G215" i="52"/>
  <c r="G216" i="52"/>
  <c r="G217" i="52"/>
  <c r="G218" i="52"/>
  <c r="G219" i="52"/>
  <c r="G220" i="52"/>
  <c r="G221" i="52"/>
  <c r="G222" i="52"/>
  <c r="G223" i="52"/>
  <c r="G224" i="52"/>
  <c r="G200" i="52"/>
  <c r="G227" i="52" a="1"/>
  <c r="G227" i="52"/>
  <c r="G228" i="52" a="1"/>
  <c r="G228" i="52"/>
  <c r="G229" i="52" a="1"/>
  <c r="G230" i="52" a="1"/>
  <c r="G231" i="52" a="1"/>
  <c r="G232" i="52" a="1"/>
  <c r="G233" i="52" a="1"/>
  <c r="G234" i="52" a="1"/>
  <c r="G235" i="52" a="1"/>
  <c r="G236" i="52" a="1"/>
  <c r="G237" i="52" a="1"/>
  <c r="G238" i="52" a="1"/>
  <c r="G239" i="52" a="1"/>
  <c r="G240" i="52" a="1"/>
  <c r="G241" i="52" a="1"/>
  <c r="G242" i="52" a="1"/>
  <c r="G243" i="52" a="1"/>
  <c r="G244" i="52" a="1"/>
  <c r="G229" i="52"/>
  <c r="G230" i="52"/>
  <c r="G231" i="52"/>
  <c r="G232" i="52"/>
  <c r="G233" i="52"/>
  <c r="G234" i="52"/>
  <c r="G235" i="52"/>
  <c r="G236" i="52"/>
  <c r="G237" i="52"/>
  <c r="G238" i="52"/>
  <c r="G239" i="52"/>
  <c r="G240" i="52"/>
  <c r="G241" i="52"/>
  <c r="G242" i="52"/>
  <c r="G243" i="52"/>
  <c r="G244" i="52"/>
  <c r="G226" i="52"/>
  <c r="G247" i="52" a="1"/>
  <c r="G247" i="52"/>
  <c r="G248" i="52" a="1"/>
  <c r="G248" i="52"/>
  <c r="G249" i="52" a="1"/>
  <c r="G250" i="52" a="1"/>
  <c r="G251" i="52" a="1"/>
  <c r="G252" i="52" a="1"/>
  <c r="G249" i="52"/>
  <c r="G250" i="52"/>
  <c r="G251" i="52"/>
  <c r="G252" i="52"/>
  <c r="G246" i="52"/>
  <c r="G255" i="52" a="1"/>
  <c r="G255" i="52"/>
  <c r="G256" i="52" a="1"/>
  <c r="G256" i="52"/>
  <c r="G257" i="52" a="1"/>
  <c r="G258" i="52" a="1"/>
  <c r="G259" i="52" a="1"/>
  <c r="G260" i="52" a="1"/>
  <c r="G257" i="52"/>
  <c r="G258" i="52"/>
  <c r="G259" i="52"/>
  <c r="G260" i="52"/>
  <c r="G254" i="52"/>
  <c r="G158" i="52"/>
  <c r="H161" i="52" a="1"/>
  <c r="H161" i="52"/>
  <c r="H162" i="52" a="1"/>
  <c r="H162" i="52"/>
  <c r="H163" i="52" a="1"/>
  <c r="H164" i="52" a="1"/>
  <c r="H165" i="52" a="1"/>
  <c r="H166" i="52" a="1"/>
  <c r="H167" i="52" a="1"/>
  <c r="H168" i="52" a="1"/>
  <c r="H169" i="52" a="1"/>
  <c r="H170" i="52" a="1"/>
  <c r="H171" i="52" a="1"/>
  <c r="H172" i="52" a="1"/>
  <c r="H173" i="52" a="1"/>
  <c r="H174" i="52" a="1"/>
  <c r="H175" i="52" a="1"/>
  <c r="H176" i="52" a="1"/>
  <c r="H177" i="52" a="1"/>
  <c r="H178" i="52" a="1"/>
  <c r="H163" i="52"/>
  <c r="H164" i="52"/>
  <c r="H165" i="52"/>
  <c r="H166" i="52"/>
  <c r="H167" i="52"/>
  <c r="H168" i="52"/>
  <c r="H169" i="52"/>
  <c r="H170" i="52"/>
  <c r="H171" i="52"/>
  <c r="H172" i="52"/>
  <c r="H173" i="52"/>
  <c r="H174" i="52"/>
  <c r="H175" i="52"/>
  <c r="H176" i="52"/>
  <c r="H177" i="52"/>
  <c r="H178" i="52"/>
  <c r="H160" i="52"/>
  <c r="H181" i="52" a="1"/>
  <c r="H181" i="52"/>
  <c r="H182" i="52" a="1"/>
  <c r="H182" i="52"/>
  <c r="H183" i="52" a="1"/>
  <c r="H184" i="52" a="1"/>
  <c r="H185" i="52" a="1"/>
  <c r="H186" i="52" a="1"/>
  <c r="H187" i="52" a="1"/>
  <c r="H188" i="52" a="1"/>
  <c r="H189" i="52" a="1"/>
  <c r="H190" i="52" a="1"/>
  <c r="H191" i="52" a="1"/>
  <c r="H192" i="52" a="1"/>
  <c r="H193" i="52" a="1"/>
  <c r="H194" i="52" a="1"/>
  <c r="H195" i="52" a="1"/>
  <c r="H196" i="52" a="1"/>
  <c r="H197" i="52" a="1"/>
  <c r="H198" i="52" a="1"/>
  <c r="H183" i="52"/>
  <c r="H184" i="52"/>
  <c r="H185" i="52"/>
  <c r="H186" i="52"/>
  <c r="H187" i="52"/>
  <c r="H188" i="52"/>
  <c r="H189" i="52"/>
  <c r="H190" i="52"/>
  <c r="H191" i="52"/>
  <c r="H192" i="52"/>
  <c r="H193" i="52"/>
  <c r="H194" i="52"/>
  <c r="H195" i="52"/>
  <c r="H196" i="52"/>
  <c r="H197" i="52"/>
  <c r="H198" i="52"/>
  <c r="H180" i="52"/>
  <c r="H201" i="52" a="1"/>
  <c r="H201" i="52"/>
  <c r="H202" i="52" a="1"/>
  <c r="H202" i="52"/>
  <c r="H203" i="52" a="1"/>
  <c r="H204" i="52" a="1"/>
  <c r="H205" i="52" a="1"/>
  <c r="H206" i="52" a="1"/>
  <c r="H207" i="52" a="1"/>
  <c r="H208" i="52" a="1"/>
  <c r="H209" i="52" a="1"/>
  <c r="H210" i="52" a="1"/>
  <c r="H211" i="52" a="1"/>
  <c r="H212" i="52" a="1"/>
  <c r="H213" i="52" a="1"/>
  <c r="H214" i="52" a="1"/>
  <c r="H215" i="52" a="1"/>
  <c r="H216" i="52" a="1"/>
  <c r="H217" i="52" a="1"/>
  <c r="H218" i="52" a="1"/>
  <c r="H219" i="52" a="1"/>
  <c r="H220" i="52" a="1"/>
  <c r="H221" i="52" a="1"/>
  <c r="H222" i="52" a="1"/>
  <c r="H223" i="52" a="1"/>
  <c r="H224" i="52" a="1"/>
  <c r="H203" i="52"/>
  <c r="H204" i="52"/>
  <c r="H205" i="52"/>
  <c r="H206" i="52"/>
  <c r="H207" i="52"/>
  <c r="H208" i="52"/>
  <c r="H209" i="52"/>
  <c r="H210" i="52"/>
  <c r="H211" i="52"/>
  <c r="H212" i="52"/>
  <c r="H213" i="52"/>
  <c r="H214" i="52"/>
  <c r="H215" i="52"/>
  <c r="H216" i="52"/>
  <c r="H217" i="52"/>
  <c r="H218" i="52"/>
  <c r="H219" i="52"/>
  <c r="H220" i="52"/>
  <c r="H221" i="52"/>
  <c r="H222" i="52"/>
  <c r="H223" i="52"/>
  <c r="H224" i="52"/>
  <c r="H200" i="52"/>
  <c r="H227" i="52" a="1"/>
  <c r="H227" i="52"/>
  <c r="H228" i="52" a="1"/>
  <c r="H228" i="52"/>
  <c r="H229" i="52" a="1"/>
  <c r="H230" i="52" a="1"/>
  <c r="H231" i="52" a="1"/>
  <c r="H232" i="52" a="1"/>
  <c r="H233" i="52" a="1"/>
  <c r="H234" i="52" a="1"/>
  <c r="H235" i="52" a="1"/>
  <c r="H236" i="52" a="1"/>
  <c r="H237" i="52" a="1"/>
  <c r="H238" i="52" a="1"/>
  <c r="H239" i="52" a="1"/>
  <c r="H240" i="52" a="1"/>
  <c r="H241" i="52" a="1"/>
  <c r="H242" i="52" a="1"/>
  <c r="H243" i="52" a="1"/>
  <c r="H244" i="52" a="1"/>
  <c r="H229" i="52"/>
  <c r="H230" i="52"/>
  <c r="H231" i="52"/>
  <c r="H232" i="52"/>
  <c r="H233" i="52"/>
  <c r="H234" i="52"/>
  <c r="H235" i="52"/>
  <c r="H236" i="52"/>
  <c r="H237" i="52"/>
  <c r="H238" i="52"/>
  <c r="H239" i="52"/>
  <c r="H240" i="52"/>
  <c r="H241" i="52"/>
  <c r="H242" i="52"/>
  <c r="H243" i="52"/>
  <c r="H244" i="52"/>
  <c r="H226" i="52"/>
  <c r="H247" i="52" a="1"/>
  <c r="H247" i="52"/>
  <c r="H248" i="52" a="1"/>
  <c r="H248" i="52"/>
  <c r="H249" i="52" a="1"/>
  <c r="H250" i="52" a="1"/>
  <c r="H251" i="52" a="1"/>
  <c r="H252" i="52" a="1"/>
  <c r="H249" i="52"/>
  <c r="H250" i="52"/>
  <c r="H251" i="52"/>
  <c r="H252" i="52"/>
  <c r="H246" i="52"/>
  <c r="H255" i="52" a="1"/>
  <c r="H255" i="52"/>
  <c r="H256" i="52" a="1"/>
  <c r="H256" i="52"/>
  <c r="H257" i="52" a="1"/>
  <c r="H258" i="52" a="1"/>
  <c r="H259" i="52" a="1"/>
  <c r="H260" i="52" a="1"/>
  <c r="H257" i="52"/>
  <c r="H258" i="52"/>
  <c r="H259" i="52"/>
  <c r="H260" i="52"/>
  <c r="H254" i="52"/>
  <c r="H158" i="52"/>
  <c r="I161" i="52" a="1"/>
  <c r="I161" i="52"/>
  <c r="I162" i="52" a="1"/>
  <c r="I162" i="52"/>
  <c r="I163" i="52" a="1"/>
  <c r="I164" i="52" a="1"/>
  <c r="I165" i="52" a="1"/>
  <c r="I166" i="52" a="1"/>
  <c r="I167" i="52" a="1"/>
  <c r="I168" i="52" a="1"/>
  <c r="I169" i="52" a="1"/>
  <c r="I170" i="52" a="1"/>
  <c r="I171" i="52" a="1"/>
  <c r="I172" i="52" a="1"/>
  <c r="I173" i="52" a="1"/>
  <c r="I174" i="52" a="1"/>
  <c r="I175" i="52" a="1"/>
  <c r="I176" i="52" a="1"/>
  <c r="I177" i="52" a="1"/>
  <c r="I178" i="52" a="1"/>
  <c r="I163" i="52"/>
  <c r="I164" i="52"/>
  <c r="I165" i="52"/>
  <c r="I166" i="52"/>
  <c r="I167" i="52"/>
  <c r="I168" i="52"/>
  <c r="I169" i="52"/>
  <c r="I170" i="52"/>
  <c r="I171" i="52"/>
  <c r="I172" i="52"/>
  <c r="I173" i="52"/>
  <c r="I174" i="52"/>
  <c r="I175" i="52"/>
  <c r="I176" i="52"/>
  <c r="I177" i="52"/>
  <c r="I178" i="52"/>
  <c r="I160" i="52"/>
  <c r="I181" i="52" a="1"/>
  <c r="I181" i="52"/>
  <c r="I182" i="52" a="1"/>
  <c r="I182" i="52"/>
  <c r="I183" i="52" a="1"/>
  <c r="I184" i="52" a="1"/>
  <c r="I185" i="52" a="1"/>
  <c r="I186" i="52" a="1"/>
  <c r="I187" i="52" a="1"/>
  <c r="I188" i="52" a="1"/>
  <c r="I189" i="52" a="1"/>
  <c r="I190" i="52" a="1"/>
  <c r="I191" i="52" a="1"/>
  <c r="I192" i="52" a="1"/>
  <c r="I193" i="52" a="1"/>
  <c r="I194" i="52" a="1"/>
  <c r="I195" i="52" a="1"/>
  <c r="I196" i="52" a="1"/>
  <c r="I197" i="52" a="1"/>
  <c r="I198" i="52" a="1"/>
  <c r="I183" i="52"/>
  <c r="I184" i="52"/>
  <c r="I185" i="52"/>
  <c r="I186" i="52"/>
  <c r="I187" i="52"/>
  <c r="I188" i="52"/>
  <c r="I189" i="52"/>
  <c r="I190" i="52"/>
  <c r="I191" i="52"/>
  <c r="I192" i="52"/>
  <c r="I193" i="52"/>
  <c r="I194" i="52"/>
  <c r="I195" i="52"/>
  <c r="I196" i="52"/>
  <c r="I197" i="52"/>
  <c r="I198" i="52"/>
  <c r="I180" i="52"/>
  <c r="I201" i="52" a="1"/>
  <c r="I201" i="52"/>
  <c r="I202" i="52" a="1"/>
  <c r="I202" i="52"/>
  <c r="I203" i="52" a="1"/>
  <c r="I204" i="52" a="1"/>
  <c r="I205" i="52" a="1"/>
  <c r="I206" i="52" a="1"/>
  <c r="I207" i="52" a="1"/>
  <c r="I208" i="52" a="1"/>
  <c r="I209" i="52" a="1"/>
  <c r="I210" i="52" a="1"/>
  <c r="I211" i="52" a="1"/>
  <c r="I212" i="52" a="1"/>
  <c r="I213" i="52" a="1"/>
  <c r="I214" i="52" a="1"/>
  <c r="I215" i="52" a="1"/>
  <c r="I216" i="52" a="1"/>
  <c r="I217" i="52" a="1"/>
  <c r="I218" i="52" a="1"/>
  <c r="I219" i="52" a="1"/>
  <c r="I220" i="52" a="1"/>
  <c r="I221" i="52" a="1"/>
  <c r="I222" i="52" a="1"/>
  <c r="I223" i="52" a="1"/>
  <c r="I224" i="52" a="1"/>
  <c r="I203" i="52"/>
  <c r="I204" i="52"/>
  <c r="I205" i="52"/>
  <c r="I206" i="52"/>
  <c r="I207" i="52"/>
  <c r="I208" i="52"/>
  <c r="I209" i="52"/>
  <c r="I210" i="52"/>
  <c r="I211" i="52"/>
  <c r="I212" i="52"/>
  <c r="I213" i="52"/>
  <c r="I214" i="52"/>
  <c r="I215" i="52"/>
  <c r="I216" i="52"/>
  <c r="I217" i="52"/>
  <c r="I218" i="52"/>
  <c r="I219" i="52"/>
  <c r="I220" i="52"/>
  <c r="I221" i="52"/>
  <c r="I222" i="52"/>
  <c r="I223" i="52"/>
  <c r="I224" i="52"/>
  <c r="I200" i="52"/>
  <c r="I227" i="52" a="1"/>
  <c r="I227" i="52"/>
  <c r="I228" i="52" a="1"/>
  <c r="I228" i="52"/>
  <c r="I229" i="52" a="1"/>
  <c r="I230" i="52" a="1"/>
  <c r="I231" i="52" a="1"/>
  <c r="I232" i="52" a="1"/>
  <c r="I233" i="52" a="1"/>
  <c r="I234" i="52" a="1"/>
  <c r="I235" i="52" a="1"/>
  <c r="I236" i="52" a="1"/>
  <c r="I237" i="52" a="1"/>
  <c r="I238" i="52" a="1"/>
  <c r="I239" i="52" a="1"/>
  <c r="I240" i="52" a="1"/>
  <c r="I241" i="52" a="1"/>
  <c r="I242" i="52" a="1"/>
  <c r="I243" i="52" a="1"/>
  <c r="I244" i="52" a="1"/>
  <c r="I229" i="52"/>
  <c r="I230" i="52"/>
  <c r="I231" i="52"/>
  <c r="I232" i="52"/>
  <c r="I233" i="52"/>
  <c r="I234" i="52"/>
  <c r="I235" i="52"/>
  <c r="I236" i="52"/>
  <c r="I237" i="52"/>
  <c r="I238" i="52"/>
  <c r="I239" i="52"/>
  <c r="I240" i="52"/>
  <c r="I241" i="52"/>
  <c r="I242" i="52"/>
  <c r="I243" i="52"/>
  <c r="I244" i="52"/>
  <c r="I226" i="52"/>
  <c r="I247" i="52" a="1"/>
  <c r="I247" i="52"/>
  <c r="I248" i="52" a="1"/>
  <c r="I248" i="52"/>
  <c r="I249" i="52" a="1"/>
  <c r="I250" i="52" a="1"/>
  <c r="I251" i="52" a="1"/>
  <c r="I252" i="52" a="1"/>
  <c r="I249" i="52"/>
  <c r="I250" i="52"/>
  <c r="I251" i="52"/>
  <c r="I252" i="52"/>
  <c r="I246" i="52"/>
  <c r="I255" i="52" a="1"/>
  <c r="I255" i="52"/>
  <c r="I256" i="52" a="1"/>
  <c r="I256" i="52"/>
  <c r="I257" i="52" a="1"/>
  <c r="I258" i="52" a="1"/>
  <c r="I259" i="52" a="1"/>
  <c r="I260" i="52" a="1"/>
  <c r="I257" i="52"/>
  <c r="I258" i="52"/>
  <c r="I259" i="52"/>
  <c r="I260" i="52"/>
  <c r="I254" i="52"/>
  <c r="I158" i="52"/>
  <c r="K161" i="52" a="1"/>
  <c r="K161" i="52"/>
  <c r="K162" i="52" a="1"/>
  <c r="K162" i="52"/>
  <c r="K163" i="52" a="1"/>
  <c r="K164" i="52" a="1"/>
  <c r="K165" i="52" a="1"/>
  <c r="K166" i="52" a="1"/>
  <c r="K167" i="52" a="1"/>
  <c r="K168" i="52" a="1"/>
  <c r="K169" i="52" a="1"/>
  <c r="K170" i="52" a="1"/>
  <c r="K171" i="52" a="1"/>
  <c r="K172" i="52" a="1"/>
  <c r="K173" i="52" a="1"/>
  <c r="K174" i="52" a="1"/>
  <c r="K175" i="52" a="1"/>
  <c r="K176" i="52" a="1"/>
  <c r="K177" i="52" a="1"/>
  <c r="K178" i="52" a="1"/>
  <c r="K163" i="52"/>
  <c r="K164" i="52"/>
  <c r="K165" i="52"/>
  <c r="K166" i="52"/>
  <c r="K167" i="52"/>
  <c r="K168" i="52"/>
  <c r="K169" i="52"/>
  <c r="K170" i="52"/>
  <c r="K171" i="52"/>
  <c r="K172" i="52"/>
  <c r="K173" i="52"/>
  <c r="K174" i="52"/>
  <c r="K175" i="52"/>
  <c r="K176" i="52"/>
  <c r="K177" i="52"/>
  <c r="K178" i="52"/>
  <c r="K160" i="52"/>
  <c r="K181" i="52" a="1"/>
  <c r="K181" i="52"/>
  <c r="K182" i="52" a="1"/>
  <c r="K182" i="52"/>
  <c r="K183" i="52" a="1"/>
  <c r="K184" i="52" a="1"/>
  <c r="K185" i="52" a="1"/>
  <c r="K186" i="52" a="1"/>
  <c r="K187" i="52" a="1"/>
  <c r="K188" i="52" a="1"/>
  <c r="K189" i="52" a="1"/>
  <c r="K190" i="52" a="1"/>
  <c r="K191" i="52" a="1"/>
  <c r="K192" i="52" a="1"/>
  <c r="K193" i="52" a="1"/>
  <c r="K194" i="52" a="1"/>
  <c r="K195" i="52" a="1"/>
  <c r="K196" i="52" a="1"/>
  <c r="K197" i="52" a="1"/>
  <c r="K198" i="52" a="1"/>
  <c r="K183" i="52"/>
  <c r="K184" i="52"/>
  <c r="K185" i="52"/>
  <c r="K186" i="52"/>
  <c r="K187" i="52"/>
  <c r="K188" i="52"/>
  <c r="K189" i="52"/>
  <c r="K190" i="52"/>
  <c r="K191" i="52"/>
  <c r="K192" i="52"/>
  <c r="K193" i="52"/>
  <c r="K194" i="52"/>
  <c r="K195" i="52"/>
  <c r="K196" i="52"/>
  <c r="K197" i="52"/>
  <c r="K198" i="52"/>
  <c r="K180" i="52"/>
  <c r="K201" i="52" a="1"/>
  <c r="K201" i="52"/>
  <c r="K202" i="52" a="1"/>
  <c r="K202" i="52"/>
  <c r="K203" i="52" a="1"/>
  <c r="K204" i="52" a="1"/>
  <c r="K205" i="52" a="1"/>
  <c r="K206" i="52" a="1"/>
  <c r="K207" i="52" a="1"/>
  <c r="K208" i="52" a="1"/>
  <c r="K209" i="52" a="1"/>
  <c r="K210" i="52" a="1"/>
  <c r="K211" i="52" a="1"/>
  <c r="K212" i="52" a="1"/>
  <c r="K213" i="52" a="1"/>
  <c r="K214" i="52" a="1"/>
  <c r="K215" i="52" a="1"/>
  <c r="K216" i="52" a="1"/>
  <c r="K217" i="52" a="1"/>
  <c r="K218" i="52" a="1"/>
  <c r="K219" i="52" a="1"/>
  <c r="K220" i="52" a="1"/>
  <c r="K221" i="52" a="1"/>
  <c r="K222" i="52" a="1"/>
  <c r="K223" i="52" a="1"/>
  <c r="K224" i="52" a="1"/>
  <c r="K203" i="52"/>
  <c r="K204" i="52"/>
  <c r="K205" i="52"/>
  <c r="K206" i="52"/>
  <c r="K207" i="52"/>
  <c r="K208" i="52"/>
  <c r="K209" i="52"/>
  <c r="K210" i="52"/>
  <c r="K211" i="52"/>
  <c r="K212" i="52"/>
  <c r="K213" i="52"/>
  <c r="K214" i="52"/>
  <c r="K215" i="52"/>
  <c r="K216" i="52"/>
  <c r="K217" i="52"/>
  <c r="K218" i="52"/>
  <c r="K219" i="52"/>
  <c r="K220" i="52"/>
  <c r="K221" i="52"/>
  <c r="K222" i="52"/>
  <c r="K223" i="52"/>
  <c r="K224" i="52"/>
  <c r="K200" i="52"/>
  <c r="K227" i="52" a="1"/>
  <c r="K227" i="52"/>
  <c r="K228" i="52" a="1"/>
  <c r="K228" i="52"/>
  <c r="K229" i="52" a="1"/>
  <c r="K230" i="52" a="1"/>
  <c r="K231" i="52" a="1"/>
  <c r="K232" i="52" a="1"/>
  <c r="K233" i="52" a="1"/>
  <c r="K234" i="52" a="1"/>
  <c r="K235" i="52" a="1"/>
  <c r="K236" i="52" a="1"/>
  <c r="K237" i="52" a="1"/>
  <c r="K238" i="52" a="1"/>
  <c r="K239" i="52" a="1"/>
  <c r="K240" i="52" a="1"/>
  <c r="K241" i="52" a="1"/>
  <c r="K242" i="52" a="1"/>
  <c r="K243" i="52" a="1"/>
  <c r="K244" i="52" a="1"/>
  <c r="K229" i="52"/>
  <c r="K230" i="52"/>
  <c r="K231" i="52"/>
  <c r="K232" i="52"/>
  <c r="K233" i="52"/>
  <c r="K234" i="52"/>
  <c r="K235" i="52"/>
  <c r="K236" i="52"/>
  <c r="K237" i="52"/>
  <c r="K238" i="52"/>
  <c r="K239" i="52"/>
  <c r="K240" i="52"/>
  <c r="K241" i="52"/>
  <c r="K242" i="52"/>
  <c r="K243" i="52"/>
  <c r="K244" i="52"/>
  <c r="K226" i="52"/>
  <c r="K247" i="52" a="1"/>
  <c r="K247" i="52"/>
  <c r="K248" i="52" a="1"/>
  <c r="K248" i="52"/>
  <c r="K249" i="52" a="1"/>
  <c r="K250" i="52" a="1"/>
  <c r="K251" i="52" a="1"/>
  <c r="K252" i="52" a="1"/>
  <c r="K249" i="52"/>
  <c r="K250" i="52"/>
  <c r="K251" i="52"/>
  <c r="K252" i="52"/>
  <c r="K246" i="52"/>
  <c r="K255" i="52" a="1"/>
  <c r="K255" i="52"/>
  <c r="K256" i="52" a="1"/>
  <c r="K256" i="52"/>
  <c r="K257" i="52" a="1"/>
  <c r="K258" i="52" a="1"/>
  <c r="K259" i="52" a="1"/>
  <c r="K260" i="52" a="1"/>
  <c r="K257" i="52"/>
  <c r="K258" i="52"/>
  <c r="K259" i="52"/>
  <c r="K260" i="52"/>
  <c r="K254" i="52"/>
  <c r="K158" i="52"/>
  <c r="L161" i="52" a="1"/>
  <c r="L161" i="52"/>
  <c r="L162" i="52" a="1"/>
  <c r="L162" i="52"/>
  <c r="L163" i="52" a="1"/>
  <c r="L164" i="52" a="1"/>
  <c r="L165" i="52" a="1"/>
  <c r="L166" i="52" a="1"/>
  <c r="L167" i="52" a="1"/>
  <c r="L168" i="52" a="1"/>
  <c r="L169" i="52" a="1"/>
  <c r="L170" i="52" a="1"/>
  <c r="L171" i="52" a="1"/>
  <c r="L172" i="52" a="1"/>
  <c r="L173" i="52" a="1"/>
  <c r="L174" i="52" a="1"/>
  <c r="L175" i="52" a="1"/>
  <c r="L176" i="52" a="1"/>
  <c r="L177" i="52" a="1"/>
  <c r="L178" i="52" a="1"/>
  <c r="L163" i="52"/>
  <c r="L164" i="52"/>
  <c r="L165" i="52"/>
  <c r="L166" i="52"/>
  <c r="L167" i="52"/>
  <c r="L168" i="52"/>
  <c r="L169" i="52"/>
  <c r="L170" i="52"/>
  <c r="L171" i="52"/>
  <c r="L172" i="52"/>
  <c r="L173" i="52"/>
  <c r="L174" i="52"/>
  <c r="L175" i="52"/>
  <c r="L176" i="52"/>
  <c r="L177" i="52"/>
  <c r="L178" i="52"/>
  <c r="L160" i="52"/>
  <c r="L181" i="52" a="1"/>
  <c r="L181" i="52"/>
  <c r="L182" i="52" a="1"/>
  <c r="L182" i="52"/>
  <c r="L183" i="52" a="1"/>
  <c r="L184" i="52" a="1"/>
  <c r="L185" i="52" a="1"/>
  <c r="L186" i="52" a="1"/>
  <c r="L187" i="52" a="1"/>
  <c r="L188" i="52" a="1"/>
  <c r="L189" i="52" a="1"/>
  <c r="L190" i="52" a="1"/>
  <c r="L191" i="52" a="1"/>
  <c r="L192" i="52" a="1"/>
  <c r="L193" i="52" a="1"/>
  <c r="L194" i="52" a="1"/>
  <c r="L195" i="52" a="1"/>
  <c r="L196" i="52" a="1"/>
  <c r="L197" i="52" a="1"/>
  <c r="L198" i="52" a="1"/>
  <c r="L183" i="52"/>
  <c r="L184" i="52"/>
  <c r="L185" i="52"/>
  <c r="L186" i="52"/>
  <c r="L187" i="52"/>
  <c r="L188" i="52"/>
  <c r="L189" i="52"/>
  <c r="L190" i="52"/>
  <c r="L191" i="52"/>
  <c r="L192" i="52"/>
  <c r="L193" i="52"/>
  <c r="L194" i="52"/>
  <c r="L195" i="52"/>
  <c r="L196" i="52"/>
  <c r="L197" i="52"/>
  <c r="L198" i="52"/>
  <c r="L180" i="52"/>
  <c r="L201" i="52" a="1"/>
  <c r="L201" i="52"/>
  <c r="L202" i="52" a="1"/>
  <c r="L202" i="52"/>
  <c r="L203" i="52" a="1"/>
  <c r="L204" i="52" a="1"/>
  <c r="L205" i="52" a="1"/>
  <c r="L206" i="52" a="1"/>
  <c r="L207" i="52" a="1"/>
  <c r="L208" i="52" a="1"/>
  <c r="L209" i="52" a="1"/>
  <c r="L210" i="52" a="1"/>
  <c r="L211" i="52" a="1"/>
  <c r="L212" i="52" a="1"/>
  <c r="L213" i="52" a="1"/>
  <c r="L214" i="52" a="1"/>
  <c r="L215" i="52" a="1"/>
  <c r="L216" i="52" a="1"/>
  <c r="L217" i="52" a="1"/>
  <c r="L218" i="52" a="1"/>
  <c r="L219" i="52" a="1"/>
  <c r="L220" i="52" a="1"/>
  <c r="L221" i="52" a="1"/>
  <c r="L222" i="52" a="1"/>
  <c r="L223" i="52" a="1"/>
  <c r="L224" i="52" a="1"/>
  <c r="L203" i="52"/>
  <c r="L204" i="52"/>
  <c r="L205" i="52"/>
  <c r="L206" i="52"/>
  <c r="L207" i="52"/>
  <c r="L208" i="52"/>
  <c r="L209" i="52"/>
  <c r="L210" i="52"/>
  <c r="L211" i="52"/>
  <c r="L212" i="52"/>
  <c r="L213" i="52"/>
  <c r="L214" i="52"/>
  <c r="L215" i="52"/>
  <c r="L216" i="52"/>
  <c r="L217" i="52"/>
  <c r="L218" i="52"/>
  <c r="L219" i="52"/>
  <c r="L220" i="52"/>
  <c r="L221" i="52"/>
  <c r="L222" i="52"/>
  <c r="L223" i="52"/>
  <c r="L224" i="52"/>
  <c r="L200" i="52"/>
  <c r="L227" i="52" a="1"/>
  <c r="L227" i="52"/>
  <c r="L228" i="52" a="1"/>
  <c r="L228" i="52"/>
  <c r="L229" i="52" a="1"/>
  <c r="L230" i="52" a="1"/>
  <c r="L231" i="52" a="1"/>
  <c r="L232" i="52" a="1"/>
  <c r="L233" i="52" a="1"/>
  <c r="L234" i="52" a="1"/>
  <c r="L235" i="52" a="1"/>
  <c r="L236" i="52" a="1"/>
  <c r="L237" i="52" a="1"/>
  <c r="L238" i="52" a="1"/>
  <c r="L239" i="52" a="1"/>
  <c r="L240" i="52" a="1"/>
  <c r="L241" i="52" a="1"/>
  <c r="L242" i="52" a="1"/>
  <c r="L243" i="52" a="1"/>
  <c r="L244" i="52" a="1"/>
  <c r="L229" i="52"/>
  <c r="L230" i="52"/>
  <c r="L231" i="52"/>
  <c r="L232" i="52"/>
  <c r="L233" i="52"/>
  <c r="L234" i="52"/>
  <c r="L235" i="52"/>
  <c r="L236" i="52"/>
  <c r="L237" i="52"/>
  <c r="L238" i="52"/>
  <c r="L239" i="52"/>
  <c r="L240" i="52"/>
  <c r="L241" i="52"/>
  <c r="L242" i="52"/>
  <c r="L243" i="52"/>
  <c r="L244" i="52"/>
  <c r="L226" i="52"/>
  <c r="L247" i="52" a="1"/>
  <c r="L247" i="52"/>
  <c r="L248" i="52" a="1"/>
  <c r="L248" i="52"/>
  <c r="L249" i="52" a="1"/>
  <c r="L250" i="52" a="1"/>
  <c r="L251" i="52" a="1"/>
  <c r="L252" i="52" a="1"/>
  <c r="L249" i="52"/>
  <c r="L250" i="52"/>
  <c r="L251" i="52"/>
  <c r="L252" i="52"/>
  <c r="L246" i="52"/>
  <c r="L255" i="52" a="1"/>
  <c r="L255" i="52"/>
  <c r="L256" i="52" a="1"/>
  <c r="L256" i="52"/>
  <c r="L257" i="52" a="1"/>
  <c r="L258" i="52" a="1"/>
  <c r="L259" i="52" a="1"/>
  <c r="L260" i="52" a="1"/>
  <c r="L257" i="52"/>
  <c r="L258" i="52"/>
  <c r="L259" i="52"/>
  <c r="L260" i="52"/>
  <c r="L254" i="52"/>
  <c r="L158" i="52"/>
  <c r="M161" i="52" a="1"/>
  <c r="M161" i="52"/>
  <c r="M162" i="52" a="1"/>
  <c r="M162" i="52"/>
  <c r="M163" i="52" a="1"/>
  <c r="M164" i="52" a="1"/>
  <c r="M165" i="52" a="1"/>
  <c r="M166" i="52" a="1"/>
  <c r="M167" i="52" a="1"/>
  <c r="M168" i="52" a="1"/>
  <c r="M169" i="52" a="1"/>
  <c r="M170" i="52" a="1"/>
  <c r="M171" i="52" a="1"/>
  <c r="M172" i="52" a="1"/>
  <c r="M173" i="52" a="1"/>
  <c r="M174" i="52" a="1"/>
  <c r="M175" i="52" a="1"/>
  <c r="M176" i="52" a="1"/>
  <c r="M177" i="52" a="1"/>
  <c r="M178" i="52" a="1"/>
  <c r="M163" i="52"/>
  <c r="M164" i="52"/>
  <c r="M165" i="52"/>
  <c r="M166" i="52"/>
  <c r="M167" i="52"/>
  <c r="M168" i="52"/>
  <c r="M169" i="52"/>
  <c r="M170" i="52"/>
  <c r="M171" i="52"/>
  <c r="M172" i="52"/>
  <c r="M173" i="52"/>
  <c r="M174" i="52"/>
  <c r="M175" i="52"/>
  <c r="M176" i="52"/>
  <c r="M177" i="52"/>
  <c r="M178" i="52"/>
  <c r="M160" i="52"/>
  <c r="M181" i="52" a="1"/>
  <c r="M181" i="52"/>
  <c r="M182" i="52" a="1"/>
  <c r="M182" i="52"/>
  <c r="M183" i="52" a="1"/>
  <c r="M184" i="52" a="1"/>
  <c r="M185" i="52" a="1"/>
  <c r="M186" i="52" a="1"/>
  <c r="M187" i="52" a="1"/>
  <c r="M188" i="52" a="1"/>
  <c r="M189" i="52" a="1"/>
  <c r="M190" i="52" a="1"/>
  <c r="M191" i="52" a="1"/>
  <c r="M192" i="52" a="1"/>
  <c r="M193" i="52" a="1"/>
  <c r="M194" i="52" a="1"/>
  <c r="M195" i="52" a="1"/>
  <c r="M196" i="52" a="1"/>
  <c r="M197" i="52" a="1"/>
  <c r="M198" i="52" a="1"/>
  <c r="M183" i="52"/>
  <c r="M184" i="52"/>
  <c r="M185" i="52"/>
  <c r="M186" i="52"/>
  <c r="M187" i="52"/>
  <c r="M188" i="52"/>
  <c r="M189" i="52"/>
  <c r="M190" i="52"/>
  <c r="M191" i="52"/>
  <c r="M192" i="52"/>
  <c r="M193" i="52"/>
  <c r="M194" i="52"/>
  <c r="M195" i="52"/>
  <c r="M196" i="52"/>
  <c r="M197" i="52"/>
  <c r="M198" i="52"/>
  <c r="M180" i="52"/>
  <c r="M201" i="52" a="1"/>
  <c r="M201" i="52"/>
  <c r="M202" i="52" a="1"/>
  <c r="M202" i="52"/>
  <c r="M203" i="52" a="1"/>
  <c r="M204" i="52" a="1"/>
  <c r="M205" i="52" a="1"/>
  <c r="M206" i="52" a="1"/>
  <c r="M207" i="52" a="1"/>
  <c r="M208" i="52" a="1"/>
  <c r="M209" i="52" a="1"/>
  <c r="M210" i="52" a="1"/>
  <c r="M211" i="52" a="1"/>
  <c r="M212" i="52" a="1"/>
  <c r="M213" i="52" a="1"/>
  <c r="M214" i="52" a="1"/>
  <c r="M215" i="52" a="1"/>
  <c r="M216" i="52" a="1"/>
  <c r="M217" i="52" a="1"/>
  <c r="M218" i="52" a="1"/>
  <c r="M219" i="52" a="1"/>
  <c r="M220" i="52" a="1"/>
  <c r="M221" i="52" a="1"/>
  <c r="M222" i="52" a="1"/>
  <c r="M223" i="52" a="1"/>
  <c r="M224" i="52" a="1"/>
  <c r="M203" i="52"/>
  <c r="M204" i="52"/>
  <c r="M205" i="52"/>
  <c r="M206" i="52"/>
  <c r="M207" i="52"/>
  <c r="M208" i="52"/>
  <c r="M209" i="52"/>
  <c r="M210" i="52"/>
  <c r="M211" i="52"/>
  <c r="M212" i="52"/>
  <c r="M213" i="52"/>
  <c r="M214" i="52"/>
  <c r="M215" i="52"/>
  <c r="M216" i="52"/>
  <c r="M217" i="52"/>
  <c r="M218" i="52"/>
  <c r="M219" i="52"/>
  <c r="M220" i="52"/>
  <c r="M221" i="52"/>
  <c r="M222" i="52"/>
  <c r="M223" i="52"/>
  <c r="M224" i="52"/>
  <c r="M200" i="52"/>
  <c r="M227" i="52" a="1"/>
  <c r="M227" i="52"/>
  <c r="M228" i="52" a="1"/>
  <c r="M228" i="52"/>
  <c r="M229" i="52" a="1"/>
  <c r="M230" i="52" a="1"/>
  <c r="M231" i="52" a="1"/>
  <c r="M232" i="52" a="1"/>
  <c r="M233" i="52" a="1"/>
  <c r="M234" i="52" a="1"/>
  <c r="M235" i="52" a="1"/>
  <c r="M236" i="52" a="1"/>
  <c r="M237" i="52" a="1"/>
  <c r="M238" i="52" a="1"/>
  <c r="M239" i="52" a="1"/>
  <c r="M240" i="52" a="1"/>
  <c r="M241" i="52" a="1"/>
  <c r="M242" i="52" a="1"/>
  <c r="M243" i="52" a="1"/>
  <c r="M244" i="52" a="1"/>
  <c r="M229" i="52"/>
  <c r="M230" i="52"/>
  <c r="M231" i="52"/>
  <c r="M232" i="52"/>
  <c r="M233" i="52"/>
  <c r="M234" i="52"/>
  <c r="M235" i="52"/>
  <c r="M236" i="52"/>
  <c r="M237" i="52"/>
  <c r="M238" i="52"/>
  <c r="M239" i="52"/>
  <c r="M240" i="52"/>
  <c r="M241" i="52"/>
  <c r="M242" i="52"/>
  <c r="M243" i="52"/>
  <c r="M244" i="52"/>
  <c r="M226" i="52"/>
  <c r="M247" i="52" a="1"/>
  <c r="M247" i="52"/>
  <c r="M248" i="52" a="1"/>
  <c r="M248" i="52"/>
  <c r="M249" i="52" a="1"/>
  <c r="M250" i="52" a="1"/>
  <c r="M251" i="52" a="1"/>
  <c r="M252" i="52" a="1"/>
  <c r="M249" i="52"/>
  <c r="M250" i="52"/>
  <c r="M251" i="52"/>
  <c r="M252" i="52"/>
  <c r="M246" i="52"/>
  <c r="M255" i="52" a="1"/>
  <c r="M255" i="52"/>
  <c r="M256" i="52" a="1"/>
  <c r="M256" i="52"/>
  <c r="M257" i="52" a="1"/>
  <c r="M258" i="52" a="1"/>
  <c r="M259" i="52" a="1"/>
  <c r="M260" i="52" a="1"/>
  <c r="M257" i="52"/>
  <c r="M258" i="52"/>
  <c r="M259" i="52"/>
  <c r="M260" i="52"/>
  <c r="M254" i="52"/>
  <c r="M158" i="52"/>
  <c r="N161" i="52" a="1"/>
  <c r="N161" i="52"/>
  <c r="N162" i="52" a="1"/>
  <c r="N162" i="52"/>
  <c r="N163" i="52" a="1"/>
  <c r="N164" i="52" a="1"/>
  <c r="N165" i="52" a="1"/>
  <c r="N166" i="52" a="1"/>
  <c r="N167" i="52" a="1"/>
  <c r="N168" i="52" a="1"/>
  <c r="N169" i="52" a="1"/>
  <c r="N170" i="52" a="1"/>
  <c r="N171" i="52" a="1"/>
  <c r="N172" i="52" a="1"/>
  <c r="N173" i="52" a="1"/>
  <c r="N174" i="52" a="1"/>
  <c r="N175" i="52" a="1"/>
  <c r="N176" i="52" a="1"/>
  <c r="N177" i="52" a="1"/>
  <c r="N178" i="52" a="1"/>
  <c r="N163" i="52"/>
  <c r="N164" i="52"/>
  <c r="N165" i="52"/>
  <c r="N166" i="52"/>
  <c r="N167" i="52"/>
  <c r="N168" i="52"/>
  <c r="N169" i="52"/>
  <c r="N170" i="52"/>
  <c r="N171" i="52"/>
  <c r="N172" i="52"/>
  <c r="N173" i="52"/>
  <c r="N174" i="52"/>
  <c r="N175" i="52"/>
  <c r="N176" i="52"/>
  <c r="N177" i="52"/>
  <c r="N178" i="52"/>
  <c r="N160" i="52"/>
  <c r="N181" i="52" a="1"/>
  <c r="N181" i="52"/>
  <c r="N182" i="52" a="1"/>
  <c r="N182" i="52"/>
  <c r="N183" i="52" a="1"/>
  <c r="N184" i="52" a="1"/>
  <c r="N185" i="52" a="1"/>
  <c r="N186" i="52" a="1"/>
  <c r="N187" i="52" a="1"/>
  <c r="N188" i="52" a="1"/>
  <c r="N189" i="52" a="1"/>
  <c r="N190" i="52" a="1"/>
  <c r="N191" i="52" a="1"/>
  <c r="N192" i="52" a="1"/>
  <c r="N193" i="52" a="1"/>
  <c r="N194" i="52" a="1"/>
  <c r="N195" i="52" a="1"/>
  <c r="N196" i="52" a="1"/>
  <c r="N197" i="52" a="1"/>
  <c r="N198" i="52" a="1"/>
  <c r="N183" i="52"/>
  <c r="N184" i="52"/>
  <c r="N185" i="52"/>
  <c r="N186" i="52"/>
  <c r="N187" i="52"/>
  <c r="N188" i="52"/>
  <c r="N189" i="52"/>
  <c r="N190" i="52"/>
  <c r="N191" i="52"/>
  <c r="N192" i="52"/>
  <c r="N193" i="52"/>
  <c r="N194" i="52"/>
  <c r="N195" i="52"/>
  <c r="N196" i="52"/>
  <c r="N197" i="52"/>
  <c r="N198" i="52"/>
  <c r="N180" i="52"/>
  <c r="N201" i="52" a="1"/>
  <c r="N201" i="52"/>
  <c r="N202" i="52" a="1"/>
  <c r="N202" i="52"/>
  <c r="N203" i="52" a="1"/>
  <c r="N204" i="52" a="1"/>
  <c r="N205" i="52" a="1"/>
  <c r="N206" i="52" a="1"/>
  <c r="N207" i="52" a="1"/>
  <c r="N208" i="52" a="1"/>
  <c r="N209" i="52" a="1"/>
  <c r="N210" i="52" a="1"/>
  <c r="N211" i="52" a="1"/>
  <c r="N212" i="52" a="1"/>
  <c r="N213" i="52" a="1"/>
  <c r="N214" i="52" a="1"/>
  <c r="N215" i="52" a="1"/>
  <c r="N216" i="52" a="1"/>
  <c r="N217" i="52" a="1"/>
  <c r="N218" i="52" a="1"/>
  <c r="N219" i="52" a="1"/>
  <c r="N220" i="52" a="1"/>
  <c r="N221" i="52" a="1"/>
  <c r="N222" i="52" a="1"/>
  <c r="N223" i="52" a="1"/>
  <c r="N224" i="52" a="1"/>
  <c r="N203" i="52"/>
  <c r="N204" i="52"/>
  <c r="N205" i="52"/>
  <c r="N206" i="52"/>
  <c r="N207" i="52"/>
  <c r="N208" i="52"/>
  <c r="N209" i="52"/>
  <c r="N210" i="52"/>
  <c r="N211" i="52"/>
  <c r="N212" i="52"/>
  <c r="N213" i="52"/>
  <c r="N214" i="52"/>
  <c r="N215" i="52"/>
  <c r="N216" i="52"/>
  <c r="N217" i="52"/>
  <c r="N218" i="52"/>
  <c r="N219" i="52"/>
  <c r="N220" i="52"/>
  <c r="N221" i="52"/>
  <c r="N222" i="52"/>
  <c r="N223" i="52"/>
  <c r="N224" i="52"/>
  <c r="N200" i="52"/>
  <c r="N227" i="52" a="1"/>
  <c r="N227" i="52"/>
  <c r="N228" i="52" a="1"/>
  <c r="N228" i="52"/>
  <c r="N229" i="52" a="1"/>
  <c r="N230" i="52" a="1"/>
  <c r="N231" i="52" a="1"/>
  <c r="N232" i="52" a="1"/>
  <c r="N233" i="52" a="1"/>
  <c r="N234" i="52" a="1"/>
  <c r="N235" i="52" a="1"/>
  <c r="N236" i="52" a="1"/>
  <c r="N237" i="52" a="1"/>
  <c r="N238" i="52" a="1"/>
  <c r="N239" i="52" a="1"/>
  <c r="N240" i="52" a="1"/>
  <c r="N241" i="52" a="1"/>
  <c r="N242" i="52" a="1"/>
  <c r="N243" i="52" a="1"/>
  <c r="N244" i="52" a="1"/>
  <c r="N229" i="52"/>
  <c r="N230" i="52"/>
  <c r="N231" i="52"/>
  <c r="N232" i="52"/>
  <c r="N233" i="52"/>
  <c r="N234" i="52"/>
  <c r="N235" i="52"/>
  <c r="N236" i="52"/>
  <c r="N237" i="52"/>
  <c r="N238" i="52"/>
  <c r="N239" i="52"/>
  <c r="N240" i="52"/>
  <c r="N241" i="52"/>
  <c r="N242" i="52"/>
  <c r="N243" i="52"/>
  <c r="N244" i="52"/>
  <c r="N226" i="52"/>
  <c r="N247" i="52" a="1"/>
  <c r="N247" i="52"/>
  <c r="N248" i="52" a="1"/>
  <c r="N248" i="52"/>
  <c r="N249" i="52" a="1"/>
  <c r="N250" i="52" a="1"/>
  <c r="N251" i="52" a="1"/>
  <c r="N252" i="52" a="1"/>
  <c r="N249" i="52"/>
  <c r="N250" i="52"/>
  <c r="N251" i="52"/>
  <c r="N252" i="52"/>
  <c r="N246" i="52"/>
  <c r="N255" i="52" a="1"/>
  <c r="N255" i="52"/>
  <c r="N256" i="52" a="1"/>
  <c r="N256" i="52"/>
  <c r="N257" i="52" a="1"/>
  <c r="N258" i="52" a="1"/>
  <c r="N259" i="52" a="1"/>
  <c r="N260" i="52" a="1"/>
  <c r="N257" i="52"/>
  <c r="N258" i="52"/>
  <c r="N259" i="52"/>
  <c r="N260" i="52"/>
  <c r="N254" i="52"/>
  <c r="N158" i="52"/>
  <c r="O161" i="52" a="1"/>
  <c r="O161" i="52"/>
  <c r="O162" i="52" a="1"/>
  <c r="O162" i="52"/>
  <c r="O163" i="52" a="1"/>
  <c r="O164" i="52" a="1"/>
  <c r="O165" i="52" a="1"/>
  <c r="O166" i="52" a="1"/>
  <c r="O167" i="52" a="1"/>
  <c r="O168" i="52" a="1"/>
  <c r="O169" i="52" a="1"/>
  <c r="O170" i="52" a="1"/>
  <c r="O171" i="52" a="1"/>
  <c r="O172" i="52" a="1"/>
  <c r="O173" i="52" a="1"/>
  <c r="O174" i="52" a="1"/>
  <c r="O175" i="52" a="1"/>
  <c r="O176" i="52" a="1"/>
  <c r="O177" i="52" a="1"/>
  <c r="O178" i="52" a="1"/>
  <c r="O163" i="52"/>
  <c r="O164" i="52"/>
  <c r="O165" i="52"/>
  <c r="O166" i="52"/>
  <c r="O167" i="52"/>
  <c r="O168" i="52"/>
  <c r="O169" i="52"/>
  <c r="O170" i="52"/>
  <c r="O171" i="52"/>
  <c r="O172" i="52"/>
  <c r="O173" i="52"/>
  <c r="O174" i="52"/>
  <c r="O175" i="52"/>
  <c r="O176" i="52"/>
  <c r="O177" i="52"/>
  <c r="O178" i="52"/>
  <c r="O160" i="52"/>
  <c r="O181" i="52" a="1"/>
  <c r="O181" i="52"/>
  <c r="O182" i="52" a="1"/>
  <c r="O182" i="52"/>
  <c r="O183" i="52" a="1"/>
  <c r="O184" i="52" a="1"/>
  <c r="O185" i="52" a="1"/>
  <c r="O186" i="52" a="1"/>
  <c r="O187" i="52" a="1"/>
  <c r="O188" i="52" a="1"/>
  <c r="O189" i="52" a="1"/>
  <c r="O190" i="52" a="1"/>
  <c r="O191" i="52" a="1"/>
  <c r="O192" i="52" a="1"/>
  <c r="O193" i="52" a="1"/>
  <c r="O194" i="52" a="1"/>
  <c r="O195" i="52" a="1"/>
  <c r="O196" i="52" a="1"/>
  <c r="O197" i="52" a="1"/>
  <c r="O198" i="52" a="1"/>
  <c r="O183" i="52"/>
  <c r="O184" i="52"/>
  <c r="O185" i="52"/>
  <c r="O186" i="52"/>
  <c r="O187" i="52"/>
  <c r="O188" i="52"/>
  <c r="O189" i="52"/>
  <c r="O190" i="52"/>
  <c r="O191" i="52"/>
  <c r="O192" i="52"/>
  <c r="O193" i="52"/>
  <c r="O194" i="52"/>
  <c r="O195" i="52"/>
  <c r="O196" i="52"/>
  <c r="O197" i="52"/>
  <c r="O198" i="52"/>
  <c r="O180" i="52"/>
  <c r="O201" i="52" a="1"/>
  <c r="O201" i="52"/>
  <c r="O202" i="52" a="1"/>
  <c r="O202" i="52"/>
  <c r="O203" i="52" a="1"/>
  <c r="O204" i="52" a="1"/>
  <c r="O205" i="52" a="1"/>
  <c r="O206" i="52" a="1"/>
  <c r="O207" i="52" a="1"/>
  <c r="O208" i="52" a="1"/>
  <c r="O209" i="52" a="1"/>
  <c r="O210" i="52" a="1"/>
  <c r="O211" i="52" a="1"/>
  <c r="O212" i="52" a="1"/>
  <c r="O213" i="52" a="1"/>
  <c r="O214" i="52" a="1"/>
  <c r="O215" i="52" a="1"/>
  <c r="O216" i="52" a="1"/>
  <c r="O217" i="52" a="1"/>
  <c r="O218" i="52" a="1"/>
  <c r="O219" i="52" a="1"/>
  <c r="O220" i="52" a="1"/>
  <c r="O221" i="52" a="1"/>
  <c r="O222" i="52" a="1"/>
  <c r="O223" i="52" a="1"/>
  <c r="O224" i="52" a="1"/>
  <c r="O203" i="52"/>
  <c r="O204" i="52"/>
  <c r="O205" i="52"/>
  <c r="O206" i="52"/>
  <c r="O207" i="52"/>
  <c r="O208" i="52"/>
  <c r="O209" i="52"/>
  <c r="O210" i="52"/>
  <c r="O211" i="52"/>
  <c r="O212" i="52"/>
  <c r="O213" i="52"/>
  <c r="O214" i="52"/>
  <c r="O215" i="52"/>
  <c r="O216" i="52"/>
  <c r="O217" i="52"/>
  <c r="O218" i="52"/>
  <c r="O219" i="52"/>
  <c r="O220" i="52"/>
  <c r="O221" i="52"/>
  <c r="O222" i="52"/>
  <c r="O223" i="52"/>
  <c r="O224" i="52"/>
  <c r="O200" i="52"/>
  <c r="O227" i="52" a="1"/>
  <c r="O227" i="52"/>
  <c r="O228" i="52" a="1"/>
  <c r="O228" i="52"/>
  <c r="O229" i="52" a="1"/>
  <c r="O230" i="52" a="1"/>
  <c r="O231" i="52" a="1"/>
  <c r="O232" i="52" a="1"/>
  <c r="O233" i="52" a="1"/>
  <c r="O234" i="52" a="1"/>
  <c r="O235" i="52" a="1"/>
  <c r="O236" i="52" a="1"/>
  <c r="O237" i="52" a="1"/>
  <c r="O238" i="52" a="1"/>
  <c r="O239" i="52" a="1"/>
  <c r="O240" i="52" a="1"/>
  <c r="O241" i="52" a="1"/>
  <c r="O242" i="52" a="1"/>
  <c r="O243" i="52" a="1"/>
  <c r="O244" i="52" a="1"/>
  <c r="O229" i="52"/>
  <c r="O230" i="52"/>
  <c r="O231" i="52"/>
  <c r="O232" i="52"/>
  <c r="O233" i="52"/>
  <c r="O234" i="52"/>
  <c r="O235" i="52"/>
  <c r="O236" i="52"/>
  <c r="O237" i="52"/>
  <c r="O238" i="52"/>
  <c r="O239" i="52"/>
  <c r="O240" i="52"/>
  <c r="O241" i="52"/>
  <c r="O242" i="52"/>
  <c r="O243" i="52"/>
  <c r="O244" i="52"/>
  <c r="O226" i="52"/>
  <c r="O247" i="52" a="1"/>
  <c r="O247" i="52"/>
  <c r="O248" i="52" a="1"/>
  <c r="O248" i="52"/>
  <c r="O249" i="52" a="1"/>
  <c r="O250" i="52" a="1"/>
  <c r="O251" i="52" a="1"/>
  <c r="O252" i="52" a="1"/>
  <c r="O249" i="52"/>
  <c r="O250" i="52"/>
  <c r="O251" i="52"/>
  <c r="O252" i="52"/>
  <c r="O246" i="52"/>
  <c r="O255" i="52" a="1"/>
  <c r="O255" i="52"/>
  <c r="O256" i="52" a="1"/>
  <c r="O256" i="52"/>
  <c r="O257" i="52" a="1"/>
  <c r="O258" i="52" a="1"/>
  <c r="O259" i="52" a="1"/>
  <c r="O260" i="52" a="1"/>
  <c r="O257" i="52"/>
  <c r="O258" i="52"/>
  <c r="O259" i="52"/>
  <c r="O260" i="52"/>
  <c r="O254" i="52"/>
  <c r="O158" i="52"/>
  <c r="P161" i="52" a="1"/>
  <c r="P161" i="52"/>
  <c r="P162" i="52" a="1"/>
  <c r="P162" i="52"/>
  <c r="P163" i="52" a="1"/>
  <c r="P164" i="52" a="1"/>
  <c r="P165" i="52" a="1"/>
  <c r="P166" i="52" a="1"/>
  <c r="P167" i="52" a="1"/>
  <c r="P168" i="52" a="1"/>
  <c r="P169" i="52" a="1"/>
  <c r="P170" i="52" a="1"/>
  <c r="P171" i="52" a="1"/>
  <c r="P172" i="52" a="1"/>
  <c r="P173" i="52" a="1"/>
  <c r="P174" i="52" a="1"/>
  <c r="P175" i="52" a="1"/>
  <c r="P176" i="52" a="1"/>
  <c r="P177" i="52" a="1"/>
  <c r="P178" i="52" a="1"/>
  <c r="P163" i="52"/>
  <c r="P164" i="52"/>
  <c r="P165" i="52"/>
  <c r="P166" i="52"/>
  <c r="P167" i="52"/>
  <c r="P168" i="52"/>
  <c r="P169" i="52"/>
  <c r="P170" i="52"/>
  <c r="P171" i="52"/>
  <c r="P172" i="52"/>
  <c r="P173" i="52"/>
  <c r="P174" i="52"/>
  <c r="P175" i="52"/>
  <c r="P176" i="52"/>
  <c r="P177" i="52"/>
  <c r="P178" i="52"/>
  <c r="P160" i="52"/>
  <c r="P181" i="52" a="1"/>
  <c r="P181" i="52"/>
  <c r="P182" i="52" a="1"/>
  <c r="P182" i="52"/>
  <c r="P183" i="52" a="1"/>
  <c r="P184" i="52" a="1"/>
  <c r="P185" i="52" a="1"/>
  <c r="P186" i="52" a="1"/>
  <c r="P187" i="52" a="1"/>
  <c r="P188" i="52" a="1"/>
  <c r="P189" i="52" a="1"/>
  <c r="P190" i="52" a="1"/>
  <c r="P191" i="52" a="1"/>
  <c r="P192" i="52" a="1"/>
  <c r="P193" i="52" a="1"/>
  <c r="P194" i="52" a="1"/>
  <c r="P195" i="52" a="1"/>
  <c r="P196" i="52" a="1"/>
  <c r="P197" i="52" a="1"/>
  <c r="P198" i="52" a="1"/>
  <c r="P183" i="52"/>
  <c r="P184" i="52"/>
  <c r="P185" i="52"/>
  <c r="P186" i="52"/>
  <c r="P187" i="52"/>
  <c r="P188" i="52"/>
  <c r="P189" i="52"/>
  <c r="P190" i="52"/>
  <c r="P191" i="52"/>
  <c r="P192" i="52"/>
  <c r="P193" i="52"/>
  <c r="P194" i="52"/>
  <c r="P195" i="52"/>
  <c r="P196" i="52"/>
  <c r="P197" i="52"/>
  <c r="P198" i="52"/>
  <c r="P180" i="52"/>
  <c r="P201" i="52" a="1"/>
  <c r="P201" i="52"/>
  <c r="P202" i="52" a="1"/>
  <c r="P202" i="52"/>
  <c r="P203" i="52" a="1"/>
  <c r="P204" i="52" a="1"/>
  <c r="P205" i="52" a="1"/>
  <c r="P206" i="52" a="1"/>
  <c r="P207" i="52" a="1"/>
  <c r="P208" i="52" a="1"/>
  <c r="P209" i="52" a="1"/>
  <c r="P210" i="52" a="1"/>
  <c r="P211" i="52" a="1"/>
  <c r="P212" i="52" a="1"/>
  <c r="P213" i="52" a="1"/>
  <c r="P214" i="52" a="1"/>
  <c r="P215" i="52" a="1"/>
  <c r="P216" i="52" a="1"/>
  <c r="P217" i="52" a="1"/>
  <c r="P218" i="52" a="1"/>
  <c r="P219" i="52" a="1"/>
  <c r="P220" i="52" a="1"/>
  <c r="P221" i="52" a="1"/>
  <c r="P222" i="52" a="1"/>
  <c r="P223" i="52" a="1"/>
  <c r="P224" i="52" a="1"/>
  <c r="P203" i="52"/>
  <c r="P204" i="52"/>
  <c r="P205" i="52"/>
  <c r="P206" i="52"/>
  <c r="P207" i="52"/>
  <c r="P208" i="52"/>
  <c r="P209" i="52"/>
  <c r="P210" i="52"/>
  <c r="P211" i="52"/>
  <c r="P212" i="52"/>
  <c r="P213" i="52"/>
  <c r="P214" i="52"/>
  <c r="P215" i="52"/>
  <c r="P216" i="52"/>
  <c r="P217" i="52"/>
  <c r="P218" i="52"/>
  <c r="P219" i="52"/>
  <c r="P220" i="52"/>
  <c r="P221" i="52"/>
  <c r="P222" i="52"/>
  <c r="P223" i="52"/>
  <c r="P224" i="52"/>
  <c r="P200" i="52"/>
  <c r="P227" i="52" a="1"/>
  <c r="P227" i="52"/>
  <c r="P228" i="52" a="1"/>
  <c r="P228" i="52"/>
  <c r="P229" i="52" a="1"/>
  <c r="P230" i="52" a="1"/>
  <c r="P231" i="52" a="1"/>
  <c r="P232" i="52" a="1"/>
  <c r="P233" i="52" a="1"/>
  <c r="P234" i="52" a="1"/>
  <c r="P235" i="52" a="1"/>
  <c r="P236" i="52" a="1"/>
  <c r="P237" i="52" a="1"/>
  <c r="P238" i="52" a="1"/>
  <c r="P239" i="52" a="1"/>
  <c r="P240" i="52" a="1"/>
  <c r="P241" i="52" a="1"/>
  <c r="P242" i="52" a="1"/>
  <c r="P243" i="52" a="1"/>
  <c r="P244" i="52" a="1"/>
  <c r="P229" i="52"/>
  <c r="P230" i="52"/>
  <c r="P231" i="52"/>
  <c r="P232" i="52"/>
  <c r="P233" i="52"/>
  <c r="P234" i="52"/>
  <c r="P235" i="52"/>
  <c r="P236" i="52"/>
  <c r="P237" i="52"/>
  <c r="P238" i="52"/>
  <c r="P239" i="52"/>
  <c r="P240" i="52"/>
  <c r="P241" i="52"/>
  <c r="P242" i="52"/>
  <c r="P243" i="52"/>
  <c r="P244" i="52"/>
  <c r="P226" i="52"/>
  <c r="P247" i="52" a="1"/>
  <c r="P247" i="52"/>
  <c r="P248" i="52" a="1"/>
  <c r="P248" i="52"/>
  <c r="P249" i="52" a="1"/>
  <c r="P250" i="52" a="1"/>
  <c r="P251" i="52" a="1"/>
  <c r="P252" i="52" a="1"/>
  <c r="P249" i="52"/>
  <c r="P250" i="52"/>
  <c r="P251" i="52"/>
  <c r="P252" i="52"/>
  <c r="P246" i="52"/>
  <c r="P255" i="52" a="1"/>
  <c r="P255" i="52"/>
  <c r="P256" i="52" a="1"/>
  <c r="P256" i="52"/>
  <c r="P257" i="52" a="1"/>
  <c r="P258" i="52" a="1"/>
  <c r="P259" i="52" a="1"/>
  <c r="P260" i="52" a="1"/>
  <c r="P257" i="52"/>
  <c r="P258" i="52"/>
  <c r="P259" i="52"/>
  <c r="P260" i="52"/>
  <c r="P254" i="52"/>
  <c r="P158" i="52"/>
  <c r="Q161" i="52" a="1"/>
  <c r="Q161" i="52"/>
  <c r="Q162" i="52" a="1"/>
  <c r="Q162" i="52"/>
  <c r="Q163" i="52" a="1"/>
  <c r="Q164" i="52" a="1"/>
  <c r="Q165" i="52" a="1"/>
  <c r="Q166" i="52" a="1"/>
  <c r="Q167" i="52" a="1"/>
  <c r="Q168" i="52" a="1"/>
  <c r="Q169" i="52" a="1"/>
  <c r="Q170" i="52" a="1"/>
  <c r="Q171" i="52" a="1"/>
  <c r="Q172" i="52" a="1"/>
  <c r="Q173" i="52" a="1"/>
  <c r="Q174" i="52" a="1"/>
  <c r="Q175" i="52" a="1"/>
  <c r="Q176" i="52" a="1"/>
  <c r="Q177" i="52" a="1"/>
  <c r="Q178" i="52" a="1"/>
  <c r="Q163" i="52"/>
  <c r="Q164" i="52"/>
  <c r="Q165" i="52"/>
  <c r="Q166" i="52"/>
  <c r="Q167" i="52"/>
  <c r="Q168" i="52"/>
  <c r="Q169" i="52"/>
  <c r="Q170" i="52"/>
  <c r="Q171" i="52"/>
  <c r="Q172" i="52"/>
  <c r="Q173" i="52"/>
  <c r="Q174" i="52"/>
  <c r="Q175" i="52"/>
  <c r="Q176" i="52"/>
  <c r="Q177" i="52"/>
  <c r="Q178" i="52"/>
  <c r="Q160" i="52"/>
  <c r="Q181" i="52" a="1"/>
  <c r="Q181" i="52"/>
  <c r="Q182" i="52" a="1"/>
  <c r="Q182" i="52"/>
  <c r="Q183" i="52" a="1"/>
  <c r="Q184" i="52" a="1"/>
  <c r="Q185" i="52" a="1"/>
  <c r="Q186" i="52" a="1"/>
  <c r="Q187" i="52" a="1"/>
  <c r="Q188" i="52" a="1"/>
  <c r="Q189" i="52" a="1"/>
  <c r="Q190" i="52" a="1"/>
  <c r="Q191" i="52" a="1"/>
  <c r="Q192" i="52" a="1"/>
  <c r="Q193" i="52" a="1"/>
  <c r="Q194" i="52" a="1"/>
  <c r="Q195" i="52" a="1"/>
  <c r="Q196" i="52" a="1"/>
  <c r="Q197" i="52" a="1"/>
  <c r="Q198" i="52" a="1"/>
  <c r="Q183" i="52"/>
  <c r="Q184" i="52"/>
  <c r="Q185" i="52"/>
  <c r="Q186" i="52"/>
  <c r="Q187" i="52"/>
  <c r="Q188" i="52"/>
  <c r="Q189" i="52"/>
  <c r="Q190" i="52"/>
  <c r="Q191" i="52"/>
  <c r="Q192" i="52"/>
  <c r="Q193" i="52"/>
  <c r="Q194" i="52"/>
  <c r="Q195" i="52"/>
  <c r="Q196" i="52"/>
  <c r="Q197" i="52"/>
  <c r="Q198" i="52"/>
  <c r="Q180" i="52"/>
  <c r="Q201" i="52" a="1"/>
  <c r="Q201" i="52"/>
  <c r="Q202" i="52" a="1"/>
  <c r="Q202" i="52"/>
  <c r="Q203" i="52" a="1"/>
  <c r="Q204" i="52" a="1"/>
  <c r="Q205" i="52" a="1"/>
  <c r="Q206" i="52" a="1"/>
  <c r="Q207" i="52" a="1"/>
  <c r="Q208" i="52" a="1"/>
  <c r="Q209" i="52" a="1"/>
  <c r="Q210" i="52" a="1"/>
  <c r="Q211" i="52" a="1"/>
  <c r="Q212" i="52" a="1"/>
  <c r="Q213" i="52" a="1"/>
  <c r="Q214" i="52" a="1"/>
  <c r="Q215" i="52" a="1"/>
  <c r="Q216" i="52" a="1"/>
  <c r="Q217" i="52" a="1"/>
  <c r="Q218" i="52" a="1"/>
  <c r="Q219" i="52" a="1"/>
  <c r="Q220" i="52" a="1"/>
  <c r="Q221" i="52" a="1"/>
  <c r="Q222" i="52" a="1"/>
  <c r="Q223" i="52" a="1"/>
  <c r="Q224" i="52" a="1"/>
  <c r="Q203" i="52"/>
  <c r="Q204" i="52"/>
  <c r="Q205" i="52"/>
  <c r="Q206" i="52"/>
  <c r="Q207" i="52"/>
  <c r="Q208" i="52"/>
  <c r="Q209" i="52"/>
  <c r="Q210" i="52"/>
  <c r="Q211" i="52"/>
  <c r="Q212" i="52"/>
  <c r="Q213" i="52"/>
  <c r="Q214" i="52"/>
  <c r="Q215" i="52"/>
  <c r="Q216" i="52"/>
  <c r="Q217" i="52"/>
  <c r="Q218" i="52"/>
  <c r="Q219" i="52"/>
  <c r="Q220" i="52"/>
  <c r="Q221" i="52"/>
  <c r="Q222" i="52"/>
  <c r="Q223" i="52"/>
  <c r="Q224" i="52"/>
  <c r="Q200" i="52"/>
  <c r="Q227" i="52" a="1"/>
  <c r="Q227" i="52"/>
  <c r="Q228" i="52" a="1"/>
  <c r="Q228" i="52"/>
  <c r="Q229" i="52" a="1"/>
  <c r="Q230" i="52" a="1"/>
  <c r="Q231" i="52" a="1"/>
  <c r="Q232" i="52" a="1"/>
  <c r="Q233" i="52" a="1"/>
  <c r="Q234" i="52" a="1"/>
  <c r="Q235" i="52" a="1"/>
  <c r="Q236" i="52" a="1"/>
  <c r="Q237" i="52" a="1"/>
  <c r="Q238" i="52" a="1"/>
  <c r="Q239" i="52" a="1"/>
  <c r="Q240" i="52" a="1"/>
  <c r="Q241" i="52" a="1"/>
  <c r="Q242" i="52" a="1"/>
  <c r="Q243" i="52" a="1"/>
  <c r="Q244" i="52" a="1"/>
  <c r="Q229" i="52"/>
  <c r="Q230" i="52"/>
  <c r="Q231" i="52"/>
  <c r="Q232" i="52"/>
  <c r="Q233" i="52"/>
  <c r="Q234" i="52"/>
  <c r="Q235" i="52"/>
  <c r="Q236" i="52"/>
  <c r="Q237" i="52"/>
  <c r="Q238" i="52"/>
  <c r="Q239" i="52"/>
  <c r="Q240" i="52"/>
  <c r="Q241" i="52"/>
  <c r="Q242" i="52"/>
  <c r="Q243" i="52"/>
  <c r="Q244" i="52"/>
  <c r="Q226" i="52"/>
  <c r="Q247" i="52" a="1"/>
  <c r="Q247" i="52"/>
  <c r="Q248" i="52" a="1"/>
  <c r="Q248" i="52"/>
  <c r="Q249" i="52" a="1"/>
  <c r="Q250" i="52" a="1"/>
  <c r="Q251" i="52" a="1"/>
  <c r="Q252" i="52" a="1"/>
  <c r="Q249" i="52"/>
  <c r="Q250" i="52"/>
  <c r="Q251" i="52"/>
  <c r="Q252" i="52"/>
  <c r="Q246" i="52"/>
  <c r="Q255" i="52" a="1"/>
  <c r="Q255" i="52"/>
  <c r="Q256" i="52" a="1"/>
  <c r="Q256" i="52"/>
  <c r="Q257" i="52" a="1"/>
  <c r="Q258" i="52" a="1"/>
  <c r="Q259" i="52" a="1"/>
  <c r="Q260" i="52" a="1"/>
  <c r="Q257" i="52"/>
  <c r="Q258" i="52"/>
  <c r="Q259" i="52"/>
  <c r="Q260" i="52"/>
  <c r="Q254" i="52"/>
  <c r="Q158" i="52"/>
  <c r="R161" i="52" a="1"/>
  <c r="R161" i="52"/>
  <c r="R162" i="52" a="1"/>
  <c r="R162" i="52"/>
  <c r="R163" i="52" a="1"/>
  <c r="R164" i="52" a="1"/>
  <c r="R165" i="52" a="1"/>
  <c r="R166" i="52" a="1"/>
  <c r="R167" i="52" a="1"/>
  <c r="R168" i="52" a="1"/>
  <c r="R169" i="52" a="1"/>
  <c r="R170" i="52" a="1"/>
  <c r="R171" i="52" a="1"/>
  <c r="R172" i="52" a="1"/>
  <c r="R173" i="52" a="1"/>
  <c r="R174" i="52" a="1"/>
  <c r="R175" i="52" a="1"/>
  <c r="R176" i="52" a="1"/>
  <c r="R177" i="52" a="1"/>
  <c r="R178" i="52" a="1"/>
  <c r="R163" i="52"/>
  <c r="R164" i="52"/>
  <c r="R165" i="52"/>
  <c r="R166" i="52"/>
  <c r="R167" i="52"/>
  <c r="R168" i="52"/>
  <c r="R169" i="52"/>
  <c r="R170" i="52"/>
  <c r="R171" i="52"/>
  <c r="R172" i="52"/>
  <c r="R173" i="52"/>
  <c r="R174" i="52"/>
  <c r="R175" i="52"/>
  <c r="R176" i="52"/>
  <c r="R177" i="52"/>
  <c r="R178" i="52"/>
  <c r="R160" i="52"/>
  <c r="R181" i="52" a="1"/>
  <c r="R181" i="52"/>
  <c r="R182" i="52" a="1"/>
  <c r="R182" i="52"/>
  <c r="R183" i="52" a="1"/>
  <c r="R184" i="52" a="1"/>
  <c r="R185" i="52" a="1"/>
  <c r="R186" i="52" a="1"/>
  <c r="R187" i="52" a="1"/>
  <c r="R188" i="52" a="1"/>
  <c r="R189" i="52" a="1"/>
  <c r="R190" i="52" a="1"/>
  <c r="R191" i="52" a="1"/>
  <c r="R192" i="52" a="1"/>
  <c r="R193" i="52" a="1"/>
  <c r="R194" i="52" a="1"/>
  <c r="R195" i="52" a="1"/>
  <c r="R196" i="52" a="1"/>
  <c r="R197" i="52" a="1"/>
  <c r="R198" i="52" a="1"/>
  <c r="R183" i="52"/>
  <c r="R184" i="52"/>
  <c r="R185" i="52"/>
  <c r="R186" i="52"/>
  <c r="R187" i="52"/>
  <c r="R188" i="52"/>
  <c r="R189" i="52"/>
  <c r="R190" i="52"/>
  <c r="R191" i="52"/>
  <c r="R192" i="52"/>
  <c r="R193" i="52"/>
  <c r="R194" i="52"/>
  <c r="R195" i="52"/>
  <c r="R196" i="52"/>
  <c r="R197" i="52"/>
  <c r="R198" i="52"/>
  <c r="R180" i="52"/>
  <c r="R201" i="52" a="1"/>
  <c r="R201" i="52"/>
  <c r="R202" i="52" a="1"/>
  <c r="R202" i="52"/>
  <c r="R203" i="52" a="1"/>
  <c r="R204" i="52" a="1"/>
  <c r="R205" i="52" a="1"/>
  <c r="R206" i="52" a="1"/>
  <c r="R207" i="52" a="1"/>
  <c r="R208" i="52" a="1"/>
  <c r="R209" i="52" a="1"/>
  <c r="R210" i="52" a="1"/>
  <c r="R211" i="52" a="1"/>
  <c r="R212" i="52" a="1"/>
  <c r="R213" i="52" a="1"/>
  <c r="R214" i="52" a="1"/>
  <c r="R215" i="52" a="1"/>
  <c r="R216" i="52" a="1"/>
  <c r="R217" i="52" a="1"/>
  <c r="R218" i="52" a="1"/>
  <c r="R219" i="52" a="1"/>
  <c r="R220" i="52" a="1"/>
  <c r="R221" i="52" a="1"/>
  <c r="R222" i="52" a="1"/>
  <c r="R223" i="52" a="1"/>
  <c r="R224" i="52" a="1"/>
  <c r="R203" i="52"/>
  <c r="R204" i="52"/>
  <c r="R205" i="52"/>
  <c r="R206" i="52"/>
  <c r="R207" i="52"/>
  <c r="R208" i="52"/>
  <c r="R209" i="52"/>
  <c r="R210" i="52"/>
  <c r="R211" i="52"/>
  <c r="R212" i="52"/>
  <c r="R213" i="52"/>
  <c r="R214" i="52"/>
  <c r="R215" i="52"/>
  <c r="R216" i="52"/>
  <c r="R217" i="52"/>
  <c r="R218" i="52"/>
  <c r="R219" i="52"/>
  <c r="R220" i="52"/>
  <c r="R221" i="52"/>
  <c r="R222" i="52"/>
  <c r="R223" i="52"/>
  <c r="R224" i="52"/>
  <c r="R200" i="52"/>
  <c r="R227" i="52" a="1"/>
  <c r="R227" i="52"/>
  <c r="R228" i="52" a="1"/>
  <c r="R228" i="52"/>
  <c r="R229" i="52" a="1"/>
  <c r="R230" i="52" a="1"/>
  <c r="R231" i="52" a="1"/>
  <c r="R232" i="52" a="1"/>
  <c r="R233" i="52" a="1"/>
  <c r="R234" i="52" a="1"/>
  <c r="R235" i="52" a="1"/>
  <c r="R236" i="52" a="1"/>
  <c r="R237" i="52" a="1"/>
  <c r="R238" i="52" a="1"/>
  <c r="R239" i="52" a="1"/>
  <c r="R240" i="52" a="1"/>
  <c r="R241" i="52" a="1"/>
  <c r="R242" i="52" a="1"/>
  <c r="R243" i="52" a="1"/>
  <c r="R244" i="52" a="1"/>
  <c r="R229" i="52"/>
  <c r="R230" i="52"/>
  <c r="R231" i="52"/>
  <c r="R232" i="52"/>
  <c r="R233" i="52"/>
  <c r="R234" i="52"/>
  <c r="R235" i="52"/>
  <c r="R236" i="52"/>
  <c r="R237" i="52"/>
  <c r="R238" i="52"/>
  <c r="R239" i="52"/>
  <c r="R240" i="52"/>
  <c r="R241" i="52"/>
  <c r="R242" i="52"/>
  <c r="R243" i="52"/>
  <c r="R244" i="52"/>
  <c r="R226" i="52"/>
  <c r="R247" i="52" a="1"/>
  <c r="R247" i="52"/>
  <c r="R248" i="52" a="1"/>
  <c r="R248" i="52"/>
  <c r="R249" i="52" a="1"/>
  <c r="R250" i="52" a="1"/>
  <c r="R251" i="52" a="1"/>
  <c r="R252" i="52" a="1"/>
  <c r="R249" i="52"/>
  <c r="R250" i="52"/>
  <c r="R251" i="52"/>
  <c r="R252" i="52"/>
  <c r="R246" i="52"/>
  <c r="R255" i="52" a="1"/>
  <c r="R255" i="52"/>
  <c r="R256" i="52" a="1"/>
  <c r="R256" i="52"/>
  <c r="R257" i="52" a="1"/>
  <c r="R258" i="52" a="1"/>
  <c r="R259" i="52" a="1"/>
  <c r="R260" i="52" a="1"/>
  <c r="R257" i="52"/>
  <c r="R258" i="52"/>
  <c r="R259" i="52"/>
  <c r="R260" i="52"/>
  <c r="R254" i="52"/>
  <c r="R158" i="52"/>
  <c r="S161" i="52" a="1"/>
  <c r="S161" i="52"/>
  <c r="S162" i="52" a="1"/>
  <c r="S162" i="52"/>
  <c r="S163" i="52" a="1"/>
  <c r="S164" i="52" a="1"/>
  <c r="S165" i="52" a="1"/>
  <c r="S166" i="52" a="1"/>
  <c r="S167" i="52" a="1"/>
  <c r="S168" i="52" a="1"/>
  <c r="S169" i="52" a="1"/>
  <c r="S170" i="52" a="1"/>
  <c r="S171" i="52" a="1"/>
  <c r="S172" i="52" a="1"/>
  <c r="S173" i="52" a="1"/>
  <c r="S174" i="52" a="1"/>
  <c r="S175" i="52" a="1"/>
  <c r="S176" i="52" a="1"/>
  <c r="S177" i="52" a="1"/>
  <c r="S178" i="52" a="1"/>
  <c r="S163" i="52"/>
  <c r="S164" i="52"/>
  <c r="S165" i="52"/>
  <c r="S166" i="52"/>
  <c r="S167" i="52"/>
  <c r="S168" i="52"/>
  <c r="S169" i="52"/>
  <c r="S170" i="52"/>
  <c r="S171" i="52"/>
  <c r="S172" i="52"/>
  <c r="S173" i="52"/>
  <c r="S174" i="52"/>
  <c r="S175" i="52"/>
  <c r="S176" i="52"/>
  <c r="S177" i="52"/>
  <c r="S178" i="52"/>
  <c r="S160" i="52"/>
  <c r="S181" i="52" a="1"/>
  <c r="S181" i="52"/>
  <c r="S182" i="52" a="1"/>
  <c r="S182" i="52"/>
  <c r="S183" i="52" a="1"/>
  <c r="S184" i="52" a="1"/>
  <c r="S185" i="52" a="1"/>
  <c r="S186" i="52" a="1"/>
  <c r="S187" i="52" a="1"/>
  <c r="S188" i="52" a="1"/>
  <c r="S189" i="52" a="1"/>
  <c r="S190" i="52" a="1"/>
  <c r="S191" i="52" a="1"/>
  <c r="S192" i="52" a="1"/>
  <c r="S193" i="52" a="1"/>
  <c r="S194" i="52" a="1"/>
  <c r="S195" i="52" a="1"/>
  <c r="S196" i="52" a="1"/>
  <c r="S197" i="52" a="1"/>
  <c r="S198" i="52" a="1"/>
  <c r="S183" i="52"/>
  <c r="S184" i="52"/>
  <c r="S185" i="52"/>
  <c r="S186" i="52"/>
  <c r="S187" i="52"/>
  <c r="S188" i="52"/>
  <c r="S189" i="52"/>
  <c r="S190" i="52"/>
  <c r="S191" i="52"/>
  <c r="S192" i="52"/>
  <c r="S193" i="52"/>
  <c r="S194" i="52"/>
  <c r="S195" i="52"/>
  <c r="S196" i="52"/>
  <c r="S197" i="52"/>
  <c r="S198" i="52"/>
  <c r="S180" i="52"/>
  <c r="S201" i="52" a="1"/>
  <c r="S201" i="52"/>
  <c r="S202" i="52" a="1"/>
  <c r="S202" i="52"/>
  <c r="S203" i="52" a="1"/>
  <c r="S204" i="52" a="1"/>
  <c r="S205" i="52" a="1"/>
  <c r="S206" i="52" a="1"/>
  <c r="S207" i="52" a="1"/>
  <c r="S208" i="52" a="1"/>
  <c r="S209" i="52" a="1"/>
  <c r="S210" i="52" a="1"/>
  <c r="S211" i="52" a="1"/>
  <c r="S212" i="52" a="1"/>
  <c r="S213" i="52" a="1"/>
  <c r="S214" i="52" a="1"/>
  <c r="S215" i="52" a="1"/>
  <c r="S216" i="52" a="1"/>
  <c r="S217" i="52" a="1"/>
  <c r="S218" i="52" a="1"/>
  <c r="S219" i="52" a="1"/>
  <c r="S220" i="52" a="1"/>
  <c r="S221" i="52" a="1"/>
  <c r="S222" i="52" a="1"/>
  <c r="S223" i="52" a="1"/>
  <c r="S224" i="52" a="1"/>
  <c r="S203" i="52"/>
  <c r="S204" i="52"/>
  <c r="S205" i="52"/>
  <c r="S206" i="52"/>
  <c r="S207" i="52"/>
  <c r="S208" i="52"/>
  <c r="S209" i="52"/>
  <c r="S210" i="52"/>
  <c r="S211" i="52"/>
  <c r="S212" i="52"/>
  <c r="S213" i="52"/>
  <c r="S214" i="52"/>
  <c r="S215" i="52"/>
  <c r="S216" i="52"/>
  <c r="S217" i="52"/>
  <c r="S218" i="52"/>
  <c r="S219" i="52"/>
  <c r="S220" i="52"/>
  <c r="S221" i="52"/>
  <c r="S222" i="52"/>
  <c r="S223" i="52"/>
  <c r="S224" i="52"/>
  <c r="S200" i="52"/>
  <c r="S227" i="52" a="1"/>
  <c r="S227" i="52"/>
  <c r="S228" i="52" a="1"/>
  <c r="S228" i="52"/>
  <c r="S229" i="52" a="1"/>
  <c r="S230" i="52" a="1"/>
  <c r="S231" i="52" a="1"/>
  <c r="S232" i="52" a="1"/>
  <c r="S233" i="52" a="1"/>
  <c r="S234" i="52" a="1"/>
  <c r="S235" i="52" a="1"/>
  <c r="S236" i="52" a="1"/>
  <c r="S237" i="52" a="1"/>
  <c r="S238" i="52" a="1"/>
  <c r="S239" i="52" a="1"/>
  <c r="S240" i="52" a="1"/>
  <c r="S241" i="52" a="1"/>
  <c r="S242" i="52" a="1"/>
  <c r="S243" i="52" a="1"/>
  <c r="S244" i="52" a="1"/>
  <c r="S229" i="52"/>
  <c r="S230" i="52"/>
  <c r="S231" i="52"/>
  <c r="S232" i="52"/>
  <c r="S233" i="52"/>
  <c r="S234" i="52"/>
  <c r="S235" i="52"/>
  <c r="S236" i="52"/>
  <c r="S237" i="52"/>
  <c r="S238" i="52"/>
  <c r="S239" i="52"/>
  <c r="S240" i="52"/>
  <c r="S241" i="52"/>
  <c r="S242" i="52"/>
  <c r="S243" i="52"/>
  <c r="S244" i="52"/>
  <c r="S226" i="52"/>
  <c r="S247" i="52" a="1"/>
  <c r="S247" i="52"/>
  <c r="S248" i="52" a="1"/>
  <c r="S248" i="52"/>
  <c r="S249" i="52" a="1"/>
  <c r="S250" i="52" a="1"/>
  <c r="S251" i="52" a="1"/>
  <c r="S252" i="52" a="1"/>
  <c r="S249" i="52"/>
  <c r="S250" i="52"/>
  <c r="S251" i="52"/>
  <c r="S252" i="52"/>
  <c r="S246" i="52"/>
  <c r="S255" i="52" a="1"/>
  <c r="S255" i="52"/>
  <c r="S256" i="52" a="1"/>
  <c r="S256" i="52"/>
  <c r="S257" i="52" a="1"/>
  <c r="S258" i="52" a="1"/>
  <c r="S259" i="52" a="1"/>
  <c r="S260" i="52" a="1"/>
  <c r="S257" i="52"/>
  <c r="S258" i="52"/>
  <c r="S259" i="52"/>
  <c r="S260" i="52"/>
  <c r="S254" i="52"/>
  <c r="S158" i="52"/>
  <c r="W161" i="52" a="1"/>
  <c r="W161" i="52"/>
  <c r="W162" i="52" a="1"/>
  <c r="W162" i="52"/>
  <c r="W163" i="52" a="1"/>
  <c r="W164" i="52" a="1"/>
  <c r="W165" i="52" a="1"/>
  <c r="W166" i="52" a="1"/>
  <c r="W167" i="52" a="1"/>
  <c r="W168" i="52" a="1"/>
  <c r="W169" i="52" a="1"/>
  <c r="W170" i="52" a="1"/>
  <c r="W171" i="52" a="1"/>
  <c r="W172" i="52" a="1"/>
  <c r="W173" i="52" a="1"/>
  <c r="W174" i="52" a="1"/>
  <c r="W175" i="52" a="1"/>
  <c r="W176" i="52" a="1"/>
  <c r="W177" i="52" a="1"/>
  <c r="W178" i="52" a="1"/>
  <c r="W163" i="52"/>
  <c r="W164" i="52"/>
  <c r="W165" i="52"/>
  <c r="W166" i="52"/>
  <c r="W167" i="52"/>
  <c r="W168" i="52"/>
  <c r="W169" i="52"/>
  <c r="W170" i="52"/>
  <c r="W171" i="52"/>
  <c r="W172" i="52"/>
  <c r="W173" i="52"/>
  <c r="W174" i="52"/>
  <c r="W175" i="52"/>
  <c r="W176" i="52"/>
  <c r="W177" i="52"/>
  <c r="W178" i="52"/>
  <c r="W160" i="52"/>
  <c r="W181" i="52" a="1"/>
  <c r="W181" i="52"/>
  <c r="W182" i="52" a="1"/>
  <c r="W182" i="52"/>
  <c r="W183" i="52" a="1"/>
  <c r="W184" i="52" a="1"/>
  <c r="W185" i="52" a="1"/>
  <c r="W186" i="52" a="1"/>
  <c r="W187" i="52" a="1"/>
  <c r="W188" i="52" a="1"/>
  <c r="W189" i="52" a="1"/>
  <c r="W190" i="52" a="1"/>
  <c r="W191" i="52" a="1"/>
  <c r="W192" i="52" a="1"/>
  <c r="W193" i="52" a="1"/>
  <c r="W194" i="52" a="1"/>
  <c r="W195" i="52" a="1"/>
  <c r="W196" i="52" a="1"/>
  <c r="W197" i="52" a="1"/>
  <c r="W198" i="52" a="1"/>
  <c r="W183" i="52"/>
  <c r="W184" i="52"/>
  <c r="W185" i="52"/>
  <c r="W186" i="52"/>
  <c r="W187" i="52"/>
  <c r="W188" i="52"/>
  <c r="W189" i="52"/>
  <c r="W190" i="52"/>
  <c r="W191" i="52"/>
  <c r="W192" i="52"/>
  <c r="W193" i="52"/>
  <c r="W194" i="52"/>
  <c r="W195" i="52"/>
  <c r="W196" i="52"/>
  <c r="W197" i="52"/>
  <c r="W198" i="52"/>
  <c r="W180" i="52"/>
  <c r="W201" i="52" a="1"/>
  <c r="W201" i="52"/>
  <c r="W202" i="52" a="1"/>
  <c r="W202" i="52"/>
  <c r="W203" i="52" a="1"/>
  <c r="W204" i="52" a="1"/>
  <c r="W205" i="52" a="1"/>
  <c r="W206" i="52" a="1"/>
  <c r="W207" i="52" a="1"/>
  <c r="W208" i="52" a="1"/>
  <c r="W209" i="52" a="1"/>
  <c r="W210" i="52" a="1"/>
  <c r="W211" i="52" a="1"/>
  <c r="W212" i="52" a="1"/>
  <c r="W213" i="52" a="1"/>
  <c r="W214" i="52" a="1"/>
  <c r="W215" i="52" a="1"/>
  <c r="W216" i="52" a="1"/>
  <c r="W217" i="52" a="1"/>
  <c r="W218" i="52" a="1"/>
  <c r="W219" i="52" a="1"/>
  <c r="W220" i="52" a="1"/>
  <c r="W221" i="52" a="1"/>
  <c r="W222" i="52" a="1"/>
  <c r="W223" i="52" a="1"/>
  <c r="W224" i="52" a="1"/>
  <c r="W203" i="52"/>
  <c r="W204" i="52"/>
  <c r="W205" i="52"/>
  <c r="W206" i="52"/>
  <c r="W207" i="52"/>
  <c r="W208" i="52"/>
  <c r="W209" i="52"/>
  <c r="W210" i="52"/>
  <c r="W211" i="52"/>
  <c r="W212" i="52"/>
  <c r="W213" i="52"/>
  <c r="W214" i="52"/>
  <c r="W215" i="52"/>
  <c r="W216" i="52"/>
  <c r="W217" i="52"/>
  <c r="W218" i="52"/>
  <c r="W219" i="52"/>
  <c r="W220" i="52"/>
  <c r="W221" i="52"/>
  <c r="W222" i="52"/>
  <c r="W223" i="52"/>
  <c r="W224" i="52"/>
  <c r="W200" i="52"/>
  <c r="W227" i="52" a="1"/>
  <c r="W227" i="52"/>
  <c r="W228" i="52" a="1"/>
  <c r="W228" i="52"/>
  <c r="W229" i="52" a="1"/>
  <c r="W230" i="52" a="1"/>
  <c r="W231" i="52" a="1"/>
  <c r="W232" i="52" a="1"/>
  <c r="W233" i="52" a="1"/>
  <c r="W234" i="52" a="1"/>
  <c r="W235" i="52" a="1"/>
  <c r="W236" i="52" a="1"/>
  <c r="W237" i="52" a="1"/>
  <c r="W238" i="52" a="1"/>
  <c r="W239" i="52" a="1"/>
  <c r="W240" i="52" a="1"/>
  <c r="W241" i="52" a="1"/>
  <c r="W242" i="52" a="1"/>
  <c r="W243" i="52" a="1"/>
  <c r="W244" i="52" a="1"/>
  <c r="W229" i="52"/>
  <c r="W230" i="52"/>
  <c r="W231" i="52"/>
  <c r="W232" i="52"/>
  <c r="W233" i="52"/>
  <c r="W234" i="52"/>
  <c r="W235" i="52"/>
  <c r="W236" i="52"/>
  <c r="W237" i="52"/>
  <c r="W238" i="52"/>
  <c r="W239" i="52"/>
  <c r="W240" i="52"/>
  <c r="W241" i="52"/>
  <c r="W242" i="52"/>
  <c r="W243" i="52"/>
  <c r="W244" i="52"/>
  <c r="W226" i="52"/>
  <c r="W247" i="52" a="1"/>
  <c r="W247" i="52"/>
  <c r="W248" i="52" a="1"/>
  <c r="W248" i="52"/>
  <c r="W249" i="52" a="1"/>
  <c r="W250" i="52" a="1"/>
  <c r="W251" i="52" a="1"/>
  <c r="W252" i="52" a="1"/>
  <c r="W249" i="52"/>
  <c r="W250" i="52"/>
  <c r="W251" i="52"/>
  <c r="W252" i="52"/>
  <c r="W246" i="52"/>
  <c r="W255" i="52" a="1"/>
  <c r="W255" i="52"/>
  <c r="W256" i="52" a="1"/>
  <c r="W256" i="52"/>
  <c r="W257" i="52" a="1"/>
  <c r="W258" i="52" a="1"/>
  <c r="W259" i="52" a="1"/>
  <c r="W260" i="52" a="1"/>
  <c r="W257" i="52"/>
  <c r="W258" i="52"/>
  <c r="W259" i="52"/>
  <c r="W260" i="52"/>
  <c r="W254" i="52"/>
  <c r="W158" i="52"/>
  <c r="X161" i="52" a="1"/>
  <c r="X161" i="52"/>
  <c r="X162" i="52" a="1"/>
  <c r="X162" i="52"/>
  <c r="X163" i="52" a="1"/>
  <c r="X164" i="52" a="1"/>
  <c r="X166" i="52" a="1"/>
  <c r="X167" i="52" a="1"/>
  <c r="X168" i="52" a="1"/>
  <c r="X169" i="52" a="1"/>
  <c r="X170" i="52" a="1"/>
  <c r="X172" i="52" a="1"/>
  <c r="X173" i="52" a="1"/>
  <c r="X174" i="52" a="1"/>
  <c r="X175" i="52" a="1"/>
  <c r="X176" i="52" a="1"/>
  <c r="X178" i="52" a="1"/>
  <c r="X163" i="52"/>
  <c r="X164" i="52"/>
  <c r="X166" i="52"/>
  <c r="X167" i="52"/>
  <c r="X168" i="52"/>
  <c r="X169" i="52"/>
  <c r="X170" i="52"/>
  <c r="X172" i="52"/>
  <c r="X173" i="52"/>
  <c r="X174" i="52"/>
  <c r="X175" i="52"/>
  <c r="X176" i="52"/>
  <c r="X178" i="52"/>
  <c r="Y161" i="52" a="1"/>
  <c r="Y161" i="52"/>
  <c r="Y162" i="52" a="1"/>
  <c r="Y162" i="52"/>
  <c r="Y163" i="52" a="1"/>
  <c r="Y164" i="52" a="1"/>
  <c r="Y165" i="52" a="1"/>
  <c r="Y166" i="52" a="1"/>
  <c r="Y167" i="52" a="1"/>
  <c r="Y168" i="52" a="1"/>
  <c r="Y169" i="52" a="1"/>
  <c r="Y170" i="52" a="1"/>
  <c r="Y171" i="52" a="1"/>
  <c r="Y172" i="52" a="1"/>
  <c r="Y173" i="52" a="1"/>
  <c r="Y174" i="52" a="1"/>
  <c r="Y175" i="52" a="1"/>
  <c r="Y176" i="52" a="1"/>
  <c r="Y177" i="52" a="1"/>
  <c r="Y178" i="52" a="1"/>
  <c r="Y163" i="52"/>
  <c r="Y164" i="52"/>
  <c r="Y165" i="52"/>
  <c r="Y166" i="52"/>
  <c r="Y167" i="52"/>
  <c r="Y168" i="52"/>
  <c r="Y169" i="52"/>
  <c r="Y170" i="52"/>
  <c r="Y171" i="52"/>
  <c r="Y172" i="52"/>
  <c r="Y173" i="52"/>
  <c r="Y174" i="52"/>
  <c r="Y175" i="52"/>
  <c r="Y176" i="52"/>
  <c r="Y177" i="52"/>
  <c r="Y178" i="52"/>
  <c r="Y160" i="52"/>
  <c r="Y181" i="52" a="1"/>
  <c r="Y181" i="52"/>
  <c r="Y182" i="52" a="1"/>
  <c r="Y182" i="52"/>
  <c r="Y183" i="52" a="1"/>
  <c r="Y184" i="52" a="1"/>
  <c r="Y185" i="52" a="1"/>
  <c r="Y186" i="52" a="1"/>
  <c r="Y187" i="52" a="1"/>
  <c r="Y188" i="52" a="1"/>
  <c r="Y189" i="52" a="1"/>
  <c r="Y190" i="52" a="1"/>
  <c r="Y191" i="52" a="1"/>
  <c r="Y192" i="52" a="1"/>
  <c r="Y193" i="52" a="1"/>
  <c r="Y194" i="52" a="1"/>
  <c r="Y195" i="52" a="1"/>
  <c r="Y196" i="52" a="1"/>
  <c r="Y197" i="52" a="1"/>
  <c r="Y198" i="52" a="1"/>
  <c r="Y183" i="52"/>
  <c r="Y184" i="52"/>
  <c r="Y185" i="52"/>
  <c r="Y186" i="52"/>
  <c r="Y187" i="52"/>
  <c r="Y188" i="52"/>
  <c r="Y189" i="52"/>
  <c r="Y190" i="52"/>
  <c r="Y191" i="52"/>
  <c r="Y192" i="52"/>
  <c r="Y193" i="52"/>
  <c r="Y194" i="52"/>
  <c r="Y195" i="52"/>
  <c r="Y196" i="52"/>
  <c r="Y197" i="52"/>
  <c r="Y198" i="52"/>
  <c r="Y180" i="52"/>
  <c r="Y201" i="52" a="1"/>
  <c r="Y201" i="52"/>
  <c r="Y202" i="52" a="1"/>
  <c r="Y202" i="52"/>
  <c r="Y203" i="52" a="1"/>
  <c r="Y204" i="52" a="1"/>
  <c r="Y205" i="52" a="1"/>
  <c r="Y206" i="52" a="1"/>
  <c r="Y207" i="52" a="1"/>
  <c r="Y208" i="52" a="1"/>
  <c r="Y209" i="52" a="1"/>
  <c r="Y210" i="52" a="1"/>
  <c r="Y211" i="52" a="1"/>
  <c r="Y212" i="52" a="1"/>
  <c r="Y213" i="52" a="1"/>
  <c r="Y214" i="52" a="1"/>
  <c r="Y215" i="52" a="1"/>
  <c r="Y216" i="52" a="1"/>
  <c r="Y217" i="52" a="1"/>
  <c r="Y218" i="52" a="1"/>
  <c r="Y219" i="52" a="1"/>
  <c r="Y220" i="52" a="1"/>
  <c r="Y221" i="52" a="1"/>
  <c r="Y222" i="52" a="1"/>
  <c r="Y223" i="52" a="1"/>
  <c r="Y224" i="52" a="1"/>
  <c r="Y203" i="52"/>
  <c r="Y204" i="52"/>
  <c r="Y205" i="52"/>
  <c r="Y206" i="52"/>
  <c r="Y207" i="52"/>
  <c r="Y208" i="52"/>
  <c r="Y209" i="52"/>
  <c r="Y210" i="52"/>
  <c r="Y211" i="52"/>
  <c r="Y212" i="52"/>
  <c r="Y213" i="52"/>
  <c r="Y214" i="52"/>
  <c r="Y215" i="52"/>
  <c r="Y216" i="52"/>
  <c r="Y217" i="52"/>
  <c r="Y218" i="52"/>
  <c r="Y219" i="52"/>
  <c r="Y220" i="52"/>
  <c r="Y221" i="52"/>
  <c r="Y222" i="52"/>
  <c r="Y223" i="52"/>
  <c r="Y224" i="52"/>
  <c r="Y200" i="52"/>
  <c r="Y227" i="52" a="1"/>
  <c r="Y227" i="52"/>
  <c r="Y228" i="52" a="1"/>
  <c r="Y228" i="52"/>
  <c r="Y229" i="52" a="1"/>
  <c r="Y230" i="52" a="1"/>
  <c r="Y231" i="52" a="1"/>
  <c r="Y232" i="52" a="1"/>
  <c r="Y233" i="52" a="1"/>
  <c r="Y234" i="52" a="1"/>
  <c r="Y235" i="52" a="1"/>
  <c r="Y236" i="52" a="1"/>
  <c r="Y237" i="52" a="1"/>
  <c r="Y238" i="52" a="1"/>
  <c r="Y239" i="52" a="1"/>
  <c r="Y240" i="52" a="1"/>
  <c r="Y241" i="52" a="1"/>
  <c r="Y242" i="52" a="1"/>
  <c r="Y243" i="52" a="1"/>
  <c r="Y244" i="52" a="1"/>
  <c r="Y229" i="52"/>
  <c r="Y230" i="52"/>
  <c r="Y231" i="52"/>
  <c r="Y232" i="52"/>
  <c r="Y233" i="52"/>
  <c r="Y234" i="52"/>
  <c r="Y235" i="52"/>
  <c r="Y236" i="52"/>
  <c r="Y237" i="52"/>
  <c r="Y238" i="52"/>
  <c r="Y239" i="52"/>
  <c r="Y240" i="52"/>
  <c r="Y241" i="52"/>
  <c r="Y242" i="52"/>
  <c r="Y243" i="52"/>
  <c r="Y244" i="52"/>
  <c r="Y226" i="52"/>
  <c r="Y247" i="52" a="1"/>
  <c r="Y247" i="52"/>
  <c r="Y248" i="52" a="1"/>
  <c r="Y248" i="52"/>
  <c r="Y249" i="52" a="1"/>
  <c r="Y250" i="52" a="1"/>
  <c r="Y251" i="52" a="1"/>
  <c r="Y252" i="52" a="1"/>
  <c r="Y249" i="52"/>
  <c r="Y250" i="52"/>
  <c r="Y251" i="52"/>
  <c r="Y252" i="52"/>
  <c r="Y246" i="52"/>
  <c r="Y255" i="52" a="1"/>
  <c r="Y255" i="52"/>
  <c r="Y256" i="52" a="1"/>
  <c r="Y256" i="52"/>
  <c r="Y257" i="52" a="1"/>
  <c r="Y258" i="52" a="1"/>
  <c r="Y259" i="52" a="1"/>
  <c r="Y260" i="52" a="1"/>
  <c r="Y257" i="52"/>
  <c r="Y258" i="52"/>
  <c r="Y259" i="52"/>
  <c r="Y260" i="52"/>
  <c r="Y254" i="52"/>
  <c r="Y158" i="52"/>
  <c r="Z161" i="52" a="1"/>
  <c r="Z161" i="52"/>
  <c r="Z162" i="52" a="1"/>
  <c r="Z162" i="52"/>
  <c r="Z163" i="52" a="1"/>
  <c r="Z164" i="52" a="1"/>
  <c r="Z165" i="52" a="1"/>
  <c r="Z166" i="52" a="1"/>
  <c r="Z167" i="52" a="1"/>
  <c r="Z168" i="52" a="1"/>
  <c r="Z169" i="52" a="1"/>
  <c r="Z170" i="52" a="1"/>
  <c r="Z171" i="52" a="1"/>
  <c r="Z172" i="52" a="1"/>
  <c r="Z173" i="52" a="1"/>
  <c r="Z174" i="52" a="1"/>
  <c r="Z175" i="52" a="1"/>
  <c r="Z176" i="52" a="1"/>
  <c r="Z177" i="52" a="1"/>
  <c r="Z178" i="52" a="1"/>
  <c r="Z163" i="52"/>
  <c r="Z164" i="52"/>
  <c r="Z165" i="52"/>
  <c r="Z166" i="52"/>
  <c r="Z167" i="52"/>
  <c r="Z168" i="52"/>
  <c r="Z169" i="52"/>
  <c r="Z170" i="52"/>
  <c r="Z171" i="52"/>
  <c r="Z172" i="52"/>
  <c r="Z173" i="52"/>
  <c r="Z174" i="52"/>
  <c r="Z175" i="52"/>
  <c r="Z176" i="52"/>
  <c r="Z177" i="52"/>
  <c r="Z178" i="52"/>
  <c r="Z160" i="52"/>
  <c r="Z181" i="52" a="1"/>
  <c r="Z181" i="52"/>
  <c r="Z182" i="52" a="1"/>
  <c r="Z182" i="52"/>
  <c r="Z183" i="52" a="1"/>
  <c r="Z184" i="52" a="1"/>
  <c r="Z185" i="52" a="1"/>
  <c r="Z186" i="52" a="1"/>
  <c r="Z187" i="52" a="1"/>
  <c r="Z188" i="52" a="1"/>
  <c r="Z189" i="52" a="1"/>
  <c r="Z190" i="52" a="1"/>
  <c r="Z191" i="52" a="1"/>
  <c r="Z192" i="52" a="1"/>
  <c r="Z193" i="52" a="1"/>
  <c r="Z194" i="52" a="1"/>
  <c r="Z195" i="52" a="1"/>
  <c r="Z196" i="52" a="1"/>
  <c r="Z197" i="52" a="1"/>
  <c r="Z198" i="52" a="1"/>
  <c r="Z183" i="52"/>
  <c r="Z184" i="52"/>
  <c r="Z185" i="52"/>
  <c r="Z186" i="52"/>
  <c r="Z187" i="52"/>
  <c r="Z188" i="52"/>
  <c r="Z189" i="52"/>
  <c r="Z190" i="52"/>
  <c r="Z191" i="52"/>
  <c r="Z192" i="52"/>
  <c r="Z193" i="52"/>
  <c r="Z194" i="52"/>
  <c r="Z195" i="52"/>
  <c r="Z196" i="52"/>
  <c r="Z197" i="52"/>
  <c r="Z198" i="52"/>
  <c r="Z180" i="52"/>
  <c r="Z201" i="52" a="1"/>
  <c r="Z201" i="52"/>
  <c r="Z202" i="52" a="1"/>
  <c r="Z202" i="52"/>
  <c r="Z203" i="52" a="1"/>
  <c r="Z204" i="52" a="1"/>
  <c r="Z205" i="52" a="1"/>
  <c r="Z206" i="52" a="1"/>
  <c r="Z207" i="52" a="1"/>
  <c r="Z208" i="52" a="1"/>
  <c r="Z209" i="52" a="1"/>
  <c r="Z210" i="52" a="1"/>
  <c r="Z211" i="52" a="1"/>
  <c r="Z212" i="52" a="1"/>
  <c r="Z213" i="52" a="1"/>
  <c r="Z214" i="52" a="1"/>
  <c r="Z215" i="52" a="1"/>
  <c r="Z216" i="52" a="1"/>
  <c r="Z217" i="52" a="1"/>
  <c r="Z218" i="52" a="1"/>
  <c r="Z219" i="52" a="1"/>
  <c r="Z220" i="52" a="1"/>
  <c r="Z221" i="52" a="1"/>
  <c r="Z222" i="52" a="1"/>
  <c r="Z223" i="52" a="1"/>
  <c r="Z224" i="52" a="1"/>
  <c r="Z203" i="52"/>
  <c r="Z204" i="52"/>
  <c r="Z205" i="52"/>
  <c r="Z206" i="52"/>
  <c r="Z207" i="52"/>
  <c r="Z208" i="52"/>
  <c r="Z209" i="52"/>
  <c r="Z210" i="52"/>
  <c r="Z211" i="52"/>
  <c r="Z212" i="52"/>
  <c r="Z213" i="52"/>
  <c r="Z214" i="52"/>
  <c r="Z215" i="52"/>
  <c r="Z216" i="52"/>
  <c r="Z217" i="52"/>
  <c r="Z218" i="52"/>
  <c r="Z219" i="52"/>
  <c r="Z220" i="52"/>
  <c r="Z221" i="52"/>
  <c r="Z222" i="52"/>
  <c r="Z223" i="52"/>
  <c r="Z224" i="52"/>
  <c r="Z200" i="52"/>
  <c r="Z227" i="52" a="1"/>
  <c r="Z227" i="52"/>
  <c r="Z228" i="52" a="1"/>
  <c r="Z228" i="52"/>
  <c r="Z229" i="52" a="1"/>
  <c r="Z230" i="52" a="1"/>
  <c r="Z231" i="52" a="1"/>
  <c r="Z232" i="52" a="1"/>
  <c r="Z233" i="52" a="1"/>
  <c r="Z234" i="52" a="1"/>
  <c r="Z235" i="52" a="1"/>
  <c r="Z236" i="52" a="1"/>
  <c r="Z237" i="52" a="1"/>
  <c r="Z238" i="52" a="1"/>
  <c r="Z239" i="52" a="1"/>
  <c r="Z240" i="52" a="1"/>
  <c r="Z241" i="52" a="1"/>
  <c r="Z242" i="52" a="1"/>
  <c r="Z243" i="52" a="1"/>
  <c r="Z244" i="52" a="1"/>
  <c r="Z229" i="52"/>
  <c r="Z230" i="52"/>
  <c r="Z231" i="52"/>
  <c r="Z232" i="52"/>
  <c r="Z233" i="52"/>
  <c r="Z234" i="52"/>
  <c r="Z235" i="52"/>
  <c r="Z236" i="52"/>
  <c r="Z237" i="52"/>
  <c r="Z238" i="52"/>
  <c r="Z239" i="52"/>
  <c r="Z240" i="52"/>
  <c r="Z241" i="52"/>
  <c r="Z242" i="52"/>
  <c r="Z243" i="52"/>
  <c r="Z244" i="52"/>
  <c r="Z226" i="52"/>
  <c r="Z247" i="52" a="1"/>
  <c r="Z247" i="52"/>
  <c r="Z248" i="52" a="1"/>
  <c r="Z248" i="52"/>
  <c r="Z249" i="52" a="1"/>
  <c r="Z250" i="52" a="1"/>
  <c r="Z251" i="52" a="1"/>
  <c r="Z252" i="52" a="1"/>
  <c r="Z249" i="52"/>
  <c r="Z250" i="52"/>
  <c r="Z251" i="52"/>
  <c r="Z252" i="52"/>
  <c r="Z246" i="52"/>
  <c r="Z255" i="52" a="1"/>
  <c r="Z255" i="52"/>
  <c r="Z256" i="52" a="1"/>
  <c r="Z256" i="52"/>
  <c r="Z257" i="52" a="1"/>
  <c r="Z258" i="52" a="1"/>
  <c r="Z259" i="52" a="1"/>
  <c r="Z260" i="52" a="1"/>
  <c r="Z257" i="52"/>
  <c r="Z258" i="52"/>
  <c r="Z259" i="52"/>
  <c r="Z260" i="52"/>
  <c r="Z254" i="52"/>
  <c r="Z158" i="52"/>
  <c r="AA161" i="52" a="1"/>
  <c r="AA161" i="52"/>
  <c r="AB161" i="52" a="1"/>
  <c r="AB161" i="52"/>
  <c r="AB162" i="52" a="1"/>
  <c r="AB162" i="52"/>
  <c r="AB164" i="52" a="1"/>
  <c r="AB165" i="52" a="1"/>
  <c r="AB166" i="52" a="1"/>
  <c r="AB167" i="52" a="1"/>
  <c r="AB168" i="52" a="1"/>
  <c r="AB170" i="52" a="1"/>
  <c r="AB171" i="52" a="1"/>
  <c r="AB172" i="52" a="1"/>
  <c r="AB173" i="52" a="1"/>
  <c r="AB174" i="52" a="1"/>
  <c r="AB176" i="52" a="1"/>
  <c r="AB177" i="52" a="1"/>
  <c r="AB178" i="52" a="1"/>
  <c r="AB164" i="52"/>
  <c r="AB165" i="52"/>
  <c r="AB166" i="52"/>
  <c r="AB167" i="52"/>
  <c r="AB168" i="52"/>
  <c r="AB170" i="52"/>
  <c r="AB171" i="52"/>
  <c r="AB172" i="52"/>
  <c r="AB173" i="52"/>
  <c r="AB174" i="52"/>
  <c r="AB176" i="52"/>
  <c r="AB177" i="52"/>
  <c r="AB178" i="52"/>
  <c r="AC161" i="52" a="1"/>
  <c r="AC161" i="52"/>
  <c r="AC162" i="52" a="1"/>
  <c r="AC162" i="52"/>
  <c r="AC163" i="52" a="1"/>
  <c r="AC165" i="52" a="1"/>
  <c r="AC166" i="52" a="1"/>
  <c r="AC167" i="52" a="1"/>
  <c r="AC168" i="52" a="1"/>
  <c r="AC169" i="52" a="1"/>
  <c r="AC171" i="52" a="1"/>
  <c r="AC172" i="52" a="1"/>
  <c r="AC173" i="52" a="1"/>
  <c r="AC174" i="52" a="1"/>
  <c r="AC175" i="52" a="1"/>
  <c r="AC177" i="52" a="1"/>
  <c r="AC178" i="52" a="1"/>
  <c r="AC163" i="52"/>
  <c r="AC165" i="52"/>
  <c r="AC166" i="52"/>
  <c r="AC167" i="52"/>
  <c r="AC168" i="52"/>
  <c r="AC169" i="52"/>
  <c r="AC171" i="52"/>
  <c r="AC172" i="52"/>
  <c r="AC173" i="52"/>
  <c r="AC174" i="52"/>
  <c r="AC175" i="52"/>
  <c r="AC177" i="52"/>
  <c r="AC178" i="52"/>
  <c r="AD161" i="52" a="1"/>
  <c r="AD161" i="52"/>
  <c r="AD162" i="52" a="1"/>
  <c r="AD162" i="52"/>
  <c r="AD163" i="52" a="1"/>
  <c r="AD164" i="52" a="1"/>
  <c r="AD165" i="52" a="1"/>
  <c r="AD166" i="52" a="1"/>
  <c r="AD167" i="52" a="1"/>
  <c r="AD168" i="52" a="1"/>
  <c r="AD169" i="52" a="1"/>
  <c r="AD170" i="52" a="1"/>
  <c r="AD171" i="52" a="1"/>
  <c r="AD172" i="52" a="1"/>
  <c r="AD173" i="52" a="1"/>
  <c r="AD174" i="52" a="1"/>
  <c r="AD175" i="52" a="1"/>
  <c r="AD176" i="52" a="1"/>
  <c r="AD177" i="52" a="1"/>
  <c r="AD178" i="52" a="1"/>
  <c r="AD163" i="52"/>
  <c r="AD164" i="52"/>
  <c r="AD165" i="52"/>
  <c r="AD166" i="52"/>
  <c r="AD167" i="52"/>
  <c r="AD168" i="52"/>
  <c r="AD169" i="52"/>
  <c r="AD170" i="52"/>
  <c r="AD171" i="52"/>
  <c r="AD172" i="52"/>
  <c r="AD173" i="52"/>
  <c r="AD174" i="52"/>
  <c r="AD175" i="52"/>
  <c r="AD176" i="52"/>
  <c r="AD177" i="52"/>
  <c r="AD178" i="52"/>
  <c r="AD160" i="52"/>
  <c r="AD181" i="52" a="1"/>
  <c r="AD181" i="52"/>
  <c r="AD182" i="52" a="1"/>
  <c r="AD182" i="52"/>
  <c r="AD183" i="52" a="1"/>
  <c r="AD184" i="52" a="1"/>
  <c r="AD185" i="52" a="1"/>
  <c r="AD186" i="52" a="1"/>
  <c r="AD187" i="52" a="1"/>
  <c r="AD188" i="52" a="1"/>
  <c r="AD189" i="52" a="1"/>
  <c r="AD190" i="52" a="1"/>
  <c r="AD191" i="52" a="1"/>
  <c r="AD192" i="52" a="1"/>
  <c r="AD193" i="52" a="1"/>
  <c r="AD194" i="52" a="1"/>
  <c r="AD195" i="52" a="1"/>
  <c r="AD196" i="52" a="1"/>
  <c r="AD197" i="52" a="1"/>
  <c r="AD198" i="52" a="1"/>
  <c r="AD183" i="52"/>
  <c r="AD184" i="52"/>
  <c r="AD185" i="52"/>
  <c r="AD186" i="52"/>
  <c r="AD187" i="52"/>
  <c r="AD188" i="52"/>
  <c r="AD189" i="52"/>
  <c r="AD190" i="52"/>
  <c r="AD191" i="52"/>
  <c r="AD192" i="52"/>
  <c r="AD193" i="52"/>
  <c r="AD194" i="52"/>
  <c r="AD195" i="52"/>
  <c r="AD196" i="52"/>
  <c r="AD197" i="52"/>
  <c r="AD198" i="52"/>
  <c r="AD180" i="52"/>
  <c r="AD201" i="52" a="1"/>
  <c r="AD201" i="52"/>
  <c r="AD202" i="52" a="1"/>
  <c r="AD202" i="52"/>
  <c r="AD203" i="52" a="1"/>
  <c r="AD204" i="52" a="1"/>
  <c r="AD205" i="52" a="1"/>
  <c r="AD206" i="52" a="1"/>
  <c r="AD207" i="52" a="1"/>
  <c r="AD208" i="52" a="1"/>
  <c r="AD209" i="52" a="1"/>
  <c r="AD210" i="52" a="1"/>
  <c r="AD211" i="52" a="1"/>
  <c r="AD212" i="52" a="1"/>
  <c r="AD213" i="52" a="1"/>
  <c r="AD214" i="52" a="1"/>
  <c r="AD215" i="52" a="1"/>
  <c r="AD216" i="52" a="1"/>
  <c r="AD217" i="52" a="1"/>
  <c r="AD218" i="52" a="1"/>
  <c r="AD219" i="52" a="1"/>
  <c r="AD220" i="52" a="1"/>
  <c r="AD221" i="52" a="1"/>
  <c r="AD222" i="52" a="1"/>
  <c r="AD223" i="52" a="1"/>
  <c r="AD224" i="52" a="1"/>
  <c r="AD203" i="52"/>
  <c r="AD204" i="52"/>
  <c r="AD205" i="52"/>
  <c r="AD206" i="52"/>
  <c r="AD207" i="52"/>
  <c r="AD208" i="52"/>
  <c r="AD209" i="52"/>
  <c r="AD210" i="52"/>
  <c r="AD211" i="52"/>
  <c r="AD212" i="52"/>
  <c r="AD213" i="52"/>
  <c r="AD214" i="52"/>
  <c r="AD215" i="52"/>
  <c r="AD216" i="52"/>
  <c r="AD217" i="52"/>
  <c r="AD218" i="52"/>
  <c r="AD219" i="52"/>
  <c r="AD220" i="52"/>
  <c r="AD221" i="52"/>
  <c r="AD222" i="52"/>
  <c r="AD223" i="52"/>
  <c r="AD224" i="52"/>
  <c r="AD200" i="52"/>
  <c r="AD227" i="52" a="1"/>
  <c r="AD227" i="52"/>
  <c r="AD228" i="52" a="1"/>
  <c r="AD228" i="52"/>
  <c r="AD229" i="52" a="1"/>
  <c r="AD230" i="52" a="1"/>
  <c r="AD231" i="52" a="1"/>
  <c r="AD232" i="52" a="1"/>
  <c r="AD233" i="52" a="1"/>
  <c r="AD234" i="52" a="1"/>
  <c r="AD235" i="52" a="1"/>
  <c r="AD236" i="52" a="1"/>
  <c r="AD237" i="52" a="1"/>
  <c r="AD238" i="52" a="1"/>
  <c r="AD239" i="52" a="1"/>
  <c r="AD240" i="52" a="1"/>
  <c r="AD241" i="52" a="1"/>
  <c r="AD242" i="52" a="1"/>
  <c r="AD243" i="52" a="1"/>
  <c r="AD244" i="52" a="1"/>
  <c r="AD229" i="52"/>
  <c r="AD230" i="52"/>
  <c r="AD231" i="52"/>
  <c r="AD232" i="52"/>
  <c r="AD233" i="52"/>
  <c r="AD234" i="52"/>
  <c r="AD235" i="52"/>
  <c r="AD236" i="52"/>
  <c r="AD237" i="52"/>
  <c r="AD238" i="52"/>
  <c r="AD239" i="52"/>
  <c r="AD240" i="52"/>
  <c r="AD241" i="52"/>
  <c r="AD242" i="52"/>
  <c r="AD243" i="52"/>
  <c r="AD244" i="52"/>
  <c r="AD226" i="52"/>
  <c r="AD247" i="52" a="1"/>
  <c r="AD247" i="52"/>
  <c r="AD248" i="52" a="1"/>
  <c r="AD248" i="52"/>
  <c r="AD249" i="52" a="1"/>
  <c r="AD250" i="52" a="1"/>
  <c r="AD251" i="52" a="1"/>
  <c r="AD252" i="52" a="1"/>
  <c r="AD249" i="52"/>
  <c r="AD250" i="52"/>
  <c r="AD251" i="52"/>
  <c r="AD252" i="52"/>
  <c r="AD246" i="52"/>
  <c r="AD255" i="52" a="1"/>
  <c r="AD255" i="52"/>
  <c r="AD256" i="52" a="1"/>
  <c r="AD256" i="52"/>
  <c r="AD257" i="52" a="1"/>
  <c r="AD258" i="52" a="1"/>
  <c r="AD259" i="52" a="1"/>
  <c r="AD260" i="52" a="1"/>
  <c r="AD257" i="52"/>
  <c r="AD258" i="52"/>
  <c r="AD259" i="52"/>
  <c r="AD260" i="52"/>
  <c r="AD254" i="52"/>
  <c r="AD158" i="52"/>
  <c r="AE161" i="52" a="1"/>
  <c r="AE161" i="52"/>
  <c r="AE162" i="52" a="1"/>
  <c r="AE162" i="52"/>
  <c r="AE163" i="52" a="1"/>
  <c r="AE164" i="52" a="1"/>
  <c r="AE165" i="52" a="1"/>
  <c r="AE166" i="52" a="1"/>
  <c r="AE167" i="52" a="1"/>
  <c r="AE168" i="52" a="1"/>
  <c r="AE169" i="52" a="1"/>
  <c r="AE170" i="52" a="1"/>
  <c r="AE171" i="52" a="1"/>
  <c r="AE172" i="52" a="1"/>
  <c r="AE173" i="52" a="1"/>
  <c r="AE174" i="52" a="1"/>
  <c r="AE175" i="52" a="1"/>
  <c r="AE176" i="52" a="1"/>
  <c r="AE177" i="52" a="1"/>
  <c r="AE178" i="52" a="1"/>
  <c r="AE163" i="52"/>
  <c r="AE164" i="52"/>
  <c r="AE165" i="52"/>
  <c r="AE166" i="52"/>
  <c r="AE167" i="52"/>
  <c r="AE168" i="52"/>
  <c r="AE169" i="52"/>
  <c r="AE170" i="52"/>
  <c r="AE171" i="52"/>
  <c r="AE172" i="52"/>
  <c r="AE173" i="52"/>
  <c r="AE174" i="52"/>
  <c r="AE175" i="52"/>
  <c r="AE176" i="52"/>
  <c r="AE177" i="52"/>
  <c r="AE178" i="52"/>
  <c r="AE160" i="52"/>
  <c r="AE181" i="52" a="1"/>
  <c r="AE181" i="52"/>
  <c r="AE182" i="52" a="1"/>
  <c r="AE182" i="52"/>
  <c r="AE183" i="52" a="1"/>
  <c r="AE184" i="52" a="1"/>
  <c r="AE185" i="52" a="1"/>
  <c r="AE186" i="52" a="1"/>
  <c r="AE187" i="52" a="1"/>
  <c r="AE188" i="52" a="1"/>
  <c r="AE189" i="52" a="1"/>
  <c r="AE190" i="52" a="1"/>
  <c r="AE191" i="52" a="1"/>
  <c r="AE192" i="52" a="1"/>
  <c r="AE193" i="52" a="1"/>
  <c r="AE194" i="52" a="1"/>
  <c r="AE195" i="52" a="1"/>
  <c r="AE196" i="52" a="1"/>
  <c r="AE197" i="52" a="1"/>
  <c r="AE198" i="52" a="1"/>
  <c r="AE183" i="52"/>
  <c r="AE184" i="52"/>
  <c r="AE185" i="52"/>
  <c r="AE186" i="52"/>
  <c r="AE187" i="52"/>
  <c r="AE188" i="52"/>
  <c r="AE189" i="52"/>
  <c r="AE190" i="52"/>
  <c r="AE191" i="52"/>
  <c r="AE192" i="52"/>
  <c r="AE193" i="52"/>
  <c r="AE194" i="52"/>
  <c r="AE195" i="52"/>
  <c r="AE196" i="52"/>
  <c r="AE197" i="52"/>
  <c r="AE198" i="52"/>
  <c r="AE180" i="52"/>
  <c r="AE201" i="52" a="1"/>
  <c r="AE201" i="52"/>
  <c r="AE202" i="52" a="1"/>
  <c r="AE202" i="52"/>
  <c r="AE203" i="52" a="1"/>
  <c r="AE204" i="52" a="1"/>
  <c r="AE205" i="52" a="1"/>
  <c r="AE206" i="52" a="1"/>
  <c r="AE207" i="52" a="1"/>
  <c r="AE208" i="52" a="1"/>
  <c r="AE209" i="52" a="1"/>
  <c r="AE210" i="52" a="1"/>
  <c r="AE211" i="52" a="1"/>
  <c r="AE212" i="52" a="1"/>
  <c r="AE213" i="52" a="1"/>
  <c r="AE214" i="52" a="1"/>
  <c r="AE215" i="52" a="1"/>
  <c r="AE216" i="52" a="1"/>
  <c r="AE217" i="52" a="1"/>
  <c r="AE218" i="52" a="1"/>
  <c r="AE219" i="52" a="1"/>
  <c r="AE220" i="52" a="1"/>
  <c r="AE221" i="52" a="1"/>
  <c r="AE222" i="52" a="1"/>
  <c r="AE223" i="52" a="1"/>
  <c r="AE224" i="52" a="1"/>
  <c r="AE203" i="52"/>
  <c r="AE204" i="52"/>
  <c r="AE205" i="52"/>
  <c r="AE206" i="52"/>
  <c r="AE207" i="52"/>
  <c r="AE208" i="52"/>
  <c r="AE209" i="52"/>
  <c r="AE210" i="52"/>
  <c r="AE211" i="52"/>
  <c r="AE212" i="52"/>
  <c r="AE213" i="52"/>
  <c r="AE214" i="52"/>
  <c r="AE215" i="52"/>
  <c r="AE216" i="52"/>
  <c r="AE217" i="52"/>
  <c r="AE218" i="52"/>
  <c r="AE219" i="52"/>
  <c r="AE220" i="52"/>
  <c r="AE221" i="52"/>
  <c r="AE222" i="52"/>
  <c r="AE223" i="52"/>
  <c r="AE224" i="52"/>
  <c r="AE200" i="52"/>
  <c r="AE227" i="52" a="1"/>
  <c r="AE227" i="52"/>
  <c r="AE228" i="52" a="1"/>
  <c r="AE228" i="52"/>
  <c r="AE229" i="52" a="1"/>
  <c r="AE230" i="52" a="1"/>
  <c r="AE231" i="52" a="1"/>
  <c r="AE232" i="52" a="1"/>
  <c r="AE233" i="52" a="1"/>
  <c r="AE234" i="52" a="1"/>
  <c r="AE235" i="52" a="1"/>
  <c r="AE236" i="52" a="1"/>
  <c r="AE237" i="52" a="1"/>
  <c r="AE238" i="52" a="1"/>
  <c r="AE239" i="52" a="1"/>
  <c r="AE240" i="52" a="1"/>
  <c r="AE241" i="52" a="1"/>
  <c r="AE242" i="52" a="1"/>
  <c r="AE243" i="52" a="1"/>
  <c r="AE244" i="52" a="1"/>
  <c r="AE229" i="52"/>
  <c r="AE230" i="52"/>
  <c r="AE231" i="52"/>
  <c r="AE232" i="52"/>
  <c r="AE233" i="52"/>
  <c r="AE234" i="52"/>
  <c r="AE235" i="52"/>
  <c r="AE236" i="52"/>
  <c r="AE237" i="52"/>
  <c r="AE238" i="52"/>
  <c r="AE239" i="52"/>
  <c r="AE240" i="52"/>
  <c r="AE241" i="52"/>
  <c r="AE242" i="52"/>
  <c r="AE243" i="52"/>
  <c r="AE244" i="52"/>
  <c r="AE226" i="52"/>
  <c r="AE247" i="52" a="1"/>
  <c r="AE247" i="52"/>
  <c r="AE248" i="52" a="1"/>
  <c r="AE248" i="52"/>
  <c r="AE249" i="52" a="1"/>
  <c r="AE250" i="52" a="1"/>
  <c r="AE251" i="52" a="1"/>
  <c r="AE252" i="52" a="1"/>
  <c r="AE249" i="52"/>
  <c r="AE250" i="52"/>
  <c r="AE251" i="52"/>
  <c r="AE252" i="52"/>
  <c r="AE246" i="52"/>
  <c r="AE255" i="52" a="1"/>
  <c r="AE255" i="52"/>
  <c r="AE256" i="52" a="1"/>
  <c r="AE256" i="52"/>
  <c r="AE257" i="52" a="1"/>
  <c r="AE258" i="52" a="1"/>
  <c r="AE259" i="52" a="1"/>
  <c r="AE260" i="52" a="1"/>
  <c r="AE257" i="52"/>
  <c r="AE258" i="52"/>
  <c r="AE259" i="52"/>
  <c r="AE260" i="52"/>
  <c r="AE254" i="52"/>
  <c r="AE158" i="52"/>
  <c r="AF161" i="52" a="1"/>
  <c r="AF161" i="52"/>
  <c r="AF162" i="52" a="1"/>
  <c r="AF162" i="52"/>
  <c r="AF163" i="52" a="1"/>
  <c r="AF164" i="52" a="1"/>
  <c r="AF165" i="52" a="1"/>
  <c r="AF166" i="52" a="1"/>
  <c r="AF167" i="52" a="1"/>
  <c r="AF168" i="52" a="1"/>
  <c r="AF169" i="52" a="1"/>
  <c r="AF170" i="52" a="1"/>
  <c r="AF171" i="52" a="1"/>
  <c r="AF172" i="52" a="1"/>
  <c r="AF173" i="52" a="1"/>
  <c r="AF174" i="52" a="1"/>
  <c r="AF175" i="52" a="1"/>
  <c r="AF176" i="52" a="1"/>
  <c r="AF177" i="52" a="1"/>
  <c r="AF178" i="52" a="1"/>
  <c r="AF163" i="52"/>
  <c r="AF164" i="52"/>
  <c r="AF165" i="52"/>
  <c r="AF166" i="52"/>
  <c r="AF167" i="52"/>
  <c r="AF168" i="52"/>
  <c r="AF169" i="52"/>
  <c r="AF170" i="52"/>
  <c r="AF171" i="52"/>
  <c r="AF172" i="52"/>
  <c r="AF173" i="52"/>
  <c r="AF174" i="52"/>
  <c r="AF175" i="52"/>
  <c r="AF176" i="52"/>
  <c r="AF177" i="52"/>
  <c r="AF178" i="52"/>
  <c r="AF160" i="52"/>
  <c r="AF181" i="52" a="1"/>
  <c r="AF181" i="52"/>
  <c r="AF182" i="52" a="1"/>
  <c r="AF182" i="52"/>
  <c r="AF183" i="52" a="1"/>
  <c r="AF184" i="52" a="1"/>
  <c r="AF185" i="52" a="1"/>
  <c r="AF186" i="52" a="1"/>
  <c r="AF187" i="52" a="1"/>
  <c r="AF188" i="52" a="1"/>
  <c r="AF189" i="52" a="1"/>
  <c r="AF190" i="52" a="1"/>
  <c r="AF191" i="52" a="1"/>
  <c r="AF192" i="52" a="1"/>
  <c r="AF193" i="52" a="1"/>
  <c r="AF194" i="52" a="1"/>
  <c r="AF195" i="52" a="1"/>
  <c r="AF196" i="52" a="1"/>
  <c r="AF197" i="52" a="1"/>
  <c r="AF198" i="52" a="1"/>
  <c r="AF183" i="52"/>
  <c r="AF184" i="52"/>
  <c r="AF185" i="52"/>
  <c r="AF186" i="52"/>
  <c r="AF187" i="52"/>
  <c r="AF188" i="52"/>
  <c r="AF189" i="52"/>
  <c r="AF190" i="52"/>
  <c r="AF191" i="52"/>
  <c r="AF192" i="52"/>
  <c r="AF193" i="52"/>
  <c r="AF194" i="52"/>
  <c r="AF195" i="52"/>
  <c r="AF196" i="52"/>
  <c r="AF197" i="52"/>
  <c r="AF198" i="52"/>
  <c r="AF180" i="52"/>
  <c r="AF201" i="52" a="1"/>
  <c r="AF201" i="52"/>
  <c r="AF202" i="52" a="1"/>
  <c r="AF202" i="52"/>
  <c r="AF203" i="52" a="1"/>
  <c r="AF204" i="52" a="1"/>
  <c r="AF205" i="52" a="1"/>
  <c r="AF206" i="52" a="1"/>
  <c r="AF207" i="52" a="1"/>
  <c r="AF208" i="52" a="1"/>
  <c r="AF209" i="52" a="1"/>
  <c r="AF210" i="52" a="1"/>
  <c r="AF211" i="52" a="1"/>
  <c r="AF212" i="52" a="1"/>
  <c r="AF213" i="52" a="1"/>
  <c r="AF214" i="52" a="1"/>
  <c r="AF215" i="52" a="1"/>
  <c r="AF216" i="52" a="1"/>
  <c r="AF217" i="52" a="1"/>
  <c r="AF218" i="52" a="1"/>
  <c r="AF219" i="52" a="1"/>
  <c r="AF220" i="52" a="1"/>
  <c r="AF221" i="52" a="1"/>
  <c r="AF222" i="52" a="1"/>
  <c r="AF223" i="52" a="1"/>
  <c r="AF224" i="52" a="1"/>
  <c r="AF203" i="52"/>
  <c r="AF204" i="52"/>
  <c r="AF205" i="52"/>
  <c r="AF206" i="52"/>
  <c r="AF207" i="52"/>
  <c r="AF208" i="52"/>
  <c r="AF209" i="52"/>
  <c r="AF210" i="52"/>
  <c r="AF211" i="52"/>
  <c r="AF212" i="52"/>
  <c r="AF213" i="52"/>
  <c r="AF214" i="52"/>
  <c r="AF215" i="52"/>
  <c r="AF216" i="52"/>
  <c r="AF217" i="52"/>
  <c r="AF218" i="52"/>
  <c r="AF219" i="52"/>
  <c r="AF220" i="52"/>
  <c r="AF221" i="52"/>
  <c r="AF222" i="52"/>
  <c r="AF223" i="52"/>
  <c r="AF224" i="52"/>
  <c r="AF200" i="52"/>
  <c r="AF227" i="52" a="1"/>
  <c r="AF227" i="52"/>
  <c r="AF228" i="52" a="1"/>
  <c r="AF228" i="52"/>
  <c r="AF229" i="52" a="1"/>
  <c r="AF230" i="52" a="1"/>
  <c r="AF231" i="52" a="1"/>
  <c r="AF232" i="52" a="1"/>
  <c r="AF233" i="52" a="1"/>
  <c r="AF234" i="52" a="1"/>
  <c r="AF235" i="52" a="1"/>
  <c r="AF236" i="52" a="1"/>
  <c r="AF237" i="52" a="1"/>
  <c r="AF238" i="52" a="1"/>
  <c r="AF239" i="52" a="1"/>
  <c r="AF240" i="52" a="1"/>
  <c r="AF241" i="52" a="1"/>
  <c r="AF242" i="52" a="1"/>
  <c r="AF243" i="52" a="1"/>
  <c r="AF244" i="52" a="1"/>
  <c r="AF229" i="52"/>
  <c r="AF230" i="52"/>
  <c r="AF231" i="52"/>
  <c r="AF232" i="52"/>
  <c r="AF233" i="52"/>
  <c r="AF234" i="52"/>
  <c r="AF235" i="52"/>
  <c r="AF236" i="52"/>
  <c r="AF237" i="52"/>
  <c r="AF238" i="52"/>
  <c r="AF239" i="52"/>
  <c r="AF240" i="52"/>
  <c r="AF241" i="52"/>
  <c r="AF242" i="52"/>
  <c r="AF243" i="52"/>
  <c r="AF244" i="52"/>
  <c r="AF226" i="52"/>
  <c r="AF247" i="52" a="1"/>
  <c r="AF247" i="52"/>
  <c r="AF248" i="52" a="1"/>
  <c r="AF248" i="52"/>
  <c r="AF249" i="52" a="1"/>
  <c r="AF250" i="52" a="1"/>
  <c r="AF251" i="52" a="1"/>
  <c r="AF252" i="52" a="1"/>
  <c r="AF249" i="52"/>
  <c r="AF250" i="52"/>
  <c r="AF251" i="52"/>
  <c r="AF252" i="52"/>
  <c r="AF246" i="52"/>
  <c r="AF255" i="52" a="1"/>
  <c r="AF255" i="52"/>
  <c r="AF256" i="52" a="1"/>
  <c r="AF256" i="52"/>
  <c r="AF257" i="52" a="1"/>
  <c r="AF258" i="52" a="1"/>
  <c r="AF259" i="52" a="1"/>
  <c r="AF260" i="52" a="1"/>
  <c r="AF257" i="52"/>
  <c r="AF258" i="52"/>
  <c r="AF259" i="52"/>
  <c r="AF260" i="52"/>
  <c r="AF254" i="52"/>
  <c r="AF158" i="52"/>
  <c r="AG161" i="52" a="1"/>
  <c r="AG161" i="52"/>
  <c r="AG162" i="52" a="1"/>
  <c r="AG162" i="52"/>
  <c r="AG163" i="52" a="1"/>
  <c r="AG164" i="52" a="1"/>
  <c r="AG165" i="52" a="1"/>
  <c r="AG166" i="52" a="1"/>
  <c r="AG167" i="52" a="1"/>
  <c r="AG168" i="52" a="1"/>
  <c r="AG169" i="52" a="1"/>
  <c r="AG170" i="52" a="1"/>
  <c r="AG171" i="52" a="1"/>
  <c r="AG172" i="52" a="1"/>
  <c r="AG173" i="52" a="1"/>
  <c r="AG174" i="52" a="1"/>
  <c r="AG175" i="52" a="1"/>
  <c r="AG176" i="52" a="1"/>
  <c r="AG177" i="52" a="1"/>
  <c r="AG178" i="52" a="1"/>
  <c r="AG163" i="52"/>
  <c r="AG164" i="52"/>
  <c r="AG165" i="52"/>
  <c r="AG166" i="52"/>
  <c r="AG167" i="52"/>
  <c r="AG168" i="52"/>
  <c r="AG169" i="52"/>
  <c r="AG170" i="52"/>
  <c r="AG171" i="52"/>
  <c r="AG172" i="52"/>
  <c r="AG173" i="52"/>
  <c r="AG174" i="52"/>
  <c r="AG175" i="52"/>
  <c r="AG176" i="52"/>
  <c r="AG177" i="52"/>
  <c r="AG178" i="52"/>
  <c r="AG160" i="52"/>
  <c r="AG181" i="52" a="1"/>
  <c r="AG181" i="52"/>
  <c r="AG182" i="52" a="1"/>
  <c r="AG182" i="52"/>
  <c r="AG183" i="52" a="1"/>
  <c r="AG184" i="52" a="1"/>
  <c r="AG185" i="52" a="1"/>
  <c r="AG186" i="52" a="1"/>
  <c r="AG187" i="52" a="1"/>
  <c r="AG188" i="52" a="1"/>
  <c r="AG189" i="52" a="1"/>
  <c r="AG190" i="52" a="1"/>
  <c r="AG191" i="52" a="1"/>
  <c r="AG192" i="52" a="1"/>
  <c r="AG193" i="52" a="1"/>
  <c r="AG194" i="52" a="1"/>
  <c r="AG195" i="52" a="1"/>
  <c r="AG196" i="52" a="1"/>
  <c r="AG197" i="52" a="1"/>
  <c r="AG198" i="52" a="1"/>
  <c r="AG183" i="52"/>
  <c r="AG184" i="52"/>
  <c r="AG185" i="52"/>
  <c r="AG186" i="52"/>
  <c r="AG187" i="52"/>
  <c r="AG188" i="52"/>
  <c r="AG189" i="52"/>
  <c r="AG190" i="52"/>
  <c r="AG191" i="52"/>
  <c r="AG192" i="52"/>
  <c r="AG193" i="52"/>
  <c r="AG194" i="52"/>
  <c r="AG195" i="52"/>
  <c r="AG196" i="52"/>
  <c r="AG197" i="52"/>
  <c r="AG198" i="52"/>
  <c r="AG180" i="52"/>
  <c r="AG201" i="52" a="1"/>
  <c r="AG201" i="52"/>
  <c r="AG202" i="52" a="1"/>
  <c r="AG202" i="52"/>
  <c r="AG203" i="52" a="1"/>
  <c r="AG204" i="52" a="1"/>
  <c r="AG205" i="52" a="1"/>
  <c r="AG206" i="52" a="1"/>
  <c r="AG207" i="52" a="1"/>
  <c r="AG208" i="52" a="1"/>
  <c r="AG209" i="52" a="1"/>
  <c r="AG210" i="52" a="1"/>
  <c r="AG211" i="52" a="1"/>
  <c r="AG212" i="52" a="1"/>
  <c r="AG213" i="52" a="1"/>
  <c r="AG214" i="52" a="1"/>
  <c r="AG215" i="52" a="1"/>
  <c r="AG216" i="52" a="1"/>
  <c r="AG217" i="52" a="1"/>
  <c r="AG218" i="52" a="1"/>
  <c r="AG219" i="52" a="1"/>
  <c r="AG220" i="52" a="1"/>
  <c r="AG221" i="52" a="1"/>
  <c r="AG222" i="52" a="1"/>
  <c r="AG223" i="52" a="1"/>
  <c r="AG224" i="52" a="1"/>
  <c r="AG203" i="52"/>
  <c r="AG204" i="52"/>
  <c r="AG205" i="52"/>
  <c r="AG206" i="52"/>
  <c r="AG207" i="52"/>
  <c r="AG208" i="52"/>
  <c r="AG209" i="52"/>
  <c r="AG210" i="52"/>
  <c r="AG211" i="52"/>
  <c r="AG212" i="52"/>
  <c r="AG213" i="52"/>
  <c r="AG214" i="52"/>
  <c r="AG215" i="52"/>
  <c r="AG216" i="52"/>
  <c r="AG217" i="52"/>
  <c r="AG218" i="52"/>
  <c r="AG219" i="52"/>
  <c r="AG220" i="52"/>
  <c r="AG221" i="52"/>
  <c r="AG222" i="52"/>
  <c r="AG223" i="52"/>
  <c r="AG224" i="52"/>
  <c r="AG200" i="52"/>
  <c r="AG227" i="52" a="1"/>
  <c r="AG227" i="52"/>
  <c r="AG228" i="52" a="1"/>
  <c r="AG228" i="52"/>
  <c r="AG229" i="52" a="1"/>
  <c r="AG230" i="52" a="1"/>
  <c r="AG231" i="52" a="1"/>
  <c r="AG232" i="52" a="1"/>
  <c r="AG233" i="52" a="1"/>
  <c r="AG234" i="52" a="1"/>
  <c r="AG235" i="52" a="1"/>
  <c r="AG236" i="52" a="1"/>
  <c r="AG237" i="52" a="1"/>
  <c r="AG238" i="52" a="1"/>
  <c r="AG239" i="52" a="1"/>
  <c r="AG240" i="52" a="1"/>
  <c r="AG241" i="52" a="1"/>
  <c r="AG242" i="52" a="1"/>
  <c r="AG243" i="52" a="1"/>
  <c r="AG244" i="52" a="1"/>
  <c r="AG229" i="52"/>
  <c r="AG230" i="52"/>
  <c r="AG231" i="52"/>
  <c r="AG232" i="52"/>
  <c r="AG233" i="52"/>
  <c r="AG234" i="52"/>
  <c r="AG235" i="52"/>
  <c r="AG236" i="52"/>
  <c r="AG237" i="52"/>
  <c r="AG238" i="52"/>
  <c r="AG239" i="52"/>
  <c r="AG240" i="52"/>
  <c r="AG241" i="52"/>
  <c r="AG242" i="52"/>
  <c r="AG243" i="52"/>
  <c r="AG244" i="52"/>
  <c r="AG226" i="52"/>
  <c r="AG247" i="52" a="1"/>
  <c r="AG247" i="52"/>
  <c r="AG248" i="52" a="1"/>
  <c r="AG248" i="52"/>
  <c r="AG249" i="52" a="1"/>
  <c r="AG250" i="52" a="1"/>
  <c r="AG251" i="52" a="1"/>
  <c r="AG252" i="52" a="1"/>
  <c r="AG249" i="52"/>
  <c r="AG250" i="52"/>
  <c r="AG251" i="52"/>
  <c r="AG252" i="52"/>
  <c r="AG246" i="52"/>
  <c r="AG255" i="52" a="1"/>
  <c r="AG255" i="52"/>
  <c r="AG256" i="52" a="1"/>
  <c r="AG256" i="52"/>
  <c r="AG257" i="52" a="1"/>
  <c r="AG258" i="52" a="1"/>
  <c r="AG259" i="52" a="1"/>
  <c r="AG260" i="52" a="1"/>
  <c r="AG257" i="52"/>
  <c r="AG258" i="52"/>
  <c r="AG259" i="52"/>
  <c r="AG260" i="52"/>
  <c r="AG254" i="52"/>
  <c r="AG158" i="52"/>
  <c r="AH161" i="52" a="1"/>
  <c r="AH161" i="52"/>
  <c r="AH162" i="52" a="1"/>
  <c r="AH162" i="52"/>
  <c r="AH163" i="52" a="1"/>
  <c r="AH164" i="52" a="1"/>
  <c r="AH165" i="52" a="1"/>
  <c r="AH166" i="52" a="1"/>
  <c r="AH167" i="52" a="1"/>
  <c r="AH168" i="52" a="1"/>
  <c r="AH169" i="52" a="1"/>
  <c r="AH170" i="52" a="1"/>
  <c r="AH171" i="52" a="1"/>
  <c r="AH172" i="52" a="1"/>
  <c r="AH173" i="52" a="1"/>
  <c r="AH174" i="52" a="1"/>
  <c r="AH175" i="52" a="1"/>
  <c r="AH176" i="52" a="1"/>
  <c r="AH177" i="52" a="1"/>
  <c r="AH178" i="52" a="1"/>
  <c r="AH163" i="52"/>
  <c r="AH164" i="52"/>
  <c r="AH165" i="52"/>
  <c r="AH166" i="52"/>
  <c r="AH167" i="52"/>
  <c r="AH168" i="52"/>
  <c r="AH169" i="52"/>
  <c r="AH170" i="52"/>
  <c r="AH171" i="52"/>
  <c r="AH172" i="52"/>
  <c r="AH173" i="52"/>
  <c r="AH174" i="52"/>
  <c r="AH175" i="52"/>
  <c r="AH176" i="52"/>
  <c r="AH177" i="52"/>
  <c r="AH178" i="52"/>
  <c r="AH160" i="52"/>
  <c r="AH181" i="52" a="1"/>
  <c r="AH181" i="52"/>
  <c r="AH182" i="52" a="1"/>
  <c r="AH182" i="52"/>
  <c r="AH183" i="52" a="1"/>
  <c r="AH184" i="52" a="1"/>
  <c r="AH185" i="52" a="1"/>
  <c r="AH186" i="52" a="1"/>
  <c r="AH187" i="52" a="1"/>
  <c r="AH188" i="52" a="1"/>
  <c r="AH189" i="52" a="1"/>
  <c r="AH190" i="52" a="1"/>
  <c r="AH191" i="52" a="1"/>
  <c r="AH192" i="52" a="1"/>
  <c r="AH193" i="52" a="1"/>
  <c r="AH194" i="52" a="1"/>
  <c r="AH195" i="52" a="1"/>
  <c r="AH196" i="52" a="1"/>
  <c r="AH197" i="52" a="1"/>
  <c r="AH198" i="52" a="1"/>
  <c r="AH183" i="52"/>
  <c r="AH184" i="52"/>
  <c r="AH185" i="52"/>
  <c r="AH186" i="52"/>
  <c r="AH187" i="52"/>
  <c r="AH188" i="52"/>
  <c r="AH189" i="52"/>
  <c r="AH190" i="52"/>
  <c r="AH191" i="52"/>
  <c r="AH192" i="52"/>
  <c r="AH193" i="52"/>
  <c r="AH194" i="52"/>
  <c r="AH195" i="52"/>
  <c r="AH196" i="52"/>
  <c r="AH197" i="52"/>
  <c r="AH198" i="52"/>
  <c r="AH180" i="52"/>
  <c r="AH201" i="52" a="1"/>
  <c r="AH201" i="52"/>
  <c r="AH202" i="52" a="1"/>
  <c r="AH202" i="52"/>
  <c r="AH203" i="52" a="1"/>
  <c r="AH204" i="52" a="1"/>
  <c r="AH205" i="52" a="1"/>
  <c r="AH206" i="52" a="1"/>
  <c r="AH207" i="52" a="1"/>
  <c r="AH208" i="52" a="1"/>
  <c r="AH209" i="52" a="1"/>
  <c r="AH210" i="52" a="1"/>
  <c r="AH211" i="52" a="1"/>
  <c r="AH212" i="52" a="1"/>
  <c r="AH213" i="52" a="1"/>
  <c r="AH214" i="52" a="1"/>
  <c r="AH215" i="52" a="1"/>
  <c r="AH216" i="52" a="1"/>
  <c r="AH217" i="52" a="1"/>
  <c r="AH218" i="52" a="1"/>
  <c r="AH219" i="52" a="1"/>
  <c r="AH220" i="52" a="1"/>
  <c r="AH221" i="52" a="1"/>
  <c r="AH222" i="52" a="1"/>
  <c r="AH223" i="52" a="1"/>
  <c r="AH224" i="52" a="1"/>
  <c r="AH203" i="52"/>
  <c r="AH204" i="52"/>
  <c r="AH205" i="52"/>
  <c r="AH206" i="52"/>
  <c r="AH207" i="52"/>
  <c r="AH208" i="52"/>
  <c r="AH209" i="52"/>
  <c r="AH210" i="52"/>
  <c r="AH211" i="52"/>
  <c r="AH212" i="52"/>
  <c r="AH213" i="52"/>
  <c r="AH214" i="52"/>
  <c r="AH215" i="52"/>
  <c r="AH216" i="52"/>
  <c r="AH217" i="52"/>
  <c r="AH218" i="52"/>
  <c r="AH219" i="52"/>
  <c r="AH220" i="52"/>
  <c r="AH221" i="52"/>
  <c r="AH222" i="52"/>
  <c r="AH223" i="52"/>
  <c r="AH224" i="52"/>
  <c r="AH200" i="52"/>
  <c r="AH227" i="52" a="1"/>
  <c r="AH227" i="52"/>
  <c r="AH228" i="52" a="1"/>
  <c r="AH228" i="52"/>
  <c r="AH229" i="52" a="1"/>
  <c r="AH230" i="52" a="1"/>
  <c r="AH231" i="52" a="1"/>
  <c r="AH232" i="52" a="1"/>
  <c r="AH233" i="52" a="1"/>
  <c r="AH234" i="52" a="1"/>
  <c r="AH235" i="52" a="1"/>
  <c r="AH236" i="52" a="1"/>
  <c r="AH237" i="52" a="1"/>
  <c r="AH238" i="52" a="1"/>
  <c r="AH239" i="52" a="1"/>
  <c r="AH240" i="52" a="1"/>
  <c r="AH241" i="52" a="1"/>
  <c r="AH242" i="52" a="1"/>
  <c r="AH243" i="52" a="1"/>
  <c r="AH244" i="52" a="1"/>
  <c r="AH229" i="52"/>
  <c r="AH230" i="52"/>
  <c r="AH231" i="52"/>
  <c r="AH232" i="52"/>
  <c r="AH233" i="52"/>
  <c r="AH234" i="52"/>
  <c r="AH235" i="52"/>
  <c r="AH236" i="52"/>
  <c r="AH237" i="52"/>
  <c r="AH238" i="52"/>
  <c r="AH239" i="52"/>
  <c r="AH240" i="52"/>
  <c r="AH241" i="52"/>
  <c r="AH242" i="52"/>
  <c r="AH243" i="52"/>
  <c r="AH244" i="52"/>
  <c r="AH226" i="52"/>
  <c r="AH247" i="52" a="1"/>
  <c r="AH247" i="52"/>
  <c r="AH248" i="52" a="1"/>
  <c r="AH248" i="52"/>
  <c r="AH249" i="52" a="1"/>
  <c r="AH250" i="52" a="1"/>
  <c r="AH251" i="52" a="1"/>
  <c r="AH252" i="52" a="1"/>
  <c r="AH249" i="52"/>
  <c r="AH250" i="52"/>
  <c r="AH251" i="52"/>
  <c r="AH252" i="52"/>
  <c r="AH246" i="52"/>
  <c r="AH255" i="52" a="1"/>
  <c r="AH255" i="52"/>
  <c r="AH256" i="52" a="1"/>
  <c r="AH256" i="52"/>
  <c r="AH257" i="52" a="1"/>
  <c r="AH258" i="52" a="1"/>
  <c r="AH259" i="52" a="1"/>
  <c r="AH260" i="52" a="1"/>
  <c r="AH257" i="52"/>
  <c r="AH258" i="52"/>
  <c r="AH259" i="52"/>
  <c r="AH260" i="52"/>
  <c r="AH254" i="52"/>
  <c r="AH158" i="52"/>
  <c r="AI161" i="52" a="1"/>
  <c r="AI161" i="52"/>
  <c r="AI162" i="52" a="1"/>
  <c r="AI162" i="52"/>
  <c r="AI163" i="52" a="1"/>
  <c r="AI164" i="52" a="1"/>
  <c r="AI165" i="52" a="1"/>
  <c r="AI166" i="52" a="1"/>
  <c r="AI167" i="52" a="1"/>
  <c r="AI168" i="52" a="1"/>
  <c r="AI169" i="52" a="1"/>
  <c r="AI170" i="52" a="1"/>
  <c r="AI171" i="52" a="1"/>
  <c r="AI172" i="52" a="1"/>
  <c r="AI173" i="52" a="1"/>
  <c r="AI174" i="52" a="1"/>
  <c r="AI175" i="52" a="1"/>
  <c r="AI176" i="52" a="1"/>
  <c r="AI177" i="52" a="1"/>
  <c r="AI178" i="52" a="1"/>
  <c r="AI163" i="52"/>
  <c r="AI164" i="52"/>
  <c r="AI165" i="52"/>
  <c r="AI166" i="52"/>
  <c r="AI167" i="52"/>
  <c r="AI168" i="52"/>
  <c r="AI169" i="52"/>
  <c r="AI170" i="52"/>
  <c r="AI171" i="52"/>
  <c r="AI172" i="52"/>
  <c r="AI173" i="52"/>
  <c r="AI174" i="52"/>
  <c r="AI175" i="52"/>
  <c r="AI176" i="52"/>
  <c r="AI177" i="52"/>
  <c r="AI178" i="52"/>
  <c r="AI160" i="52"/>
  <c r="AI181" i="52" a="1"/>
  <c r="AI181" i="52"/>
  <c r="AI182" i="52" a="1"/>
  <c r="AI182" i="52"/>
  <c r="AI183" i="52" a="1"/>
  <c r="AI184" i="52" a="1"/>
  <c r="AI185" i="52" a="1"/>
  <c r="AI186" i="52" a="1"/>
  <c r="AI187" i="52" a="1"/>
  <c r="AI188" i="52" a="1"/>
  <c r="AI189" i="52" a="1"/>
  <c r="AI190" i="52" a="1"/>
  <c r="AI191" i="52" a="1"/>
  <c r="AI192" i="52" a="1"/>
  <c r="AI193" i="52" a="1"/>
  <c r="AI194" i="52" a="1"/>
  <c r="AI195" i="52" a="1"/>
  <c r="AI196" i="52" a="1"/>
  <c r="AI197" i="52" a="1"/>
  <c r="AI198" i="52" a="1"/>
  <c r="AI183" i="52"/>
  <c r="AI184" i="52"/>
  <c r="AI185" i="52"/>
  <c r="AI186" i="52"/>
  <c r="AI187" i="52"/>
  <c r="AI188" i="52"/>
  <c r="AI189" i="52"/>
  <c r="AI190" i="52"/>
  <c r="AI191" i="52"/>
  <c r="AI192" i="52"/>
  <c r="AI193" i="52"/>
  <c r="AI194" i="52"/>
  <c r="AI195" i="52"/>
  <c r="AI196" i="52"/>
  <c r="AI197" i="52"/>
  <c r="AI198" i="52"/>
  <c r="AI180" i="52"/>
  <c r="AI201" i="52" a="1"/>
  <c r="AI201" i="52"/>
  <c r="AI202" i="52" a="1"/>
  <c r="AI202" i="52"/>
  <c r="AI203" i="52" a="1"/>
  <c r="AI204" i="52" a="1"/>
  <c r="AI205" i="52" a="1"/>
  <c r="AI206" i="52" a="1"/>
  <c r="AI207" i="52" a="1"/>
  <c r="AI208" i="52" a="1"/>
  <c r="AI209" i="52" a="1"/>
  <c r="AI210" i="52" a="1"/>
  <c r="AI211" i="52" a="1"/>
  <c r="AI212" i="52" a="1"/>
  <c r="AI213" i="52" a="1"/>
  <c r="AI214" i="52" a="1"/>
  <c r="AI215" i="52" a="1"/>
  <c r="AI216" i="52" a="1"/>
  <c r="AI217" i="52" a="1"/>
  <c r="AI218" i="52" a="1"/>
  <c r="AI219" i="52" a="1"/>
  <c r="AI220" i="52" a="1"/>
  <c r="AI221" i="52" a="1"/>
  <c r="AI222" i="52" a="1"/>
  <c r="AI223" i="52" a="1"/>
  <c r="AI224" i="52" a="1"/>
  <c r="AI203" i="52"/>
  <c r="AI204" i="52"/>
  <c r="AI205" i="52"/>
  <c r="AI206" i="52"/>
  <c r="AI207" i="52"/>
  <c r="AI208" i="52"/>
  <c r="AI209" i="52"/>
  <c r="AI210" i="52"/>
  <c r="AI211" i="52"/>
  <c r="AI212" i="52"/>
  <c r="AI213" i="52"/>
  <c r="AI214" i="52"/>
  <c r="AI215" i="52"/>
  <c r="AI216" i="52"/>
  <c r="AI217" i="52"/>
  <c r="AI218" i="52"/>
  <c r="AI219" i="52"/>
  <c r="AI220" i="52"/>
  <c r="AI221" i="52"/>
  <c r="AI222" i="52"/>
  <c r="AI223" i="52"/>
  <c r="AI224" i="52"/>
  <c r="AI200" i="52"/>
  <c r="AI227" i="52" a="1"/>
  <c r="AI227" i="52"/>
  <c r="AI228" i="52" a="1"/>
  <c r="AI228" i="52"/>
  <c r="AI229" i="52" a="1"/>
  <c r="AI230" i="52" a="1"/>
  <c r="AI231" i="52" a="1"/>
  <c r="AI232" i="52" a="1"/>
  <c r="AI233" i="52" a="1"/>
  <c r="AI234" i="52" a="1"/>
  <c r="AI235" i="52" a="1"/>
  <c r="AI236" i="52" a="1"/>
  <c r="AI237" i="52" a="1"/>
  <c r="AI238" i="52" a="1"/>
  <c r="AI239" i="52" a="1"/>
  <c r="AI240" i="52" a="1"/>
  <c r="AI241" i="52" a="1"/>
  <c r="AI242" i="52" a="1"/>
  <c r="AI243" i="52" a="1"/>
  <c r="AI244" i="52" a="1"/>
  <c r="AI229" i="52"/>
  <c r="AI230" i="52"/>
  <c r="AI231" i="52"/>
  <c r="AI232" i="52"/>
  <c r="AI233" i="52"/>
  <c r="AI234" i="52"/>
  <c r="AI235" i="52"/>
  <c r="AI236" i="52"/>
  <c r="AI237" i="52"/>
  <c r="AI238" i="52"/>
  <c r="AI239" i="52"/>
  <c r="AI240" i="52"/>
  <c r="AI241" i="52"/>
  <c r="AI242" i="52"/>
  <c r="AI243" i="52"/>
  <c r="AI244" i="52"/>
  <c r="AI226" i="52"/>
  <c r="AI247" i="52" a="1"/>
  <c r="AI247" i="52"/>
  <c r="AI248" i="52" a="1"/>
  <c r="AI248" i="52"/>
  <c r="AI249" i="52" a="1"/>
  <c r="AI250" i="52" a="1"/>
  <c r="AI251" i="52" a="1"/>
  <c r="AI252" i="52" a="1"/>
  <c r="AI249" i="52"/>
  <c r="AI250" i="52"/>
  <c r="AI251" i="52"/>
  <c r="AI252" i="52"/>
  <c r="AI246" i="52"/>
  <c r="AI255" i="52" a="1"/>
  <c r="AI255" i="52"/>
  <c r="AI256" i="52" a="1"/>
  <c r="AI256" i="52"/>
  <c r="AI257" i="52" a="1"/>
  <c r="AI258" i="52" a="1"/>
  <c r="AI259" i="52" a="1"/>
  <c r="AI260" i="52" a="1"/>
  <c r="AI257" i="52"/>
  <c r="AI258" i="52"/>
  <c r="AI259" i="52"/>
  <c r="AI260" i="52"/>
  <c r="AI254" i="52"/>
  <c r="AI158" i="52"/>
  <c r="AJ161" i="52" a="1"/>
  <c r="AJ161" i="52"/>
  <c r="AJ162" i="52" a="1"/>
  <c r="AJ162" i="52"/>
  <c r="AJ163" i="52" a="1"/>
  <c r="AJ164" i="52" a="1"/>
  <c r="AJ165" i="52" a="1"/>
  <c r="AJ166" i="52" a="1"/>
  <c r="AJ167" i="52" a="1"/>
  <c r="AJ168" i="52" a="1"/>
  <c r="AJ169" i="52" a="1"/>
  <c r="AJ170" i="52" a="1"/>
  <c r="AJ171" i="52" a="1"/>
  <c r="AJ172" i="52" a="1"/>
  <c r="AJ173" i="52" a="1"/>
  <c r="AJ174" i="52" a="1"/>
  <c r="AJ175" i="52" a="1"/>
  <c r="AJ176" i="52" a="1"/>
  <c r="AJ177" i="52" a="1"/>
  <c r="AJ178" i="52" a="1"/>
  <c r="AJ163" i="52"/>
  <c r="AJ164" i="52"/>
  <c r="AJ165" i="52"/>
  <c r="AJ166" i="52"/>
  <c r="AJ167" i="52"/>
  <c r="AJ168" i="52"/>
  <c r="AJ169" i="52"/>
  <c r="AJ170" i="52"/>
  <c r="AJ171" i="52"/>
  <c r="AJ172" i="52"/>
  <c r="AJ173" i="52"/>
  <c r="AJ174" i="52"/>
  <c r="AJ175" i="52"/>
  <c r="AJ176" i="52"/>
  <c r="AJ177" i="52"/>
  <c r="AJ178" i="52"/>
  <c r="AJ160" i="52"/>
  <c r="AJ181" i="52" a="1"/>
  <c r="AJ181" i="52"/>
  <c r="AJ182" i="52" a="1"/>
  <c r="AJ182" i="52"/>
  <c r="AJ183" i="52" a="1"/>
  <c r="AJ184" i="52" a="1"/>
  <c r="AJ185" i="52" a="1"/>
  <c r="AJ186" i="52" a="1"/>
  <c r="AJ187" i="52" a="1"/>
  <c r="AJ188" i="52" a="1"/>
  <c r="AJ189" i="52" a="1"/>
  <c r="AJ190" i="52" a="1"/>
  <c r="AJ191" i="52" a="1"/>
  <c r="AJ192" i="52" a="1"/>
  <c r="AJ193" i="52" a="1"/>
  <c r="AJ194" i="52" a="1"/>
  <c r="AJ195" i="52" a="1"/>
  <c r="AJ196" i="52" a="1"/>
  <c r="AJ197" i="52" a="1"/>
  <c r="AJ198" i="52" a="1"/>
  <c r="AJ183" i="52"/>
  <c r="AJ184" i="52"/>
  <c r="AJ185" i="52"/>
  <c r="AJ186" i="52"/>
  <c r="AJ187" i="52"/>
  <c r="AJ188" i="52"/>
  <c r="AJ189" i="52"/>
  <c r="AJ190" i="52"/>
  <c r="AJ191" i="52"/>
  <c r="AJ192" i="52"/>
  <c r="AJ193" i="52"/>
  <c r="AJ194" i="52"/>
  <c r="AJ195" i="52"/>
  <c r="AJ196" i="52"/>
  <c r="AJ197" i="52"/>
  <c r="AJ198" i="52"/>
  <c r="AJ180" i="52"/>
  <c r="AJ201" i="52" a="1"/>
  <c r="AJ201" i="52"/>
  <c r="AJ202" i="52" a="1"/>
  <c r="AJ202" i="52"/>
  <c r="AJ203" i="52" a="1"/>
  <c r="AJ204" i="52" a="1"/>
  <c r="AJ205" i="52" a="1"/>
  <c r="AJ206" i="52" a="1"/>
  <c r="AJ207" i="52" a="1"/>
  <c r="AJ208" i="52" a="1"/>
  <c r="AJ209" i="52" a="1"/>
  <c r="AJ210" i="52" a="1"/>
  <c r="AJ211" i="52" a="1"/>
  <c r="AJ212" i="52" a="1"/>
  <c r="AJ213" i="52" a="1"/>
  <c r="AJ214" i="52" a="1"/>
  <c r="AJ215" i="52" a="1"/>
  <c r="AJ216" i="52" a="1"/>
  <c r="AJ217" i="52" a="1"/>
  <c r="AJ218" i="52" a="1"/>
  <c r="AJ219" i="52" a="1"/>
  <c r="AJ220" i="52" a="1"/>
  <c r="AJ221" i="52" a="1"/>
  <c r="AJ222" i="52" a="1"/>
  <c r="AJ223" i="52" a="1"/>
  <c r="AJ224" i="52" a="1"/>
  <c r="AJ203" i="52"/>
  <c r="AJ204" i="52"/>
  <c r="AJ205" i="52"/>
  <c r="AJ206" i="52"/>
  <c r="AJ207" i="52"/>
  <c r="AJ208" i="52"/>
  <c r="AJ209" i="52"/>
  <c r="AJ210" i="52"/>
  <c r="AJ211" i="52"/>
  <c r="AJ212" i="52"/>
  <c r="AJ213" i="52"/>
  <c r="AJ214" i="52"/>
  <c r="AJ215" i="52"/>
  <c r="AJ216" i="52"/>
  <c r="AJ217" i="52"/>
  <c r="AJ218" i="52"/>
  <c r="AJ219" i="52"/>
  <c r="AJ220" i="52"/>
  <c r="AJ221" i="52"/>
  <c r="AJ222" i="52"/>
  <c r="AJ223" i="52"/>
  <c r="AJ224" i="52"/>
  <c r="AJ200" i="52"/>
  <c r="AJ227" i="52" a="1"/>
  <c r="AJ227" i="52"/>
  <c r="AJ228" i="52" a="1"/>
  <c r="AJ228" i="52"/>
  <c r="AJ229" i="52" a="1"/>
  <c r="AJ230" i="52" a="1"/>
  <c r="AJ231" i="52" a="1"/>
  <c r="AJ232" i="52" a="1"/>
  <c r="AJ233" i="52" a="1"/>
  <c r="AJ234" i="52" a="1"/>
  <c r="AJ235" i="52" a="1"/>
  <c r="AJ236" i="52" a="1"/>
  <c r="AJ237" i="52" a="1"/>
  <c r="AJ238" i="52" a="1"/>
  <c r="AJ239" i="52" a="1"/>
  <c r="AJ240" i="52" a="1"/>
  <c r="AJ241" i="52" a="1"/>
  <c r="AJ242" i="52" a="1"/>
  <c r="AJ243" i="52" a="1"/>
  <c r="AJ244" i="52" a="1"/>
  <c r="AJ229" i="52"/>
  <c r="AJ230" i="52"/>
  <c r="AJ231" i="52"/>
  <c r="AJ232" i="52"/>
  <c r="AJ233" i="52"/>
  <c r="AJ234" i="52"/>
  <c r="AJ235" i="52"/>
  <c r="AJ236" i="52"/>
  <c r="AJ237" i="52"/>
  <c r="AJ238" i="52"/>
  <c r="AJ239" i="52"/>
  <c r="AJ240" i="52"/>
  <c r="AJ241" i="52"/>
  <c r="AJ242" i="52"/>
  <c r="AJ243" i="52"/>
  <c r="AJ244" i="52"/>
  <c r="AJ226" i="52"/>
  <c r="AJ247" i="52" a="1"/>
  <c r="AJ247" i="52"/>
  <c r="AJ248" i="52" a="1"/>
  <c r="AJ248" i="52"/>
  <c r="AJ249" i="52" a="1"/>
  <c r="AJ250" i="52" a="1"/>
  <c r="AJ251" i="52" a="1"/>
  <c r="AJ252" i="52" a="1"/>
  <c r="AJ249" i="52"/>
  <c r="AJ250" i="52"/>
  <c r="AJ251" i="52"/>
  <c r="AJ252" i="52"/>
  <c r="AJ246" i="52"/>
  <c r="AJ255" i="52" a="1"/>
  <c r="AJ255" i="52"/>
  <c r="AJ256" i="52" a="1"/>
  <c r="AJ256" i="52"/>
  <c r="AJ257" i="52" a="1"/>
  <c r="AJ258" i="52" a="1"/>
  <c r="AJ259" i="52" a="1"/>
  <c r="AJ260" i="52" a="1"/>
  <c r="AJ257" i="52"/>
  <c r="AJ258" i="52"/>
  <c r="AJ259" i="52"/>
  <c r="AJ260" i="52"/>
  <c r="AJ254" i="52"/>
  <c r="AJ158" i="52"/>
  <c r="AK161" i="52" a="1"/>
  <c r="AK161" i="52"/>
  <c r="AK162" i="52" a="1"/>
  <c r="AK162" i="52"/>
  <c r="AK163" i="52" a="1"/>
  <c r="AK164" i="52" a="1"/>
  <c r="AK165" i="52" a="1"/>
  <c r="AK166" i="52" a="1"/>
  <c r="AK167" i="52" a="1"/>
  <c r="AK168" i="52" a="1"/>
  <c r="AK169" i="52" a="1"/>
  <c r="AK170" i="52" a="1"/>
  <c r="AK171" i="52" a="1"/>
  <c r="AK172" i="52" a="1"/>
  <c r="AK173" i="52" a="1"/>
  <c r="AK174" i="52" a="1"/>
  <c r="AK175" i="52" a="1"/>
  <c r="AK176" i="52" a="1"/>
  <c r="AK177" i="52" a="1"/>
  <c r="AK178" i="52" a="1"/>
  <c r="AK163" i="52"/>
  <c r="AK164" i="52"/>
  <c r="AK165" i="52"/>
  <c r="AK166" i="52"/>
  <c r="AK167" i="52"/>
  <c r="AK168" i="52"/>
  <c r="AK169" i="52"/>
  <c r="AK170" i="52"/>
  <c r="AK171" i="52"/>
  <c r="AK172" i="52"/>
  <c r="AK173" i="52"/>
  <c r="AK174" i="52"/>
  <c r="AK175" i="52"/>
  <c r="AK176" i="52"/>
  <c r="AK177" i="52"/>
  <c r="AK178" i="52"/>
  <c r="AK160" i="52"/>
  <c r="AK181" i="52" a="1"/>
  <c r="AK181" i="52"/>
  <c r="AK182" i="52" a="1"/>
  <c r="AK182" i="52"/>
  <c r="AK183" i="52" a="1"/>
  <c r="AK184" i="52" a="1"/>
  <c r="AK185" i="52" a="1"/>
  <c r="AK186" i="52" a="1"/>
  <c r="AK187" i="52" a="1"/>
  <c r="AK188" i="52" a="1"/>
  <c r="AK189" i="52" a="1"/>
  <c r="AK190" i="52" a="1"/>
  <c r="AK191" i="52" a="1"/>
  <c r="AK192" i="52" a="1"/>
  <c r="AK193" i="52" a="1"/>
  <c r="AK194" i="52" a="1"/>
  <c r="AK195" i="52" a="1"/>
  <c r="AK196" i="52" a="1"/>
  <c r="AK197" i="52" a="1"/>
  <c r="AK198" i="52" a="1"/>
  <c r="AK183" i="52"/>
  <c r="AK184" i="52"/>
  <c r="AK185" i="52"/>
  <c r="AK186" i="52"/>
  <c r="AK187" i="52"/>
  <c r="AK188" i="52"/>
  <c r="AK189" i="52"/>
  <c r="AK190" i="52"/>
  <c r="AK191" i="52"/>
  <c r="AK192" i="52"/>
  <c r="AK193" i="52"/>
  <c r="AK194" i="52"/>
  <c r="AK195" i="52"/>
  <c r="AK196" i="52"/>
  <c r="AK197" i="52"/>
  <c r="AK198" i="52"/>
  <c r="AK180" i="52"/>
  <c r="AK201" i="52" a="1"/>
  <c r="AK201" i="52"/>
  <c r="AK202" i="52" a="1"/>
  <c r="AK202" i="52"/>
  <c r="AK203" i="52" a="1"/>
  <c r="AK204" i="52" a="1"/>
  <c r="AK205" i="52" a="1"/>
  <c r="AK206" i="52" a="1"/>
  <c r="AK207" i="52" a="1"/>
  <c r="AK208" i="52" a="1"/>
  <c r="AK209" i="52" a="1"/>
  <c r="AK210" i="52" a="1"/>
  <c r="AK211" i="52" a="1"/>
  <c r="AK212" i="52" a="1"/>
  <c r="AK213" i="52" a="1"/>
  <c r="AK214" i="52" a="1"/>
  <c r="AK215" i="52" a="1"/>
  <c r="AK216" i="52" a="1"/>
  <c r="AK217" i="52" a="1"/>
  <c r="AK218" i="52" a="1"/>
  <c r="AK219" i="52" a="1"/>
  <c r="AK220" i="52" a="1"/>
  <c r="AK221" i="52" a="1"/>
  <c r="AK222" i="52" a="1"/>
  <c r="AK223" i="52" a="1"/>
  <c r="AK224" i="52" a="1"/>
  <c r="AK203" i="52"/>
  <c r="AK204" i="52"/>
  <c r="AK205" i="52"/>
  <c r="AK206" i="52"/>
  <c r="AK207" i="52"/>
  <c r="AK208" i="52"/>
  <c r="AK209" i="52"/>
  <c r="AK210" i="52"/>
  <c r="AK211" i="52"/>
  <c r="AK212" i="52"/>
  <c r="AK213" i="52"/>
  <c r="AK214" i="52"/>
  <c r="AK215" i="52"/>
  <c r="AK216" i="52"/>
  <c r="AK217" i="52"/>
  <c r="AK218" i="52"/>
  <c r="AK219" i="52"/>
  <c r="AK220" i="52"/>
  <c r="AK221" i="52"/>
  <c r="AK222" i="52"/>
  <c r="AK223" i="52"/>
  <c r="AK224" i="52"/>
  <c r="AK200" i="52"/>
  <c r="AK227" i="52" a="1"/>
  <c r="AK227" i="52"/>
  <c r="AK228" i="52" a="1"/>
  <c r="AK228" i="52"/>
  <c r="AK229" i="52" a="1"/>
  <c r="AK230" i="52" a="1"/>
  <c r="AK231" i="52" a="1"/>
  <c r="AK232" i="52" a="1"/>
  <c r="AK233" i="52" a="1"/>
  <c r="AK234" i="52" a="1"/>
  <c r="AK235" i="52" a="1"/>
  <c r="AK236" i="52" a="1"/>
  <c r="AK237" i="52" a="1"/>
  <c r="AK238" i="52" a="1"/>
  <c r="AK239" i="52" a="1"/>
  <c r="AK240" i="52" a="1"/>
  <c r="AK241" i="52" a="1"/>
  <c r="AK242" i="52" a="1"/>
  <c r="AK243" i="52" a="1"/>
  <c r="AK244" i="52" a="1"/>
  <c r="AK229" i="52"/>
  <c r="AK230" i="52"/>
  <c r="AK231" i="52"/>
  <c r="AK232" i="52"/>
  <c r="AK233" i="52"/>
  <c r="AK234" i="52"/>
  <c r="AK235" i="52"/>
  <c r="AK236" i="52"/>
  <c r="AK237" i="52"/>
  <c r="AK238" i="52"/>
  <c r="AK239" i="52"/>
  <c r="AK240" i="52"/>
  <c r="AK241" i="52"/>
  <c r="AK242" i="52"/>
  <c r="AK243" i="52"/>
  <c r="AK244" i="52"/>
  <c r="AK226" i="52"/>
  <c r="AK247" i="52" a="1"/>
  <c r="AK247" i="52"/>
  <c r="AK248" i="52" a="1"/>
  <c r="AK248" i="52"/>
  <c r="AK249" i="52" a="1"/>
  <c r="AK250" i="52" a="1"/>
  <c r="AK251" i="52" a="1"/>
  <c r="AK252" i="52" a="1"/>
  <c r="AK249" i="52"/>
  <c r="AK250" i="52"/>
  <c r="AK251" i="52"/>
  <c r="AK252" i="52"/>
  <c r="AK246" i="52"/>
  <c r="AK255" i="52" a="1"/>
  <c r="AK255" i="52"/>
  <c r="AK256" i="52" a="1"/>
  <c r="AK256" i="52"/>
  <c r="AK257" i="52" a="1"/>
  <c r="AK258" i="52" a="1"/>
  <c r="AK259" i="52" a="1"/>
  <c r="AK260" i="52" a="1"/>
  <c r="AK257" i="52"/>
  <c r="AK258" i="52"/>
  <c r="AK259" i="52"/>
  <c r="AK260" i="52"/>
  <c r="AK254" i="52"/>
  <c r="AK158" i="52"/>
  <c r="AL161" i="52" a="1"/>
  <c r="AL161" i="52"/>
  <c r="AL162" i="52" a="1"/>
  <c r="AL162" i="52"/>
  <c r="AL163" i="52" a="1"/>
  <c r="AL164" i="52" a="1"/>
  <c r="AL165" i="52" a="1"/>
  <c r="AL167" i="52" a="1"/>
  <c r="AL168" i="52" a="1"/>
  <c r="AL169" i="52" a="1"/>
  <c r="AL170" i="52" a="1"/>
  <c r="AL171" i="52" a="1"/>
  <c r="AL173" i="52" a="1"/>
  <c r="AL174" i="52" a="1"/>
  <c r="AL175" i="52" a="1"/>
  <c r="AL176" i="52" a="1"/>
  <c r="AL177" i="52" a="1"/>
  <c r="AM161" i="52" a="1"/>
  <c r="AM161" i="52"/>
  <c r="AM162" i="52" a="1"/>
  <c r="AM162" i="52"/>
  <c r="AM163" i="52" a="1"/>
  <c r="AM164" i="52" a="1"/>
  <c r="AM165" i="52" a="1"/>
  <c r="AM166" i="52" a="1"/>
  <c r="AM167" i="52" a="1"/>
  <c r="AM168" i="52" a="1"/>
  <c r="AM169" i="52" a="1"/>
  <c r="AM170" i="52" a="1"/>
  <c r="AM171" i="52" a="1"/>
  <c r="AM172" i="52" a="1"/>
  <c r="AM173" i="52" a="1"/>
  <c r="AM174" i="52" a="1"/>
  <c r="AM175" i="52" a="1"/>
  <c r="AM176" i="52" a="1"/>
  <c r="AM177" i="52" a="1"/>
  <c r="AM178" i="52" a="1"/>
  <c r="AM163" i="52"/>
  <c r="AM164" i="52"/>
  <c r="AM165" i="52"/>
  <c r="AM166" i="52"/>
  <c r="AM167" i="52"/>
  <c r="AM168" i="52"/>
  <c r="AM169" i="52"/>
  <c r="AM170" i="52"/>
  <c r="AM171" i="52"/>
  <c r="AM172" i="52"/>
  <c r="AM173" i="52"/>
  <c r="AM174" i="52"/>
  <c r="AM175" i="52"/>
  <c r="AM176" i="52"/>
  <c r="AM177" i="52"/>
  <c r="AM178" i="52"/>
  <c r="AM160" i="52"/>
  <c r="AM181" i="52" a="1"/>
  <c r="AM181" i="52"/>
  <c r="AM182" i="52" a="1"/>
  <c r="AM182" i="52"/>
  <c r="AM183" i="52" a="1"/>
  <c r="AM184" i="52" a="1"/>
  <c r="AM185" i="52" a="1"/>
  <c r="AM186" i="52" a="1"/>
  <c r="AM187" i="52" a="1"/>
  <c r="AM188" i="52" a="1"/>
  <c r="AM189" i="52" a="1"/>
  <c r="AM190" i="52" a="1"/>
  <c r="AM191" i="52" a="1"/>
  <c r="AM192" i="52" a="1"/>
  <c r="AM193" i="52" a="1"/>
  <c r="AM194" i="52" a="1"/>
  <c r="AM195" i="52" a="1"/>
  <c r="AM196" i="52" a="1"/>
  <c r="AM197" i="52" a="1"/>
  <c r="AM198" i="52" a="1"/>
  <c r="AM183" i="52"/>
  <c r="AM184" i="52"/>
  <c r="AM185" i="52"/>
  <c r="AM186" i="52"/>
  <c r="AM187" i="52"/>
  <c r="AM188" i="52"/>
  <c r="AM189" i="52"/>
  <c r="AM190" i="52"/>
  <c r="AM191" i="52"/>
  <c r="AM192" i="52"/>
  <c r="AM193" i="52"/>
  <c r="AM194" i="52"/>
  <c r="AM195" i="52"/>
  <c r="AM196" i="52"/>
  <c r="AM197" i="52"/>
  <c r="AM198" i="52"/>
  <c r="AM180" i="52"/>
  <c r="AM201" i="52" a="1"/>
  <c r="AM201" i="52"/>
  <c r="AM202" i="52" a="1"/>
  <c r="AM202" i="52"/>
  <c r="AM203" i="52" a="1"/>
  <c r="AM204" i="52" a="1"/>
  <c r="AM205" i="52" a="1"/>
  <c r="AM206" i="52" a="1"/>
  <c r="AM207" i="52" a="1"/>
  <c r="AM208" i="52" a="1"/>
  <c r="AM209" i="52" a="1"/>
  <c r="AM210" i="52" a="1"/>
  <c r="AM211" i="52" a="1"/>
  <c r="AM212" i="52" a="1"/>
  <c r="AM213" i="52" a="1"/>
  <c r="AM214" i="52" a="1"/>
  <c r="AM215" i="52" a="1"/>
  <c r="AM216" i="52" a="1"/>
  <c r="AM217" i="52" a="1"/>
  <c r="AM218" i="52" a="1"/>
  <c r="AM219" i="52" a="1"/>
  <c r="AM220" i="52" a="1"/>
  <c r="AM221" i="52" a="1"/>
  <c r="AM222" i="52" a="1"/>
  <c r="AM223" i="52" a="1"/>
  <c r="AM224" i="52" a="1"/>
  <c r="AM203" i="52"/>
  <c r="AM204" i="52"/>
  <c r="AM205" i="52"/>
  <c r="AM206" i="52"/>
  <c r="AM207" i="52"/>
  <c r="AM208" i="52"/>
  <c r="AM209" i="52"/>
  <c r="AM210" i="52"/>
  <c r="AM211" i="52"/>
  <c r="AM212" i="52"/>
  <c r="AM213" i="52"/>
  <c r="AM214" i="52"/>
  <c r="AM215" i="52"/>
  <c r="AM216" i="52"/>
  <c r="AM217" i="52"/>
  <c r="AM218" i="52"/>
  <c r="AM219" i="52"/>
  <c r="AM220" i="52"/>
  <c r="AM221" i="52"/>
  <c r="AM222" i="52"/>
  <c r="AM223" i="52"/>
  <c r="AM224" i="52"/>
  <c r="AM200" i="52"/>
  <c r="AM227" i="52" a="1"/>
  <c r="AM227" i="52"/>
  <c r="AM228" i="52" a="1"/>
  <c r="AM228" i="52"/>
  <c r="AM229" i="52" a="1"/>
  <c r="AM230" i="52" a="1"/>
  <c r="AM231" i="52" a="1"/>
  <c r="AM232" i="52" a="1"/>
  <c r="AM233" i="52" a="1"/>
  <c r="AM234" i="52" a="1"/>
  <c r="AM235" i="52" a="1"/>
  <c r="AM236" i="52" a="1"/>
  <c r="AM237" i="52" a="1"/>
  <c r="AM238" i="52" a="1"/>
  <c r="AM239" i="52" a="1"/>
  <c r="AM240" i="52" a="1"/>
  <c r="AM241" i="52" a="1"/>
  <c r="AM242" i="52" a="1"/>
  <c r="AM243" i="52" a="1"/>
  <c r="AM244" i="52" a="1"/>
  <c r="AM229" i="52"/>
  <c r="AM230" i="52"/>
  <c r="AM231" i="52"/>
  <c r="AM232" i="52"/>
  <c r="AM233" i="52"/>
  <c r="AM234" i="52"/>
  <c r="AM235" i="52"/>
  <c r="AM236" i="52"/>
  <c r="AM237" i="52"/>
  <c r="AM238" i="52"/>
  <c r="AM239" i="52"/>
  <c r="AM240" i="52"/>
  <c r="AM241" i="52"/>
  <c r="AM242" i="52"/>
  <c r="AM243" i="52"/>
  <c r="AM244" i="52"/>
  <c r="AM226" i="52"/>
  <c r="AM247" i="52" a="1"/>
  <c r="AM247" i="52"/>
  <c r="AM248" i="52" a="1"/>
  <c r="AM248" i="52"/>
  <c r="AM249" i="52" a="1"/>
  <c r="AM250" i="52" a="1"/>
  <c r="AM251" i="52" a="1"/>
  <c r="AM252" i="52" a="1"/>
  <c r="AM249" i="52"/>
  <c r="AM250" i="52"/>
  <c r="AM251" i="52"/>
  <c r="AM252" i="52"/>
  <c r="AM246" i="52"/>
  <c r="AM255" i="52" a="1"/>
  <c r="AM255" i="52"/>
  <c r="AM256" i="52" a="1"/>
  <c r="AM256" i="52"/>
  <c r="AM257" i="52" a="1"/>
  <c r="AM258" i="52" a="1"/>
  <c r="AM259" i="52" a="1"/>
  <c r="AM260" i="52" a="1"/>
  <c r="AM257" i="52"/>
  <c r="AM258" i="52"/>
  <c r="AM259" i="52"/>
  <c r="AM260" i="52"/>
  <c r="AM254" i="52"/>
  <c r="AM158" i="52"/>
  <c r="AN161" i="52" a="1"/>
  <c r="AN161" i="52"/>
  <c r="AN162" i="52" a="1"/>
  <c r="AN162" i="52"/>
  <c r="AN163" i="52" a="1"/>
  <c r="AN164" i="52" a="1"/>
  <c r="AN165" i="52" a="1"/>
  <c r="AN166" i="52" a="1"/>
  <c r="AN167" i="52" a="1"/>
  <c r="AN168" i="52" a="1"/>
  <c r="AN169" i="52" a="1"/>
  <c r="AN170" i="52" a="1"/>
  <c r="AN171" i="52" a="1"/>
  <c r="AN172" i="52" a="1"/>
  <c r="AN173" i="52" a="1"/>
  <c r="AN174" i="52" a="1"/>
  <c r="AN175" i="52" a="1"/>
  <c r="AN176" i="52" a="1"/>
  <c r="AN177" i="52" a="1"/>
  <c r="AN178" i="52" a="1"/>
  <c r="AN163" i="52"/>
  <c r="AN164" i="52"/>
  <c r="AN165" i="52"/>
  <c r="AN166" i="52"/>
  <c r="AN167" i="52"/>
  <c r="AN168" i="52"/>
  <c r="AN169" i="52"/>
  <c r="AN170" i="52"/>
  <c r="AN171" i="52"/>
  <c r="AN172" i="52"/>
  <c r="AN173" i="52"/>
  <c r="AN174" i="52"/>
  <c r="AN175" i="52"/>
  <c r="AN176" i="52"/>
  <c r="AN177" i="52"/>
  <c r="AN178" i="52"/>
  <c r="AN160" i="52"/>
  <c r="AN181" i="52" a="1"/>
  <c r="AN181" i="52"/>
  <c r="AN182" i="52" a="1"/>
  <c r="AN182" i="52"/>
  <c r="AN183" i="52" a="1"/>
  <c r="AN184" i="52" a="1"/>
  <c r="AN185" i="52" a="1"/>
  <c r="AN186" i="52" a="1"/>
  <c r="AN187" i="52" a="1"/>
  <c r="AN188" i="52" a="1"/>
  <c r="AN189" i="52" a="1"/>
  <c r="AN190" i="52" a="1"/>
  <c r="AN191" i="52" a="1"/>
  <c r="AN192" i="52" a="1"/>
  <c r="AN193" i="52" a="1"/>
  <c r="AN194" i="52" a="1"/>
  <c r="AN195" i="52" a="1"/>
  <c r="AN196" i="52" a="1"/>
  <c r="AN197" i="52" a="1"/>
  <c r="AN198" i="52" a="1"/>
  <c r="AN183" i="52"/>
  <c r="AN184" i="52"/>
  <c r="AN185" i="52"/>
  <c r="AN186" i="52"/>
  <c r="AN187" i="52"/>
  <c r="AN188" i="52"/>
  <c r="AN189" i="52"/>
  <c r="AN190" i="52"/>
  <c r="AN191" i="52"/>
  <c r="AN192" i="52"/>
  <c r="AN193" i="52"/>
  <c r="AN194" i="52"/>
  <c r="AN195" i="52"/>
  <c r="AN196" i="52"/>
  <c r="AN197" i="52"/>
  <c r="AN198" i="52"/>
  <c r="AN180" i="52"/>
  <c r="AN201" i="52" a="1"/>
  <c r="AN201" i="52"/>
  <c r="AN202" i="52" a="1"/>
  <c r="AN202" i="52"/>
  <c r="AN203" i="52" a="1"/>
  <c r="AN204" i="52" a="1"/>
  <c r="AN205" i="52" a="1"/>
  <c r="AN206" i="52" a="1"/>
  <c r="AN207" i="52" a="1"/>
  <c r="AN208" i="52" a="1"/>
  <c r="AN209" i="52" a="1"/>
  <c r="AN210" i="52" a="1"/>
  <c r="AN211" i="52" a="1"/>
  <c r="AN212" i="52" a="1"/>
  <c r="AN213" i="52" a="1"/>
  <c r="AN214" i="52" a="1"/>
  <c r="AN215" i="52" a="1"/>
  <c r="AN216" i="52" a="1"/>
  <c r="AN217" i="52" a="1"/>
  <c r="AN218" i="52" a="1"/>
  <c r="AN219" i="52" a="1"/>
  <c r="AN220" i="52" a="1"/>
  <c r="AN221" i="52" a="1"/>
  <c r="AN222" i="52" a="1"/>
  <c r="AN223" i="52" a="1"/>
  <c r="AN224" i="52" a="1"/>
  <c r="AN203" i="52"/>
  <c r="AN204" i="52"/>
  <c r="AN205" i="52"/>
  <c r="AN206" i="52"/>
  <c r="AN207" i="52"/>
  <c r="AN208" i="52"/>
  <c r="AN209" i="52"/>
  <c r="AN210" i="52"/>
  <c r="AN211" i="52"/>
  <c r="AN212" i="52"/>
  <c r="AN213" i="52"/>
  <c r="AN214" i="52"/>
  <c r="AN215" i="52"/>
  <c r="AN216" i="52"/>
  <c r="AN217" i="52"/>
  <c r="AN218" i="52"/>
  <c r="AN219" i="52"/>
  <c r="AN220" i="52"/>
  <c r="AN221" i="52"/>
  <c r="AN222" i="52"/>
  <c r="AN223" i="52"/>
  <c r="AN224" i="52"/>
  <c r="AN200" i="52"/>
  <c r="AN227" i="52" a="1"/>
  <c r="AN227" i="52"/>
  <c r="AN228" i="52" a="1"/>
  <c r="AN228" i="52"/>
  <c r="AN229" i="52" a="1"/>
  <c r="AN230" i="52" a="1"/>
  <c r="AN231" i="52" a="1"/>
  <c r="AN232" i="52" a="1"/>
  <c r="AN233" i="52" a="1"/>
  <c r="AN234" i="52" a="1"/>
  <c r="AN235" i="52" a="1"/>
  <c r="AN236" i="52" a="1"/>
  <c r="AN237" i="52" a="1"/>
  <c r="AN238" i="52" a="1"/>
  <c r="AN239" i="52" a="1"/>
  <c r="AN240" i="52" a="1"/>
  <c r="AN241" i="52" a="1"/>
  <c r="AN242" i="52" a="1"/>
  <c r="AN243" i="52" a="1"/>
  <c r="AN244" i="52" a="1"/>
  <c r="AN229" i="52"/>
  <c r="AN230" i="52"/>
  <c r="AN231" i="52"/>
  <c r="AN232" i="52"/>
  <c r="AN233" i="52"/>
  <c r="AN234" i="52"/>
  <c r="AN235" i="52"/>
  <c r="AN236" i="52"/>
  <c r="AN237" i="52"/>
  <c r="AN238" i="52"/>
  <c r="AN239" i="52"/>
  <c r="AN240" i="52"/>
  <c r="AN241" i="52"/>
  <c r="AN242" i="52"/>
  <c r="AN243" i="52"/>
  <c r="AN244" i="52"/>
  <c r="AN226" i="52"/>
  <c r="AN247" i="52" a="1"/>
  <c r="AN247" i="52"/>
  <c r="AN248" i="52" a="1"/>
  <c r="AN248" i="52"/>
  <c r="AN249" i="52" a="1"/>
  <c r="AN250" i="52" a="1"/>
  <c r="AN251" i="52" a="1"/>
  <c r="AN252" i="52" a="1"/>
  <c r="AN249" i="52"/>
  <c r="AN250" i="52"/>
  <c r="AN251" i="52"/>
  <c r="AN252" i="52"/>
  <c r="AN246" i="52"/>
  <c r="AN255" i="52" a="1"/>
  <c r="AN255" i="52"/>
  <c r="AN256" i="52" a="1"/>
  <c r="AN256" i="52"/>
  <c r="AN257" i="52" a="1"/>
  <c r="AN258" i="52" a="1"/>
  <c r="AN259" i="52" a="1"/>
  <c r="AN260" i="52" a="1"/>
  <c r="AN257" i="52"/>
  <c r="AN258" i="52"/>
  <c r="AN259" i="52"/>
  <c r="AN260" i="52"/>
  <c r="AN254" i="52"/>
  <c r="AN158" i="52"/>
  <c r="AQ161" i="52" a="1"/>
  <c r="AQ161" i="52"/>
  <c r="AQ162" i="52" a="1"/>
  <c r="AQ162" i="52"/>
  <c r="AQ163" i="52" a="1"/>
  <c r="AQ164" i="52" a="1"/>
  <c r="AQ165" i="52" a="1"/>
  <c r="AQ166" i="52" a="1"/>
  <c r="AQ167" i="52" a="1"/>
  <c r="AQ168" i="52" a="1"/>
  <c r="AQ169" i="52" a="1"/>
  <c r="AQ170" i="52" a="1"/>
  <c r="AQ171" i="52" a="1"/>
  <c r="AQ172" i="52" a="1"/>
  <c r="AQ173" i="52" a="1"/>
  <c r="AQ174" i="52" a="1"/>
  <c r="AQ175" i="52" a="1"/>
  <c r="AQ176" i="52" a="1"/>
  <c r="AQ177" i="52" a="1"/>
  <c r="AQ178" i="52" a="1"/>
  <c r="AQ163" i="52"/>
  <c r="AQ164" i="52"/>
  <c r="AQ165" i="52"/>
  <c r="AQ166" i="52"/>
  <c r="AQ167" i="52"/>
  <c r="AQ168" i="52"/>
  <c r="AQ169" i="52"/>
  <c r="AQ170" i="52"/>
  <c r="AQ171" i="52"/>
  <c r="AQ172" i="52"/>
  <c r="AQ173" i="52"/>
  <c r="AQ174" i="52"/>
  <c r="AQ175" i="52"/>
  <c r="AQ176" i="52"/>
  <c r="AQ177" i="52"/>
  <c r="AQ178" i="52"/>
  <c r="AQ160" i="52"/>
  <c r="AQ181" i="52" a="1"/>
  <c r="AQ181" i="52"/>
  <c r="AQ182" i="52" a="1"/>
  <c r="AQ182" i="52"/>
  <c r="AQ183" i="52" a="1"/>
  <c r="AQ184" i="52" a="1"/>
  <c r="AQ185" i="52" a="1"/>
  <c r="AQ186" i="52" a="1"/>
  <c r="AQ187" i="52" a="1"/>
  <c r="AQ188" i="52" a="1"/>
  <c r="AQ189" i="52" a="1"/>
  <c r="AQ190" i="52" a="1"/>
  <c r="AQ191" i="52" a="1"/>
  <c r="AQ192" i="52" a="1"/>
  <c r="AQ193" i="52" a="1"/>
  <c r="AQ194" i="52" a="1"/>
  <c r="AQ195" i="52" a="1"/>
  <c r="AQ196" i="52" a="1"/>
  <c r="AQ197" i="52" a="1"/>
  <c r="AQ198" i="52" a="1"/>
  <c r="AQ183" i="52"/>
  <c r="AQ184" i="52"/>
  <c r="AQ185" i="52"/>
  <c r="AQ186" i="52"/>
  <c r="AQ187" i="52"/>
  <c r="AQ188" i="52"/>
  <c r="AQ189" i="52"/>
  <c r="AQ190" i="52"/>
  <c r="AQ191" i="52"/>
  <c r="AQ192" i="52"/>
  <c r="AQ193" i="52"/>
  <c r="AQ194" i="52"/>
  <c r="AQ195" i="52"/>
  <c r="AQ196" i="52"/>
  <c r="AQ197" i="52"/>
  <c r="AQ198" i="52"/>
  <c r="AQ180" i="52"/>
  <c r="AQ201" i="52" a="1"/>
  <c r="AQ201" i="52"/>
  <c r="AQ202" i="52" a="1"/>
  <c r="AQ202" i="52"/>
  <c r="AQ203" i="52" a="1"/>
  <c r="AQ204" i="52" a="1"/>
  <c r="AQ205" i="52" a="1"/>
  <c r="AQ206" i="52" a="1"/>
  <c r="AQ207" i="52" a="1"/>
  <c r="AQ208" i="52" a="1"/>
  <c r="AQ209" i="52" a="1"/>
  <c r="AQ210" i="52" a="1"/>
  <c r="AQ211" i="52" a="1"/>
  <c r="AQ212" i="52" a="1"/>
  <c r="AQ213" i="52" a="1"/>
  <c r="AQ214" i="52" a="1"/>
  <c r="AQ215" i="52" a="1"/>
  <c r="AQ216" i="52" a="1"/>
  <c r="AQ217" i="52" a="1"/>
  <c r="AQ218" i="52" a="1"/>
  <c r="AQ219" i="52" a="1"/>
  <c r="AQ220" i="52" a="1"/>
  <c r="AQ221" i="52" a="1"/>
  <c r="AQ222" i="52" a="1"/>
  <c r="AQ223" i="52" a="1"/>
  <c r="AQ224" i="52" a="1"/>
  <c r="AQ203" i="52"/>
  <c r="AQ204" i="52"/>
  <c r="AQ205" i="52"/>
  <c r="AQ206" i="52"/>
  <c r="AQ207" i="52"/>
  <c r="AQ208" i="52"/>
  <c r="AQ209" i="52"/>
  <c r="AQ210" i="52"/>
  <c r="AQ211" i="52"/>
  <c r="AQ212" i="52"/>
  <c r="AQ213" i="52"/>
  <c r="AQ214" i="52"/>
  <c r="AQ215" i="52"/>
  <c r="AQ216" i="52"/>
  <c r="AQ217" i="52"/>
  <c r="AQ218" i="52"/>
  <c r="AQ219" i="52"/>
  <c r="AQ220" i="52"/>
  <c r="AQ221" i="52"/>
  <c r="AQ222" i="52"/>
  <c r="AQ223" i="52"/>
  <c r="AQ224" i="52"/>
  <c r="AQ200" i="52"/>
  <c r="AQ227" i="52" a="1"/>
  <c r="AQ227" i="52"/>
  <c r="AQ228" i="52" a="1"/>
  <c r="AQ228" i="52"/>
  <c r="AQ229" i="52" a="1"/>
  <c r="AQ230" i="52" a="1"/>
  <c r="AQ231" i="52" a="1"/>
  <c r="AQ232" i="52" a="1"/>
  <c r="AQ233" i="52" a="1"/>
  <c r="AQ234" i="52" a="1"/>
  <c r="AQ235" i="52" a="1"/>
  <c r="AQ236" i="52" a="1"/>
  <c r="AQ237" i="52" a="1"/>
  <c r="AQ238" i="52" a="1"/>
  <c r="AQ239" i="52" a="1"/>
  <c r="AQ240" i="52" a="1"/>
  <c r="AQ241" i="52" a="1"/>
  <c r="AQ242" i="52" a="1"/>
  <c r="AQ243" i="52" a="1"/>
  <c r="AQ244" i="52" a="1"/>
  <c r="AQ229" i="52"/>
  <c r="AQ230" i="52"/>
  <c r="AQ231" i="52"/>
  <c r="AQ232" i="52"/>
  <c r="AQ233" i="52"/>
  <c r="AQ234" i="52"/>
  <c r="AQ235" i="52"/>
  <c r="AQ236" i="52"/>
  <c r="AQ237" i="52"/>
  <c r="AQ238" i="52"/>
  <c r="AQ239" i="52"/>
  <c r="AQ240" i="52"/>
  <c r="AQ241" i="52"/>
  <c r="AQ242" i="52"/>
  <c r="AQ243" i="52"/>
  <c r="AQ244" i="52"/>
  <c r="AQ226" i="52"/>
  <c r="AQ247" i="52" a="1"/>
  <c r="AQ247" i="52"/>
  <c r="AQ248" i="52" a="1"/>
  <c r="AQ248" i="52"/>
  <c r="AQ249" i="52" a="1"/>
  <c r="AQ250" i="52" a="1"/>
  <c r="AQ251" i="52" a="1"/>
  <c r="AQ252" i="52" a="1"/>
  <c r="AQ249" i="52"/>
  <c r="AQ250" i="52"/>
  <c r="AQ251" i="52"/>
  <c r="AQ252" i="52"/>
  <c r="AQ246" i="52"/>
  <c r="AQ255" i="52" a="1"/>
  <c r="AQ255" i="52"/>
  <c r="AQ256" i="52" a="1"/>
  <c r="AQ256" i="52"/>
  <c r="AQ257" i="52" a="1"/>
  <c r="AQ258" i="52" a="1"/>
  <c r="AQ259" i="52" a="1"/>
  <c r="AQ260" i="52" a="1"/>
  <c r="AQ257" i="52"/>
  <c r="AQ258" i="52"/>
  <c r="AQ259" i="52"/>
  <c r="AQ260" i="52"/>
  <c r="AQ254" i="52"/>
  <c r="AQ158" i="52"/>
  <c r="AR161" i="52" a="1"/>
  <c r="AR161" i="52"/>
  <c r="AR162" i="52" a="1"/>
  <c r="AR162" i="52"/>
  <c r="AR163" i="52" a="1"/>
  <c r="AR164" i="52" a="1"/>
  <c r="AR165" i="52" a="1"/>
  <c r="AR166" i="52" a="1"/>
  <c r="AR167" i="52" a="1"/>
  <c r="AR168" i="52" a="1"/>
  <c r="AR169" i="52" a="1"/>
  <c r="AR170" i="52" a="1"/>
  <c r="AR171" i="52" a="1"/>
  <c r="AR172" i="52" a="1"/>
  <c r="AR173" i="52" a="1"/>
  <c r="AR174" i="52" a="1"/>
  <c r="AR175" i="52" a="1"/>
  <c r="AR176" i="52" a="1"/>
  <c r="AR177" i="52" a="1"/>
  <c r="AR178" i="52" a="1"/>
  <c r="AR163" i="52"/>
  <c r="AR164" i="52"/>
  <c r="AR165" i="52"/>
  <c r="AR166" i="52"/>
  <c r="AR167" i="52"/>
  <c r="AR168" i="52"/>
  <c r="AR169" i="52"/>
  <c r="AR170" i="52"/>
  <c r="AR171" i="52"/>
  <c r="AR172" i="52"/>
  <c r="AR173" i="52"/>
  <c r="AR174" i="52"/>
  <c r="AR175" i="52"/>
  <c r="AR176" i="52"/>
  <c r="AR177" i="52"/>
  <c r="AR178" i="52"/>
  <c r="AR160" i="52"/>
  <c r="AR181" i="52" a="1"/>
  <c r="AR181" i="52"/>
  <c r="AR182" i="52" a="1"/>
  <c r="AR182" i="52"/>
  <c r="AR183" i="52" a="1"/>
  <c r="AR184" i="52" a="1"/>
  <c r="AR185" i="52" a="1"/>
  <c r="AR186" i="52" a="1"/>
  <c r="AR187" i="52" a="1"/>
  <c r="AR188" i="52" a="1"/>
  <c r="AR189" i="52" a="1"/>
  <c r="AR190" i="52" a="1"/>
  <c r="AR191" i="52" a="1"/>
  <c r="AR192" i="52" a="1"/>
  <c r="AR193" i="52" a="1"/>
  <c r="AR194" i="52" a="1"/>
  <c r="AR195" i="52" a="1"/>
  <c r="AR196" i="52" a="1"/>
  <c r="AR197" i="52" a="1"/>
  <c r="AR198" i="52" a="1"/>
  <c r="AR183" i="52"/>
  <c r="AR184" i="52"/>
  <c r="AR185" i="52"/>
  <c r="AR186" i="52"/>
  <c r="AR187" i="52"/>
  <c r="AR188" i="52"/>
  <c r="AR189" i="52"/>
  <c r="AR190" i="52"/>
  <c r="AR191" i="52"/>
  <c r="AR192" i="52"/>
  <c r="AR193" i="52"/>
  <c r="AR194" i="52"/>
  <c r="AR195" i="52"/>
  <c r="AR196" i="52"/>
  <c r="AR197" i="52"/>
  <c r="AR198" i="52"/>
  <c r="AR180" i="52"/>
  <c r="AR201" i="52" a="1"/>
  <c r="AR201" i="52"/>
  <c r="AR202" i="52" a="1"/>
  <c r="AR202" i="52"/>
  <c r="AR203" i="52" a="1"/>
  <c r="AR204" i="52" a="1"/>
  <c r="AR205" i="52" a="1"/>
  <c r="AR206" i="52" a="1"/>
  <c r="AR207" i="52" a="1"/>
  <c r="AR208" i="52" a="1"/>
  <c r="AR209" i="52" a="1"/>
  <c r="AR210" i="52" a="1"/>
  <c r="AR211" i="52" a="1"/>
  <c r="AR212" i="52" a="1"/>
  <c r="AR213" i="52" a="1"/>
  <c r="AR214" i="52" a="1"/>
  <c r="AR215" i="52" a="1"/>
  <c r="AR216" i="52" a="1"/>
  <c r="AR217" i="52" a="1"/>
  <c r="AR218" i="52" a="1"/>
  <c r="AR219" i="52" a="1"/>
  <c r="AR220" i="52" a="1"/>
  <c r="AR221" i="52" a="1"/>
  <c r="AR222" i="52" a="1"/>
  <c r="AR223" i="52" a="1"/>
  <c r="AR224" i="52" a="1"/>
  <c r="AR203" i="52"/>
  <c r="AR204" i="52"/>
  <c r="AR205" i="52"/>
  <c r="AR206" i="52"/>
  <c r="AR207" i="52"/>
  <c r="AR208" i="52"/>
  <c r="AR209" i="52"/>
  <c r="AR210" i="52"/>
  <c r="AR211" i="52"/>
  <c r="AR212" i="52"/>
  <c r="AR213" i="52"/>
  <c r="AR214" i="52"/>
  <c r="AR215" i="52"/>
  <c r="AR216" i="52"/>
  <c r="AR217" i="52"/>
  <c r="AR218" i="52"/>
  <c r="AR219" i="52"/>
  <c r="AR220" i="52"/>
  <c r="AR221" i="52"/>
  <c r="AR222" i="52"/>
  <c r="AR223" i="52"/>
  <c r="AR224" i="52"/>
  <c r="AR200" i="52"/>
  <c r="AR227" i="52" a="1"/>
  <c r="AR227" i="52"/>
  <c r="AR228" i="52" a="1"/>
  <c r="AR228" i="52"/>
  <c r="AR229" i="52" a="1"/>
  <c r="AR230" i="52" a="1"/>
  <c r="AR231" i="52" a="1"/>
  <c r="AR232" i="52" a="1"/>
  <c r="AR233" i="52" a="1"/>
  <c r="AR234" i="52" a="1"/>
  <c r="AR235" i="52" a="1"/>
  <c r="AR236" i="52" a="1"/>
  <c r="AR237" i="52" a="1"/>
  <c r="AR238" i="52" a="1"/>
  <c r="AR239" i="52" a="1"/>
  <c r="AR240" i="52" a="1"/>
  <c r="AR241" i="52" a="1"/>
  <c r="AR242" i="52" a="1"/>
  <c r="AR243" i="52" a="1"/>
  <c r="AR244" i="52" a="1"/>
  <c r="AR229" i="52"/>
  <c r="AR230" i="52"/>
  <c r="AR231" i="52"/>
  <c r="AR232" i="52"/>
  <c r="AR233" i="52"/>
  <c r="AR234" i="52"/>
  <c r="AR235" i="52"/>
  <c r="AR236" i="52"/>
  <c r="AR237" i="52"/>
  <c r="AR238" i="52"/>
  <c r="AR239" i="52"/>
  <c r="AR240" i="52"/>
  <c r="AR241" i="52"/>
  <c r="AR242" i="52"/>
  <c r="AR243" i="52"/>
  <c r="AR244" i="52"/>
  <c r="AR226" i="52"/>
  <c r="AR247" i="52" a="1"/>
  <c r="AR247" i="52"/>
  <c r="AR248" i="52" a="1"/>
  <c r="AR248" i="52"/>
  <c r="AR249" i="52" a="1"/>
  <c r="AR250" i="52" a="1"/>
  <c r="AR251" i="52" a="1"/>
  <c r="AR252" i="52" a="1"/>
  <c r="AR249" i="52"/>
  <c r="AR250" i="52"/>
  <c r="AR251" i="52"/>
  <c r="AR252" i="52"/>
  <c r="AR246" i="52"/>
  <c r="AR255" i="52" a="1"/>
  <c r="AR255" i="52"/>
  <c r="AR256" i="52" a="1"/>
  <c r="AR256" i="52"/>
  <c r="AR257" i="52" a="1"/>
  <c r="AR258" i="52" a="1"/>
  <c r="AR259" i="52" a="1"/>
  <c r="AR260" i="52" a="1"/>
  <c r="AR257" i="52"/>
  <c r="AR258" i="52"/>
  <c r="AR259" i="52"/>
  <c r="AR260" i="52"/>
  <c r="AR254" i="52"/>
  <c r="AR158" i="52"/>
  <c r="AS161" i="52" a="1"/>
  <c r="AS161" i="52"/>
  <c r="AS162" i="52" a="1"/>
  <c r="AS162" i="52"/>
  <c r="AS163" i="52" a="1"/>
  <c r="AS164" i="52" a="1"/>
  <c r="AS165" i="52" a="1"/>
  <c r="AS166" i="52" a="1"/>
  <c r="AS167" i="52" a="1"/>
  <c r="AS168" i="52" a="1"/>
  <c r="AS169" i="52" a="1"/>
  <c r="AS170" i="52" a="1"/>
  <c r="AS171" i="52" a="1"/>
  <c r="AS172" i="52" a="1"/>
  <c r="AS173" i="52" a="1"/>
  <c r="AS174" i="52" a="1"/>
  <c r="AS175" i="52" a="1"/>
  <c r="AS176" i="52" a="1"/>
  <c r="AS177" i="52" a="1"/>
  <c r="AS178" i="52" a="1"/>
  <c r="AS163" i="52"/>
  <c r="AS164" i="52"/>
  <c r="AS165" i="52"/>
  <c r="AS166" i="52"/>
  <c r="AS167" i="52"/>
  <c r="AS168" i="52"/>
  <c r="AS169" i="52"/>
  <c r="AS170" i="52"/>
  <c r="AS171" i="52"/>
  <c r="AS172" i="52"/>
  <c r="AS173" i="52"/>
  <c r="AS174" i="52"/>
  <c r="AS175" i="52"/>
  <c r="AS176" i="52"/>
  <c r="AS177" i="52"/>
  <c r="AS178" i="52"/>
  <c r="AS160" i="52"/>
  <c r="AS181" i="52" a="1"/>
  <c r="AS181" i="52"/>
  <c r="AS182" i="52" a="1"/>
  <c r="AS182" i="52"/>
  <c r="AS183" i="52" a="1"/>
  <c r="AS184" i="52" a="1"/>
  <c r="AS185" i="52" a="1"/>
  <c r="AS186" i="52" a="1"/>
  <c r="AS187" i="52" a="1"/>
  <c r="AS188" i="52" a="1"/>
  <c r="AS189" i="52" a="1"/>
  <c r="AS190" i="52" a="1"/>
  <c r="AS191" i="52" a="1"/>
  <c r="AS192" i="52" a="1"/>
  <c r="AS193" i="52" a="1"/>
  <c r="AS194" i="52" a="1"/>
  <c r="AS195" i="52" a="1"/>
  <c r="AS196" i="52" a="1"/>
  <c r="AS197" i="52" a="1"/>
  <c r="AS198" i="52" a="1"/>
  <c r="AS183" i="52"/>
  <c r="AS184" i="52"/>
  <c r="AS185" i="52"/>
  <c r="AS186" i="52"/>
  <c r="AS187" i="52"/>
  <c r="AS188" i="52"/>
  <c r="AS189" i="52"/>
  <c r="AS190" i="52"/>
  <c r="AS191" i="52"/>
  <c r="AS192" i="52"/>
  <c r="AS193" i="52"/>
  <c r="AS194" i="52"/>
  <c r="AS195" i="52"/>
  <c r="AS196" i="52"/>
  <c r="AS197" i="52"/>
  <c r="AS198" i="52"/>
  <c r="AS180" i="52"/>
  <c r="AS201" i="52" a="1"/>
  <c r="AS201" i="52"/>
  <c r="AS202" i="52" a="1"/>
  <c r="AS202" i="52"/>
  <c r="AS203" i="52" a="1"/>
  <c r="AS204" i="52" a="1"/>
  <c r="AS205" i="52" a="1"/>
  <c r="AS206" i="52" a="1"/>
  <c r="AS207" i="52" a="1"/>
  <c r="AS208" i="52" a="1"/>
  <c r="AS209" i="52" a="1"/>
  <c r="AS210" i="52" a="1"/>
  <c r="AS211" i="52" a="1"/>
  <c r="AS212" i="52" a="1"/>
  <c r="AS213" i="52" a="1"/>
  <c r="AS214" i="52" a="1"/>
  <c r="AS215" i="52" a="1"/>
  <c r="AS216" i="52" a="1"/>
  <c r="AS217" i="52" a="1"/>
  <c r="AS218" i="52" a="1"/>
  <c r="AS219" i="52" a="1"/>
  <c r="AS220" i="52" a="1"/>
  <c r="AS221" i="52" a="1"/>
  <c r="AS222" i="52" a="1"/>
  <c r="AS223" i="52" a="1"/>
  <c r="AS224" i="52" a="1"/>
  <c r="AS203" i="52"/>
  <c r="AS204" i="52"/>
  <c r="AS205" i="52"/>
  <c r="AS206" i="52"/>
  <c r="AS207" i="52"/>
  <c r="AS208" i="52"/>
  <c r="AS209" i="52"/>
  <c r="AS210" i="52"/>
  <c r="AS211" i="52"/>
  <c r="AS212" i="52"/>
  <c r="AS213" i="52"/>
  <c r="AS214" i="52"/>
  <c r="AS215" i="52"/>
  <c r="AS216" i="52"/>
  <c r="AS217" i="52"/>
  <c r="AS218" i="52"/>
  <c r="AS219" i="52"/>
  <c r="AS220" i="52"/>
  <c r="AS221" i="52"/>
  <c r="AS222" i="52"/>
  <c r="AS223" i="52"/>
  <c r="AS224" i="52"/>
  <c r="AS200" i="52"/>
  <c r="AS227" i="52" a="1"/>
  <c r="AS227" i="52"/>
  <c r="AS228" i="52" a="1"/>
  <c r="AS228" i="52"/>
  <c r="AS229" i="52" a="1"/>
  <c r="AS230" i="52" a="1"/>
  <c r="AS231" i="52" a="1"/>
  <c r="AS232" i="52" a="1"/>
  <c r="AS233" i="52" a="1"/>
  <c r="AS234" i="52" a="1"/>
  <c r="AS235" i="52" a="1"/>
  <c r="AS236" i="52" a="1"/>
  <c r="AS237" i="52" a="1"/>
  <c r="AS238" i="52" a="1"/>
  <c r="AS239" i="52" a="1"/>
  <c r="AS240" i="52" a="1"/>
  <c r="AS241" i="52" a="1"/>
  <c r="AS242" i="52" a="1"/>
  <c r="AS243" i="52" a="1"/>
  <c r="AS244" i="52" a="1"/>
  <c r="AS229" i="52"/>
  <c r="AS230" i="52"/>
  <c r="AS231" i="52"/>
  <c r="AS232" i="52"/>
  <c r="AS233" i="52"/>
  <c r="AS234" i="52"/>
  <c r="AS235" i="52"/>
  <c r="AS236" i="52"/>
  <c r="AS237" i="52"/>
  <c r="AS238" i="52"/>
  <c r="AS239" i="52"/>
  <c r="AS240" i="52"/>
  <c r="AS241" i="52"/>
  <c r="AS242" i="52"/>
  <c r="AS243" i="52"/>
  <c r="AS244" i="52"/>
  <c r="AS226" i="52"/>
  <c r="AS247" i="52" a="1"/>
  <c r="AS247" i="52"/>
  <c r="AS248" i="52" a="1"/>
  <c r="AS248" i="52"/>
  <c r="AS249" i="52" a="1"/>
  <c r="AS250" i="52" a="1"/>
  <c r="AS251" i="52" a="1"/>
  <c r="AS252" i="52" a="1"/>
  <c r="AS249" i="52"/>
  <c r="AS250" i="52"/>
  <c r="AS251" i="52"/>
  <c r="AS252" i="52"/>
  <c r="AS246" i="52"/>
  <c r="AS255" i="52" a="1"/>
  <c r="AS255" i="52"/>
  <c r="AS256" i="52" a="1"/>
  <c r="AS256" i="52"/>
  <c r="AS257" i="52" a="1"/>
  <c r="AS258" i="52" a="1"/>
  <c r="AS259" i="52" a="1"/>
  <c r="AS260" i="52" a="1"/>
  <c r="AS257" i="52"/>
  <c r="AS258" i="52"/>
  <c r="AS259" i="52"/>
  <c r="AS260" i="52"/>
  <c r="AS254" i="52"/>
  <c r="AS158" i="52"/>
  <c r="AT161" i="52" a="1"/>
  <c r="AT161" i="52"/>
  <c r="AT162" i="52" a="1"/>
  <c r="AT162" i="52"/>
  <c r="AT163" i="52" a="1"/>
  <c r="AT164" i="52" a="1"/>
  <c r="AT165" i="52" a="1"/>
  <c r="AT166" i="52" a="1"/>
  <c r="AT167" i="52" a="1"/>
  <c r="AT168" i="52" a="1"/>
  <c r="AT169" i="52" a="1"/>
  <c r="AT170" i="52" a="1"/>
  <c r="AT171" i="52" a="1"/>
  <c r="AT172" i="52" a="1"/>
  <c r="AT173" i="52" a="1"/>
  <c r="AT174" i="52" a="1"/>
  <c r="AT175" i="52" a="1"/>
  <c r="AT176" i="52" a="1"/>
  <c r="AT177" i="52" a="1"/>
  <c r="AT178" i="52" a="1"/>
  <c r="AT163" i="52"/>
  <c r="AT164" i="52"/>
  <c r="AT165" i="52"/>
  <c r="AT166" i="52"/>
  <c r="AT167" i="52"/>
  <c r="AT168" i="52"/>
  <c r="AT169" i="52"/>
  <c r="AT170" i="52"/>
  <c r="AT171" i="52"/>
  <c r="AT172" i="52"/>
  <c r="AT173" i="52"/>
  <c r="AT174" i="52"/>
  <c r="AT175" i="52"/>
  <c r="AT176" i="52"/>
  <c r="AT177" i="52"/>
  <c r="AT178" i="52"/>
  <c r="AT160" i="52"/>
  <c r="AT181" i="52" a="1"/>
  <c r="AT181" i="52"/>
  <c r="AT182" i="52" a="1"/>
  <c r="AT182" i="52"/>
  <c r="AT183" i="52" a="1"/>
  <c r="AT184" i="52" a="1"/>
  <c r="AT185" i="52" a="1"/>
  <c r="AT186" i="52" a="1"/>
  <c r="AT187" i="52" a="1"/>
  <c r="AT188" i="52" a="1"/>
  <c r="AT189" i="52" a="1"/>
  <c r="AT190" i="52" a="1"/>
  <c r="AT191" i="52" a="1"/>
  <c r="AT192" i="52" a="1"/>
  <c r="AT193" i="52" a="1"/>
  <c r="AT194" i="52" a="1"/>
  <c r="AT195" i="52" a="1"/>
  <c r="AT196" i="52" a="1"/>
  <c r="AT197" i="52" a="1"/>
  <c r="AT198" i="52" a="1"/>
  <c r="AT183" i="52"/>
  <c r="AT184" i="52"/>
  <c r="AT185" i="52"/>
  <c r="AT186" i="52"/>
  <c r="AT187" i="52"/>
  <c r="AT188" i="52"/>
  <c r="AT189" i="52"/>
  <c r="AT190" i="52"/>
  <c r="AT191" i="52"/>
  <c r="AT192" i="52"/>
  <c r="AT193" i="52"/>
  <c r="AT194" i="52"/>
  <c r="AT195" i="52"/>
  <c r="AT196" i="52"/>
  <c r="AT197" i="52"/>
  <c r="AT198" i="52"/>
  <c r="AT180" i="52"/>
  <c r="AT201" i="52" a="1"/>
  <c r="AT201" i="52"/>
  <c r="AT202" i="52" a="1"/>
  <c r="AT202" i="52"/>
  <c r="AT203" i="52" a="1"/>
  <c r="AT204" i="52" a="1"/>
  <c r="AT205" i="52" a="1"/>
  <c r="AT206" i="52" a="1"/>
  <c r="AT207" i="52" a="1"/>
  <c r="AT208" i="52" a="1"/>
  <c r="AT209" i="52" a="1"/>
  <c r="AT210" i="52" a="1"/>
  <c r="AT211" i="52" a="1"/>
  <c r="AT212" i="52" a="1"/>
  <c r="AT213" i="52" a="1"/>
  <c r="AT214" i="52" a="1"/>
  <c r="AT215" i="52" a="1"/>
  <c r="AT216" i="52" a="1"/>
  <c r="AT217" i="52" a="1"/>
  <c r="AT218" i="52" a="1"/>
  <c r="AT219" i="52" a="1"/>
  <c r="AT220" i="52" a="1"/>
  <c r="AT221" i="52" a="1"/>
  <c r="AT222" i="52" a="1"/>
  <c r="AT223" i="52" a="1"/>
  <c r="AT224" i="52" a="1"/>
  <c r="AT203" i="52"/>
  <c r="AT204" i="52"/>
  <c r="AT205" i="52"/>
  <c r="AT206" i="52"/>
  <c r="AT207" i="52"/>
  <c r="AT208" i="52"/>
  <c r="AT209" i="52"/>
  <c r="AT210" i="52"/>
  <c r="AT211" i="52"/>
  <c r="AT212" i="52"/>
  <c r="AT213" i="52"/>
  <c r="AT214" i="52"/>
  <c r="AT215" i="52"/>
  <c r="AT216" i="52"/>
  <c r="AT217" i="52"/>
  <c r="AT218" i="52"/>
  <c r="AT219" i="52"/>
  <c r="AT220" i="52"/>
  <c r="AT221" i="52"/>
  <c r="AT222" i="52"/>
  <c r="AT223" i="52"/>
  <c r="AT224" i="52"/>
  <c r="AT200" i="52"/>
  <c r="AT227" i="52" a="1"/>
  <c r="AT227" i="52"/>
  <c r="AT228" i="52" a="1"/>
  <c r="AT228" i="52"/>
  <c r="AT229" i="52" a="1"/>
  <c r="AT230" i="52" a="1"/>
  <c r="AT231" i="52" a="1"/>
  <c r="AT232" i="52" a="1"/>
  <c r="AT233" i="52" a="1"/>
  <c r="AT234" i="52" a="1"/>
  <c r="AT235" i="52" a="1"/>
  <c r="AT236" i="52" a="1"/>
  <c r="AT237" i="52" a="1"/>
  <c r="AT238" i="52" a="1"/>
  <c r="AT239" i="52" a="1"/>
  <c r="AT240" i="52" a="1"/>
  <c r="AT241" i="52" a="1"/>
  <c r="AT242" i="52" a="1"/>
  <c r="AT243" i="52" a="1"/>
  <c r="AT244" i="52" a="1"/>
  <c r="AT229" i="52"/>
  <c r="AT230" i="52"/>
  <c r="AT231" i="52"/>
  <c r="AT232" i="52"/>
  <c r="AT233" i="52"/>
  <c r="AT234" i="52"/>
  <c r="AT235" i="52"/>
  <c r="AT236" i="52"/>
  <c r="AT237" i="52"/>
  <c r="AT238" i="52"/>
  <c r="AT239" i="52"/>
  <c r="AT240" i="52"/>
  <c r="AT241" i="52"/>
  <c r="AT242" i="52"/>
  <c r="AT243" i="52"/>
  <c r="AT244" i="52"/>
  <c r="AT226" i="52"/>
  <c r="AT247" i="52" a="1"/>
  <c r="AT247" i="52"/>
  <c r="AT248" i="52" a="1"/>
  <c r="AT248" i="52"/>
  <c r="AT249" i="52" a="1"/>
  <c r="AT250" i="52" a="1"/>
  <c r="AT251" i="52" a="1"/>
  <c r="AT252" i="52" a="1"/>
  <c r="AT249" i="52"/>
  <c r="AT250" i="52"/>
  <c r="AT251" i="52"/>
  <c r="AT252" i="52"/>
  <c r="AT246" i="52"/>
  <c r="AT255" i="52" a="1"/>
  <c r="AT255" i="52"/>
  <c r="AT256" i="52" a="1"/>
  <c r="AT256" i="52"/>
  <c r="AT257" i="52" a="1"/>
  <c r="AT258" i="52" a="1"/>
  <c r="AT259" i="52" a="1"/>
  <c r="AT260" i="52" a="1"/>
  <c r="AT257" i="52"/>
  <c r="AT258" i="52"/>
  <c r="AT259" i="52"/>
  <c r="AT260" i="52"/>
  <c r="AT254" i="52"/>
  <c r="AT158" i="52"/>
  <c r="AU161" i="52" a="1"/>
  <c r="AU161" i="52"/>
  <c r="AU162" i="52" a="1"/>
  <c r="AU162" i="52"/>
  <c r="AU163" i="52" a="1"/>
  <c r="AU164" i="52" a="1"/>
  <c r="AU165" i="52" a="1"/>
  <c r="AU166" i="52" a="1"/>
  <c r="AU167" i="52" a="1"/>
  <c r="AU168" i="52" a="1"/>
  <c r="AU169" i="52" a="1"/>
  <c r="AU170" i="52" a="1"/>
  <c r="AU171" i="52" a="1"/>
  <c r="AU172" i="52" a="1"/>
  <c r="AU173" i="52" a="1"/>
  <c r="AU174" i="52" a="1"/>
  <c r="AU175" i="52" a="1"/>
  <c r="AU176" i="52" a="1"/>
  <c r="AU177" i="52" a="1"/>
  <c r="AU178" i="52" a="1"/>
  <c r="AU163" i="52"/>
  <c r="AU164" i="52"/>
  <c r="AU165" i="52"/>
  <c r="AU166" i="52"/>
  <c r="AU167" i="52"/>
  <c r="AU168" i="52"/>
  <c r="AU169" i="52"/>
  <c r="AU170" i="52"/>
  <c r="AU171" i="52"/>
  <c r="AU172" i="52"/>
  <c r="AU173" i="52"/>
  <c r="AU174" i="52"/>
  <c r="AU175" i="52"/>
  <c r="AU176" i="52"/>
  <c r="AU177" i="52"/>
  <c r="AU178" i="52"/>
  <c r="AU160" i="52"/>
  <c r="AU181" i="52" a="1"/>
  <c r="AU181" i="52"/>
  <c r="AU182" i="52" a="1"/>
  <c r="AU182" i="52"/>
  <c r="AU183" i="52" a="1"/>
  <c r="AU184" i="52" a="1"/>
  <c r="AU185" i="52" a="1"/>
  <c r="AU186" i="52" a="1"/>
  <c r="AU187" i="52" a="1"/>
  <c r="AU188" i="52" a="1"/>
  <c r="AU189" i="52" a="1"/>
  <c r="AU190" i="52" a="1"/>
  <c r="AU191" i="52" a="1"/>
  <c r="AU192" i="52" a="1"/>
  <c r="AU193" i="52" a="1"/>
  <c r="AU194" i="52" a="1"/>
  <c r="AU195" i="52" a="1"/>
  <c r="AU196" i="52" a="1"/>
  <c r="AU197" i="52" a="1"/>
  <c r="AU198" i="52" a="1"/>
  <c r="AU183" i="52"/>
  <c r="AU184" i="52"/>
  <c r="AU185" i="52"/>
  <c r="AU186" i="52"/>
  <c r="AU187" i="52"/>
  <c r="AU188" i="52"/>
  <c r="AU189" i="52"/>
  <c r="AU190" i="52"/>
  <c r="AU191" i="52"/>
  <c r="AU192" i="52"/>
  <c r="AU193" i="52"/>
  <c r="AU194" i="52"/>
  <c r="AU195" i="52"/>
  <c r="AU196" i="52"/>
  <c r="AU197" i="52"/>
  <c r="AU198" i="52"/>
  <c r="AU180" i="52"/>
  <c r="AU201" i="52" a="1"/>
  <c r="AU201" i="52"/>
  <c r="AU202" i="52" a="1"/>
  <c r="AU202" i="52"/>
  <c r="AU203" i="52" a="1"/>
  <c r="AU204" i="52" a="1"/>
  <c r="AU205" i="52" a="1"/>
  <c r="AU206" i="52" a="1"/>
  <c r="AU207" i="52" a="1"/>
  <c r="AU208" i="52" a="1"/>
  <c r="AU209" i="52" a="1"/>
  <c r="AU210" i="52" a="1"/>
  <c r="AU211" i="52" a="1"/>
  <c r="AU212" i="52" a="1"/>
  <c r="AU213" i="52" a="1"/>
  <c r="AU214" i="52" a="1"/>
  <c r="AU215" i="52" a="1"/>
  <c r="AU216" i="52" a="1"/>
  <c r="AU217" i="52" a="1"/>
  <c r="AU218" i="52" a="1"/>
  <c r="AU219" i="52" a="1"/>
  <c r="AU220" i="52" a="1"/>
  <c r="AU221" i="52" a="1"/>
  <c r="AU222" i="52" a="1"/>
  <c r="AU223" i="52" a="1"/>
  <c r="AU224" i="52" a="1"/>
  <c r="AU203" i="52"/>
  <c r="AU204" i="52"/>
  <c r="AU205" i="52"/>
  <c r="AU206" i="52"/>
  <c r="AU207" i="52"/>
  <c r="AU208" i="52"/>
  <c r="AU209" i="52"/>
  <c r="AU210" i="52"/>
  <c r="AU211" i="52"/>
  <c r="AU212" i="52"/>
  <c r="AU213" i="52"/>
  <c r="AU214" i="52"/>
  <c r="AU215" i="52"/>
  <c r="AU216" i="52"/>
  <c r="AU217" i="52"/>
  <c r="AU218" i="52"/>
  <c r="AU219" i="52"/>
  <c r="AU220" i="52"/>
  <c r="AU221" i="52"/>
  <c r="AU222" i="52"/>
  <c r="AU223" i="52"/>
  <c r="AU224" i="52"/>
  <c r="AU200" i="52"/>
  <c r="AU227" i="52" a="1"/>
  <c r="AU227" i="52"/>
  <c r="AU228" i="52" a="1"/>
  <c r="AU228" i="52"/>
  <c r="AU229" i="52" a="1"/>
  <c r="AU230" i="52" a="1"/>
  <c r="AU231" i="52" a="1"/>
  <c r="AU232" i="52" a="1"/>
  <c r="AU233" i="52" a="1"/>
  <c r="AU234" i="52" a="1"/>
  <c r="AU235" i="52" a="1"/>
  <c r="AU236" i="52" a="1"/>
  <c r="AU237" i="52" a="1"/>
  <c r="AU238" i="52" a="1"/>
  <c r="AU239" i="52" a="1"/>
  <c r="AU240" i="52" a="1"/>
  <c r="AU241" i="52" a="1"/>
  <c r="AU242" i="52" a="1"/>
  <c r="AU243" i="52" a="1"/>
  <c r="AU244" i="52" a="1"/>
  <c r="AU229" i="52"/>
  <c r="AU230" i="52"/>
  <c r="AU231" i="52"/>
  <c r="AU232" i="52"/>
  <c r="AU233" i="52"/>
  <c r="AU234" i="52"/>
  <c r="AU235" i="52"/>
  <c r="AU236" i="52"/>
  <c r="AU237" i="52"/>
  <c r="AU238" i="52"/>
  <c r="AU239" i="52"/>
  <c r="AU240" i="52"/>
  <c r="AU241" i="52"/>
  <c r="AU242" i="52"/>
  <c r="AU243" i="52"/>
  <c r="AU244" i="52"/>
  <c r="AU226" i="52"/>
  <c r="AU247" i="52" a="1"/>
  <c r="AU247" i="52"/>
  <c r="AU248" i="52" a="1"/>
  <c r="AU248" i="52"/>
  <c r="AU249" i="52" a="1"/>
  <c r="AU250" i="52" a="1"/>
  <c r="AU251" i="52" a="1"/>
  <c r="AU252" i="52" a="1"/>
  <c r="AU249" i="52"/>
  <c r="AU250" i="52"/>
  <c r="AU251" i="52"/>
  <c r="AU252" i="52"/>
  <c r="AU246" i="52"/>
  <c r="AU255" i="52" a="1"/>
  <c r="AU255" i="52"/>
  <c r="AU256" i="52" a="1"/>
  <c r="AU256" i="52"/>
  <c r="AU257" i="52" a="1"/>
  <c r="AU258" i="52" a="1"/>
  <c r="AU259" i="52" a="1"/>
  <c r="AU260" i="52" a="1"/>
  <c r="AU257" i="52"/>
  <c r="AU258" i="52"/>
  <c r="AU259" i="52"/>
  <c r="AU260" i="52"/>
  <c r="AU254" i="52"/>
  <c r="AU158" i="52"/>
  <c r="AV161" i="52" a="1"/>
  <c r="AV161" i="52"/>
  <c r="AV162" i="52" a="1"/>
  <c r="AV162" i="52"/>
  <c r="AV163" i="52" a="1"/>
  <c r="AV164" i="52" a="1"/>
  <c r="AV165" i="52" a="1"/>
  <c r="AV166" i="52" a="1"/>
  <c r="AV167" i="52" a="1"/>
  <c r="AV168" i="52" a="1"/>
  <c r="AV169" i="52" a="1"/>
  <c r="AV170" i="52" a="1"/>
  <c r="AV171" i="52" a="1"/>
  <c r="AV172" i="52" a="1"/>
  <c r="AV173" i="52" a="1"/>
  <c r="AV174" i="52" a="1"/>
  <c r="AV175" i="52" a="1"/>
  <c r="AV176" i="52" a="1"/>
  <c r="AV177" i="52" a="1"/>
  <c r="AV178" i="52" a="1"/>
  <c r="AV163" i="52"/>
  <c r="AV164" i="52"/>
  <c r="AV165" i="52"/>
  <c r="AV166" i="52"/>
  <c r="AV167" i="52"/>
  <c r="AV168" i="52"/>
  <c r="AV169" i="52"/>
  <c r="AV170" i="52"/>
  <c r="AV171" i="52"/>
  <c r="AV172" i="52"/>
  <c r="AV173" i="52"/>
  <c r="AV174" i="52"/>
  <c r="AV175" i="52"/>
  <c r="AV176" i="52"/>
  <c r="AV177" i="52"/>
  <c r="AV178" i="52"/>
  <c r="AV160" i="52"/>
  <c r="AV181" i="52" a="1"/>
  <c r="AV181" i="52"/>
  <c r="AV182" i="52" a="1"/>
  <c r="AV182" i="52"/>
  <c r="AV183" i="52" a="1"/>
  <c r="AV184" i="52" a="1"/>
  <c r="AV185" i="52" a="1"/>
  <c r="AV186" i="52" a="1"/>
  <c r="AV187" i="52" a="1"/>
  <c r="AV188" i="52" a="1"/>
  <c r="AV189" i="52" a="1"/>
  <c r="AV190" i="52" a="1"/>
  <c r="AV191" i="52" a="1"/>
  <c r="AV192" i="52" a="1"/>
  <c r="AV193" i="52" a="1"/>
  <c r="AV194" i="52" a="1"/>
  <c r="AV195" i="52" a="1"/>
  <c r="AV196" i="52" a="1"/>
  <c r="AV197" i="52" a="1"/>
  <c r="AV198" i="52" a="1"/>
  <c r="AV183" i="52"/>
  <c r="AV184" i="52"/>
  <c r="AV185" i="52"/>
  <c r="AV186" i="52"/>
  <c r="AV187" i="52"/>
  <c r="AV188" i="52"/>
  <c r="AV189" i="52"/>
  <c r="AV190" i="52"/>
  <c r="AV191" i="52"/>
  <c r="AV192" i="52"/>
  <c r="AV193" i="52"/>
  <c r="AV194" i="52"/>
  <c r="AV195" i="52"/>
  <c r="AV196" i="52"/>
  <c r="AV197" i="52"/>
  <c r="AV198" i="52"/>
  <c r="AV180" i="52"/>
  <c r="AV201" i="52" a="1"/>
  <c r="AV201" i="52"/>
  <c r="AV202" i="52" a="1"/>
  <c r="AV202" i="52"/>
  <c r="AV203" i="52" a="1"/>
  <c r="AV204" i="52" a="1"/>
  <c r="AV205" i="52" a="1"/>
  <c r="AV206" i="52" a="1"/>
  <c r="AV207" i="52" a="1"/>
  <c r="AV208" i="52" a="1"/>
  <c r="AV209" i="52" a="1"/>
  <c r="AV210" i="52" a="1"/>
  <c r="AV211" i="52" a="1"/>
  <c r="AV212" i="52" a="1"/>
  <c r="AV213" i="52" a="1"/>
  <c r="AV214" i="52" a="1"/>
  <c r="AV215" i="52" a="1"/>
  <c r="AV216" i="52" a="1"/>
  <c r="AV217" i="52" a="1"/>
  <c r="AV218" i="52" a="1"/>
  <c r="AV219" i="52" a="1"/>
  <c r="AV220" i="52" a="1"/>
  <c r="AV221" i="52" a="1"/>
  <c r="AV222" i="52" a="1"/>
  <c r="AV223" i="52" a="1"/>
  <c r="AV224" i="52" a="1"/>
  <c r="AV203" i="52"/>
  <c r="AV204" i="52"/>
  <c r="AV205" i="52"/>
  <c r="AV206" i="52"/>
  <c r="AV207" i="52"/>
  <c r="AV208" i="52"/>
  <c r="AV209" i="52"/>
  <c r="AV210" i="52"/>
  <c r="AV211" i="52"/>
  <c r="AV212" i="52"/>
  <c r="AV213" i="52"/>
  <c r="AV214" i="52"/>
  <c r="AV215" i="52"/>
  <c r="AV216" i="52"/>
  <c r="AV217" i="52"/>
  <c r="AV218" i="52"/>
  <c r="AV219" i="52"/>
  <c r="AV220" i="52"/>
  <c r="AV221" i="52"/>
  <c r="AV222" i="52"/>
  <c r="AV223" i="52"/>
  <c r="AV224" i="52"/>
  <c r="AV200" i="52"/>
  <c r="AV227" i="52" a="1"/>
  <c r="AV227" i="52"/>
  <c r="AV228" i="52" a="1"/>
  <c r="AV228" i="52"/>
  <c r="AV229" i="52" a="1"/>
  <c r="AV230" i="52" a="1"/>
  <c r="AV231" i="52" a="1"/>
  <c r="AV232" i="52" a="1"/>
  <c r="AV233" i="52" a="1"/>
  <c r="AV234" i="52" a="1"/>
  <c r="AV235" i="52" a="1"/>
  <c r="AV236" i="52" a="1"/>
  <c r="AV237" i="52" a="1"/>
  <c r="AV238" i="52" a="1"/>
  <c r="AV239" i="52" a="1"/>
  <c r="AV240" i="52" a="1"/>
  <c r="AV241" i="52" a="1"/>
  <c r="AV242" i="52" a="1"/>
  <c r="AV243" i="52" a="1"/>
  <c r="AV244" i="52" a="1"/>
  <c r="AV229" i="52"/>
  <c r="AV230" i="52"/>
  <c r="AV231" i="52"/>
  <c r="AV232" i="52"/>
  <c r="AV233" i="52"/>
  <c r="AV234" i="52"/>
  <c r="AV235" i="52"/>
  <c r="AV236" i="52"/>
  <c r="AV237" i="52"/>
  <c r="AV238" i="52"/>
  <c r="AV239" i="52"/>
  <c r="AV240" i="52"/>
  <c r="AV241" i="52"/>
  <c r="AV242" i="52"/>
  <c r="AV243" i="52"/>
  <c r="AV244" i="52"/>
  <c r="AV226" i="52"/>
  <c r="AV247" i="52" a="1"/>
  <c r="AV247" i="52"/>
  <c r="AV248" i="52" a="1"/>
  <c r="AV248" i="52"/>
  <c r="AV249" i="52" a="1"/>
  <c r="AV250" i="52" a="1"/>
  <c r="AV251" i="52" a="1"/>
  <c r="AV252" i="52" a="1"/>
  <c r="AV249" i="52"/>
  <c r="AV250" i="52"/>
  <c r="AV251" i="52"/>
  <c r="AV252" i="52"/>
  <c r="AV246" i="52"/>
  <c r="AV255" i="52" a="1"/>
  <c r="AV255" i="52"/>
  <c r="AV256" i="52" a="1"/>
  <c r="AV256" i="52"/>
  <c r="AV257" i="52" a="1"/>
  <c r="AV258" i="52" a="1"/>
  <c r="AV259" i="52" a="1"/>
  <c r="AV260" i="52" a="1"/>
  <c r="AV257" i="52"/>
  <c r="AV258" i="52"/>
  <c r="AV259" i="52"/>
  <c r="AV260" i="52"/>
  <c r="AV254" i="52"/>
  <c r="AV158" i="52"/>
  <c r="AW161" i="52" a="1"/>
  <c r="AW161" i="52"/>
  <c r="AW162" i="52" a="1"/>
  <c r="AW162" i="52"/>
  <c r="AW163" i="52" a="1"/>
  <c r="AW164" i="52" a="1"/>
  <c r="AW165" i="52" a="1"/>
  <c r="AW166" i="52" a="1"/>
  <c r="AW167" i="52" a="1"/>
  <c r="AW168" i="52" a="1"/>
  <c r="AW169" i="52" a="1"/>
  <c r="AW170" i="52" a="1"/>
  <c r="AW171" i="52" a="1"/>
  <c r="AW172" i="52" a="1"/>
  <c r="AW173" i="52" a="1"/>
  <c r="AW174" i="52" a="1"/>
  <c r="AW175" i="52" a="1"/>
  <c r="AW176" i="52" a="1"/>
  <c r="AW177" i="52" a="1"/>
  <c r="AW178" i="52" a="1"/>
  <c r="AW163" i="52"/>
  <c r="AW164" i="52"/>
  <c r="AW165" i="52"/>
  <c r="AW166" i="52"/>
  <c r="AW167" i="52"/>
  <c r="AW168" i="52"/>
  <c r="AW169" i="52"/>
  <c r="AW170" i="52"/>
  <c r="AW171" i="52"/>
  <c r="AW172" i="52"/>
  <c r="AW173" i="52"/>
  <c r="AW174" i="52"/>
  <c r="AW175" i="52"/>
  <c r="AW176" i="52"/>
  <c r="AW177" i="52"/>
  <c r="AW178" i="52"/>
  <c r="AW160" i="52"/>
  <c r="AW181" i="52" a="1"/>
  <c r="AW181" i="52"/>
  <c r="AW182" i="52" a="1"/>
  <c r="AW182" i="52"/>
  <c r="AW183" i="52" a="1"/>
  <c r="AW184" i="52" a="1"/>
  <c r="AW185" i="52" a="1"/>
  <c r="AW186" i="52" a="1"/>
  <c r="AW187" i="52" a="1"/>
  <c r="AW188" i="52" a="1"/>
  <c r="AW189" i="52" a="1"/>
  <c r="AW190" i="52" a="1"/>
  <c r="AW191" i="52" a="1"/>
  <c r="AW192" i="52" a="1"/>
  <c r="AW193" i="52" a="1"/>
  <c r="AW194" i="52" a="1"/>
  <c r="AW195" i="52" a="1"/>
  <c r="AW196" i="52" a="1"/>
  <c r="AW197" i="52" a="1"/>
  <c r="AW198" i="52" a="1"/>
  <c r="AW183" i="52"/>
  <c r="AW184" i="52"/>
  <c r="AW185" i="52"/>
  <c r="AW186" i="52"/>
  <c r="AW187" i="52"/>
  <c r="AW188" i="52"/>
  <c r="AW189" i="52"/>
  <c r="AW190" i="52"/>
  <c r="AW191" i="52"/>
  <c r="AW192" i="52"/>
  <c r="AW193" i="52"/>
  <c r="AW194" i="52"/>
  <c r="AW195" i="52"/>
  <c r="AW196" i="52"/>
  <c r="AW197" i="52"/>
  <c r="AW198" i="52"/>
  <c r="AW180" i="52"/>
  <c r="AW201" i="52" a="1"/>
  <c r="AW201" i="52"/>
  <c r="AW202" i="52" a="1"/>
  <c r="AW202" i="52"/>
  <c r="AW203" i="52" a="1"/>
  <c r="AW204" i="52" a="1"/>
  <c r="AW205" i="52" a="1"/>
  <c r="AW206" i="52" a="1"/>
  <c r="AW207" i="52" a="1"/>
  <c r="AW208" i="52" a="1"/>
  <c r="AW209" i="52" a="1"/>
  <c r="AW210" i="52" a="1"/>
  <c r="AW211" i="52" a="1"/>
  <c r="AW212" i="52" a="1"/>
  <c r="AW213" i="52" a="1"/>
  <c r="AW214" i="52" a="1"/>
  <c r="AW215" i="52" a="1"/>
  <c r="AW216" i="52" a="1"/>
  <c r="AW217" i="52" a="1"/>
  <c r="AW218" i="52" a="1"/>
  <c r="AW219" i="52" a="1"/>
  <c r="AW220" i="52" a="1"/>
  <c r="AW221" i="52" a="1"/>
  <c r="AW222" i="52" a="1"/>
  <c r="AW223" i="52" a="1"/>
  <c r="AW224" i="52" a="1"/>
  <c r="AW203" i="52"/>
  <c r="AW204" i="52"/>
  <c r="AW205" i="52"/>
  <c r="AW206" i="52"/>
  <c r="AW207" i="52"/>
  <c r="AW208" i="52"/>
  <c r="AW209" i="52"/>
  <c r="AW210" i="52"/>
  <c r="AW211" i="52"/>
  <c r="AW212" i="52"/>
  <c r="AW213" i="52"/>
  <c r="AW214" i="52"/>
  <c r="AW215" i="52"/>
  <c r="AW216" i="52"/>
  <c r="AW217" i="52"/>
  <c r="AW218" i="52"/>
  <c r="AW219" i="52"/>
  <c r="AW220" i="52"/>
  <c r="AW221" i="52"/>
  <c r="AW222" i="52"/>
  <c r="AW223" i="52"/>
  <c r="AW224" i="52"/>
  <c r="AW200" i="52"/>
  <c r="AW227" i="52" a="1"/>
  <c r="AW227" i="52"/>
  <c r="AW228" i="52" a="1"/>
  <c r="AW228" i="52"/>
  <c r="AW229" i="52" a="1"/>
  <c r="AW230" i="52" a="1"/>
  <c r="AW231" i="52" a="1"/>
  <c r="AW232" i="52" a="1"/>
  <c r="AW233" i="52" a="1"/>
  <c r="AW234" i="52" a="1"/>
  <c r="AW235" i="52" a="1"/>
  <c r="AW236" i="52" a="1"/>
  <c r="AW237" i="52" a="1"/>
  <c r="AW238" i="52" a="1"/>
  <c r="AW239" i="52" a="1"/>
  <c r="AW240" i="52" a="1"/>
  <c r="AW241" i="52" a="1"/>
  <c r="AW242" i="52" a="1"/>
  <c r="AW243" i="52" a="1"/>
  <c r="AW244" i="52" a="1"/>
  <c r="AW229" i="52"/>
  <c r="AW230" i="52"/>
  <c r="AW231" i="52"/>
  <c r="AW232" i="52"/>
  <c r="AW233" i="52"/>
  <c r="AW234" i="52"/>
  <c r="AW235" i="52"/>
  <c r="AW236" i="52"/>
  <c r="AW237" i="52"/>
  <c r="AW238" i="52"/>
  <c r="AW239" i="52"/>
  <c r="AW240" i="52"/>
  <c r="AW241" i="52"/>
  <c r="AW242" i="52"/>
  <c r="AW243" i="52"/>
  <c r="AW244" i="52"/>
  <c r="AW226" i="52"/>
  <c r="AW247" i="52" a="1"/>
  <c r="AW247" i="52"/>
  <c r="AW248" i="52" a="1"/>
  <c r="AW248" i="52"/>
  <c r="AW249" i="52" a="1"/>
  <c r="AW250" i="52" a="1"/>
  <c r="AW251" i="52" a="1"/>
  <c r="AW252" i="52" a="1"/>
  <c r="AW249" i="52"/>
  <c r="AW250" i="52"/>
  <c r="AW251" i="52"/>
  <c r="AW252" i="52"/>
  <c r="AW246" i="52"/>
  <c r="AW255" i="52" a="1"/>
  <c r="AW255" i="52"/>
  <c r="AW256" i="52" a="1"/>
  <c r="AW256" i="52"/>
  <c r="AW257" i="52" a="1"/>
  <c r="AW258" i="52" a="1"/>
  <c r="AW259" i="52" a="1"/>
  <c r="AW260" i="52" a="1"/>
  <c r="AW257" i="52"/>
  <c r="AW258" i="52"/>
  <c r="AW259" i="52"/>
  <c r="AW260" i="52"/>
  <c r="AW254" i="52"/>
  <c r="AW158" i="52"/>
  <c r="AX161" i="52" a="1"/>
  <c r="AX161" i="52"/>
  <c r="AX162" i="52" a="1"/>
  <c r="AX162" i="52"/>
  <c r="AX163" i="52" a="1"/>
  <c r="AX164" i="52" a="1"/>
  <c r="AX165" i="52" a="1"/>
  <c r="AX166" i="52" a="1"/>
  <c r="AX167" i="52" a="1"/>
  <c r="AX168" i="52" a="1"/>
  <c r="AX169" i="52" a="1"/>
  <c r="AX170" i="52" a="1"/>
  <c r="AX171" i="52" a="1"/>
  <c r="AX172" i="52" a="1"/>
  <c r="AX173" i="52" a="1"/>
  <c r="AX174" i="52" a="1"/>
  <c r="AX175" i="52" a="1"/>
  <c r="AX176" i="52" a="1"/>
  <c r="AX177" i="52" a="1"/>
  <c r="AX178" i="52" a="1"/>
  <c r="AX163" i="52"/>
  <c r="AX164" i="52"/>
  <c r="AX165" i="52"/>
  <c r="AX166" i="52"/>
  <c r="AX167" i="52"/>
  <c r="AX168" i="52"/>
  <c r="AX169" i="52"/>
  <c r="AX170" i="52"/>
  <c r="AX171" i="52"/>
  <c r="AX172" i="52"/>
  <c r="AX173" i="52"/>
  <c r="AX174" i="52"/>
  <c r="AX175" i="52"/>
  <c r="AX176" i="52"/>
  <c r="AX177" i="52"/>
  <c r="AX178" i="52"/>
  <c r="AX160" i="52"/>
  <c r="AX181" i="52" a="1"/>
  <c r="AX181" i="52"/>
  <c r="AX182" i="52" a="1"/>
  <c r="AX182" i="52"/>
  <c r="AX183" i="52" a="1"/>
  <c r="AX184" i="52" a="1"/>
  <c r="AX185" i="52" a="1"/>
  <c r="AX186" i="52" a="1"/>
  <c r="AX187" i="52" a="1"/>
  <c r="AX188" i="52" a="1"/>
  <c r="AX189" i="52" a="1"/>
  <c r="AX190" i="52" a="1"/>
  <c r="AX191" i="52" a="1"/>
  <c r="AX192" i="52" a="1"/>
  <c r="AX193" i="52" a="1"/>
  <c r="AX194" i="52" a="1"/>
  <c r="AX195" i="52" a="1"/>
  <c r="AX196" i="52" a="1"/>
  <c r="AX197" i="52" a="1"/>
  <c r="AX198" i="52" a="1"/>
  <c r="AX183" i="52"/>
  <c r="AX184" i="52"/>
  <c r="AX185" i="52"/>
  <c r="AX186" i="52"/>
  <c r="AX187" i="52"/>
  <c r="AX188" i="52"/>
  <c r="AX189" i="52"/>
  <c r="AX190" i="52"/>
  <c r="AX191" i="52"/>
  <c r="AX192" i="52"/>
  <c r="AX193" i="52"/>
  <c r="AX194" i="52"/>
  <c r="AX195" i="52"/>
  <c r="AX196" i="52"/>
  <c r="AX197" i="52"/>
  <c r="AX198" i="52"/>
  <c r="AX180" i="52"/>
  <c r="AX201" i="52" a="1"/>
  <c r="AX201" i="52"/>
  <c r="AX202" i="52" a="1"/>
  <c r="AX202" i="52"/>
  <c r="AX203" i="52" a="1"/>
  <c r="AX204" i="52" a="1"/>
  <c r="AX205" i="52" a="1"/>
  <c r="AX206" i="52" a="1"/>
  <c r="AX207" i="52" a="1"/>
  <c r="AX208" i="52" a="1"/>
  <c r="AX209" i="52" a="1"/>
  <c r="AX210" i="52" a="1"/>
  <c r="AX211" i="52" a="1"/>
  <c r="AX212" i="52" a="1"/>
  <c r="AX213" i="52" a="1"/>
  <c r="AX214" i="52" a="1"/>
  <c r="AX215" i="52" a="1"/>
  <c r="AX216" i="52" a="1"/>
  <c r="AX217" i="52" a="1"/>
  <c r="AX218" i="52" a="1"/>
  <c r="AX219" i="52" a="1"/>
  <c r="AX220" i="52" a="1"/>
  <c r="AX221" i="52" a="1"/>
  <c r="AX222" i="52" a="1"/>
  <c r="AX223" i="52" a="1"/>
  <c r="AX224" i="52" a="1"/>
  <c r="AX203" i="52"/>
  <c r="AX204" i="52"/>
  <c r="AX205" i="52"/>
  <c r="AX206" i="52"/>
  <c r="AX207" i="52"/>
  <c r="AX208" i="52"/>
  <c r="AX209" i="52"/>
  <c r="AX210" i="52"/>
  <c r="AX211" i="52"/>
  <c r="AX212" i="52"/>
  <c r="AX213" i="52"/>
  <c r="AX214" i="52"/>
  <c r="AX215" i="52"/>
  <c r="AX216" i="52"/>
  <c r="AX217" i="52"/>
  <c r="AX218" i="52"/>
  <c r="AX219" i="52"/>
  <c r="AX220" i="52"/>
  <c r="AX221" i="52"/>
  <c r="AX222" i="52"/>
  <c r="AX223" i="52"/>
  <c r="AX224" i="52"/>
  <c r="AX200" i="52"/>
  <c r="AX227" i="52" a="1"/>
  <c r="AX227" i="52"/>
  <c r="AX228" i="52" a="1"/>
  <c r="AX228" i="52"/>
  <c r="AX229" i="52" a="1"/>
  <c r="AX230" i="52" a="1"/>
  <c r="AX231" i="52" a="1"/>
  <c r="AX232" i="52" a="1"/>
  <c r="AX233" i="52" a="1"/>
  <c r="AX234" i="52" a="1"/>
  <c r="AX235" i="52" a="1"/>
  <c r="AX236" i="52" a="1"/>
  <c r="AX237" i="52" a="1"/>
  <c r="AX238" i="52" a="1"/>
  <c r="AX239" i="52" a="1"/>
  <c r="AX240" i="52" a="1"/>
  <c r="AX241" i="52" a="1"/>
  <c r="AX242" i="52" a="1"/>
  <c r="AX243" i="52" a="1"/>
  <c r="AX244" i="52" a="1"/>
  <c r="AX229" i="52"/>
  <c r="AX230" i="52"/>
  <c r="AX231" i="52"/>
  <c r="AX232" i="52"/>
  <c r="AX233" i="52"/>
  <c r="AX234" i="52"/>
  <c r="AX235" i="52"/>
  <c r="AX236" i="52"/>
  <c r="AX237" i="52"/>
  <c r="AX238" i="52"/>
  <c r="AX239" i="52"/>
  <c r="AX240" i="52"/>
  <c r="AX241" i="52"/>
  <c r="AX242" i="52"/>
  <c r="AX243" i="52"/>
  <c r="AX244" i="52"/>
  <c r="AX226" i="52"/>
  <c r="AX247" i="52" a="1"/>
  <c r="AX247" i="52"/>
  <c r="AX248" i="52" a="1"/>
  <c r="AX248" i="52"/>
  <c r="AX249" i="52" a="1"/>
  <c r="AX250" i="52" a="1"/>
  <c r="AX251" i="52" a="1"/>
  <c r="AX252" i="52" a="1"/>
  <c r="AX249" i="52"/>
  <c r="AX250" i="52"/>
  <c r="AX251" i="52"/>
  <c r="AX252" i="52"/>
  <c r="AX246" i="52"/>
  <c r="AX255" i="52" a="1"/>
  <c r="AX255" i="52"/>
  <c r="AX256" i="52" a="1"/>
  <c r="AX256" i="52"/>
  <c r="AX257" i="52" a="1"/>
  <c r="AX258" i="52" a="1"/>
  <c r="AX259" i="52" a="1"/>
  <c r="AX260" i="52" a="1"/>
  <c r="AX257" i="52"/>
  <c r="AX258" i="52"/>
  <c r="AX259" i="52"/>
  <c r="AX260" i="52"/>
  <c r="AX254" i="52"/>
  <c r="AX158" i="52"/>
  <c r="AY161" i="52" a="1"/>
  <c r="AY161" i="52"/>
  <c r="AY162" i="52" a="1"/>
  <c r="AY162" i="52"/>
  <c r="AY163" i="52" a="1"/>
  <c r="AY164" i="52" a="1"/>
  <c r="AY165" i="52" a="1"/>
  <c r="AY166" i="52" a="1"/>
  <c r="AY167" i="52" a="1"/>
  <c r="AY168" i="52" a="1"/>
  <c r="AY169" i="52" a="1"/>
  <c r="AY170" i="52" a="1"/>
  <c r="AY171" i="52" a="1"/>
  <c r="AY172" i="52" a="1"/>
  <c r="AY173" i="52" a="1"/>
  <c r="AY174" i="52" a="1"/>
  <c r="AY175" i="52" a="1"/>
  <c r="AY176" i="52" a="1"/>
  <c r="AY177" i="52" a="1"/>
  <c r="AY178" i="52" a="1"/>
  <c r="AY163" i="52"/>
  <c r="AY164" i="52"/>
  <c r="AY165" i="52"/>
  <c r="AY166" i="52"/>
  <c r="AY167" i="52"/>
  <c r="AY168" i="52"/>
  <c r="AY169" i="52"/>
  <c r="AY170" i="52"/>
  <c r="AY171" i="52"/>
  <c r="AY172" i="52"/>
  <c r="AY173" i="52"/>
  <c r="AY174" i="52"/>
  <c r="AY175" i="52"/>
  <c r="AY176" i="52"/>
  <c r="AY177" i="52"/>
  <c r="AY178" i="52"/>
  <c r="AY160" i="52"/>
  <c r="AY181" i="52" a="1"/>
  <c r="AY181" i="52"/>
  <c r="AY182" i="52" a="1"/>
  <c r="AY182" i="52"/>
  <c r="AY183" i="52" a="1"/>
  <c r="AY184" i="52" a="1"/>
  <c r="AY185" i="52" a="1"/>
  <c r="AY186" i="52" a="1"/>
  <c r="AY187" i="52" a="1"/>
  <c r="AY188" i="52" a="1"/>
  <c r="AY189" i="52" a="1"/>
  <c r="AY190" i="52" a="1"/>
  <c r="AY191" i="52" a="1"/>
  <c r="AY192" i="52" a="1"/>
  <c r="AY193" i="52" a="1"/>
  <c r="AY194" i="52" a="1"/>
  <c r="AY195" i="52" a="1"/>
  <c r="AY196" i="52" a="1"/>
  <c r="AY197" i="52" a="1"/>
  <c r="AY198" i="52" a="1"/>
  <c r="AY183" i="52"/>
  <c r="AY184" i="52"/>
  <c r="AY185" i="52"/>
  <c r="AY186" i="52"/>
  <c r="AY187" i="52"/>
  <c r="AY188" i="52"/>
  <c r="AY189" i="52"/>
  <c r="AY190" i="52"/>
  <c r="AY191" i="52"/>
  <c r="AY192" i="52"/>
  <c r="AY193" i="52"/>
  <c r="AY194" i="52"/>
  <c r="AY195" i="52"/>
  <c r="AY196" i="52"/>
  <c r="AY197" i="52"/>
  <c r="AY198" i="52"/>
  <c r="AY180" i="52"/>
  <c r="AY201" i="52" a="1"/>
  <c r="AY201" i="52"/>
  <c r="AY202" i="52" a="1"/>
  <c r="AY202" i="52"/>
  <c r="AY203" i="52" a="1"/>
  <c r="AY204" i="52" a="1"/>
  <c r="AY205" i="52" a="1"/>
  <c r="AY206" i="52" a="1"/>
  <c r="AY207" i="52" a="1"/>
  <c r="AY208" i="52" a="1"/>
  <c r="AY209" i="52" a="1"/>
  <c r="AY210" i="52" a="1"/>
  <c r="AY211" i="52" a="1"/>
  <c r="AY212" i="52" a="1"/>
  <c r="AY213" i="52" a="1"/>
  <c r="AY214" i="52" a="1"/>
  <c r="AY215" i="52" a="1"/>
  <c r="AY216" i="52" a="1"/>
  <c r="AY217" i="52" a="1"/>
  <c r="AY218" i="52" a="1"/>
  <c r="AY219" i="52" a="1"/>
  <c r="AY220" i="52" a="1"/>
  <c r="AY221" i="52" a="1"/>
  <c r="AY222" i="52" a="1"/>
  <c r="AY223" i="52" a="1"/>
  <c r="AY224" i="52" a="1"/>
  <c r="AY203" i="52"/>
  <c r="AY204" i="52"/>
  <c r="AY205" i="52"/>
  <c r="AY206" i="52"/>
  <c r="AY207" i="52"/>
  <c r="AY208" i="52"/>
  <c r="AY209" i="52"/>
  <c r="AY210" i="52"/>
  <c r="AY211" i="52"/>
  <c r="AY212" i="52"/>
  <c r="AY213" i="52"/>
  <c r="AY214" i="52"/>
  <c r="AY215" i="52"/>
  <c r="AY216" i="52"/>
  <c r="AY217" i="52"/>
  <c r="AY218" i="52"/>
  <c r="AY219" i="52"/>
  <c r="AY220" i="52"/>
  <c r="AY221" i="52"/>
  <c r="AY222" i="52"/>
  <c r="AY223" i="52"/>
  <c r="AY224" i="52"/>
  <c r="AY200" i="52"/>
  <c r="AY227" i="52" a="1"/>
  <c r="AY227" i="52"/>
  <c r="AY228" i="52" a="1"/>
  <c r="AY228" i="52"/>
  <c r="AY229" i="52" a="1"/>
  <c r="AY230" i="52" a="1"/>
  <c r="AY231" i="52" a="1"/>
  <c r="AY232" i="52" a="1"/>
  <c r="AY233" i="52" a="1"/>
  <c r="AY234" i="52" a="1"/>
  <c r="AY235" i="52" a="1"/>
  <c r="AY236" i="52" a="1"/>
  <c r="AY237" i="52" a="1"/>
  <c r="AY238" i="52" a="1"/>
  <c r="AY239" i="52" a="1"/>
  <c r="AY240" i="52" a="1"/>
  <c r="AY241" i="52" a="1"/>
  <c r="AY242" i="52" a="1"/>
  <c r="AY243" i="52" a="1"/>
  <c r="AY244" i="52" a="1"/>
  <c r="AY229" i="52"/>
  <c r="AY230" i="52"/>
  <c r="AY231" i="52"/>
  <c r="AY232" i="52"/>
  <c r="AY233" i="52"/>
  <c r="AY234" i="52"/>
  <c r="AY235" i="52"/>
  <c r="AY236" i="52"/>
  <c r="AY237" i="52"/>
  <c r="AY238" i="52"/>
  <c r="AY239" i="52"/>
  <c r="AY240" i="52"/>
  <c r="AY241" i="52"/>
  <c r="AY242" i="52"/>
  <c r="AY243" i="52"/>
  <c r="AY244" i="52"/>
  <c r="AY226" i="52"/>
  <c r="AY247" i="52" a="1"/>
  <c r="AY247" i="52"/>
  <c r="AY248" i="52" a="1"/>
  <c r="AY248" i="52"/>
  <c r="AY249" i="52" a="1"/>
  <c r="AY250" i="52" a="1"/>
  <c r="AY251" i="52" a="1"/>
  <c r="AY252" i="52" a="1"/>
  <c r="AY249" i="52"/>
  <c r="AY250" i="52"/>
  <c r="AY251" i="52"/>
  <c r="AY252" i="52"/>
  <c r="AY246" i="52"/>
  <c r="AY255" i="52" a="1"/>
  <c r="AY255" i="52"/>
  <c r="AY256" i="52" a="1"/>
  <c r="AY256" i="52"/>
  <c r="AY257" i="52" a="1"/>
  <c r="AY258" i="52" a="1"/>
  <c r="AY259" i="52" a="1"/>
  <c r="AY260" i="52" a="1"/>
  <c r="AY257" i="52"/>
  <c r="AY258" i="52"/>
  <c r="AY259" i="52"/>
  <c r="AY260" i="52"/>
  <c r="AY254" i="52"/>
  <c r="AY158" i="52"/>
  <c r="AZ161" i="52" a="1"/>
  <c r="AZ161" i="52"/>
  <c r="AZ162" i="52" a="1"/>
  <c r="AZ162" i="52"/>
  <c r="AZ163" i="52" a="1"/>
  <c r="AZ164" i="52" a="1"/>
  <c r="AZ165" i="52" a="1"/>
  <c r="AZ166" i="52" a="1"/>
  <c r="AZ167" i="52" a="1"/>
  <c r="AZ168" i="52" a="1"/>
  <c r="AZ169" i="52" a="1"/>
  <c r="AZ170" i="52" a="1"/>
  <c r="AZ171" i="52" a="1"/>
  <c r="AZ172" i="52" a="1"/>
  <c r="AZ173" i="52" a="1"/>
  <c r="AZ174" i="52" a="1"/>
  <c r="AZ175" i="52" a="1"/>
  <c r="AZ176" i="52" a="1"/>
  <c r="AZ177" i="52" a="1"/>
  <c r="AZ178" i="52" a="1"/>
  <c r="AZ163" i="52"/>
  <c r="AZ164" i="52"/>
  <c r="AZ165" i="52"/>
  <c r="AZ166" i="52"/>
  <c r="AZ167" i="52"/>
  <c r="AZ168" i="52"/>
  <c r="AZ169" i="52"/>
  <c r="AZ170" i="52"/>
  <c r="AZ171" i="52"/>
  <c r="AZ172" i="52"/>
  <c r="AZ173" i="52"/>
  <c r="AZ174" i="52"/>
  <c r="AZ175" i="52"/>
  <c r="AZ176" i="52"/>
  <c r="AZ177" i="52"/>
  <c r="AZ178" i="52"/>
  <c r="AZ160" i="52"/>
  <c r="AZ181" i="52" a="1"/>
  <c r="AZ181" i="52"/>
  <c r="AZ182" i="52" a="1"/>
  <c r="AZ182" i="52"/>
  <c r="AZ183" i="52" a="1"/>
  <c r="AZ184" i="52" a="1"/>
  <c r="AZ185" i="52" a="1"/>
  <c r="AZ186" i="52" a="1"/>
  <c r="AZ187" i="52" a="1"/>
  <c r="AZ188" i="52" a="1"/>
  <c r="AZ189" i="52" a="1"/>
  <c r="AZ190" i="52" a="1"/>
  <c r="AZ191" i="52" a="1"/>
  <c r="AZ192" i="52" a="1"/>
  <c r="AZ193" i="52" a="1"/>
  <c r="AZ194" i="52" a="1"/>
  <c r="AZ195" i="52" a="1"/>
  <c r="AZ196" i="52" a="1"/>
  <c r="AZ197" i="52" a="1"/>
  <c r="AZ198" i="52" a="1"/>
  <c r="AZ183" i="52"/>
  <c r="AZ184" i="52"/>
  <c r="AZ185" i="52"/>
  <c r="AZ186" i="52"/>
  <c r="AZ187" i="52"/>
  <c r="AZ188" i="52"/>
  <c r="AZ189" i="52"/>
  <c r="AZ190" i="52"/>
  <c r="AZ191" i="52"/>
  <c r="AZ192" i="52"/>
  <c r="AZ193" i="52"/>
  <c r="AZ194" i="52"/>
  <c r="AZ195" i="52"/>
  <c r="AZ196" i="52"/>
  <c r="AZ197" i="52"/>
  <c r="AZ198" i="52"/>
  <c r="AZ180" i="52"/>
  <c r="AZ201" i="52" a="1"/>
  <c r="AZ201" i="52"/>
  <c r="AZ202" i="52" a="1"/>
  <c r="AZ202" i="52"/>
  <c r="AZ203" i="52" a="1"/>
  <c r="AZ204" i="52" a="1"/>
  <c r="AZ205" i="52" a="1"/>
  <c r="AZ206" i="52" a="1"/>
  <c r="AZ207" i="52" a="1"/>
  <c r="AZ208" i="52" a="1"/>
  <c r="AZ209" i="52" a="1"/>
  <c r="AZ210" i="52" a="1"/>
  <c r="AZ211" i="52" a="1"/>
  <c r="AZ212" i="52" a="1"/>
  <c r="AZ213" i="52" a="1"/>
  <c r="AZ214" i="52" a="1"/>
  <c r="AZ215" i="52" a="1"/>
  <c r="AZ216" i="52" a="1"/>
  <c r="AZ217" i="52" a="1"/>
  <c r="AZ218" i="52" a="1"/>
  <c r="AZ219" i="52" a="1"/>
  <c r="AZ220" i="52" a="1"/>
  <c r="AZ221" i="52" a="1"/>
  <c r="AZ222" i="52" a="1"/>
  <c r="AZ223" i="52" a="1"/>
  <c r="AZ224" i="52" a="1"/>
  <c r="AZ203" i="52"/>
  <c r="AZ204" i="52"/>
  <c r="AZ205" i="52"/>
  <c r="AZ206" i="52"/>
  <c r="AZ207" i="52"/>
  <c r="AZ208" i="52"/>
  <c r="AZ209" i="52"/>
  <c r="AZ210" i="52"/>
  <c r="AZ211" i="52"/>
  <c r="AZ212" i="52"/>
  <c r="AZ213" i="52"/>
  <c r="AZ214" i="52"/>
  <c r="AZ215" i="52"/>
  <c r="AZ216" i="52"/>
  <c r="AZ217" i="52"/>
  <c r="AZ218" i="52"/>
  <c r="AZ219" i="52"/>
  <c r="AZ220" i="52"/>
  <c r="AZ221" i="52"/>
  <c r="AZ222" i="52"/>
  <c r="AZ223" i="52"/>
  <c r="AZ224" i="52"/>
  <c r="AZ200" i="52"/>
  <c r="AZ227" i="52" a="1"/>
  <c r="AZ227" i="52"/>
  <c r="AZ228" i="52" a="1"/>
  <c r="AZ228" i="52"/>
  <c r="AZ229" i="52" a="1"/>
  <c r="AZ230" i="52" a="1"/>
  <c r="AZ231" i="52" a="1"/>
  <c r="AZ232" i="52" a="1"/>
  <c r="AZ233" i="52" a="1"/>
  <c r="AZ234" i="52" a="1"/>
  <c r="AZ235" i="52" a="1"/>
  <c r="AZ236" i="52" a="1"/>
  <c r="AZ237" i="52" a="1"/>
  <c r="AZ238" i="52" a="1"/>
  <c r="AZ239" i="52" a="1"/>
  <c r="AZ240" i="52" a="1"/>
  <c r="AZ241" i="52" a="1"/>
  <c r="AZ242" i="52" a="1"/>
  <c r="AZ243" i="52" a="1"/>
  <c r="AZ244" i="52" a="1"/>
  <c r="AZ229" i="52"/>
  <c r="AZ230" i="52"/>
  <c r="AZ231" i="52"/>
  <c r="AZ232" i="52"/>
  <c r="AZ233" i="52"/>
  <c r="AZ234" i="52"/>
  <c r="AZ235" i="52"/>
  <c r="AZ236" i="52"/>
  <c r="AZ237" i="52"/>
  <c r="AZ238" i="52"/>
  <c r="AZ239" i="52"/>
  <c r="AZ240" i="52"/>
  <c r="AZ241" i="52"/>
  <c r="AZ242" i="52"/>
  <c r="AZ243" i="52"/>
  <c r="AZ244" i="52"/>
  <c r="AZ226" i="52"/>
  <c r="AZ247" i="52" a="1"/>
  <c r="AZ247" i="52"/>
  <c r="AZ248" i="52" a="1"/>
  <c r="AZ248" i="52"/>
  <c r="AZ249" i="52" a="1"/>
  <c r="AZ250" i="52" a="1"/>
  <c r="AZ251" i="52" a="1"/>
  <c r="AZ252" i="52" a="1"/>
  <c r="AZ249" i="52"/>
  <c r="AZ250" i="52"/>
  <c r="AZ251" i="52"/>
  <c r="AZ252" i="52"/>
  <c r="AZ246" i="52"/>
  <c r="AZ255" i="52" a="1"/>
  <c r="AZ255" i="52"/>
  <c r="AZ256" i="52" a="1"/>
  <c r="AZ256" i="52"/>
  <c r="AZ257" i="52" a="1"/>
  <c r="AZ258" i="52" a="1"/>
  <c r="AZ259" i="52" a="1"/>
  <c r="AZ260" i="52" a="1"/>
  <c r="AZ257" i="52"/>
  <c r="AZ258" i="52"/>
  <c r="AZ259" i="52"/>
  <c r="AZ260" i="52"/>
  <c r="AZ254" i="52"/>
  <c r="AZ158" i="52"/>
  <c r="BA161" i="52" a="1"/>
  <c r="BA161" i="52"/>
  <c r="BA162" i="52" a="1"/>
  <c r="BA162" i="52"/>
  <c r="BA163" i="52" a="1"/>
  <c r="BA164" i="52" a="1"/>
  <c r="BA165" i="52" a="1"/>
  <c r="BA166" i="52" a="1"/>
  <c r="BA167" i="52" a="1"/>
  <c r="BA168" i="52" a="1"/>
  <c r="BA169" i="52" a="1"/>
  <c r="BA170" i="52" a="1"/>
  <c r="BA171" i="52" a="1"/>
  <c r="BA172" i="52" a="1"/>
  <c r="BA173" i="52" a="1"/>
  <c r="BA174" i="52" a="1"/>
  <c r="BA175" i="52" a="1"/>
  <c r="BA176" i="52" a="1"/>
  <c r="BA177" i="52" a="1"/>
  <c r="BA178" i="52" a="1"/>
  <c r="BA163" i="52"/>
  <c r="BA164" i="52"/>
  <c r="BA165" i="52"/>
  <c r="BA166" i="52"/>
  <c r="BA167" i="52"/>
  <c r="BA168" i="52"/>
  <c r="BA169" i="52"/>
  <c r="BA170" i="52"/>
  <c r="BA171" i="52"/>
  <c r="BA172" i="52"/>
  <c r="BA173" i="52"/>
  <c r="BA174" i="52"/>
  <c r="BA175" i="52"/>
  <c r="BA176" i="52"/>
  <c r="BA177" i="52"/>
  <c r="BA178" i="52"/>
  <c r="BA160" i="52"/>
  <c r="BA181" i="52" a="1"/>
  <c r="BA181" i="52"/>
  <c r="BA182" i="52" a="1"/>
  <c r="BA182" i="52"/>
  <c r="BA183" i="52" a="1"/>
  <c r="BA184" i="52" a="1"/>
  <c r="BA185" i="52" a="1"/>
  <c r="BA186" i="52" a="1"/>
  <c r="BA187" i="52" a="1"/>
  <c r="BA188" i="52" a="1"/>
  <c r="BA189" i="52" a="1"/>
  <c r="BA190" i="52" a="1"/>
  <c r="BA191" i="52" a="1"/>
  <c r="BA192" i="52" a="1"/>
  <c r="BA193" i="52" a="1"/>
  <c r="BA194" i="52" a="1"/>
  <c r="BA195" i="52" a="1"/>
  <c r="BA196" i="52" a="1"/>
  <c r="BA197" i="52" a="1"/>
  <c r="BA198" i="52" a="1"/>
  <c r="BA183" i="52"/>
  <c r="BA184" i="52"/>
  <c r="BA185" i="52"/>
  <c r="BA186" i="52"/>
  <c r="BA187" i="52"/>
  <c r="BA188" i="52"/>
  <c r="BA189" i="52"/>
  <c r="BA190" i="52"/>
  <c r="BA191" i="52"/>
  <c r="BA192" i="52"/>
  <c r="BA193" i="52"/>
  <c r="BA194" i="52"/>
  <c r="BA195" i="52"/>
  <c r="BA196" i="52"/>
  <c r="BA197" i="52"/>
  <c r="BA198" i="52"/>
  <c r="BA180" i="52"/>
  <c r="BA201" i="52" a="1"/>
  <c r="BA201" i="52"/>
  <c r="BA202" i="52" a="1"/>
  <c r="BA202" i="52"/>
  <c r="BA203" i="52" a="1"/>
  <c r="BA204" i="52" a="1"/>
  <c r="BA205" i="52" a="1"/>
  <c r="BA206" i="52" a="1"/>
  <c r="BA207" i="52" a="1"/>
  <c r="BA208" i="52" a="1"/>
  <c r="BA209" i="52" a="1"/>
  <c r="BA210" i="52" a="1"/>
  <c r="BA211" i="52" a="1"/>
  <c r="BA212" i="52" a="1"/>
  <c r="BA213" i="52" a="1"/>
  <c r="BA214" i="52" a="1"/>
  <c r="BA215" i="52" a="1"/>
  <c r="BA216" i="52" a="1"/>
  <c r="BA217" i="52" a="1"/>
  <c r="BA218" i="52" a="1"/>
  <c r="BA219" i="52" a="1"/>
  <c r="BA220" i="52" a="1"/>
  <c r="BA221" i="52" a="1"/>
  <c r="BA222" i="52" a="1"/>
  <c r="BA223" i="52" a="1"/>
  <c r="BA224" i="52" a="1"/>
  <c r="BA203" i="52"/>
  <c r="BA204" i="52"/>
  <c r="BA205" i="52"/>
  <c r="BA206" i="52"/>
  <c r="BA207" i="52"/>
  <c r="BA208" i="52"/>
  <c r="BA209" i="52"/>
  <c r="BA210" i="52"/>
  <c r="BA211" i="52"/>
  <c r="BA212" i="52"/>
  <c r="BA213" i="52"/>
  <c r="BA214" i="52"/>
  <c r="BA215" i="52"/>
  <c r="BA216" i="52"/>
  <c r="BA217" i="52"/>
  <c r="BA218" i="52"/>
  <c r="BA219" i="52"/>
  <c r="BA220" i="52"/>
  <c r="BA221" i="52"/>
  <c r="BA222" i="52"/>
  <c r="BA223" i="52"/>
  <c r="BA224" i="52"/>
  <c r="BA200" i="52"/>
  <c r="BA227" i="52" a="1"/>
  <c r="BA227" i="52"/>
  <c r="BA228" i="52" a="1"/>
  <c r="BA228" i="52"/>
  <c r="BA229" i="52" a="1"/>
  <c r="BA230" i="52" a="1"/>
  <c r="BA231" i="52" a="1"/>
  <c r="BA232" i="52" a="1"/>
  <c r="BA233" i="52" a="1"/>
  <c r="BA234" i="52" a="1"/>
  <c r="BA235" i="52" a="1"/>
  <c r="BA236" i="52" a="1"/>
  <c r="BA237" i="52" a="1"/>
  <c r="BA238" i="52" a="1"/>
  <c r="BA239" i="52" a="1"/>
  <c r="BA240" i="52" a="1"/>
  <c r="BA241" i="52" a="1"/>
  <c r="BA242" i="52" a="1"/>
  <c r="BA243" i="52" a="1"/>
  <c r="BA244" i="52" a="1"/>
  <c r="BA229" i="52"/>
  <c r="BA230" i="52"/>
  <c r="BA231" i="52"/>
  <c r="BA232" i="52"/>
  <c r="BA233" i="52"/>
  <c r="BA234" i="52"/>
  <c r="BA235" i="52"/>
  <c r="BA236" i="52"/>
  <c r="BA237" i="52"/>
  <c r="BA238" i="52"/>
  <c r="BA239" i="52"/>
  <c r="BA240" i="52"/>
  <c r="BA241" i="52"/>
  <c r="BA242" i="52"/>
  <c r="BA243" i="52"/>
  <c r="BA244" i="52"/>
  <c r="BA226" i="52"/>
  <c r="BA247" i="52" a="1"/>
  <c r="BA247" i="52"/>
  <c r="BA248" i="52" a="1"/>
  <c r="BA248" i="52"/>
  <c r="BA249" i="52" a="1"/>
  <c r="BA250" i="52" a="1"/>
  <c r="BA251" i="52" a="1"/>
  <c r="BA252" i="52" a="1"/>
  <c r="BA249" i="52"/>
  <c r="BA250" i="52"/>
  <c r="BA251" i="52"/>
  <c r="BA252" i="52"/>
  <c r="BA246" i="52"/>
  <c r="BA255" i="52" a="1"/>
  <c r="BA255" i="52"/>
  <c r="BA256" i="52" a="1"/>
  <c r="BA256" i="52"/>
  <c r="BA257" i="52" a="1"/>
  <c r="BA258" i="52" a="1"/>
  <c r="BA259" i="52" a="1"/>
  <c r="BA260" i="52" a="1"/>
  <c r="BA257" i="52"/>
  <c r="BA258" i="52"/>
  <c r="BA259" i="52"/>
  <c r="BA260" i="52"/>
  <c r="BA254" i="52"/>
  <c r="BA158" i="52"/>
  <c r="BB161" i="52" a="1"/>
  <c r="BB161" i="52"/>
  <c r="BB162" i="52" a="1"/>
  <c r="BB162" i="52"/>
  <c r="BB163" i="52" a="1"/>
  <c r="BB164" i="52" a="1"/>
  <c r="BB165" i="52" a="1"/>
  <c r="BB166" i="52" a="1"/>
  <c r="BB167" i="52" a="1"/>
  <c r="BB168" i="52" a="1"/>
  <c r="BB169" i="52" a="1"/>
  <c r="BB170" i="52" a="1"/>
  <c r="BB171" i="52" a="1"/>
  <c r="BB172" i="52" a="1"/>
  <c r="BB173" i="52" a="1"/>
  <c r="BB174" i="52" a="1"/>
  <c r="BB175" i="52" a="1"/>
  <c r="BB176" i="52" a="1"/>
  <c r="BB177" i="52" a="1"/>
  <c r="BB178" i="52" a="1"/>
  <c r="BB163" i="52"/>
  <c r="BB164" i="52"/>
  <c r="BB165" i="52"/>
  <c r="BB166" i="52"/>
  <c r="BB167" i="52"/>
  <c r="BB168" i="52"/>
  <c r="BB169" i="52"/>
  <c r="BB170" i="52"/>
  <c r="BB171" i="52"/>
  <c r="BB172" i="52"/>
  <c r="BB173" i="52"/>
  <c r="BB174" i="52"/>
  <c r="BB175" i="52"/>
  <c r="BB176" i="52"/>
  <c r="BB177" i="52"/>
  <c r="BB178" i="52"/>
  <c r="BB160" i="52"/>
  <c r="BB181" i="52" a="1"/>
  <c r="BB181" i="52"/>
  <c r="BB182" i="52" a="1"/>
  <c r="BB182" i="52"/>
  <c r="BB183" i="52" a="1"/>
  <c r="BB184" i="52" a="1"/>
  <c r="BB185" i="52" a="1"/>
  <c r="BB186" i="52" a="1"/>
  <c r="BB187" i="52" a="1"/>
  <c r="BB188" i="52" a="1"/>
  <c r="BB189" i="52" a="1"/>
  <c r="BB190" i="52" a="1"/>
  <c r="BB191" i="52" a="1"/>
  <c r="BB192" i="52" a="1"/>
  <c r="BB193" i="52" a="1"/>
  <c r="BB194" i="52" a="1"/>
  <c r="BB195" i="52" a="1"/>
  <c r="BB196" i="52" a="1"/>
  <c r="BB197" i="52" a="1"/>
  <c r="BB198" i="52" a="1"/>
  <c r="BB183" i="52"/>
  <c r="BB184" i="52"/>
  <c r="BB185" i="52"/>
  <c r="BB186" i="52"/>
  <c r="BB187" i="52"/>
  <c r="BB188" i="52"/>
  <c r="BB189" i="52"/>
  <c r="BB190" i="52"/>
  <c r="BB191" i="52"/>
  <c r="BB192" i="52"/>
  <c r="BB193" i="52"/>
  <c r="BB194" i="52"/>
  <c r="BB195" i="52"/>
  <c r="BB196" i="52"/>
  <c r="BB197" i="52"/>
  <c r="BB198" i="52"/>
  <c r="BB180" i="52"/>
  <c r="BB201" i="52" a="1"/>
  <c r="BB201" i="52"/>
  <c r="BB202" i="52" a="1"/>
  <c r="BB202" i="52"/>
  <c r="BB203" i="52" a="1"/>
  <c r="BB204" i="52" a="1"/>
  <c r="BB205" i="52" a="1"/>
  <c r="BB206" i="52" a="1"/>
  <c r="BB207" i="52" a="1"/>
  <c r="BB208" i="52" a="1"/>
  <c r="BB209" i="52" a="1"/>
  <c r="BB210" i="52" a="1"/>
  <c r="BB211" i="52" a="1"/>
  <c r="BB212" i="52" a="1"/>
  <c r="BB213" i="52" a="1"/>
  <c r="BB214" i="52" a="1"/>
  <c r="BB215" i="52" a="1"/>
  <c r="BB216" i="52" a="1"/>
  <c r="BB217" i="52" a="1"/>
  <c r="BB218" i="52" a="1"/>
  <c r="BB219" i="52" a="1"/>
  <c r="BB220" i="52" a="1"/>
  <c r="BB221" i="52" a="1"/>
  <c r="BB222" i="52" a="1"/>
  <c r="BB223" i="52" a="1"/>
  <c r="BB224" i="52" a="1"/>
  <c r="BB203" i="52"/>
  <c r="BB204" i="52"/>
  <c r="BB205" i="52"/>
  <c r="BB206" i="52"/>
  <c r="BB207" i="52"/>
  <c r="BB208" i="52"/>
  <c r="BB209" i="52"/>
  <c r="BB210" i="52"/>
  <c r="BB211" i="52"/>
  <c r="BB212" i="52"/>
  <c r="BB213" i="52"/>
  <c r="BB214" i="52"/>
  <c r="BB215" i="52"/>
  <c r="BB216" i="52"/>
  <c r="BB217" i="52"/>
  <c r="BB218" i="52"/>
  <c r="BB219" i="52"/>
  <c r="BB220" i="52"/>
  <c r="BB221" i="52"/>
  <c r="BB222" i="52"/>
  <c r="BB223" i="52"/>
  <c r="BB224" i="52"/>
  <c r="BB200" i="52"/>
  <c r="BB227" i="52" a="1"/>
  <c r="BB227" i="52"/>
  <c r="BB228" i="52" a="1"/>
  <c r="BB228" i="52"/>
  <c r="BB229" i="52" a="1"/>
  <c r="BB230" i="52" a="1"/>
  <c r="BB231" i="52" a="1"/>
  <c r="BB232" i="52" a="1"/>
  <c r="BB233" i="52" a="1"/>
  <c r="BB234" i="52" a="1"/>
  <c r="BB235" i="52" a="1"/>
  <c r="BB236" i="52" a="1"/>
  <c r="BB237" i="52" a="1"/>
  <c r="BB238" i="52" a="1"/>
  <c r="BB239" i="52" a="1"/>
  <c r="BB240" i="52" a="1"/>
  <c r="BB241" i="52" a="1"/>
  <c r="BB242" i="52" a="1"/>
  <c r="BB243" i="52" a="1"/>
  <c r="BB244" i="52" a="1"/>
  <c r="BB229" i="52"/>
  <c r="BB230" i="52"/>
  <c r="BB231" i="52"/>
  <c r="BB232" i="52"/>
  <c r="BB233" i="52"/>
  <c r="BB234" i="52"/>
  <c r="BB235" i="52"/>
  <c r="BB236" i="52"/>
  <c r="BB237" i="52"/>
  <c r="BB238" i="52"/>
  <c r="BB239" i="52"/>
  <c r="BB240" i="52"/>
  <c r="BB241" i="52"/>
  <c r="BB242" i="52"/>
  <c r="BB243" i="52"/>
  <c r="BB244" i="52"/>
  <c r="BB226" i="52"/>
  <c r="BB247" i="52" a="1"/>
  <c r="BB247" i="52"/>
  <c r="BB248" i="52" a="1"/>
  <c r="BB248" i="52"/>
  <c r="BB249" i="52" a="1"/>
  <c r="BB250" i="52" a="1"/>
  <c r="BB251" i="52" a="1"/>
  <c r="BB252" i="52" a="1"/>
  <c r="BB249" i="52"/>
  <c r="BB250" i="52"/>
  <c r="BB251" i="52"/>
  <c r="BB252" i="52"/>
  <c r="BB246" i="52"/>
  <c r="BB255" i="52" a="1"/>
  <c r="BB255" i="52"/>
  <c r="BB256" i="52" a="1"/>
  <c r="BB256" i="52"/>
  <c r="BB257" i="52" a="1"/>
  <c r="BB258" i="52" a="1"/>
  <c r="BB259" i="52" a="1"/>
  <c r="BB260" i="52" a="1"/>
  <c r="BB257" i="52"/>
  <c r="BB258" i="52"/>
  <c r="BB259" i="52"/>
  <c r="BB260" i="52"/>
  <c r="BB254" i="52"/>
  <c r="BB158" i="52"/>
  <c r="BC161" i="52" a="1"/>
  <c r="BC161" i="52"/>
  <c r="BC162" i="52" a="1"/>
  <c r="BC162" i="52"/>
  <c r="BC163" i="52" a="1"/>
  <c r="BC164" i="52" a="1"/>
  <c r="BC165" i="52" a="1"/>
  <c r="BC166" i="52" a="1"/>
  <c r="BC167" i="52" a="1"/>
  <c r="BC168" i="52" a="1"/>
  <c r="BC169" i="52" a="1"/>
  <c r="BC170" i="52" a="1"/>
  <c r="BC171" i="52" a="1"/>
  <c r="BC172" i="52" a="1"/>
  <c r="BC173" i="52" a="1"/>
  <c r="BC174" i="52" a="1"/>
  <c r="BC175" i="52" a="1"/>
  <c r="BC176" i="52" a="1"/>
  <c r="BC177" i="52" a="1"/>
  <c r="BC178" i="52" a="1"/>
  <c r="BC163" i="52"/>
  <c r="BC164" i="52"/>
  <c r="BC165" i="52"/>
  <c r="BC166" i="52"/>
  <c r="BC167" i="52"/>
  <c r="BC168" i="52"/>
  <c r="BC169" i="52"/>
  <c r="BC170" i="52"/>
  <c r="BC171" i="52"/>
  <c r="BC172" i="52"/>
  <c r="BC173" i="52"/>
  <c r="BC174" i="52"/>
  <c r="BC175" i="52"/>
  <c r="BC176" i="52"/>
  <c r="BC177" i="52"/>
  <c r="BC178" i="52"/>
  <c r="BC160" i="52"/>
  <c r="BC181" i="52" a="1"/>
  <c r="BC181" i="52"/>
  <c r="BC182" i="52" a="1"/>
  <c r="BC182" i="52"/>
  <c r="BC183" i="52" a="1"/>
  <c r="BC184" i="52" a="1"/>
  <c r="BC185" i="52" a="1"/>
  <c r="BC186" i="52" a="1"/>
  <c r="BC187" i="52" a="1"/>
  <c r="BC188" i="52" a="1"/>
  <c r="BC189" i="52" a="1"/>
  <c r="BC190" i="52" a="1"/>
  <c r="BC191" i="52" a="1"/>
  <c r="BC192" i="52" a="1"/>
  <c r="BC193" i="52" a="1"/>
  <c r="BC194" i="52" a="1"/>
  <c r="BC195" i="52" a="1"/>
  <c r="BC196" i="52" a="1"/>
  <c r="BC197" i="52" a="1"/>
  <c r="BC198" i="52" a="1"/>
  <c r="BC183" i="52"/>
  <c r="BC184" i="52"/>
  <c r="BC185" i="52"/>
  <c r="BC186" i="52"/>
  <c r="BC187" i="52"/>
  <c r="BC188" i="52"/>
  <c r="BC189" i="52"/>
  <c r="BC190" i="52"/>
  <c r="BC191" i="52"/>
  <c r="BC192" i="52"/>
  <c r="BC193" i="52"/>
  <c r="BC194" i="52"/>
  <c r="BC195" i="52"/>
  <c r="BC196" i="52"/>
  <c r="BC197" i="52"/>
  <c r="BC198" i="52"/>
  <c r="BC180" i="52"/>
  <c r="BC201" i="52" a="1"/>
  <c r="BC201" i="52"/>
  <c r="BC202" i="52" a="1"/>
  <c r="BC202" i="52"/>
  <c r="BC203" i="52" a="1"/>
  <c r="BC204" i="52" a="1"/>
  <c r="BC205" i="52" a="1"/>
  <c r="BC206" i="52" a="1"/>
  <c r="BC207" i="52" a="1"/>
  <c r="BC208" i="52" a="1"/>
  <c r="BC209" i="52" a="1"/>
  <c r="BC210" i="52" a="1"/>
  <c r="BC211" i="52" a="1"/>
  <c r="BC212" i="52" a="1"/>
  <c r="BC213" i="52" a="1"/>
  <c r="BC214" i="52" a="1"/>
  <c r="BC215" i="52" a="1"/>
  <c r="BC216" i="52" a="1"/>
  <c r="BC217" i="52" a="1"/>
  <c r="BC218" i="52" a="1"/>
  <c r="BC219" i="52" a="1"/>
  <c r="BC220" i="52" a="1"/>
  <c r="BC221" i="52" a="1"/>
  <c r="BC222" i="52" a="1"/>
  <c r="BC223" i="52" a="1"/>
  <c r="BC224" i="52" a="1"/>
  <c r="BC203" i="52"/>
  <c r="BC204" i="52"/>
  <c r="BC205" i="52"/>
  <c r="BC206" i="52"/>
  <c r="BC207" i="52"/>
  <c r="BC208" i="52"/>
  <c r="BC209" i="52"/>
  <c r="BC210" i="52"/>
  <c r="BC211" i="52"/>
  <c r="BC212" i="52"/>
  <c r="BC213" i="52"/>
  <c r="BC214" i="52"/>
  <c r="BC215" i="52"/>
  <c r="BC216" i="52"/>
  <c r="BC217" i="52"/>
  <c r="BC218" i="52"/>
  <c r="BC219" i="52"/>
  <c r="BC220" i="52"/>
  <c r="BC221" i="52"/>
  <c r="BC222" i="52"/>
  <c r="BC223" i="52"/>
  <c r="BC224" i="52"/>
  <c r="BC200" i="52"/>
  <c r="BC227" i="52" a="1"/>
  <c r="BC227" i="52"/>
  <c r="BC228" i="52" a="1"/>
  <c r="BC228" i="52"/>
  <c r="BC229" i="52" a="1"/>
  <c r="BC230" i="52" a="1"/>
  <c r="BC231" i="52" a="1"/>
  <c r="BC232" i="52" a="1"/>
  <c r="BC233" i="52" a="1"/>
  <c r="BC234" i="52" a="1"/>
  <c r="BC235" i="52" a="1"/>
  <c r="BC236" i="52" a="1"/>
  <c r="BC237" i="52" a="1"/>
  <c r="BC238" i="52" a="1"/>
  <c r="BC239" i="52" a="1"/>
  <c r="BC240" i="52" a="1"/>
  <c r="BC241" i="52" a="1"/>
  <c r="BC242" i="52" a="1"/>
  <c r="BC243" i="52" a="1"/>
  <c r="BC244" i="52" a="1"/>
  <c r="BC229" i="52"/>
  <c r="BC230" i="52"/>
  <c r="BC231" i="52"/>
  <c r="BC232" i="52"/>
  <c r="BC233" i="52"/>
  <c r="BC234" i="52"/>
  <c r="BC235" i="52"/>
  <c r="BC236" i="52"/>
  <c r="BC237" i="52"/>
  <c r="BC238" i="52"/>
  <c r="BC239" i="52"/>
  <c r="BC240" i="52"/>
  <c r="BC241" i="52"/>
  <c r="BC242" i="52"/>
  <c r="BC243" i="52"/>
  <c r="BC244" i="52"/>
  <c r="BC226" i="52"/>
  <c r="BC247" i="52" a="1"/>
  <c r="BC247" i="52"/>
  <c r="BC248" i="52" a="1"/>
  <c r="BC248" i="52"/>
  <c r="BC249" i="52" a="1"/>
  <c r="BC250" i="52" a="1"/>
  <c r="BC251" i="52" a="1"/>
  <c r="BC252" i="52" a="1"/>
  <c r="BC249" i="52"/>
  <c r="BC250" i="52"/>
  <c r="BC251" i="52"/>
  <c r="BC252" i="52"/>
  <c r="BC246" i="52"/>
  <c r="BC255" i="52" a="1"/>
  <c r="BC255" i="52"/>
  <c r="BC256" i="52" a="1"/>
  <c r="BC256" i="52"/>
  <c r="BC257" i="52" a="1"/>
  <c r="BC258" i="52" a="1"/>
  <c r="BC259" i="52" a="1"/>
  <c r="BC260" i="52" a="1"/>
  <c r="BC257" i="52"/>
  <c r="BC258" i="52"/>
  <c r="BC259" i="52"/>
  <c r="BC260" i="52"/>
  <c r="BC254" i="52"/>
  <c r="BC158" i="52"/>
  <c r="BD161" i="52"/>
  <c r="BD162" i="52"/>
  <c r="BD163" i="52"/>
  <c r="BD164" i="52"/>
  <c r="BD165" i="52"/>
  <c r="BD166" i="52"/>
  <c r="BD167" i="52"/>
  <c r="BD168" i="52"/>
  <c r="BD169" i="52"/>
  <c r="BD170" i="52"/>
  <c r="BD171" i="52"/>
  <c r="BD172" i="52"/>
  <c r="BD173" i="52"/>
  <c r="BD174" i="52"/>
  <c r="BD175" i="52"/>
  <c r="BD176" i="52"/>
  <c r="BD177" i="52"/>
  <c r="BD178" i="52"/>
  <c r="BD160" i="52"/>
  <c r="BD181" i="52"/>
  <c r="BD182" i="52"/>
  <c r="BD183" i="52"/>
  <c r="BD184" i="52"/>
  <c r="BD185" i="52"/>
  <c r="BD186" i="52"/>
  <c r="BD187" i="52"/>
  <c r="BD188" i="52"/>
  <c r="BD189" i="52"/>
  <c r="BD190" i="52"/>
  <c r="BD191" i="52"/>
  <c r="BD192" i="52"/>
  <c r="BD193" i="52"/>
  <c r="BD194" i="52"/>
  <c r="BD195" i="52"/>
  <c r="BD196" i="52"/>
  <c r="BD197" i="52"/>
  <c r="BD198" i="52"/>
  <c r="BD180" i="52"/>
  <c r="BD201" i="52"/>
  <c r="BD202" i="52"/>
  <c r="BD203" i="52"/>
  <c r="BD204" i="52"/>
  <c r="BD205" i="52"/>
  <c r="BD206" i="52"/>
  <c r="BD207" i="52"/>
  <c r="BD208" i="52"/>
  <c r="BD209" i="52"/>
  <c r="BD210" i="52"/>
  <c r="BD211" i="52"/>
  <c r="BD212" i="52"/>
  <c r="BD213" i="52"/>
  <c r="BD214" i="52"/>
  <c r="BD215" i="52"/>
  <c r="BD216" i="52"/>
  <c r="BD217" i="52"/>
  <c r="BD218" i="52"/>
  <c r="BD219" i="52"/>
  <c r="BD220" i="52"/>
  <c r="BD221" i="52"/>
  <c r="BD222" i="52"/>
  <c r="BD223" i="52"/>
  <c r="BD224" i="52"/>
  <c r="BD200" i="52"/>
  <c r="BD227" i="52"/>
  <c r="BD228" i="52"/>
  <c r="BD229" i="52"/>
  <c r="BD230" i="52"/>
  <c r="BD231" i="52"/>
  <c r="BD232" i="52"/>
  <c r="BD233" i="52"/>
  <c r="BD234" i="52"/>
  <c r="BD235" i="52"/>
  <c r="BD236" i="52"/>
  <c r="BD237" i="52"/>
  <c r="BD238" i="52"/>
  <c r="BD239" i="52"/>
  <c r="BD240" i="52"/>
  <c r="BD241" i="52"/>
  <c r="BD242" i="52"/>
  <c r="BD243" i="52"/>
  <c r="BD244" i="52"/>
  <c r="BD226" i="52"/>
  <c r="BD247" i="52"/>
  <c r="BD248" i="52"/>
  <c r="BD249" i="52"/>
  <c r="BD250" i="52"/>
  <c r="BD251" i="52"/>
  <c r="BD252" i="52"/>
  <c r="BD246" i="52"/>
  <c r="BD255" i="52"/>
  <c r="BD256" i="52"/>
  <c r="BD257" i="52"/>
  <c r="BD258" i="52"/>
  <c r="BD259" i="52"/>
  <c r="BD260" i="52"/>
  <c r="BD254" i="52"/>
  <c r="BD158" i="52"/>
  <c r="BF161" i="52" a="1"/>
  <c r="BF161" i="52"/>
  <c r="BF162" i="52" a="1"/>
  <c r="BF162" i="52"/>
  <c r="BF163" i="52" a="1"/>
  <c r="BF164" i="52" a="1"/>
  <c r="BF165" i="52" a="1"/>
  <c r="BF166" i="52" a="1"/>
  <c r="BF167" i="52" a="1"/>
  <c r="BF168" i="52" a="1"/>
  <c r="BF169" i="52" a="1"/>
  <c r="BF170" i="52" a="1"/>
  <c r="BF171" i="52" a="1"/>
  <c r="BF172" i="52" a="1"/>
  <c r="BF173" i="52" a="1"/>
  <c r="BF174" i="52" a="1"/>
  <c r="BF175" i="52" a="1"/>
  <c r="BF176" i="52" a="1"/>
  <c r="BF177" i="52" a="1"/>
  <c r="BF178" i="52" a="1"/>
  <c r="BF163" i="52"/>
  <c r="BF164" i="52"/>
  <c r="BF165" i="52"/>
  <c r="BF166" i="52"/>
  <c r="BF167" i="52"/>
  <c r="BF168" i="52"/>
  <c r="BF169" i="52"/>
  <c r="BF170" i="52"/>
  <c r="BF171" i="52"/>
  <c r="BF172" i="52"/>
  <c r="BF173" i="52"/>
  <c r="BF174" i="52"/>
  <c r="BF175" i="52"/>
  <c r="BF176" i="52"/>
  <c r="BF177" i="52"/>
  <c r="BF178" i="52"/>
  <c r="BF160" i="52"/>
  <c r="BF181" i="52" a="1"/>
  <c r="BF181" i="52"/>
  <c r="BF182" i="52" a="1"/>
  <c r="BF182" i="52"/>
  <c r="BF183" i="52" a="1"/>
  <c r="BF184" i="52" a="1"/>
  <c r="BF185" i="52" a="1"/>
  <c r="BF186" i="52" a="1"/>
  <c r="BF187" i="52" a="1"/>
  <c r="BF188" i="52" a="1"/>
  <c r="BF189" i="52" a="1"/>
  <c r="BF190" i="52" a="1"/>
  <c r="BF191" i="52" a="1"/>
  <c r="BF192" i="52" a="1"/>
  <c r="BF193" i="52" a="1"/>
  <c r="BF194" i="52" a="1"/>
  <c r="BF195" i="52" a="1"/>
  <c r="BF196" i="52" a="1"/>
  <c r="BF197" i="52" a="1"/>
  <c r="BF198" i="52" a="1"/>
  <c r="BF183" i="52"/>
  <c r="BF184" i="52"/>
  <c r="BF185" i="52"/>
  <c r="BF186" i="52"/>
  <c r="BF187" i="52"/>
  <c r="BF188" i="52"/>
  <c r="BF189" i="52"/>
  <c r="BF190" i="52"/>
  <c r="BF191" i="52"/>
  <c r="BF192" i="52"/>
  <c r="BF193" i="52"/>
  <c r="BF194" i="52"/>
  <c r="BF195" i="52"/>
  <c r="BF196" i="52"/>
  <c r="BF197" i="52"/>
  <c r="BF198" i="52"/>
  <c r="BF180" i="52"/>
  <c r="BF201" i="52" a="1"/>
  <c r="BF201" i="52"/>
  <c r="BF202" i="52" a="1"/>
  <c r="BF202" i="52"/>
  <c r="BF203" i="52" a="1"/>
  <c r="BF204" i="52" a="1"/>
  <c r="BF205" i="52" a="1"/>
  <c r="BF206" i="52" a="1"/>
  <c r="BF207" i="52" a="1"/>
  <c r="BF208" i="52" a="1"/>
  <c r="BF209" i="52" a="1"/>
  <c r="BF210" i="52" a="1"/>
  <c r="BF211" i="52" a="1"/>
  <c r="BF212" i="52" a="1"/>
  <c r="BF213" i="52" a="1"/>
  <c r="BF214" i="52" a="1"/>
  <c r="BF215" i="52" a="1"/>
  <c r="BF216" i="52" a="1"/>
  <c r="BF217" i="52" a="1"/>
  <c r="BF218" i="52" a="1"/>
  <c r="BF219" i="52" a="1"/>
  <c r="BF220" i="52" a="1"/>
  <c r="BF221" i="52" a="1"/>
  <c r="BF222" i="52" a="1"/>
  <c r="BF223" i="52" a="1"/>
  <c r="BF224" i="52" a="1"/>
  <c r="BF203" i="52"/>
  <c r="BF204" i="52"/>
  <c r="BF205" i="52"/>
  <c r="BF206" i="52"/>
  <c r="BF207" i="52"/>
  <c r="BF208" i="52"/>
  <c r="BF209" i="52"/>
  <c r="BF210" i="52"/>
  <c r="BF211" i="52"/>
  <c r="BF212" i="52"/>
  <c r="BF213" i="52"/>
  <c r="BF214" i="52"/>
  <c r="BF215" i="52"/>
  <c r="BF216" i="52"/>
  <c r="BF217" i="52"/>
  <c r="BF218" i="52"/>
  <c r="BF219" i="52"/>
  <c r="BF220" i="52"/>
  <c r="BF221" i="52"/>
  <c r="BF222" i="52"/>
  <c r="BF223" i="52"/>
  <c r="BF224" i="52"/>
  <c r="BF200" i="52"/>
  <c r="BF227" i="52" a="1"/>
  <c r="BF227" i="52"/>
  <c r="BF228" i="52" a="1"/>
  <c r="BF228" i="52"/>
  <c r="BF229" i="52" a="1"/>
  <c r="BF230" i="52" a="1"/>
  <c r="BF231" i="52" a="1"/>
  <c r="BF232" i="52" a="1"/>
  <c r="BF233" i="52" a="1"/>
  <c r="BF234" i="52" a="1"/>
  <c r="BF235" i="52" a="1"/>
  <c r="BF236" i="52" a="1"/>
  <c r="BF237" i="52" a="1"/>
  <c r="BF238" i="52" a="1"/>
  <c r="BF239" i="52" a="1"/>
  <c r="BF240" i="52" a="1"/>
  <c r="BF241" i="52" a="1"/>
  <c r="BF242" i="52" a="1"/>
  <c r="BF243" i="52" a="1"/>
  <c r="BF244" i="52" a="1"/>
  <c r="BF229" i="52"/>
  <c r="BF230" i="52"/>
  <c r="BF231" i="52"/>
  <c r="BF232" i="52"/>
  <c r="BF233" i="52"/>
  <c r="BF234" i="52"/>
  <c r="BF235" i="52"/>
  <c r="BF236" i="52"/>
  <c r="BF237" i="52"/>
  <c r="BF238" i="52"/>
  <c r="BF239" i="52"/>
  <c r="BF240" i="52"/>
  <c r="BF241" i="52"/>
  <c r="BF242" i="52"/>
  <c r="BF243" i="52"/>
  <c r="BF244" i="52"/>
  <c r="BF226" i="52"/>
  <c r="BF247" i="52" a="1"/>
  <c r="BF247" i="52"/>
  <c r="BF248" i="52" a="1"/>
  <c r="BF248" i="52"/>
  <c r="BF249" i="52" a="1"/>
  <c r="BF250" i="52" a="1"/>
  <c r="BF251" i="52" a="1"/>
  <c r="BF252" i="52" a="1"/>
  <c r="BF249" i="52"/>
  <c r="BF250" i="52"/>
  <c r="BF251" i="52"/>
  <c r="BF252" i="52"/>
  <c r="BF246" i="52"/>
  <c r="BF255" i="52" a="1"/>
  <c r="BF255" i="52"/>
  <c r="BF256" i="52" a="1"/>
  <c r="BF256" i="52"/>
  <c r="BF257" i="52" a="1"/>
  <c r="BF258" i="52" a="1"/>
  <c r="BF259" i="52" a="1"/>
  <c r="BF260" i="52" a="1"/>
  <c r="BF257" i="52"/>
  <c r="BF258" i="52"/>
  <c r="BF259" i="52"/>
  <c r="BF260" i="52"/>
  <c r="BF254" i="52"/>
  <c r="BF158" i="52"/>
  <c r="BG161" i="52" a="1"/>
  <c r="BG161" i="52"/>
  <c r="BG162" i="52" a="1"/>
  <c r="BG162" i="52"/>
  <c r="BG163" i="52" a="1"/>
  <c r="BG164" i="52" a="1"/>
  <c r="BG165" i="52" a="1"/>
  <c r="BG166" i="52" a="1"/>
  <c r="BG167" i="52" a="1"/>
  <c r="BG168" i="52" a="1"/>
  <c r="BG169" i="52" a="1"/>
  <c r="BG170" i="52" a="1"/>
  <c r="BG171" i="52" a="1"/>
  <c r="BG172" i="52" a="1"/>
  <c r="BG173" i="52" a="1"/>
  <c r="BG174" i="52" a="1"/>
  <c r="BG175" i="52" a="1"/>
  <c r="BG176" i="52" a="1"/>
  <c r="BG177" i="52" a="1"/>
  <c r="BG178" i="52" a="1"/>
  <c r="BG163" i="52"/>
  <c r="BG164" i="52"/>
  <c r="BG165" i="52"/>
  <c r="BG166" i="52"/>
  <c r="BG167" i="52"/>
  <c r="BG168" i="52"/>
  <c r="BG169" i="52"/>
  <c r="BG170" i="52"/>
  <c r="BG171" i="52"/>
  <c r="BG172" i="52"/>
  <c r="BG173" i="52"/>
  <c r="BG174" i="52"/>
  <c r="BG175" i="52"/>
  <c r="BG176" i="52"/>
  <c r="BG177" i="52"/>
  <c r="BG178" i="52"/>
  <c r="BG160" i="52"/>
  <c r="BG181" i="52" a="1"/>
  <c r="BG181" i="52"/>
  <c r="BG182" i="52" a="1"/>
  <c r="BG182" i="52"/>
  <c r="BG183" i="52" a="1"/>
  <c r="BG184" i="52" a="1"/>
  <c r="BG185" i="52" a="1"/>
  <c r="BG186" i="52" a="1"/>
  <c r="BG187" i="52" a="1"/>
  <c r="BG188" i="52" a="1"/>
  <c r="BG189" i="52" a="1"/>
  <c r="BG190" i="52" a="1"/>
  <c r="BG191" i="52" a="1"/>
  <c r="BG192" i="52" a="1"/>
  <c r="BG193" i="52" a="1"/>
  <c r="BG194" i="52" a="1"/>
  <c r="BG195" i="52" a="1"/>
  <c r="BG196" i="52" a="1"/>
  <c r="BG197" i="52" a="1"/>
  <c r="BG198" i="52" a="1"/>
  <c r="BG183" i="52"/>
  <c r="BG184" i="52"/>
  <c r="BG185" i="52"/>
  <c r="BG186" i="52"/>
  <c r="BG187" i="52"/>
  <c r="BG188" i="52"/>
  <c r="BG189" i="52"/>
  <c r="BG190" i="52"/>
  <c r="BG191" i="52"/>
  <c r="BG192" i="52"/>
  <c r="BG193" i="52"/>
  <c r="BG194" i="52"/>
  <c r="BG195" i="52"/>
  <c r="BG196" i="52"/>
  <c r="BG197" i="52"/>
  <c r="BG198" i="52"/>
  <c r="BG180" i="52"/>
  <c r="BG201" i="52" a="1"/>
  <c r="BG201" i="52"/>
  <c r="BG202" i="52" a="1"/>
  <c r="BG202" i="52"/>
  <c r="BG203" i="52" a="1"/>
  <c r="BG204" i="52" a="1"/>
  <c r="BG205" i="52" a="1"/>
  <c r="BG206" i="52" a="1"/>
  <c r="BG207" i="52" a="1"/>
  <c r="BG208" i="52" a="1"/>
  <c r="BG209" i="52" a="1"/>
  <c r="BG210" i="52" a="1"/>
  <c r="BG211" i="52" a="1"/>
  <c r="BG212" i="52" a="1"/>
  <c r="BG213" i="52" a="1"/>
  <c r="BG214" i="52" a="1"/>
  <c r="BG215" i="52" a="1"/>
  <c r="BG216" i="52" a="1"/>
  <c r="BG217" i="52" a="1"/>
  <c r="BG218" i="52" a="1"/>
  <c r="BG219" i="52" a="1"/>
  <c r="BG220" i="52" a="1"/>
  <c r="BG221" i="52" a="1"/>
  <c r="BG222" i="52" a="1"/>
  <c r="BG223" i="52" a="1"/>
  <c r="BG224" i="52" a="1"/>
  <c r="BG203" i="52"/>
  <c r="BG204" i="52"/>
  <c r="BG205" i="52"/>
  <c r="BG206" i="52"/>
  <c r="BG207" i="52"/>
  <c r="BG208" i="52"/>
  <c r="BG209" i="52"/>
  <c r="BG210" i="52"/>
  <c r="BG211" i="52"/>
  <c r="BG212" i="52"/>
  <c r="BG213" i="52"/>
  <c r="BG214" i="52"/>
  <c r="BG215" i="52"/>
  <c r="BG216" i="52"/>
  <c r="BG217" i="52"/>
  <c r="BG218" i="52"/>
  <c r="BG219" i="52"/>
  <c r="BG220" i="52"/>
  <c r="BG221" i="52"/>
  <c r="BG222" i="52"/>
  <c r="BG223" i="52"/>
  <c r="BG224" i="52"/>
  <c r="BG200" i="52"/>
  <c r="BG227" i="52" a="1"/>
  <c r="BG227" i="52"/>
  <c r="BG228" i="52" a="1"/>
  <c r="BG228" i="52"/>
  <c r="BG229" i="52" a="1"/>
  <c r="BG230" i="52" a="1"/>
  <c r="BG231" i="52" a="1"/>
  <c r="BG232" i="52" a="1"/>
  <c r="BG233" i="52" a="1"/>
  <c r="BG234" i="52" a="1"/>
  <c r="BG235" i="52" a="1"/>
  <c r="BG236" i="52" a="1"/>
  <c r="BG237" i="52" a="1"/>
  <c r="BG238" i="52" a="1"/>
  <c r="BG239" i="52" a="1"/>
  <c r="BG240" i="52" a="1"/>
  <c r="BG241" i="52" a="1"/>
  <c r="BG242" i="52" a="1"/>
  <c r="BG243" i="52" a="1"/>
  <c r="BG244" i="52" a="1"/>
  <c r="BG229" i="52"/>
  <c r="BG230" i="52"/>
  <c r="BG231" i="52"/>
  <c r="BG232" i="52"/>
  <c r="BG233" i="52"/>
  <c r="BG234" i="52"/>
  <c r="BG235" i="52"/>
  <c r="BG236" i="52"/>
  <c r="BG237" i="52"/>
  <c r="BG238" i="52"/>
  <c r="BG239" i="52"/>
  <c r="BG240" i="52"/>
  <c r="BG241" i="52"/>
  <c r="BG242" i="52"/>
  <c r="BG243" i="52"/>
  <c r="BG244" i="52"/>
  <c r="BG226" i="52"/>
  <c r="BG247" i="52" a="1"/>
  <c r="BG247" i="52"/>
  <c r="BG248" i="52" a="1"/>
  <c r="BG248" i="52"/>
  <c r="BG249" i="52" a="1"/>
  <c r="BG250" i="52" a="1"/>
  <c r="BG251" i="52" a="1"/>
  <c r="BG252" i="52" a="1"/>
  <c r="BG249" i="52"/>
  <c r="BG250" i="52"/>
  <c r="BG251" i="52"/>
  <c r="BG252" i="52"/>
  <c r="BG246" i="52"/>
  <c r="BG255" i="52" a="1"/>
  <c r="BG255" i="52"/>
  <c r="BG256" i="52" a="1"/>
  <c r="BG256" i="52"/>
  <c r="BG257" i="52" a="1"/>
  <c r="BG258" i="52" a="1"/>
  <c r="BG259" i="52" a="1"/>
  <c r="BG260" i="52" a="1"/>
  <c r="BG257" i="52"/>
  <c r="BG258" i="52"/>
  <c r="BG259" i="52"/>
  <c r="BG260" i="52"/>
  <c r="BG254" i="52"/>
  <c r="BG158" i="52"/>
  <c r="BH161" i="52"/>
  <c r="BH162" i="52"/>
  <c r="BH163" i="52"/>
  <c r="BH164" i="52"/>
  <c r="BH165" i="52"/>
  <c r="BH166" i="52"/>
  <c r="BH167" i="52"/>
  <c r="BH168" i="52"/>
  <c r="BH169" i="52"/>
  <c r="BH170" i="52"/>
  <c r="BH171" i="52"/>
  <c r="BH172" i="52"/>
  <c r="BH173" i="52"/>
  <c r="BH174" i="52"/>
  <c r="BH175" i="52"/>
  <c r="BH176" i="52"/>
  <c r="BH177" i="52"/>
  <c r="BH178" i="52"/>
  <c r="BH160" i="52"/>
  <c r="BH181" i="52"/>
  <c r="BH182" i="52"/>
  <c r="BH183" i="52"/>
  <c r="BH184" i="52"/>
  <c r="BH185" i="52"/>
  <c r="BH186" i="52"/>
  <c r="BH187" i="52"/>
  <c r="BH188" i="52"/>
  <c r="BH189" i="52"/>
  <c r="BH190" i="52"/>
  <c r="BH191" i="52"/>
  <c r="BH192" i="52"/>
  <c r="BH193" i="52"/>
  <c r="BH194" i="52"/>
  <c r="BH195" i="52"/>
  <c r="BH196" i="52"/>
  <c r="BH197" i="52"/>
  <c r="BH198" i="52"/>
  <c r="BH180" i="52"/>
  <c r="BH201" i="52"/>
  <c r="BH202" i="52"/>
  <c r="BH203" i="52"/>
  <c r="BH204" i="52"/>
  <c r="BH205" i="52"/>
  <c r="BH206" i="52"/>
  <c r="BH207" i="52"/>
  <c r="BH208" i="52"/>
  <c r="BH209" i="52"/>
  <c r="BH210" i="52"/>
  <c r="BH211" i="52"/>
  <c r="BH212" i="52"/>
  <c r="BH213" i="52"/>
  <c r="BH214" i="52"/>
  <c r="BH215" i="52"/>
  <c r="BH216" i="52"/>
  <c r="BH217" i="52"/>
  <c r="BH218" i="52"/>
  <c r="BH219" i="52"/>
  <c r="BH220" i="52"/>
  <c r="BH221" i="52"/>
  <c r="BH222" i="52"/>
  <c r="BH223" i="52"/>
  <c r="BH224" i="52"/>
  <c r="BH200" i="52"/>
  <c r="BH227" i="52"/>
  <c r="BH228" i="52"/>
  <c r="BH229" i="52"/>
  <c r="BH230" i="52"/>
  <c r="BH231" i="52"/>
  <c r="BH232" i="52"/>
  <c r="BH233" i="52"/>
  <c r="BH234" i="52"/>
  <c r="BH235" i="52"/>
  <c r="BH236" i="52"/>
  <c r="BH237" i="52"/>
  <c r="BH238" i="52"/>
  <c r="BH239" i="52"/>
  <c r="BH240" i="52"/>
  <c r="BH241" i="52"/>
  <c r="BH242" i="52"/>
  <c r="BH243" i="52"/>
  <c r="BH244" i="52"/>
  <c r="BH226" i="52"/>
  <c r="BH247" i="52"/>
  <c r="BH248" i="52"/>
  <c r="BH249" i="52"/>
  <c r="BH250" i="52"/>
  <c r="BH251" i="52"/>
  <c r="BH252" i="52"/>
  <c r="BH246" i="52"/>
  <c r="BH255" i="52"/>
  <c r="BH256" i="52"/>
  <c r="BH257" i="52"/>
  <c r="BH258" i="52"/>
  <c r="BH259" i="52"/>
  <c r="BH260" i="52"/>
  <c r="BH254" i="52"/>
  <c r="BH158" i="52"/>
  <c r="V162" i="52" a="1"/>
  <c r="V162" i="52"/>
  <c r="V163" i="52" a="1"/>
  <c r="AA163" i="52" a="1"/>
  <c r="V163" i="52"/>
  <c r="AA163" i="52"/>
  <c r="V164" i="52" a="1"/>
  <c r="AA164" i="52" a="1"/>
  <c r="V164" i="52"/>
  <c r="AA164" i="52"/>
  <c r="V165" i="52" a="1"/>
  <c r="AA165" i="52" a="1"/>
  <c r="V165" i="52"/>
  <c r="V166" i="52" a="1"/>
  <c r="AA166" i="52" a="1"/>
  <c r="V166" i="52"/>
  <c r="AA166" i="52"/>
  <c r="AA167" i="52" a="1"/>
  <c r="V168" i="52" a="1"/>
  <c r="V168" i="52"/>
  <c r="V169" i="52" a="1"/>
  <c r="AA169" i="52" a="1"/>
  <c r="V169" i="52"/>
  <c r="AA169" i="52"/>
  <c r="V170" i="52" a="1"/>
  <c r="AA170" i="52" a="1"/>
  <c r="V170" i="52"/>
  <c r="AA170" i="52"/>
  <c r="V171" i="52" a="1"/>
  <c r="AA171" i="52" a="1"/>
  <c r="V171" i="52"/>
  <c r="V172" i="52" a="1"/>
  <c r="AA172" i="52" a="1"/>
  <c r="V172" i="52"/>
  <c r="AA172" i="52"/>
  <c r="AA173" i="52" a="1"/>
  <c r="V174" i="52" a="1"/>
  <c r="V174" i="52"/>
  <c r="V175" i="52" a="1"/>
  <c r="AA175" i="52" a="1"/>
  <c r="V175" i="52"/>
  <c r="AA175" i="52"/>
  <c r="V176" i="52" a="1"/>
  <c r="AA176" i="52" a="1"/>
  <c r="V176" i="52"/>
  <c r="AA176" i="52"/>
  <c r="V177" i="52" a="1"/>
  <c r="AA177" i="52" a="1"/>
  <c r="V177" i="52"/>
  <c r="V178" i="52" a="1"/>
  <c r="AA178" i="52" a="1"/>
  <c r="V178" i="52"/>
  <c r="AA178" i="52"/>
  <c r="X181" i="52" a="1"/>
  <c r="X181" i="52"/>
  <c r="X182" i="52" a="1"/>
  <c r="X182" i="52"/>
  <c r="X183" i="52" a="1"/>
  <c r="X184" i="52" a="1"/>
  <c r="X186" i="52" a="1"/>
  <c r="X187" i="52" a="1"/>
  <c r="X188" i="52" a="1"/>
  <c r="X189" i="52" a="1"/>
  <c r="X190" i="52" a="1"/>
  <c r="X192" i="52" a="1"/>
  <c r="X193" i="52" a="1"/>
  <c r="X194" i="52" a="1"/>
  <c r="X195" i="52" a="1"/>
  <c r="X196" i="52" a="1"/>
  <c r="X198" i="52" a="1"/>
  <c r="X183" i="52"/>
  <c r="X184" i="52"/>
  <c r="X186" i="52"/>
  <c r="X187" i="52"/>
  <c r="X188" i="52"/>
  <c r="X189" i="52"/>
  <c r="X190" i="52"/>
  <c r="X192" i="52"/>
  <c r="X193" i="52"/>
  <c r="X194" i="52"/>
  <c r="X195" i="52"/>
  <c r="X196" i="52"/>
  <c r="X198" i="52"/>
  <c r="AA181" i="52" a="1"/>
  <c r="AA181" i="52"/>
  <c r="AB181" i="52" a="1"/>
  <c r="AB181" i="52"/>
  <c r="AB182" i="52" a="1"/>
  <c r="AB182" i="52"/>
  <c r="AB184" i="52" a="1"/>
  <c r="AB185" i="52" a="1"/>
  <c r="AB186" i="52" a="1"/>
  <c r="AB187" i="52" a="1"/>
  <c r="AB188" i="52" a="1"/>
  <c r="AB190" i="52" a="1"/>
  <c r="AB191" i="52" a="1"/>
  <c r="AB192" i="52" a="1"/>
  <c r="AB193" i="52" a="1"/>
  <c r="AB194" i="52" a="1"/>
  <c r="AB196" i="52" a="1"/>
  <c r="AB197" i="52" a="1"/>
  <c r="AB198" i="52" a="1"/>
  <c r="AB184" i="52"/>
  <c r="AB185" i="52"/>
  <c r="AB186" i="52"/>
  <c r="AB187" i="52"/>
  <c r="AB188" i="52"/>
  <c r="AB190" i="52"/>
  <c r="AB191" i="52"/>
  <c r="AB192" i="52"/>
  <c r="AB193" i="52"/>
  <c r="AB194" i="52"/>
  <c r="AB196" i="52"/>
  <c r="AB197" i="52"/>
  <c r="AB198" i="52"/>
  <c r="AC181" i="52" a="1"/>
  <c r="AC181" i="52"/>
  <c r="AC182" i="52" a="1"/>
  <c r="AC182" i="52"/>
  <c r="AC183" i="52" a="1"/>
  <c r="AC185" i="52" a="1"/>
  <c r="AC186" i="52" a="1"/>
  <c r="AC187" i="52" a="1"/>
  <c r="AC188" i="52" a="1"/>
  <c r="AC189" i="52" a="1"/>
  <c r="AC191" i="52" a="1"/>
  <c r="AC192" i="52" a="1"/>
  <c r="AC193" i="52" a="1"/>
  <c r="AC194" i="52" a="1"/>
  <c r="AC195" i="52" a="1"/>
  <c r="AC197" i="52" a="1"/>
  <c r="AC198" i="52" a="1"/>
  <c r="AC183" i="52"/>
  <c r="AC185" i="52"/>
  <c r="AC186" i="52"/>
  <c r="AC187" i="52"/>
  <c r="AC188" i="52"/>
  <c r="AC189" i="52"/>
  <c r="AC191" i="52"/>
  <c r="AC192" i="52"/>
  <c r="AC193" i="52"/>
  <c r="AC194" i="52"/>
  <c r="AC195" i="52"/>
  <c r="AC197" i="52"/>
  <c r="AC198" i="52"/>
  <c r="AL181" i="52" a="1"/>
  <c r="AL181" i="52"/>
  <c r="AL182" i="52" a="1"/>
  <c r="AL182" i="52"/>
  <c r="AL183" i="52" a="1"/>
  <c r="AL184" i="52" a="1"/>
  <c r="AL185" i="52" a="1"/>
  <c r="AL187" i="52" a="1"/>
  <c r="AL188" i="52" a="1"/>
  <c r="AL189" i="52" a="1"/>
  <c r="AL190" i="52" a="1"/>
  <c r="AL191" i="52" a="1"/>
  <c r="AL193" i="52" a="1"/>
  <c r="AL194" i="52" a="1"/>
  <c r="AL195" i="52" a="1"/>
  <c r="AL196" i="52" a="1"/>
  <c r="AL197" i="52" a="1"/>
  <c r="V182" i="52" a="1"/>
  <c r="V182" i="52"/>
  <c r="V183" i="52" a="1"/>
  <c r="AA183" i="52" a="1"/>
  <c r="V183" i="52"/>
  <c r="AA183" i="52"/>
  <c r="V184" i="52" a="1"/>
  <c r="AA184" i="52" a="1"/>
  <c r="V184" i="52"/>
  <c r="AA184" i="52"/>
  <c r="V185" i="52" a="1"/>
  <c r="AA185" i="52" a="1"/>
  <c r="V185" i="52"/>
  <c r="V186" i="52" a="1"/>
  <c r="AA186" i="52" a="1"/>
  <c r="V186" i="52"/>
  <c r="AA186" i="52"/>
  <c r="AA187" i="52" a="1"/>
  <c r="V188" i="52" a="1"/>
  <c r="V188" i="52"/>
  <c r="V189" i="52" a="1"/>
  <c r="AA189" i="52" a="1"/>
  <c r="V189" i="52"/>
  <c r="AA189" i="52"/>
  <c r="V190" i="52" a="1"/>
  <c r="AA190" i="52" a="1"/>
  <c r="V190" i="52"/>
  <c r="AA190" i="52"/>
  <c r="V191" i="52" a="1"/>
  <c r="AA191" i="52" a="1"/>
  <c r="V191" i="52"/>
  <c r="V192" i="52" a="1"/>
  <c r="AA192" i="52" a="1"/>
  <c r="V192" i="52"/>
  <c r="AA192" i="52"/>
  <c r="AA193" i="52" a="1"/>
  <c r="V194" i="52" a="1"/>
  <c r="V194" i="52"/>
  <c r="V195" i="52" a="1"/>
  <c r="AA195" i="52" a="1"/>
  <c r="V195" i="52"/>
  <c r="AA195" i="52"/>
  <c r="V196" i="52" a="1"/>
  <c r="AA196" i="52" a="1"/>
  <c r="V196" i="52"/>
  <c r="AA196" i="52"/>
  <c r="V197" i="52" a="1"/>
  <c r="AA197" i="52" a="1"/>
  <c r="V197" i="52"/>
  <c r="V198" i="52" a="1"/>
  <c r="AA198" i="52" a="1"/>
  <c r="V198" i="52"/>
  <c r="AA198" i="52"/>
  <c r="X201" i="52" a="1"/>
  <c r="X201" i="52"/>
  <c r="X202" i="52" a="1"/>
  <c r="X202" i="52"/>
  <c r="X203" i="52" a="1"/>
  <c r="X204" i="52" a="1"/>
  <c r="X206" i="52" a="1"/>
  <c r="X207" i="52" a="1"/>
  <c r="X208" i="52" a="1"/>
  <c r="X209" i="52" a="1"/>
  <c r="X210" i="52" a="1"/>
  <c r="X212" i="52" a="1"/>
  <c r="X213" i="52" a="1"/>
  <c r="X214" i="52" a="1"/>
  <c r="X215" i="52" a="1"/>
  <c r="X216" i="52" a="1"/>
  <c r="X218" i="52" a="1"/>
  <c r="X219" i="52" a="1"/>
  <c r="X220" i="52" a="1"/>
  <c r="X221" i="52" a="1"/>
  <c r="X222" i="52" a="1"/>
  <c r="X224" i="52" a="1"/>
  <c r="X203" i="52"/>
  <c r="X204" i="52"/>
  <c r="X206" i="52"/>
  <c r="X207" i="52"/>
  <c r="X208" i="52"/>
  <c r="X209" i="52"/>
  <c r="X210" i="52"/>
  <c r="X212" i="52"/>
  <c r="X213" i="52"/>
  <c r="X214" i="52"/>
  <c r="X215" i="52"/>
  <c r="X216" i="52"/>
  <c r="X218" i="52"/>
  <c r="X219" i="52"/>
  <c r="X220" i="52"/>
  <c r="X221" i="52"/>
  <c r="X222" i="52"/>
  <c r="X224" i="52"/>
  <c r="AA201" i="52" a="1"/>
  <c r="AA201" i="52"/>
  <c r="AB201" i="52" a="1"/>
  <c r="AB201" i="52"/>
  <c r="AB202" i="52" a="1"/>
  <c r="AB202" i="52"/>
  <c r="AB204" i="52" a="1"/>
  <c r="AB205" i="52" a="1"/>
  <c r="AB206" i="52" a="1"/>
  <c r="AB207" i="52" a="1"/>
  <c r="AB208" i="52" a="1"/>
  <c r="AB210" i="52" a="1"/>
  <c r="AB211" i="52" a="1"/>
  <c r="AB212" i="52" a="1"/>
  <c r="AB213" i="52" a="1"/>
  <c r="AB214" i="52" a="1"/>
  <c r="AB216" i="52" a="1"/>
  <c r="AB217" i="52" a="1"/>
  <c r="AB218" i="52" a="1"/>
  <c r="AB219" i="52" a="1"/>
  <c r="AB220" i="52" a="1"/>
  <c r="AB222" i="52" a="1"/>
  <c r="AB223" i="52" a="1"/>
  <c r="AB224" i="52" a="1"/>
  <c r="AB204" i="52"/>
  <c r="AB205" i="52"/>
  <c r="AB206" i="52"/>
  <c r="AB207" i="52"/>
  <c r="AB208" i="52"/>
  <c r="AB210" i="52"/>
  <c r="AB211" i="52"/>
  <c r="AB212" i="52"/>
  <c r="AB213" i="52"/>
  <c r="AB214" i="52"/>
  <c r="AB216" i="52"/>
  <c r="AB217" i="52"/>
  <c r="AB218" i="52"/>
  <c r="AB219" i="52"/>
  <c r="AB220" i="52"/>
  <c r="AB222" i="52"/>
  <c r="AB223" i="52"/>
  <c r="AB224" i="52"/>
  <c r="AC201" i="52" a="1"/>
  <c r="AC201" i="52"/>
  <c r="AC202" i="52" a="1"/>
  <c r="AC202" i="52"/>
  <c r="AC203" i="52" a="1"/>
  <c r="AC205" i="52" a="1"/>
  <c r="AC206" i="52" a="1"/>
  <c r="AC207" i="52" a="1"/>
  <c r="AC208" i="52" a="1"/>
  <c r="AC209" i="52" a="1"/>
  <c r="AC211" i="52" a="1"/>
  <c r="AC212" i="52" a="1"/>
  <c r="AC213" i="52" a="1"/>
  <c r="AC214" i="52" a="1"/>
  <c r="AC215" i="52" a="1"/>
  <c r="AC217" i="52" a="1"/>
  <c r="AC218" i="52" a="1"/>
  <c r="AC219" i="52" a="1"/>
  <c r="AC220" i="52" a="1"/>
  <c r="AC221" i="52" a="1"/>
  <c r="AC223" i="52" a="1"/>
  <c r="AC224" i="52" a="1"/>
  <c r="AC203" i="52"/>
  <c r="AC205" i="52"/>
  <c r="AC206" i="52"/>
  <c r="AC207" i="52"/>
  <c r="AC208" i="52"/>
  <c r="AC209" i="52"/>
  <c r="AC211" i="52"/>
  <c r="AC212" i="52"/>
  <c r="AC213" i="52"/>
  <c r="AC214" i="52"/>
  <c r="AC215" i="52"/>
  <c r="AC217" i="52"/>
  <c r="AC218" i="52"/>
  <c r="AC219" i="52"/>
  <c r="AC220" i="52"/>
  <c r="AC221" i="52"/>
  <c r="AC223" i="52"/>
  <c r="AC224" i="52"/>
  <c r="AL201" i="52" a="1"/>
  <c r="AL201" i="52"/>
  <c r="AL202" i="52" a="1"/>
  <c r="AL202" i="52"/>
  <c r="AL203" i="52" a="1"/>
  <c r="AL204" i="52" a="1"/>
  <c r="AL205" i="52" a="1"/>
  <c r="AL207" i="52" a="1"/>
  <c r="AL208" i="52" a="1"/>
  <c r="AL209" i="52" a="1"/>
  <c r="AL210" i="52" a="1"/>
  <c r="AL211" i="52" a="1"/>
  <c r="AL213" i="52" a="1"/>
  <c r="AL214" i="52" a="1"/>
  <c r="AL215" i="52" a="1"/>
  <c r="AL216" i="52" a="1"/>
  <c r="AL217" i="52" a="1"/>
  <c r="AL219" i="52" a="1"/>
  <c r="AL220" i="52" a="1"/>
  <c r="AL221" i="52" a="1"/>
  <c r="AL222" i="52" a="1"/>
  <c r="AL223" i="52" a="1"/>
  <c r="V202" i="52" a="1"/>
  <c r="V202" i="52"/>
  <c r="V203" i="52" a="1"/>
  <c r="AA203" i="52" a="1"/>
  <c r="V203" i="52"/>
  <c r="AA203" i="52"/>
  <c r="V204" i="52" a="1"/>
  <c r="AA204" i="52" a="1"/>
  <c r="V204" i="52"/>
  <c r="AA204" i="52"/>
  <c r="V205" i="52" a="1"/>
  <c r="AA205" i="52" a="1"/>
  <c r="V205" i="52"/>
  <c r="V206" i="52" a="1"/>
  <c r="AA206" i="52" a="1"/>
  <c r="V206" i="52"/>
  <c r="AA206" i="52"/>
  <c r="AA207" i="52" a="1"/>
  <c r="V208" i="52" a="1"/>
  <c r="V208" i="52"/>
  <c r="V209" i="52" a="1"/>
  <c r="AA209" i="52" a="1"/>
  <c r="V209" i="52"/>
  <c r="AA209" i="52"/>
  <c r="V210" i="52" a="1"/>
  <c r="AA210" i="52" a="1"/>
  <c r="V210" i="52"/>
  <c r="AA210" i="52"/>
  <c r="V211" i="52" a="1"/>
  <c r="AA211" i="52" a="1"/>
  <c r="V211" i="52"/>
  <c r="V212" i="52" a="1"/>
  <c r="AA212" i="52" a="1"/>
  <c r="V212" i="52"/>
  <c r="AA212" i="52"/>
  <c r="AA213" i="52" a="1"/>
  <c r="V214" i="52" a="1"/>
  <c r="V214" i="52"/>
  <c r="V215" i="52" a="1"/>
  <c r="AA215" i="52" a="1"/>
  <c r="V215" i="52"/>
  <c r="AA215" i="52"/>
  <c r="V216" i="52" a="1"/>
  <c r="AA216" i="52" a="1"/>
  <c r="V216" i="52"/>
  <c r="AA216" i="52"/>
  <c r="V217" i="52" a="1"/>
  <c r="AA217" i="52" a="1"/>
  <c r="V217" i="52"/>
  <c r="V218" i="52" a="1"/>
  <c r="AA218" i="52" a="1"/>
  <c r="V218" i="52"/>
  <c r="AA218" i="52"/>
  <c r="AA219" i="52" a="1"/>
  <c r="V220" i="52" a="1"/>
  <c r="V220" i="52"/>
  <c r="V221" i="52" a="1"/>
  <c r="AA221" i="52" a="1"/>
  <c r="V221" i="52"/>
  <c r="AA221" i="52"/>
  <c r="V222" i="52" a="1"/>
  <c r="AA222" i="52" a="1"/>
  <c r="V222" i="52"/>
  <c r="AA222" i="52"/>
  <c r="V223" i="52" a="1"/>
  <c r="AA223" i="52" a="1"/>
  <c r="V223" i="52"/>
  <c r="V224" i="52" a="1"/>
  <c r="AA224" i="52" a="1"/>
  <c r="V224" i="52"/>
  <c r="AA224" i="52"/>
  <c r="X227" i="52" a="1"/>
  <c r="X227" i="52"/>
  <c r="X228" i="52" a="1"/>
  <c r="X228" i="52"/>
  <c r="X229" i="52" a="1"/>
  <c r="X230" i="52" a="1"/>
  <c r="X232" i="52" a="1"/>
  <c r="X233" i="52" a="1"/>
  <c r="X234" i="52" a="1"/>
  <c r="X235" i="52" a="1"/>
  <c r="X236" i="52" a="1"/>
  <c r="X238" i="52" a="1"/>
  <c r="X239" i="52" a="1"/>
  <c r="X240" i="52" a="1"/>
  <c r="X241" i="52" a="1"/>
  <c r="X242" i="52" a="1"/>
  <c r="X244" i="52" a="1"/>
  <c r="X229" i="52"/>
  <c r="X230" i="52"/>
  <c r="X232" i="52"/>
  <c r="X233" i="52"/>
  <c r="X234" i="52"/>
  <c r="X235" i="52"/>
  <c r="X236" i="52"/>
  <c r="X238" i="52"/>
  <c r="X239" i="52"/>
  <c r="X240" i="52"/>
  <c r="X241" i="52"/>
  <c r="X242" i="52"/>
  <c r="X244" i="52"/>
  <c r="AA227" i="52" a="1"/>
  <c r="AA227" i="52"/>
  <c r="AB227" i="52" a="1"/>
  <c r="AB227" i="52"/>
  <c r="AB228" i="52" a="1"/>
  <c r="AB228" i="52"/>
  <c r="AB230" i="52" a="1"/>
  <c r="AB231" i="52" a="1"/>
  <c r="AB232" i="52" a="1"/>
  <c r="AB233" i="52" a="1"/>
  <c r="AB234" i="52" a="1"/>
  <c r="AB236" i="52" a="1"/>
  <c r="AB237" i="52" a="1"/>
  <c r="AB238" i="52" a="1"/>
  <c r="AB239" i="52" a="1"/>
  <c r="AB240" i="52" a="1"/>
  <c r="AB242" i="52" a="1"/>
  <c r="AB243" i="52" a="1"/>
  <c r="AB244" i="52" a="1"/>
  <c r="AB230" i="52"/>
  <c r="AB231" i="52"/>
  <c r="AB232" i="52"/>
  <c r="AB233" i="52"/>
  <c r="AB234" i="52"/>
  <c r="AB236" i="52"/>
  <c r="AB237" i="52"/>
  <c r="AB238" i="52"/>
  <c r="AB239" i="52"/>
  <c r="AB240" i="52"/>
  <c r="AB242" i="52"/>
  <c r="AB243" i="52"/>
  <c r="AB244" i="52"/>
  <c r="AC227" i="52" a="1"/>
  <c r="AC227" i="52"/>
  <c r="AC228" i="52" a="1"/>
  <c r="AC228" i="52"/>
  <c r="AC229" i="52" a="1"/>
  <c r="AC231" i="52" a="1"/>
  <c r="AC232" i="52" a="1"/>
  <c r="AC233" i="52" a="1"/>
  <c r="AC234" i="52" a="1"/>
  <c r="AC235" i="52" a="1"/>
  <c r="AC237" i="52" a="1"/>
  <c r="AC238" i="52" a="1"/>
  <c r="AC239" i="52" a="1"/>
  <c r="AC240" i="52" a="1"/>
  <c r="AC241" i="52" a="1"/>
  <c r="AC243" i="52" a="1"/>
  <c r="AC244" i="52" a="1"/>
  <c r="AC229" i="52"/>
  <c r="AC231" i="52"/>
  <c r="AC232" i="52"/>
  <c r="AC233" i="52"/>
  <c r="AC234" i="52"/>
  <c r="AC235" i="52"/>
  <c r="AC237" i="52"/>
  <c r="AC238" i="52"/>
  <c r="AC239" i="52"/>
  <c r="AC240" i="52"/>
  <c r="AC241" i="52"/>
  <c r="AC243" i="52"/>
  <c r="AC244" i="52"/>
  <c r="AL227" i="52" a="1"/>
  <c r="AL227" i="52"/>
  <c r="AL228" i="52" a="1"/>
  <c r="AL228" i="52"/>
  <c r="AL229" i="52" a="1"/>
  <c r="AL230" i="52" a="1"/>
  <c r="AL231" i="52" a="1"/>
  <c r="AL233" i="52" a="1"/>
  <c r="AL234" i="52" a="1"/>
  <c r="AL235" i="52" a="1"/>
  <c r="AL236" i="52" a="1"/>
  <c r="AL237" i="52" a="1"/>
  <c r="AL239" i="52" a="1"/>
  <c r="AL240" i="52" a="1"/>
  <c r="AL241" i="52" a="1"/>
  <c r="AL242" i="52" a="1"/>
  <c r="AL243" i="52" a="1"/>
  <c r="V228" i="52" a="1"/>
  <c r="V228" i="52"/>
  <c r="V229" i="52" a="1"/>
  <c r="AA229" i="52" a="1"/>
  <c r="V229" i="52"/>
  <c r="AA229" i="52"/>
  <c r="V230" i="52" a="1"/>
  <c r="AA230" i="52" a="1"/>
  <c r="V230" i="52"/>
  <c r="AA230" i="52"/>
  <c r="V231" i="52" a="1"/>
  <c r="AA231" i="52" a="1"/>
  <c r="V231" i="52"/>
  <c r="V232" i="52" a="1"/>
  <c r="AA232" i="52" a="1"/>
  <c r="V232" i="52"/>
  <c r="AA232" i="52"/>
  <c r="AA233" i="52" a="1"/>
  <c r="V234" i="52" a="1"/>
  <c r="V234" i="52"/>
  <c r="V235" i="52" a="1"/>
  <c r="AA235" i="52" a="1"/>
  <c r="V235" i="52"/>
  <c r="AA235" i="52"/>
  <c r="V236" i="52" a="1"/>
  <c r="AA236" i="52" a="1"/>
  <c r="V236" i="52"/>
  <c r="AA236" i="52"/>
  <c r="V237" i="52" a="1"/>
  <c r="AA237" i="52" a="1"/>
  <c r="V237" i="52"/>
  <c r="V238" i="52" a="1"/>
  <c r="AA238" i="52" a="1"/>
  <c r="V238" i="52"/>
  <c r="AA238" i="52"/>
  <c r="AA239" i="52" a="1"/>
  <c r="V240" i="52" a="1"/>
  <c r="V240" i="52"/>
  <c r="V241" i="52" a="1"/>
  <c r="AA241" i="52" a="1"/>
  <c r="V241" i="52"/>
  <c r="AA241" i="52"/>
  <c r="V242" i="52" a="1"/>
  <c r="AA242" i="52" a="1"/>
  <c r="V242" i="52"/>
  <c r="AA242" i="52"/>
  <c r="V243" i="52" a="1"/>
  <c r="AA243" i="52" a="1"/>
  <c r="V243" i="52"/>
  <c r="V244" i="52" a="1"/>
  <c r="AA244" i="52" a="1"/>
  <c r="V244" i="52"/>
  <c r="AA244" i="52"/>
  <c r="X247" i="52" a="1"/>
  <c r="X247" i="52"/>
  <c r="X248" i="52" a="1"/>
  <c r="X248" i="52"/>
  <c r="X249" i="52" a="1"/>
  <c r="X250" i="52" a="1"/>
  <c r="X252" i="52" a="1"/>
  <c r="X249" i="52"/>
  <c r="X250" i="52"/>
  <c r="X252" i="52"/>
  <c r="AA247" i="52" a="1"/>
  <c r="AA247" i="52"/>
  <c r="AB247" i="52" a="1"/>
  <c r="AB247" i="52"/>
  <c r="AB248" i="52" a="1"/>
  <c r="AB248" i="52"/>
  <c r="AB250" i="52" a="1"/>
  <c r="AB251" i="52" a="1"/>
  <c r="AB252" i="52" a="1"/>
  <c r="AB250" i="52"/>
  <c r="AB251" i="52"/>
  <c r="AB252" i="52"/>
  <c r="AC247" i="52" a="1"/>
  <c r="AC247" i="52"/>
  <c r="AC248" i="52" a="1"/>
  <c r="AC248" i="52"/>
  <c r="AC249" i="52" a="1"/>
  <c r="AC251" i="52" a="1"/>
  <c r="AC252" i="52" a="1"/>
  <c r="AC249" i="52"/>
  <c r="AC251" i="52"/>
  <c r="AC252" i="52"/>
  <c r="AL247" i="52" a="1"/>
  <c r="AL247" i="52"/>
  <c r="AL248" i="52" a="1"/>
  <c r="AL248" i="52"/>
  <c r="AL249" i="52" a="1"/>
  <c r="AL250" i="52" a="1"/>
  <c r="AL251" i="52" a="1"/>
  <c r="V248" i="52" a="1"/>
  <c r="V248" i="52"/>
  <c r="V249" i="52" a="1"/>
  <c r="AA249" i="52" a="1"/>
  <c r="V249" i="52"/>
  <c r="AA249" i="52"/>
  <c r="V250" i="52" a="1"/>
  <c r="AA250" i="52" a="1"/>
  <c r="V250" i="52"/>
  <c r="AA250" i="52"/>
  <c r="V251" i="52" a="1"/>
  <c r="AA251" i="52" a="1"/>
  <c r="V251" i="52"/>
  <c r="V252" i="52" a="1"/>
  <c r="AA252" i="52" a="1"/>
  <c r="V252" i="52"/>
  <c r="AA252" i="52"/>
  <c r="X255" i="52" a="1"/>
  <c r="X255" i="52"/>
  <c r="X256" i="52" a="1"/>
  <c r="X256" i="52"/>
  <c r="X257" i="52" a="1"/>
  <c r="X258" i="52" a="1"/>
  <c r="X260" i="52" a="1"/>
  <c r="X257" i="52"/>
  <c r="X258" i="52"/>
  <c r="X260" i="52"/>
  <c r="AA255" i="52" a="1"/>
  <c r="AA255" i="52"/>
  <c r="AB255" i="52" a="1"/>
  <c r="AB255" i="52"/>
  <c r="AB256" i="52" a="1"/>
  <c r="AB256" i="52"/>
  <c r="AB258" i="52" a="1"/>
  <c r="AB259" i="52" a="1"/>
  <c r="AB260" i="52" a="1"/>
  <c r="AB258" i="52"/>
  <c r="AB259" i="52"/>
  <c r="AB260" i="52"/>
  <c r="AC255" i="52" a="1"/>
  <c r="AC255" i="52"/>
  <c r="AC256" i="52" a="1"/>
  <c r="AC256" i="52"/>
  <c r="AC257" i="52" a="1"/>
  <c r="AC259" i="52" a="1"/>
  <c r="AC260" i="52" a="1"/>
  <c r="AC257" i="52"/>
  <c r="AC259" i="52"/>
  <c r="AC260" i="52"/>
  <c r="AL255" i="52" a="1"/>
  <c r="AL255" i="52"/>
  <c r="AL256" i="52" a="1"/>
  <c r="AL256" i="52"/>
  <c r="AL257" i="52" a="1"/>
  <c r="AL258" i="52" a="1"/>
  <c r="AL259" i="52" a="1"/>
  <c r="V256" i="52" a="1"/>
  <c r="V256" i="52"/>
  <c r="V257" i="52" a="1"/>
  <c r="AA257" i="52" a="1"/>
  <c r="V257" i="52"/>
  <c r="AA257" i="52"/>
  <c r="V258" i="52" a="1"/>
  <c r="AA258" i="52" a="1"/>
  <c r="V258" i="52"/>
  <c r="AA258" i="52"/>
  <c r="V259" i="52" a="1"/>
  <c r="AA259" i="52" a="1"/>
  <c r="V259" i="52"/>
  <c r="V260" i="52" a="1"/>
  <c r="AA260" i="52" a="1"/>
  <c r="V260" i="52"/>
  <c r="AA260" i="52"/>
  <c r="E263" i="52"/>
  <c r="F263" i="52"/>
  <c r="G263" i="52"/>
  <c r="H263" i="52"/>
  <c r="I263" i="52"/>
  <c r="K263" i="52"/>
  <c r="M263" i="52"/>
  <c r="O263" i="52"/>
  <c r="P263" i="52"/>
  <c r="Q263" i="52"/>
  <c r="R263" i="52"/>
  <c r="S263" i="52"/>
  <c r="AD263" i="52"/>
  <c r="AE263" i="52"/>
  <c r="AF263" i="52"/>
  <c r="AG263" i="52"/>
  <c r="AH263" i="52"/>
  <c r="AI263" i="52"/>
  <c r="AJ263" i="52"/>
  <c r="AK263" i="52"/>
  <c r="AM263" i="52"/>
  <c r="AN263" i="52"/>
  <c r="AQ263" i="52"/>
  <c r="AR263" i="52"/>
  <c r="AS263" i="52"/>
  <c r="AT263" i="52"/>
  <c r="AV263" i="52"/>
  <c r="AW263" i="52"/>
  <c r="AX263" i="52"/>
  <c r="AZ263" i="52"/>
  <c r="BB263" i="52"/>
  <c r="BC263" i="52"/>
  <c r="BG263" i="52"/>
  <c r="E270" i="52" a="1"/>
  <c r="E270" i="52"/>
  <c r="E271" i="52" a="1"/>
  <c r="E271" i="52"/>
  <c r="E272" i="52" a="1"/>
  <c r="E273" i="52" a="1"/>
  <c r="E274" i="52" a="1"/>
  <c r="E275" i="52" a="1"/>
  <c r="E276" i="52" a="1"/>
  <c r="E272" i="52"/>
  <c r="E273" i="52"/>
  <c r="E274" i="52"/>
  <c r="E275" i="52"/>
  <c r="E276" i="52"/>
  <c r="E269" i="52"/>
  <c r="E279" i="52" a="1"/>
  <c r="E279" i="52"/>
  <c r="E280" i="52" a="1"/>
  <c r="E280" i="52"/>
  <c r="E281" i="52" a="1"/>
  <c r="E282" i="52" a="1"/>
  <c r="E283" i="52" a="1"/>
  <c r="E284" i="52" a="1"/>
  <c r="E285" i="52" a="1"/>
  <c r="E281" i="52"/>
  <c r="E282" i="52"/>
  <c r="E283" i="52"/>
  <c r="E284" i="52"/>
  <c r="E285" i="52"/>
  <c r="E278" i="52"/>
  <c r="E288" i="52" a="1"/>
  <c r="E288" i="52"/>
  <c r="E287" i="52"/>
  <c r="E291" i="52" a="1"/>
  <c r="E291" i="52"/>
  <c r="E292" i="52" a="1"/>
  <c r="E292" i="52"/>
  <c r="E290" i="52"/>
  <c r="E295" i="52" a="1"/>
  <c r="E295" i="52"/>
  <c r="E294" i="52"/>
  <c r="E298" i="52" a="1"/>
  <c r="E298" i="52"/>
  <c r="E299" i="52" a="1"/>
  <c r="E299" i="52"/>
  <c r="E297" i="52"/>
  <c r="E302" i="52" a="1"/>
  <c r="E302" i="52"/>
  <c r="E303" i="52" a="1"/>
  <c r="E303" i="52"/>
  <c r="E301" i="52"/>
  <c r="E306" i="52" a="1"/>
  <c r="E306" i="52"/>
  <c r="E305" i="52"/>
  <c r="E309" i="52" a="1"/>
  <c r="E309" i="52"/>
  <c r="E308" i="52"/>
  <c r="E267" i="52"/>
  <c r="F270" i="52" a="1"/>
  <c r="F270" i="52"/>
  <c r="F271" i="52" a="1"/>
  <c r="F271" i="52"/>
  <c r="F272" i="52" a="1"/>
  <c r="F273" i="52" a="1"/>
  <c r="F274" i="52" a="1"/>
  <c r="F275" i="52" a="1"/>
  <c r="F276" i="52" a="1"/>
  <c r="F272" i="52"/>
  <c r="F273" i="52"/>
  <c r="F274" i="52"/>
  <c r="F275" i="52"/>
  <c r="F276" i="52"/>
  <c r="F269" i="52"/>
  <c r="F279" i="52" a="1"/>
  <c r="F279" i="52"/>
  <c r="F280" i="52" a="1"/>
  <c r="F280" i="52"/>
  <c r="F281" i="52" a="1"/>
  <c r="F282" i="52" a="1"/>
  <c r="F283" i="52" a="1"/>
  <c r="F284" i="52" a="1"/>
  <c r="F285" i="52" a="1"/>
  <c r="F281" i="52"/>
  <c r="F282" i="52"/>
  <c r="F283" i="52"/>
  <c r="F284" i="52"/>
  <c r="F285" i="52"/>
  <c r="F278" i="52"/>
  <c r="F288" i="52" a="1"/>
  <c r="F288" i="52"/>
  <c r="F287" i="52"/>
  <c r="F291" i="52" a="1"/>
  <c r="F291" i="52"/>
  <c r="F292" i="52" a="1"/>
  <c r="F292" i="52"/>
  <c r="F290" i="52"/>
  <c r="F295" i="52" a="1"/>
  <c r="F295" i="52"/>
  <c r="F294" i="52"/>
  <c r="F298" i="52" a="1"/>
  <c r="F298" i="52"/>
  <c r="F299" i="52" a="1"/>
  <c r="F299" i="52"/>
  <c r="F297" i="52"/>
  <c r="F302" i="52" a="1"/>
  <c r="F302" i="52"/>
  <c r="F303" i="52" a="1"/>
  <c r="F303" i="52"/>
  <c r="F301" i="52"/>
  <c r="F306" i="52" a="1"/>
  <c r="F306" i="52"/>
  <c r="F305" i="52"/>
  <c r="F309" i="52" a="1"/>
  <c r="F309" i="52"/>
  <c r="F308" i="52"/>
  <c r="F267" i="52"/>
  <c r="G270" i="52" a="1"/>
  <c r="G270" i="52"/>
  <c r="G271" i="52" a="1"/>
  <c r="G271" i="52"/>
  <c r="G272" i="52" a="1"/>
  <c r="G273" i="52" a="1"/>
  <c r="G274" i="52" a="1"/>
  <c r="G275" i="52" a="1"/>
  <c r="G276" i="52" a="1"/>
  <c r="G272" i="52"/>
  <c r="G273" i="52"/>
  <c r="G274" i="52"/>
  <c r="G275" i="52"/>
  <c r="G276" i="52"/>
  <c r="G269" i="52"/>
  <c r="G279" i="52" a="1"/>
  <c r="G279" i="52"/>
  <c r="G280" i="52" a="1"/>
  <c r="G280" i="52"/>
  <c r="G281" i="52" a="1"/>
  <c r="G282" i="52" a="1"/>
  <c r="G283" i="52" a="1"/>
  <c r="G284" i="52" a="1"/>
  <c r="G285" i="52" a="1"/>
  <c r="G281" i="52"/>
  <c r="G282" i="52"/>
  <c r="G283" i="52"/>
  <c r="G284" i="52"/>
  <c r="G285" i="52"/>
  <c r="G278" i="52"/>
  <c r="G288" i="52" a="1"/>
  <c r="G288" i="52"/>
  <c r="G287" i="52"/>
  <c r="G291" i="52" a="1"/>
  <c r="G291" i="52"/>
  <c r="G292" i="52" a="1"/>
  <c r="G292" i="52"/>
  <c r="G290" i="52"/>
  <c r="G295" i="52" a="1"/>
  <c r="G295" i="52"/>
  <c r="G294" i="52"/>
  <c r="G298" i="52" a="1"/>
  <c r="G298" i="52"/>
  <c r="G299" i="52" a="1"/>
  <c r="G299" i="52"/>
  <c r="G297" i="52"/>
  <c r="G302" i="52" a="1"/>
  <c r="G302" i="52"/>
  <c r="G303" i="52" a="1"/>
  <c r="G303" i="52"/>
  <c r="G301" i="52"/>
  <c r="G306" i="52" a="1"/>
  <c r="G306" i="52"/>
  <c r="G305" i="52"/>
  <c r="G309" i="52" a="1"/>
  <c r="G309" i="52"/>
  <c r="G308" i="52"/>
  <c r="G267" i="52"/>
  <c r="H270" i="52" a="1"/>
  <c r="H270" i="52"/>
  <c r="H271" i="52" a="1"/>
  <c r="H271" i="52"/>
  <c r="H272" i="52" a="1"/>
  <c r="H273" i="52" a="1"/>
  <c r="H274" i="52" a="1"/>
  <c r="H275" i="52" a="1"/>
  <c r="H276" i="52" a="1"/>
  <c r="H272" i="52"/>
  <c r="H273" i="52"/>
  <c r="H274" i="52"/>
  <c r="H275" i="52"/>
  <c r="H276" i="52"/>
  <c r="H269" i="52"/>
  <c r="H279" i="52" a="1"/>
  <c r="H279" i="52"/>
  <c r="H280" i="52" a="1"/>
  <c r="H280" i="52"/>
  <c r="H281" i="52" a="1"/>
  <c r="H282" i="52" a="1"/>
  <c r="H283" i="52" a="1"/>
  <c r="H284" i="52" a="1"/>
  <c r="H285" i="52" a="1"/>
  <c r="H281" i="52"/>
  <c r="H282" i="52"/>
  <c r="H283" i="52"/>
  <c r="H284" i="52"/>
  <c r="H285" i="52"/>
  <c r="H278" i="52"/>
  <c r="H288" i="52" a="1"/>
  <c r="H288" i="52"/>
  <c r="H287" i="52"/>
  <c r="H291" i="52" a="1"/>
  <c r="H291" i="52"/>
  <c r="H292" i="52" a="1"/>
  <c r="H292" i="52"/>
  <c r="H290" i="52"/>
  <c r="H295" i="52" a="1"/>
  <c r="H295" i="52"/>
  <c r="H294" i="52"/>
  <c r="H298" i="52" a="1"/>
  <c r="H298" i="52"/>
  <c r="H299" i="52" a="1"/>
  <c r="H299" i="52"/>
  <c r="H297" i="52"/>
  <c r="H302" i="52" a="1"/>
  <c r="H302" i="52"/>
  <c r="H303" i="52" a="1"/>
  <c r="H303" i="52"/>
  <c r="H301" i="52"/>
  <c r="H306" i="52" a="1"/>
  <c r="H306" i="52"/>
  <c r="H305" i="52"/>
  <c r="H309" i="52" a="1"/>
  <c r="H309" i="52"/>
  <c r="H308" i="52"/>
  <c r="H267" i="52"/>
  <c r="I270" i="52" a="1"/>
  <c r="I270" i="52"/>
  <c r="I271" i="52" a="1"/>
  <c r="I271" i="52"/>
  <c r="I272" i="52" a="1"/>
  <c r="I273" i="52" a="1"/>
  <c r="I274" i="52" a="1"/>
  <c r="I275" i="52" a="1"/>
  <c r="I276" i="52" a="1"/>
  <c r="I272" i="52"/>
  <c r="I273" i="52"/>
  <c r="I274" i="52"/>
  <c r="I275" i="52"/>
  <c r="I276" i="52"/>
  <c r="I269" i="52"/>
  <c r="I279" i="52" a="1"/>
  <c r="I279" i="52"/>
  <c r="I280" i="52" a="1"/>
  <c r="I280" i="52"/>
  <c r="I281" i="52" a="1"/>
  <c r="I282" i="52" a="1"/>
  <c r="I283" i="52" a="1"/>
  <c r="I284" i="52" a="1"/>
  <c r="I285" i="52" a="1"/>
  <c r="I281" i="52"/>
  <c r="I282" i="52"/>
  <c r="I283" i="52"/>
  <c r="I284" i="52"/>
  <c r="I285" i="52"/>
  <c r="I278" i="52"/>
  <c r="I288" i="52" a="1"/>
  <c r="I288" i="52"/>
  <c r="I287" i="52"/>
  <c r="I291" i="52" a="1"/>
  <c r="I291" i="52"/>
  <c r="I292" i="52" a="1"/>
  <c r="I292" i="52"/>
  <c r="I290" i="52"/>
  <c r="I295" i="52" a="1"/>
  <c r="I295" i="52"/>
  <c r="I294" i="52"/>
  <c r="I298" i="52" a="1"/>
  <c r="I298" i="52"/>
  <c r="I299" i="52" a="1"/>
  <c r="I299" i="52"/>
  <c r="I297" i="52"/>
  <c r="I302" i="52" a="1"/>
  <c r="I302" i="52"/>
  <c r="I303" i="52" a="1"/>
  <c r="I303" i="52"/>
  <c r="I301" i="52"/>
  <c r="I306" i="52" a="1"/>
  <c r="I306" i="52"/>
  <c r="I305" i="52"/>
  <c r="I309" i="52" a="1"/>
  <c r="I309" i="52"/>
  <c r="I308" i="52"/>
  <c r="I267" i="52"/>
  <c r="J270" i="52" a="1"/>
  <c r="J270" i="52"/>
  <c r="J271" i="52" a="1"/>
  <c r="J271" i="52"/>
  <c r="J272" i="52" a="1"/>
  <c r="J273" i="52" a="1"/>
  <c r="J274" i="52" a="1"/>
  <c r="J275" i="52" a="1"/>
  <c r="J276" i="52" a="1"/>
  <c r="J272" i="52"/>
  <c r="J273" i="52"/>
  <c r="J274" i="52"/>
  <c r="J275" i="52"/>
  <c r="J276" i="52"/>
  <c r="J269" i="52"/>
  <c r="J279" i="52" a="1"/>
  <c r="J279" i="52"/>
  <c r="J280" i="52" a="1"/>
  <c r="J280" i="52"/>
  <c r="J281" i="52" a="1"/>
  <c r="J282" i="52" a="1"/>
  <c r="J283" i="52" a="1"/>
  <c r="J284" i="52" a="1"/>
  <c r="J285" i="52" a="1"/>
  <c r="J281" i="52"/>
  <c r="J282" i="52"/>
  <c r="J283" i="52"/>
  <c r="J284" i="52"/>
  <c r="J285" i="52"/>
  <c r="J278" i="52"/>
  <c r="J288" i="52" a="1"/>
  <c r="J288" i="52"/>
  <c r="J287" i="52"/>
  <c r="J291" i="52" a="1"/>
  <c r="J291" i="52"/>
  <c r="J292" i="52" a="1"/>
  <c r="J292" i="52"/>
  <c r="J290" i="52"/>
  <c r="J295" i="52" a="1"/>
  <c r="J295" i="52"/>
  <c r="J294" i="52"/>
  <c r="J298" i="52" a="1"/>
  <c r="J298" i="52"/>
  <c r="J299" i="52" a="1"/>
  <c r="J299" i="52"/>
  <c r="J297" i="52"/>
  <c r="J302" i="52" a="1"/>
  <c r="J302" i="52"/>
  <c r="J303" i="52" a="1"/>
  <c r="J303" i="52"/>
  <c r="J301" i="52"/>
  <c r="J306" i="52" a="1"/>
  <c r="J306" i="52"/>
  <c r="J305" i="52"/>
  <c r="J309" i="52" a="1"/>
  <c r="J309" i="52"/>
  <c r="J308" i="52"/>
  <c r="J267" i="52"/>
  <c r="K270" i="52" a="1"/>
  <c r="K270" i="52"/>
  <c r="K271" i="52" a="1"/>
  <c r="K271" i="52"/>
  <c r="K272" i="52" a="1"/>
  <c r="K273" i="52" a="1"/>
  <c r="K274" i="52" a="1"/>
  <c r="K275" i="52" a="1"/>
  <c r="K276" i="52" a="1"/>
  <c r="K272" i="52"/>
  <c r="K273" i="52"/>
  <c r="K274" i="52"/>
  <c r="K275" i="52"/>
  <c r="K276" i="52"/>
  <c r="K269" i="52"/>
  <c r="K279" i="52" a="1"/>
  <c r="K279" i="52"/>
  <c r="K280" i="52" a="1"/>
  <c r="K280" i="52"/>
  <c r="K281" i="52" a="1"/>
  <c r="K282" i="52" a="1"/>
  <c r="K283" i="52" a="1"/>
  <c r="K284" i="52" a="1"/>
  <c r="K285" i="52" a="1"/>
  <c r="K281" i="52"/>
  <c r="K282" i="52"/>
  <c r="K283" i="52"/>
  <c r="K284" i="52"/>
  <c r="K285" i="52"/>
  <c r="K278" i="52"/>
  <c r="K288" i="52" a="1"/>
  <c r="K288" i="52"/>
  <c r="K287" i="52"/>
  <c r="K291" i="52" a="1"/>
  <c r="K291" i="52"/>
  <c r="K292" i="52" a="1"/>
  <c r="K292" i="52"/>
  <c r="K290" i="52"/>
  <c r="K295" i="52" a="1"/>
  <c r="K295" i="52"/>
  <c r="K294" i="52"/>
  <c r="K298" i="52" a="1"/>
  <c r="K298" i="52"/>
  <c r="K299" i="52" a="1"/>
  <c r="K299" i="52"/>
  <c r="K297" i="52"/>
  <c r="K302" i="52" a="1"/>
  <c r="K302" i="52"/>
  <c r="K303" i="52" a="1"/>
  <c r="K303" i="52"/>
  <c r="K301" i="52"/>
  <c r="K306" i="52" a="1"/>
  <c r="K306" i="52"/>
  <c r="K305" i="52"/>
  <c r="K309" i="52" a="1"/>
  <c r="K309" i="52"/>
  <c r="K308" i="52"/>
  <c r="K267" i="52"/>
  <c r="L270" i="52" a="1"/>
  <c r="L270" i="52"/>
  <c r="L271" i="52" a="1"/>
  <c r="L271" i="52"/>
  <c r="L272" i="52" a="1"/>
  <c r="L273" i="52" a="1"/>
  <c r="L274" i="52" a="1"/>
  <c r="L275" i="52" a="1"/>
  <c r="L276" i="52" a="1"/>
  <c r="L272" i="52"/>
  <c r="L273" i="52"/>
  <c r="L274" i="52"/>
  <c r="L275" i="52"/>
  <c r="L276" i="52"/>
  <c r="L269" i="52"/>
  <c r="L279" i="52" a="1"/>
  <c r="L279" i="52"/>
  <c r="L280" i="52" a="1"/>
  <c r="L280" i="52"/>
  <c r="L281" i="52" a="1"/>
  <c r="L282" i="52" a="1"/>
  <c r="L283" i="52" a="1"/>
  <c r="L284" i="52" a="1"/>
  <c r="L285" i="52" a="1"/>
  <c r="L281" i="52"/>
  <c r="L282" i="52"/>
  <c r="L283" i="52"/>
  <c r="L284" i="52"/>
  <c r="L285" i="52"/>
  <c r="L278" i="52"/>
  <c r="L288" i="52" a="1"/>
  <c r="L288" i="52"/>
  <c r="L287" i="52"/>
  <c r="L291" i="52" a="1"/>
  <c r="L291" i="52"/>
  <c r="L292" i="52" a="1"/>
  <c r="L292" i="52"/>
  <c r="L290" i="52"/>
  <c r="L295" i="52" a="1"/>
  <c r="L295" i="52"/>
  <c r="L294" i="52"/>
  <c r="L298" i="52" a="1"/>
  <c r="L298" i="52"/>
  <c r="L299" i="52" a="1"/>
  <c r="L299" i="52"/>
  <c r="L297" i="52"/>
  <c r="L302" i="52" a="1"/>
  <c r="L302" i="52"/>
  <c r="L303" i="52" a="1"/>
  <c r="L303" i="52"/>
  <c r="L301" i="52"/>
  <c r="L306" i="52" a="1"/>
  <c r="L306" i="52"/>
  <c r="L305" i="52"/>
  <c r="L309" i="52" a="1"/>
  <c r="L309" i="52"/>
  <c r="L308" i="52"/>
  <c r="L267" i="52"/>
  <c r="M270" i="52" a="1"/>
  <c r="M270" i="52"/>
  <c r="M271" i="52" a="1"/>
  <c r="M271" i="52"/>
  <c r="M272" i="52" a="1"/>
  <c r="M273" i="52" a="1"/>
  <c r="M274" i="52" a="1"/>
  <c r="M275" i="52" a="1"/>
  <c r="M276" i="52" a="1"/>
  <c r="M272" i="52"/>
  <c r="M273" i="52"/>
  <c r="M274" i="52"/>
  <c r="M275" i="52"/>
  <c r="M276" i="52"/>
  <c r="M269" i="52"/>
  <c r="M279" i="52" a="1"/>
  <c r="M279" i="52"/>
  <c r="M280" i="52" a="1"/>
  <c r="M280" i="52"/>
  <c r="M281" i="52" a="1"/>
  <c r="M282" i="52" a="1"/>
  <c r="M283" i="52" a="1"/>
  <c r="M284" i="52" a="1"/>
  <c r="M285" i="52" a="1"/>
  <c r="M281" i="52"/>
  <c r="M282" i="52"/>
  <c r="M283" i="52"/>
  <c r="M284" i="52"/>
  <c r="M285" i="52"/>
  <c r="M278" i="52"/>
  <c r="M288" i="52" a="1"/>
  <c r="M288" i="52"/>
  <c r="M287" i="52"/>
  <c r="M291" i="52" a="1"/>
  <c r="M291" i="52"/>
  <c r="M292" i="52" a="1"/>
  <c r="M292" i="52"/>
  <c r="M290" i="52"/>
  <c r="M295" i="52" a="1"/>
  <c r="M295" i="52"/>
  <c r="M294" i="52"/>
  <c r="M298" i="52" a="1"/>
  <c r="M298" i="52"/>
  <c r="M299" i="52" a="1"/>
  <c r="M299" i="52"/>
  <c r="M297" i="52"/>
  <c r="M302" i="52" a="1"/>
  <c r="M302" i="52"/>
  <c r="M303" i="52" a="1"/>
  <c r="M303" i="52"/>
  <c r="M301" i="52"/>
  <c r="M306" i="52" a="1"/>
  <c r="M306" i="52"/>
  <c r="M305" i="52"/>
  <c r="M309" i="52" a="1"/>
  <c r="M309" i="52"/>
  <c r="M308" i="52"/>
  <c r="M267" i="52"/>
  <c r="N270" i="52" a="1"/>
  <c r="N270" i="52"/>
  <c r="N271" i="52" a="1"/>
  <c r="N271" i="52"/>
  <c r="N272" i="52" a="1"/>
  <c r="N273" i="52" a="1"/>
  <c r="N274" i="52" a="1"/>
  <c r="N275" i="52" a="1"/>
  <c r="N276" i="52" a="1"/>
  <c r="N272" i="52"/>
  <c r="N273" i="52"/>
  <c r="N274" i="52"/>
  <c r="N275" i="52"/>
  <c r="N276" i="52"/>
  <c r="N269" i="52"/>
  <c r="N279" i="52" a="1"/>
  <c r="N279" i="52"/>
  <c r="N280" i="52" a="1"/>
  <c r="N280" i="52"/>
  <c r="N281" i="52" a="1"/>
  <c r="N282" i="52" a="1"/>
  <c r="N283" i="52" a="1"/>
  <c r="N284" i="52" a="1"/>
  <c r="N285" i="52" a="1"/>
  <c r="N281" i="52"/>
  <c r="N282" i="52"/>
  <c r="N283" i="52"/>
  <c r="N284" i="52"/>
  <c r="N285" i="52"/>
  <c r="N278" i="52"/>
  <c r="N288" i="52" a="1"/>
  <c r="N288" i="52"/>
  <c r="N287" i="52"/>
  <c r="N291" i="52" a="1"/>
  <c r="N291" i="52"/>
  <c r="N292" i="52" a="1"/>
  <c r="N292" i="52"/>
  <c r="N290" i="52"/>
  <c r="N295" i="52" a="1"/>
  <c r="N295" i="52"/>
  <c r="N294" i="52"/>
  <c r="N298" i="52" a="1"/>
  <c r="N298" i="52"/>
  <c r="N299" i="52" a="1"/>
  <c r="N299" i="52"/>
  <c r="N297" i="52"/>
  <c r="N302" i="52" a="1"/>
  <c r="N302" i="52"/>
  <c r="N303" i="52" a="1"/>
  <c r="N303" i="52"/>
  <c r="N301" i="52"/>
  <c r="N306" i="52" a="1"/>
  <c r="N306" i="52"/>
  <c r="N305" i="52"/>
  <c r="N309" i="52" a="1"/>
  <c r="N309" i="52"/>
  <c r="N308" i="52"/>
  <c r="N267" i="52"/>
  <c r="O270" i="52" a="1"/>
  <c r="O270" i="52"/>
  <c r="O271" i="52" a="1"/>
  <c r="O271" i="52"/>
  <c r="O272" i="52" a="1"/>
  <c r="O273" i="52" a="1"/>
  <c r="O274" i="52" a="1"/>
  <c r="O275" i="52" a="1"/>
  <c r="O276" i="52" a="1"/>
  <c r="O272" i="52"/>
  <c r="O273" i="52"/>
  <c r="O274" i="52"/>
  <c r="O275" i="52"/>
  <c r="O276" i="52"/>
  <c r="O269" i="52"/>
  <c r="O279" i="52" a="1"/>
  <c r="O279" i="52"/>
  <c r="O280" i="52" a="1"/>
  <c r="O280" i="52"/>
  <c r="O281" i="52" a="1"/>
  <c r="O282" i="52" a="1"/>
  <c r="O283" i="52" a="1"/>
  <c r="O284" i="52" a="1"/>
  <c r="O285" i="52" a="1"/>
  <c r="O281" i="52"/>
  <c r="O282" i="52"/>
  <c r="O283" i="52"/>
  <c r="O284" i="52"/>
  <c r="O285" i="52"/>
  <c r="O278" i="52"/>
  <c r="O288" i="52" a="1"/>
  <c r="O288" i="52"/>
  <c r="O287" i="52"/>
  <c r="O291" i="52" a="1"/>
  <c r="O291" i="52"/>
  <c r="O292" i="52" a="1"/>
  <c r="O292" i="52"/>
  <c r="O290" i="52"/>
  <c r="O295" i="52" a="1"/>
  <c r="O295" i="52"/>
  <c r="O294" i="52"/>
  <c r="O298" i="52" a="1"/>
  <c r="O298" i="52"/>
  <c r="O299" i="52" a="1"/>
  <c r="O299" i="52"/>
  <c r="O297" i="52"/>
  <c r="O302" i="52" a="1"/>
  <c r="O302" i="52"/>
  <c r="O303" i="52" a="1"/>
  <c r="O303" i="52"/>
  <c r="O301" i="52"/>
  <c r="O306" i="52" a="1"/>
  <c r="O306" i="52"/>
  <c r="O305" i="52"/>
  <c r="O309" i="52" a="1"/>
  <c r="O309" i="52"/>
  <c r="O308" i="52"/>
  <c r="O267" i="52"/>
  <c r="P270" i="52" a="1"/>
  <c r="P270" i="52"/>
  <c r="P271" i="52" a="1"/>
  <c r="P271" i="52"/>
  <c r="P272" i="52" a="1"/>
  <c r="P273" i="52" a="1"/>
  <c r="P274" i="52" a="1"/>
  <c r="P275" i="52" a="1"/>
  <c r="P276" i="52" a="1"/>
  <c r="P272" i="52"/>
  <c r="P273" i="52"/>
  <c r="P274" i="52"/>
  <c r="P275" i="52"/>
  <c r="P276" i="52"/>
  <c r="P269" i="52"/>
  <c r="P279" i="52" a="1"/>
  <c r="P279" i="52"/>
  <c r="P280" i="52" a="1"/>
  <c r="P280" i="52"/>
  <c r="P281" i="52" a="1"/>
  <c r="P282" i="52" a="1"/>
  <c r="P283" i="52" a="1"/>
  <c r="P284" i="52" a="1"/>
  <c r="P285" i="52" a="1"/>
  <c r="P281" i="52"/>
  <c r="P282" i="52"/>
  <c r="P283" i="52"/>
  <c r="P284" i="52"/>
  <c r="P285" i="52"/>
  <c r="P278" i="52"/>
  <c r="P288" i="52" a="1"/>
  <c r="P288" i="52"/>
  <c r="P287" i="52"/>
  <c r="P291" i="52" a="1"/>
  <c r="P291" i="52"/>
  <c r="P292" i="52" a="1"/>
  <c r="P292" i="52"/>
  <c r="P290" i="52"/>
  <c r="P295" i="52" a="1"/>
  <c r="P295" i="52"/>
  <c r="P294" i="52"/>
  <c r="P298" i="52" a="1"/>
  <c r="P298" i="52"/>
  <c r="P299" i="52" a="1"/>
  <c r="P299" i="52"/>
  <c r="P297" i="52"/>
  <c r="P302" i="52" a="1"/>
  <c r="P302" i="52"/>
  <c r="P303" i="52" a="1"/>
  <c r="P303" i="52"/>
  <c r="P301" i="52"/>
  <c r="P306" i="52" a="1"/>
  <c r="P306" i="52"/>
  <c r="P305" i="52"/>
  <c r="P309" i="52" a="1"/>
  <c r="P309" i="52"/>
  <c r="P308" i="52"/>
  <c r="P267" i="52"/>
  <c r="Q270" i="52" a="1"/>
  <c r="Q270" i="52"/>
  <c r="Q271" i="52" a="1"/>
  <c r="Q271" i="52"/>
  <c r="Q272" i="52" a="1"/>
  <c r="Q273" i="52" a="1"/>
  <c r="Q274" i="52" a="1"/>
  <c r="Q275" i="52" a="1"/>
  <c r="Q276" i="52" a="1"/>
  <c r="Q272" i="52"/>
  <c r="Q273" i="52"/>
  <c r="Q274" i="52"/>
  <c r="Q275" i="52"/>
  <c r="Q276" i="52"/>
  <c r="Q269" i="52"/>
  <c r="Q279" i="52" a="1"/>
  <c r="Q279" i="52"/>
  <c r="Q280" i="52" a="1"/>
  <c r="Q280" i="52"/>
  <c r="Q281" i="52" a="1"/>
  <c r="Q282" i="52" a="1"/>
  <c r="Q283" i="52" a="1"/>
  <c r="Q284" i="52" a="1"/>
  <c r="Q285" i="52" a="1"/>
  <c r="Q281" i="52"/>
  <c r="Q282" i="52"/>
  <c r="Q283" i="52"/>
  <c r="Q284" i="52"/>
  <c r="Q285" i="52"/>
  <c r="Q278" i="52"/>
  <c r="Q288" i="52" a="1"/>
  <c r="Q288" i="52"/>
  <c r="Q287" i="52"/>
  <c r="Q291" i="52" a="1"/>
  <c r="Q291" i="52"/>
  <c r="Q292" i="52" a="1"/>
  <c r="Q292" i="52"/>
  <c r="Q290" i="52"/>
  <c r="Q295" i="52" a="1"/>
  <c r="Q295" i="52"/>
  <c r="Q294" i="52"/>
  <c r="Q298" i="52" a="1"/>
  <c r="Q298" i="52"/>
  <c r="Q299" i="52" a="1"/>
  <c r="Q299" i="52"/>
  <c r="Q297" i="52"/>
  <c r="Q302" i="52" a="1"/>
  <c r="Q302" i="52"/>
  <c r="Q303" i="52" a="1"/>
  <c r="Q303" i="52"/>
  <c r="Q301" i="52"/>
  <c r="Q306" i="52" a="1"/>
  <c r="Q306" i="52"/>
  <c r="Q305" i="52"/>
  <c r="Q309" i="52" a="1"/>
  <c r="Q309" i="52"/>
  <c r="Q308" i="52"/>
  <c r="Q267" i="52"/>
  <c r="R270" i="52" a="1"/>
  <c r="R270" i="52"/>
  <c r="R271" i="52" a="1"/>
  <c r="R271" i="52"/>
  <c r="R272" i="52" a="1"/>
  <c r="R273" i="52" a="1"/>
  <c r="R274" i="52" a="1"/>
  <c r="R275" i="52" a="1"/>
  <c r="R276" i="52" a="1"/>
  <c r="R272" i="52"/>
  <c r="R273" i="52"/>
  <c r="R274" i="52"/>
  <c r="R275" i="52"/>
  <c r="R276" i="52"/>
  <c r="R269" i="52"/>
  <c r="R279" i="52" a="1"/>
  <c r="R279" i="52"/>
  <c r="R280" i="52" a="1"/>
  <c r="R280" i="52"/>
  <c r="R281" i="52" a="1"/>
  <c r="R282" i="52" a="1"/>
  <c r="R283" i="52" a="1"/>
  <c r="R284" i="52" a="1"/>
  <c r="R285" i="52" a="1"/>
  <c r="R281" i="52"/>
  <c r="R282" i="52"/>
  <c r="R283" i="52"/>
  <c r="R284" i="52"/>
  <c r="R285" i="52"/>
  <c r="R278" i="52"/>
  <c r="R288" i="52" a="1"/>
  <c r="R288" i="52"/>
  <c r="R287" i="52"/>
  <c r="R291" i="52" a="1"/>
  <c r="R291" i="52"/>
  <c r="R292" i="52" a="1"/>
  <c r="R292" i="52"/>
  <c r="R290" i="52"/>
  <c r="R295" i="52" a="1"/>
  <c r="R295" i="52"/>
  <c r="R294" i="52"/>
  <c r="R298" i="52" a="1"/>
  <c r="R298" i="52"/>
  <c r="R299" i="52" a="1"/>
  <c r="R299" i="52"/>
  <c r="R297" i="52"/>
  <c r="R302" i="52" a="1"/>
  <c r="R302" i="52"/>
  <c r="R303" i="52" a="1"/>
  <c r="R303" i="52"/>
  <c r="R301" i="52"/>
  <c r="R306" i="52" a="1"/>
  <c r="R306" i="52"/>
  <c r="R305" i="52"/>
  <c r="R309" i="52" a="1"/>
  <c r="R309" i="52"/>
  <c r="R308" i="52"/>
  <c r="R267" i="52"/>
  <c r="S270" i="52" a="1"/>
  <c r="S270" i="52"/>
  <c r="S271" i="52" a="1"/>
  <c r="S271" i="52"/>
  <c r="S272" i="52" a="1"/>
  <c r="S273" i="52" a="1"/>
  <c r="S274" i="52" a="1"/>
  <c r="S275" i="52" a="1"/>
  <c r="S276" i="52" a="1"/>
  <c r="S272" i="52"/>
  <c r="S273" i="52"/>
  <c r="S274" i="52"/>
  <c r="S275" i="52"/>
  <c r="S276" i="52"/>
  <c r="S269" i="52"/>
  <c r="S279" i="52" a="1"/>
  <c r="S279" i="52"/>
  <c r="S280" i="52" a="1"/>
  <c r="S280" i="52"/>
  <c r="S281" i="52" a="1"/>
  <c r="S282" i="52" a="1"/>
  <c r="S283" i="52" a="1"/>
  <c r="S284" i="52" a="1"/>
  <c r="S285" i="52" a="1"/>
  <c r="S281" i="52"/>
  <c r="S282" i="52"/>
  <c r="S283" i="52"/>
  <c r="S284" i="52"/>
  <c r="S285" i="52"/>
  <c r="S278" i="52"/>
  <c r="S288" i="52" a="1"/>
  <c r="S288" i="52"/>
  <c r="S287" i="52"/>
  <c r="S291" i="52" a="1"/>
  <c r="S291" i="52"/>
  <c r="S292" i="52" a="1"/>
  <c r="S292" i="52"/>
  <c r="S290" i="52"/>
  <c r="S295" i="52" a="1"/>
  <c r="S295" i="52"/>
  <c r="S294" i="52"/>
  <c r="S298" i="52" a="1"/>
  <c r="S298" i="52"/>
  <c r="S299" i="52" a="1"/>
  <c r="S299" i="52"/>
  <c r="S297" i="52"/>
  <c r="S302" i="52" a="1"/>
  <c r="S302" i="52"/>
  <c r="S303" i="52" a="1"/>
  <c r="S303" i="52"/>
  <c r="S301" i="52"/>
  <c r="S306" i="52" a="1"/>
  <c r="S306" i="52"/>
  <c r="S305" i="52"/>
  <c r="S309" i="52" a="1"/>
  <c r="S309" i="52"/>
  <c r="S308" i="52"/>
  <c r="S267" i="52"/>
  <c r="T270" i="52"/>
  <c r="T271" i="52"/>
  <c r="T272" i="52"/>
  <c r="T273" i="52"/>
  <c r="T274" i="52"/>
  <c r="T275" i="52"/>
  <c r="T276" i="52"/>
  <c r="T269" i="52"/>
  <c r="T279" i="52"/>
  <c r="T280" i="52"/>
  <c r="T281" i="52"/>
  <c r="T282" i="52"/>
  <c r="T283" i="52"/>
  <c r="T284" i="52"/>
  <c r="T285" i="52"/>
  <c r="T278" i="52"/>
  <c r="T288" i="52"/>
  <c r="T287" i="52"/>
  <c r="T291" i="52"/>
  <c r="T292" i="52"/>
  <c r="T290" i="52"/>
  <c r="T295" i="52"/>
  <c r="T294" i="52"/>
  <c r="T298" i="52"/>
  <c r="T299" i="52"/>
  <c r="T297" i="52"/>
  <c r="T302" i="52"/>
  <c r="T303" i="52"/>
  <c r="T301" i="52"/>
  <c r="T306" i="52"/>
  <c r="T305" i="52"/>
  <c r="T309" i="52"/>
  <c r="T308" i="52"/>
  <c r="T267" i="52"/>
  <c r="V279" i="52" a="1"/>
  <c r="V279" i="52"/>
  <c r="V280" i="52" a="1"/>
  <c r="V280" i="52"/>
  <c r="V281" i="52" a="1"/>
  <c r="V282" i="52" a="1"/>
  <c r="V283" i="52" a="1"/>
  <c r="V284" i="52" a="1"/>
  <c r="V285" i="52" a="1"/>
  <c r="V281" i="52"/>
  <c r="V282" i="52"/>
  <c r="V283" i="52"/>
  <c r="V284" i="52"/>
  <c r="V285" i="52"/>
  <c r="V278" i="52"/>
  <c r="V288" i="52" a="1"/>
  <c r="V288" i="52"/>
  <c r="V287" i="52"/>
  <c r="V291" i="52" a="1"/>
  <c r="V291" i="52"/>
  <c r="V292" i="52" a="1"/>
  <c r="V292" i="52"/>
  <c r="V290" i="52"/>
  <c r="V295" i="52" a="1"/>
  <c r="V295" i="52"/>
  <c r="V294" i="52"/>
  <c r="V298" i="52" a="1"/>
  <c r="V298" i="52"/>
  <c r="V299" i="52" a="1"/>
  <c r="V299" i="52"/>
  <c r="V297" i="52"/>
  <c r="V302" i="52" a="1"/>
  <c r="V302" i="52"/>
  <c r="V303" i="52" a="1"/>
  <c r="V303" i="52"/>
  <c r="V301" i="52"/>
  <c r="V306" i="52" a="1"/>
  <c r="V306" i="52"/>
  <c r="V305" i="52"/>
  <c r="V309" i="52" a="1"/>
  <c r="V309" i="52"/>
  <c r="V308" i="52"/>
  <c r="V267" i="52"/>
  <c r="Y270" i="52" a="1"/>
  <c r="Y270" i="52"/>
  <c r="Y271" i="52" a="1"/>
  <c r="Y271" i="52"/>
  <c r="Y272" i="52" a="1"/>
  <c r="Y275" i="52" a="1"/>
  <c r="Y276" i="52" a="1"/>
  <c r="Y272" i="52"/>
  <c r="Y275" i="52"/>
  <c r="Y276" i="52"/>
  <c r="Z270" i="52" a="1"/>
  <c r="Z270" i="52"/>
  <c r="Z271" i="52" a="1"/>
  <c r="Z271" i="52"/>
  <c r="Z272" i="52" a="1"/>
  <c r="Z273" i="52" a="1"/>
  <c r="Z274" i="52" a="1"/>
  <c r="AA270" i="52" a="1"/>
  <c r="AA270" i="52"/>
  <c r="AA271" i="52" a="1"/>
  <c r="AA271" i="52"/>
  <c r="AA272" i="52" a="1"/>
  <c r="AA273" i="52" a="1"/>
  <c r="AA274" i="52" a="1"/>
  <c r="AA275" i="52" a="1"/>
  <c r="AA276" i="52" a="1"/>
  <c r="AA272" i="52"/>
  <c r="AA273" i="52"/>
  <c r="AA274" i="52"/>
  <c r="AA275" i="52"/>
  <c r="AA276" i="52"/>
  <c r="AA269" i="52"/>
  <c r="AA279" i="52" a="1"/>
  <c r="AA279" i="52"/>
  <c r="AA280" i="52" a="1"/>
  <c r="AA280" i="52"/>
  <c r="AA281" i="52" a="1"/>
  <c r="AA282" i="52" a="1"/>
  <c r="AA283" i="52" a="1"/>
  <c r="AA284" i="52" a="1"/>
  <c r="AA285" i="52" a="1"/>
  <c r="AA281" i="52"/>
  <c r="AA282" i="52"/>
  <c r="AA283" i="52"/>
  <c r="AA284" i="52"/>
  <c r="AA285" i="52"/>
  <c r="AA278" i="52"/>
  <c r="AA288" i="52" a="1"/>
  <c r="AA288" i="52"/>
  <c r="AA287" i="52"/>
  <c r="AA291" i="52" a="1"/>
  <c r="AA291" i="52"/>
  <c r="AA292" i="52" a="1"/>
  <c r="AA292" i="52"/>
  <c r="AA290" i="52"/>
  <c r="AA295" i="52" a="1"/>
  <c r="AA295" i="52"/>
  <c r="AA294" i="52"/>
  <c r="AA298" i="52" a="1"/>
  <c r="AA298" i="52"/>
  <c r="AA299" i="52" a="1"/>
  <c r="AA299" i="52"/>
  <c r="AA297" i="52"/>
  <c r="AA302" i="52" a="1"/>
  <c r="AA302" i="52"/>
  <c r="AA303" i="52" a="1"/>
  <c r="AA303" i="52"/>
  <c r="AA301" i="52"/>
  <c r="AA306" i="52" a="1"/>
  <c r="AA306" i="52"/>
  <c r="AA305" i="52"/>
  <c r="AA309" i="52" a="1"/>
  <c r="AA309" i="52"/>
  <c r="AA308" i="52"/>
  <c r="AA267" i="52"/>
  <c r="AB270" i="52" a="1"/>
  <c r="AB270" i="52"/>
  <c r="AB271" i="52" a="1"/>
  <c r="AB271" i="52"/>
  <c r="AB272" i="52" a="1"/>
  <c r="AB273" i="52" a="1"/>
  <c r="AB274" i="52" a="1"/>
  <c r="AB275" i="52" a="1"/>
  <c r="AB276" i="52" a="1"/>
  <c r="AB272" i="52"/>
  <c r="AB273" i="52"/>
  <c r="AB274" i="52"/>
  <c r="AB275" i="52"/>
  <c r="AB276" i="52"/>
  <c r="AB269" i="52"/>
  <c r="AB279" i="52" a="1"/>
  <c r="AB279" i="52"/>
  <c r="AB280" i="52" a="1"/>
  <c r="AB280" i="52"/>
  <c r="AB281" i="52" a="1"/>
  <c r="AB282" i="52" a="1"/>
  <c r="AB283" i="52" a="1"/>
  <c r="AB284" i="52" a="1"/>
  <c r="AB285" i="52" a="1"/>
  <c r="AB281" i="52"/>
  <c r="AB282" i="52"/>
  <c r="AB283" i="52"/>
  <c r="AB284" i="52"/>
  <c r="AB285" i="52"/>
  <c r="AB278" i="52"/>
  <c r="AB288" i="52" a="1"/>
  <c r="AB288" i="52"/>
  <c r="AB287" i="52"/>
  <c r="AB291" i="52" a="1"/>
  <c r="AB291" i="52"/>
  <c r="AB292" i="52" a="1"/>
  <c r="AB292" i="52"/>
  <c r="AB290" i="52"/>
  <c r="AB295" i="52" a="1"/>
  <c r="AB295" i="52"/>
  <c r="AB294" i="52"/>
  <c r="AB298" i="52" a="1"/>
  <c r="AB298" i="52"/>
  <c r="AB299" i="52" a="1"/>
  <c r="AB299" i="52"/>
  <c r="AB297" i="52"/>
  <c r="AB302" i="52" a="1"/>
  <c r="AB302" i="52"/>
  <c r="AB303" i="52" a="1"/>
  <c r="AB303" i="52"/>
  <c r="AB301" i="52"/>
  <c r="AB306" i="52" a="1"/>
  <c r="AB306" i="52"/>
  <c r="AB305" i="52"/>
  <c r="AB309" i="52" a="1"/>
  <c r="AB309" i="52"/>
  <c r="AB308" i="52"/>
  <c r="AB267" i="52"/>
  <c r="AC270" i="52" a="1"/>
  <c r="AC270" i="52"/>
  <c r="AC271" i="52" a="1"/>
  <c r="AC271" i="52"/>
  <c r="AC272" i="52" a="1"/>
  <c r="AC273" i="52" a="1"/>
  <c r="AC274" i="52" a="1"/>
  <c r="AC275" i="52" a="1"/>
  <c r="AC276" i="52" a="1"/>
  <c r="AC272" i="52"/>
  <c r="AC273" i="52"/>
  <c r="AC274" i="52"/>
  <c r="AC275" i="52"/>
  <c r="AC276" i="52"/>
  <c r="AC269" i="52"/>
  <c r="AC279" i="52" a="1"/>
  <c r="AC279" i="52"/>
  <c r="AC280" i="52" a="1"/>
  <c r="AC280" i="52"/>
  <c r="AC281" i="52" a="1"/>
  <c r="AC282" i="52" a="1"/>
  <c r="AC283" i="52" a="1"/>
  <c r="AC284" i="52" a="1"/>
  <c r="AC285" i="52" a="1"/>
  <c r="AC281" i="52"/>
  <c r="AC282" i="52"/>
  <c r="AC283" i="52"/>
  <c r="AC284" i="52"/>
  <c r="AC285" i="52"/>
  <c r="AC278" i="52"/>
  <c r="AC288" i="52" a="1"/>
  <c r="AC288" i="52"/>
  <c r="AC287" i="52"/>
  <c r="AC291" i="52" a="1"/>
  <c r="AC291" i="52"/>
  <c r="AC292" i="52" a="1"/>
  <c r="AC292" i="52"/>
  <c r="AC290" i="52"/>
  <c r="AC295" i="52" a="1"/>
  <c r="AC295" i="52"/>
  <c r="AC294" i="52"/>
  <c r="AC298" i="52" a="1"/>
  <c r="AC298" i="52"/>
  <c r="AC299" i="52" a="1"/>
  <c r="AC299" i="52"/>
  <c r="AC297" i="52"/>
  <c r="AC302" i="52" a="1"/>
  <c r="AC302" i="52"/>
  <c r="AC303" i="52" a="1"/>
  <c r="AC303" i="52"/>
  <c r="AC301" i="52"/>
  <c r="AC306" i="52" a="1"/>
  <c r="AC306" i="52"/>
  <c r="AC305" i="52"/>
  <c r="AC309" i="52" a="1"/>
  <c r="AC309" i="52"/>
  <c r="AC308" i="52"/>
  <c r="AC267" i="52"/>
  <c r="AD270" i="52" a="1"/>
  <c r="AD270" i="52"/>
  <c r="AD271" i="52" a="1"/>
  <c r="AD271" i="52"/>
  <c r="AD272" i="52" a="1"/>
  <c r="AD273" i="52" a="1"/>
  <c r="AD274" i="52" a="1"/>
  <c r="AD275" i="52" a="1"/>
  <c r="AD276" i="52" a="1"/>
  <c r="AD272" i="52"/>
  <c r="AD273" i="52"/>
  <c r="AD274" i="52"/>
  <c r="AD275" i="52"/>
  <c r="AD276" i="52"/>
  <c r="AD269" i="52"/>
  <c r="AD279" i="52" a="1"/>
  <c r="AD279" i="52"/>
  <c r="AD280" i="52" a="1"/>
  <c r="AD280" i="52"/>
  <c r="AD281" i="52" a="1"/>
  <c r="AD282" i="52" a="1"/>
  <c r="AD283" i="52" a="1"/>
  <c r="AD284" i="52" a="1"/>
  <c r="AD285" i="52" a="1"/>
  <c r="AD281" i="52"/>
  <c r="AD282" i="52"/>
  <c r="AD283" i="52"/>
  <c r="AD284" i="52"/>
  <c r="AD285" i="52"/>
  <c r="AD278" i="52"/>
  <c r="AD288" i="52" a="1"/>
  <c r="AD288" i="52"/>
  <c r="AD287" i="52"/>
  <c r="AD291" i="52" a="1"/>
  <c r="AD291" i="52"/>
  <c r="AD292" i="52" a="1"/>
  <c r="AD292" i="52"/>
  <c r="AD290" i="52"/>
  <c r="AD295" i="52" a="1"/>
  <c r="AD295" i="52"/>
  <c r="AD294" i="52"/>
  <c r="AD298" i="52" a="1"/>
  <c r="AD298" i="52"/>
  <c r="AD299" i="52" a="1"/>
  <c r="AD299" i="52"/>
  <c r="AD297" i="52"/>
  <c r="AD302" i="52" a="1"/>
  <c r="AD302" i="52"/>
  <c r="AD303" i="52" a="1"/>
  <c r="AD303" i="52"/>
  <c r="AD301" i="52"/>
  <c r="AD306" i="52" a="1"/>
  <c r="AD306" i="52"/>
  <c r="AD305" i="52"/>
  <c r="AD309" i="52" a="1"/>
  <c r="AD309" i="52"/>
  <c r="AD308" i="52"/>
  <c r="AD267" i="52"/>
  <c r="AE270" i="52" a="1"/>
  <c r="AE270" i="52"/>
  <c r="AE271" i="52" a="1"/>
  <c r="AE271" i="52"/>
  <c r="AE272" i="52" a="1"/>
  <c r="AE273" i="52" a="1"/>
  <c r="AE274" i="52" a="1"/>
  <c r="AE275" i="52" a="1"/>
  <c r="AE276" i="52" a="1"/>
  <c r="AE272" i="52"/>
  <c r="AE273" i="52"/>
  <c r="AE274" i="52"/>
  <c r="AE275" i="52"/>
  <c r="AE276" i="52"/>
  <c r="AE269" i="52"/>
  <c r="AE279" i="52" a="1"/>
  <c r="AE279" i="52"/>
  <c r="AE280" i="52" a="1"/>
  <c r="AE280" i="52"/>
  <c r="AE281" i="52" a="1"/>
  <c r="AE282" i="52" a="1"/>
  <c r="AE283" i="52" a="1"/>
  <c r="AE284" i="52" a="1"/>
  <c r="AE285" i="52" a="1"/>
  <c r="AE281" i="52"/>
  <c r="AE282" i="52"/>
  <c r="AE283" i="52"/>
  <c r="AE284" i="52"/>
  <c r="AE285" i="52"/>
  <c r="AE278" i="52"/>
  <c r="AE288" i="52" a="1"/>
  <c r="AE288" i="52"/>
  <c r="AE287" i="52"/>
  <c r="AE291" i="52" a="1"/>
  <c r="AE291" i="52"/>
  <c r="AE292" i="52" a="1"/>
  <c r="AE292" i="52"/>
  <c r="AE290" i="52"/>
  <c r="AE295" i="52" a="1"/>
  <c r="AE295" i="52"/>
  <c r="AE294" i="52"/>
  <c r="AE298" i="52" a="1"/>
  <c r="AE298" i="52"/>
  <c r="AE299" i="52" a="1"/>
  <c r="AE299" i="52"/>
  <c r="AE297" i="52"/>
  <c r="AE302" i="52" a="1"/>
  <c r="AE302" i="52"/>
  <c r="AE303" i="52" a="1"/>
  <c r="AE303" i="52"/>
  <c r="AE301" i="52"/>
  <c r="AE306" i="52" a="1"/>
  <c r="AE306" i="52"/>
  <c r="AE305" i="52"/>
  <c r="AE309" i="52" a="1"/>
  <c r="AE309" i="52"/>
  <c r="AE308" i="52"/>
  <c r="AE267" i="52"/>
  <c r="AF270" i="52" a="1"/>
  <c r="AF270" i="52"/>
  <c r="AF271" i="52" a="1"/>
  <c r="AF271" i="52"/>
  <c r="AF272" i="52" a="1"/>
  <c r="AF273" i="52" a="1"/>
  <c r="AF274" i="52" a="1"/>
  <c r="AF275" i="52" a="1"/>
  <c r="AF276" i="52" a="1"/>
  <c r="AF272" i="52"/>
  <c r="AF273" i="52"/>
  <c r="AF274" i="52"/>
  <c r="AF275" i="52"/>
  <c r="AF276" i="52"/>
  <c r="AF269" i="52"/>
  <c r="AF279" i="52" a="1"/>
  <c r="AF279" i="52"/>
  <c r="AF280" i="52" a="1"/>
  <c r="AF280" i="52"/>
  <c r="AF281" i="52" a="1"/>
  <c r="AF282" i="52" a="1"/>
  <c r="AF283" i="52" a="1"/>
  <c r="AF284" i="52" a="1"/>
  <c r="AF285" i="52" a="1"/>
  <c r="AF281" i="52"/>
  <c r="AF282" i="52"/>
  <c r="AF283" i="52"/>
  <c r="AF284" i="52"/>
  <c r="AF285" i="52"/>
  <c r="AF278" i="52"/>
  <c r="AF288" i="52" a="1"/>
  <c r="AF288" i="52"/>
  <c r="AF287" i="52"/>
  <c r="AF291" i="52" a="1"/>
  <c r="AF291" i="52"/>
  <c r="AF292" i="52" a="1"/>
  <c r="AF292" i="52"/>
  <c r="AF290" i="52"/>
  <c r="AF295" i="52" a="1"/>
  <c r="AF295" i="52"/>
  <c r="AF294" i="52"/>
  <c r="AF298" i="52" a="1"/>
  <c r="AF298" i="52"/>
  <c r="AF299" i="52" a="1"/>
  <c r="AF299" i="52"/>
  <c r="AF297" i="52"/>
  <c r="AF302" i="52" a="1"/>
  <c r="AF302" i="52"/>
  <c r="AF303" i="52" a="1"/>
  <c r="AF303" i="52"/>
  <c r="AF301" i="52"/>
  <c r="AF306" i="52" a="1"/>
  <c r="AF306" i="52"/>
  <c r="AF305" i="52"/>
  <c r="AF309" i="52" a="1"/>
  <c r="AF309" i="52"/>
  <c r="AF308" i="52"/>
  <c r="AF267" i="52"/>
  <c r="AG270" i="52" a="1"/>
  <c r="AG270" i="52"/>
  <c r="AG271" i="52" a="1"/>
  <c r="AG271" i="52"/>
  <c r="AG272" i="52" a="1"/>
  <c r="AG273" i="52" a="1"/>
  <c r="AG274" i="52" a="1"/>
  <c r="AG275" i="52" a="1"/>
  <c r="AG276" i="52" a="1"/>
  <c r="AG272" i="52"/>
  <c r="AG273" i="52"/>
  <c r="AG274" i="52"/>
  <c r="AG275" i="52"/>
  <c r="AG276" i="52"/>
  <c r="AG269" i="52"/>
  <c r="AG279" i="52" a="1"/>
  <c r="AG279" i="52"/>
  <c r="AG280" i="52" a="1"/>
  <c r="AG280" i="52"/>
  <c r="AG281" i="52" a="1"/>
  <c r="AG282" i="52" a="1"/>
  <c r="AG283" i="52" a="1"/>
  <c r="AG284" i="52" a="1"/>
  <c r="AG285" i="52" a="1"/>
  <c r="AG281" i="52"/>
  <c r="AG282" i="52"/>
  <c r="AG283" i="52"/>
  <c r="AG284" i="52"/>
  <c r="AG285" i="52"/>
  <c r="AG278" i="52"/>
  <c r="AG288" i="52" a="1"/>
  <c r="AG288" i="52"/>
  <c r="AG287" i="52"/>
  <c r="AG291" i="52" a="1"/>
  <c r="AG291" i="52"/>
  <c r="AG292" i="52" a="1"/>
  <c r="AG292" i="52"/>
  <c r="AG290" i="52"/>
  <c r="AG295" i="52" a="1"/>
  <c r="AG295" i="52"/>
  <c r="AG294" i="52"/>
  <c r="AG298" i="52" a="1"/>
  <c r="AG298" i="52"/>
  <c r="AG299" i="52" a="1"/>
  <c r="AG299" i="52"/>
  <c r="AG297" i="52"/>
  <c r="AG302" i="52" a="1"/>
  <c r="AG302" i="52"/>
  <c r="AG303" i="52" a="1"/>
  <c r="AG303" i="52"/>
  <c r="AG301" i="52"/>
  <c r="AG306" i="52" a="1"/>
  <c r="AG306" i="52"/>
  <c r="AG305" i="52"/>
  <c r="AG309" i="52" a="1"/>
  <c r="AG309" i="52"/>
  <c r="AG308" i="52"/>
  <c r="AG267" i="52"/>
  <c r="AH270" i="52" a="1"/>
  <c r="AH270" i="52"/>
  <c r="AH271" i="52" a="1"/>
  <c r="AH271" i="52"/>
  <c r="AH272" i="52" a="1"/>
  <c r="AH273" i="52" a="1"/>
  <c r="AH274" i="52" a="1"/>
  <c r="AH275" i="52" a="1"/>
  <c r="AH276" i="52" a="1"/>
  <c r="AH272" i="52"/>
  <c r="AH273" i="52"/>
  <c r="AH274" i="52"/>
  <c r="AH275" i="52"/>
  <c r="AH276" i="52"/>
  <c r="AH269" i="52"/>
  <c r="AH279" i="52" a="1"/>
  <c r="AH279" i="52"/>
  <c r="AH280" i="52" a="1"/>
  <c r="AH280" i="52"/>
  <c r="AH281" i="52" a="1"/>
  <c r="AH282" i="52" a="1"/>
  <c r="AH283" i="52" a="1"/>
  <c r="AH284" i="52" a="1"/>
  <c r="AH285" i="52" a="1"/>
  <c r="AH281" i="52"/>
  <c r="AH282" i="52"/>
  <c r="AH283" i="52"/>
  <c r="AH284" i="52"/>
  <c r="AH285" i="52"/>
  <c r="AH278" i="52"/>
  <c r="AH288" i="52" a="1"/>
  <c r="AH288" i="52"/>
  <c r="AH287" i="52"/>
  <c r="AH291" i="52" a="1"/>
  <c r="AH291" i="52"/>
  <c r="AH292" i="52" a="1"/>
  <c r="AH292" i="52"/>
  <c r="AH290" i="52"/>
  <c r="AH295" i="52" a="1"/>
  <c r="AH295" i="52"/>
  <c r="AH294" i="52"/>
  <c r="AH298" i="52" a="1"/>
  <c r="AH298" i="52"/>
  <c r="AH299" i="52" a="1"/>
  <c r="AH299" i="52"/>
  <c r="AH297" i="52"/>
  <c r="AH302" i="52" a="1"/>
  <c r="AH302" i="52"/>
  <c r="AH303" i="52" a="1"/>
  <c r="AH303" i="52"/>
  <c r="AH301" i="52"/>
  <c r="AH306" i="52" a="1"/>
  <c r="AH306" i="52"/>
  <c r="AH305" i="52"/>
  <c r="AH309" i="52" a="1"/>
  <c r="AH309" i="52"/>
  <c r="AH308" i="52"/>
  <c r="AH267" i="52"/>
  <c r="AI270" i="52" a="1"/>
  <c r="AI270" i="52"/>
  <c r="AI271" i="52" a="1"/>
  <c r="AI271" i="52"/>
  <c r="AI272" i="52" a="1"/>
  <c r="AI273" i="52" a="1"/>
  <c r="AI274" i="52" a="1"/>
  <c r="AI275" i="52" a="1"/>
  <c r="AI276" i="52" a="1"/>
  <c r="AI272" i="52"/>
  <c r="AI273" i="52"/>
  <c r="AI274" i="52"/>
  <c r="AI275" i="52"/>
  <c r="AI276" i="52"/>
  <c r="AI269" i="52"/>
  <c r="AI279" i="52" a="1"/>
  <c r="AI279" i="52"/>
  <c r="AI280" i="52" a="1"/>
  <c r="AI280" i="52"/>
  <c r="AI281" i="52" a="1"/>
  <c r="AI282" i="52" a="1"/>
  <c r="AI283" i="52" a="1"/>
  <c r="AI284" i="52" a="1"/>
  <c r="AI285" i="52" a="1"/>
  <c r="AI281" i="52"/>
  <c r="AI282" i="52"/>
  <c r="AI283" i="52"/>
  <c r="AI284" i="52"/>
  <c r="AI285" i="52"/>
  <c r="AI278" i="52"/>
  <c r="AI288" i="52" a="1"/>
  <c r="AI288" i="52"/>
  <c r="AI287" i="52"/>
  <c r="AI291" i="52" a="1"/>
  <c r="AI291" i="52"/>
  <c r="AI292" i="52" a="1"/>
  <c r="AI292" i="52"/>
  <c r="AI290" i="52"/>
  <c r="AI295" i="52" a="1"/>
  <c r="AI295" i="52"/>
  <c r="AI294" i="52"/>
  <c r="AI298" i="52" a="1"/>
  <c r="AI298" i="52"/>
  <c r="AI299" i="52" a="1"/>
  <c r="AI299" i="52"/>
  <c r="AI297" i="52"/>
  <c r="AI302" i="52" a="1"/>
  <c r="AI302" i="52"/>
  <c r="AI303" i="52" a="1"/>
  <c r="AI303" i="52"/>
  <c r="AI301" i="52"/>
  <c r="AI306" i="52" a="1"/>
  <c r="AI306" i="52"/>
  <c r="AI305" i="52"/>
  <c r="AI309" i="52" a="1"/>
  <c r="AI309" i="52"/>
  <c r="AI308" i="52"/>
  <c r="AI267" i="52"/>
  <c r="AJ270" i="52" a="1"/>
  <c r="AJ270" i="52"/>
  <c r="AJ271" i="52" a="1"/>
  <c r="AJ271" i="52"/>
  <c r="AJ272" i="52" a="1"/>
  <c r="AJ273" i="52" a="1"/>
  <c r="AJ274" i="52" a="1"/>
  <c r="AJ275" i="52" a="1"/>
  <c r="AJ276" i="52" a="1"/>
  <c r="AJ272" i="52"/>
  <c r="AJ273" i="52"/>
  <c r="AJ274" i="52"/>
  <c r="AJ275" i="52"/>
  <c r="AJ276" i="52"/>
  <c r="AJ269" i="52"/>
  <c r="AJ279" i="52" a="1"/>
  <c r="AJ279" i="52"/>
  <c r="AJ280" i="52" a="1"/>
  <c r="AJ280" i="52"/>
  <c r="AJ281" i="52" a="1"/>
  <c r="AJ282" i="52" a="1"/>
  <c r="AJ283" i="52" a="1"/>
  <c r="AJ284" i="52" a="1"/>
  <c r="AJ285" i="52" a="1"/>
  <c r="AJ281" i="52"/>
  <c r="AJ282" i="52"/>
  <c r="AJ283" i="52"/>
  <c r="AJ284" i="52"/>
  <c r="AJ285" i="52"/>
  <c r="AJ278" i="52"/>
  <c r="AJ288" i="52" a="1"/>
  <c r="AJ288" i="52"/>
  <c r="AJ287" i="52"/>
  <c r="AJ291" i="52" a="1"/>
  <c r="AJ291" i="52"/>
  <c r="AJ292" i="52" a="1"/>
  <c r="AJ292" i="52"/>
  <c r="AJ290" i="52"/>
  <c r="AJ295" i="52" a="1"/>
  <c r="AJ295" i="52"/>
  <c r="AJ294" i="52"/>
  <c r="AJ298" i="52" a="1"/>
  <c r="AJ298" i="52"/>
  <c r="AJ299" i="52" a="1"/>
  <c r="AJ299" i="52"/>
  <c r="AJ297" i="52"/>
  <c r="AJ302" i="52" a="1"/>
  <c r="AJ302" i="52"/>
  <c r="AJ303" i="52" a="1"/>
  <c r="AJ303" i="52"/>
  <c r="AJ301" i="52"/>
  <c r="AJ306" i="52" a="1"/>
  <c r="AJ306" i="52"/>
  <c r="AJ305" i="52"/>
  <c r="AJ309" i="52" a="1"/>
  <c r="AJ309" i="52"/>
  <c r="AJ308" i="52"/>
  <c r="AJ267" i="52"/>
  <c r="AK270" i="52" a="1"/>
  <c r="AK270" i="52"/>
  <c r="AK271" i="52" a="1"/>
  <c r="AK271" i="52"/>
  <c r="AK272" i="52" a="1"/>
  <c r="AK273" i="52" a="1"/>
  <c r="AK274" i="52" a="1"/>
  <c r="AK275" i="52" a="1"/>
  <c r="AK276" i="52" a="1"/>
  <c r="AK272" i="52"/>
  <c r="AK273" i="52"/>
  <c r="AK274" i="52"/>
  <c r="AK275" i="52"/>
  <c r="AK276" i="52"/>
  <c r="AK269" i="52"/>
  <c r="AK279" i="52" a="1"/>
  <c r="AK279" i="52"/>
  <c r="AK280" i="52" a="1"/>
  <c r="AK280" i="52"/>
  <c r="AK281" i="52" a="1"/>
  <c r="AK282" i="52" a="1"/>
  <c r="AK283" i="52" a="1"/>
  <c r="AK284" i="52" a="1"/>
  <c r="AK285" i="52" a="1"/>
  <c r="AK281" i="52"/>
  <c r="AK282" i="52"/>
  <c r="AK283" i="52"/>
  <c r="AK284" i="52"/>
  <c r="AK285" i="52"/>
  <c r="AK278" i="52"/>
  <c r="AK288" i="52" a="1"/>
  <c r="AK288" i="52"/>
  <c r="AK287" i="52"/>
  <c r="AK291" i="52" a="1"/>
  <c r="AK291" i="52"/>
  <c r="AK292" i="52" a="1"/>
  <c r="AK292" i="52"/>
  <c r="AK290" i="52"/>
  <c r="AK295" i="52" a="1"/>
  <c r="AK295" i="52"/>
  <c r="AK294" i="52"/>
  <c r="AK298" i="52" a="1"/>
  <c r="AK298" i="52"/>
  <c r="AK299" i="52" a="1"/>
  <c r="AK299" i="52"/>
  <c r="AK297" i="52"/>
  <c r="AK302" i="52" a="1"/>
  <c r="AK302" i="52"/>
  <c r="AK303" i="52" a="1"/>
  <c r="AK303" i="52"/>
  <c r="AK301" i="52"/>
  <c r="AK306" i="52" a="1"/>
  <c r="AK306" i="52"/>
  <c r="AK305" i="52"/>
  <c r="AK309" i="52" a="1"/>
  <c r="AK309" i="52"/>
  <c r="AK308" i="52"/>
  <c r="AK267" i="52"/>
  <c r="AM270" i="52" a="1"/>
  <c r="AM270" i="52"/>
  <c r="AM271" i="52" a="1"/>
  <c r="AM271" i="52"/>
  <c r="AM272" i="52" a="1"/>
  <c r="AM273" i="52" a="1"/>
  <c r="AM274" i="52" a="1"/>
  <c r="AM275" i="52" a="1"/>
  <c r="AM276" i="52" a="1"/>
  <c r="AM272" i="52"/>
  <c r="AM273" i="52"/>
  <c r="AM274" i="52"/>
  <c r="AM275" i="52"/>
  <c r="AM276" i="52"/>
  <c r="AM269" i="52"/>
  <c r="AM279" i="52" a="1"/>
  <c r="AM279" i="52"/>
  <c r="AM280" i="52" a="1"/>
  <c r="AM280" i="52"/>
  <c r="AM281" i="52" a="1"/>
  <c r="AM282" i="52" a="1"/>
  <c r="AM283" i="52" a="1"/>
  <c r="AM284" i="52" a="1"/>
  <c r="AM285" i="52" a="1"/>
  <c r="AM281" i="52"/>
  <c r="AM282" i="52"/>
  <c r="AM283" i="52"/>
  <c r="AM284" i="52"/>
  <c r="AM285" i="52"/>
  <c r="AM278" i="52"/>
  <c r="AM288" i="52" a="1"/>
  <c r="AM288" i="52"/>
  <c r="AM287" i="52"/>
  <c r="AM291" i="52" a="1"/>
  <c r="AM291" i="52"/>
  <c r="AM292" i="52" a="1"/>
  <c r="AM292" i="52"/>
  <c r="AM290" i="52"/>
  <c r="AM295" i="52" a="1"/>
  <c r="AM295" i="52"/>
  <c r="AM294" i="52"/>
  <c r="AM298" i="52" a="1"/>
  <c r="AM298" i="52"/>
  <c r="AM299" i="52" a="1"/>
  <c r="AM299" i="52"/>
  <c r="AM297" i="52"/>
  <c r="AM302" i="52" a="1"/>
  <c r="AM302" i="52"/>
  <c r="AM303" i="52" a="1"/>
  <c r="AM303" i="52"/>
  <c r="AM301" i="52"/>
  <c r="AM306" i="52" a="1"/>
  <c r="AM306" i="52"/>
  <c r="AM305" i="52"/>
  <c r="AM309" i="52" a="1"/>
  <c r="AM309" i="52"/>
  <c r="AM308" i="52"/>
  <c r="AM267" i="52"/>
  <c r="AN270" i="52" a="1"/>
  <c r="AN270" i="52"/>
  <c r="AN271" i="52" a="1"/>
  <c r="AN271" i="52"/>
  <c r="AN272" i="52" a="1"/>
  <c r="AN273" i="52" a="1"/>
  <c r="AN274" i="52" a="1"/>
  <c r="AN275" i="52" a="1"/>
  <c r="AN276" i="52" a="1"/>
  <c r="AN272" i="52"/>
  <c r="AN273" i="52"/>
  <c r="AN274" i="52"/>
  <c r="AN275" i="52"/>
  <c r="AN276" i="52"/>
  <c r="AN269" i="52"/>
  <c r="AN279" i="52" a="1"/>
  <c r="AN279" i="52"/>
  <c r="AN280" i="52" a="1"/>
  <c r="AN280" i="52"/>
  <c r="AN281" i="52" a="1"/>
  <c r="AN282" i="52" a="1"/>
  <c r="AN283" i="52" a="1"/>
  <c r="AN284" i="52" a="1"/>
  <c r="AN285" i="52" a="1"/>
  <c r="AN281" i="52"/>
  <c r="AN282" i="52"/>
  <c r="AN283" i="52"/>
  <c r="AN284" i="52"/>
  <c r="AN285" i="52"/>
  <c r="AN278" i="52"/>
  <c r="AN288" i="52" a="1"/>
  <c r="AN288" i="52"/>
  <c r="AN287" i="52"/>
  <c r="AN291" i="52" a="1"/>
  <c r="AN291" i="52"/>
  <c r="AN292" i="52" a="1"/>
  <c r="AN292" i="52"/>
  <c r="AN290" i="52"/>
  <c r="AN295" i="52" a="1"/>
  <c r="AN295" i="52"/>
  <c r="AN294" i="52"/>
  <c r="AN298" i="52" a="1"/>
  <c r="AN298" i="52"/>
  <c r="AN299" i="52" a="1"/>
  <c r="AN299" i="52"/>
  <c r="AN297" i="52"/>
  <c r="AN302" i="52" a="1"/>
  <c r="AN302" i="52"/>
  <c r="AN303" i="52" a="1"/>
  <c r="AN303" i="52"/>
  <c r="AN301" i="52"/>
  <c r="AN306" i="52" a="1"/>
  <c r="AN306" i="52"/>
  <c r="AN305" i="52"/>
  <c r="AN309" i="52" a="1"/>
  <c r="AN309" i="52"/>
  <c r="AN308" i="52"/>
  <c r="AN267" i="52"/>
  <c r="V270" i="52" a="1"/>
  <c r="V270" i="52"/>
  <c r="AT270" i="52" a="1"/>
  <c r="AT270" i="52"/>
  <c r="AT271" i="52" a="1"/>
  <c r="AT271" i="52"/>
  <c r="AT272" i="52" a="1"/>
  <c r="AT273" i="52" a="1"/>
  <c r="AT274" i="52" a="1"/>
  <c r="AT275" i="52" a="1"/>
  <c r="AT276" i="52" a="1"/>
  <c r="AT272" i="52"/>
  <c r="AT273" i="52"/>
  <c r="AT274" i="52"/>
  <c r="AT275" i="52"/>
  <c r="AT276" i="52"/>
  <c r="AT269" i="52"/>
  <c r="AT279" i="52" a="1"/>
  <c r="AT279" i="52"/>
  <c r="AT280" i="52" a="1"/>
  <c r="AT280" i="52"/>
  <c r="AT281" i="52" a="1"/>
  <c r="AT282" i="52" a="1"/>
  <c r="AT283" i="52" a="1"/>
  <c r="AT284" i="52" a="1"/>
  <c r="AT285" i="52" a="1"/>
  <c r="AT281" i="52"/>
  <c r="AT282" i="52"/>
  <c r="AT283" i="52"/>
  <c r="AT284" i="52"/>
  <c r="AT285" i="52"/>
  <c r="AT278" i="52"/>
  <c r="AT288" i="52" a="1"/>
  <c r="AT288" i="52"/>
  <c r="AT287" i="52"/>
  <c r="AT291" i="52" a="1"/>
  <c r="AT291" i="52"/>
  <c r="AT292" i="52" a="1"/>
  <c r="AT292" i="52"/>
  <c r="AT290" i="52"/>
  <c r="AT295" i="52" a="1"/>
  <c r="AT295" i="52"/>
  <c r="AT294" i="52"/>
  <c r="AT298" i="52" a="1"/>
  <c r="AT298" i="52"/>
  <c r="AT299" i="52" a="1"/>
  <c r="AT299" i="52"/>
  <c r="AT297" i="52"/>
  <c r="AT302" i="52" a="1"/>
  <c r="AT302" i="52"/>
  <c r="AT303" i="52" a="1"/>
  <c r="AT303" i="52"/>
  <c r="AT301" i="52"/>
  <c r="AT306" i="52" a="1"/>
  <c r="AT306" i="52"/>
  <c r="AT305" i="52"/>
  <c r="AT309" i="52" a="1"/>
  <c r="AT309" i="52"/>
  <c r="AT308" i="52"/>
  <c r="AT267" i="52"/>
  <c r="AU270" i="52" a="1"/>
  <c r="AU270" i="52"/>
  <c r="AU271" i="52" a="1"/>
  <c r="AU271" i="52"/>
  <c r="AU272" i="52" a="1"/>
  <c r="AU273" i="52" a="1"/>
  <c r="AU274" i="52" a="1"/>
  <c r="AU275" i="52" a="1"/>
  <c r="AU276" i="52" a="1"/>
  <c r="AU272" i="52"/>
  <c r="AU273" i="52"/>
  <c r="AU274" i="52"/>
  <c r="AU275" i="52"/>
  <c r="AU276" i="52"/>
  <c r="AU269" i="52"/>
  <c r="AU279" i="52" a="1"/>
  <c r="AU279" i="52"/>
  <c r="AU280" i="52" a="1"/>
  <c r="AU280" i="52"/>
  <c r="AU281" i="52" a="1"/>
  <c r="AU282" i="52" a="1"/>
  <c r="AU283" i="52" a="1"/>
  <c r="AU284" i="52" a="1"/>
  <c r="AU285" i="52" a="1"/>
  <c r="AU281" i="52"/>
  <c r="AU282" i="52"/>
  <c r="AU283" i="52"/>
  <c r="AU284" i="52"/>
  <c r="AU285" i="52"/>
  <c r="AU278" i="52"/>
  <c r="AU288" i="52" a="1"/>
  <c r="AU288" i="52"/>
  <c r="AU287" i="52"/>
  <c r="AU291" i="52" a="1"/>
  <c r="AU291" i="52"/>
  <c r="AU292" i="52" a="1"/>
  <c r="AU292" i="52"/>
  <c r="AU290" i="52"/>
  <c r="AU295" i="52" a="1"/>
  <c r="AU295" i="52"/>
  <c r="AU294" i="52"/>
  <c r="AU298" i="52" a="1"/>
  <c r="AU298" i="52"/>
  <c r="AU299" i="52" a="1"/>
  <c r="AU299" i="52"/>
  <c r="AU297" i="52"/>
  <c r="AU302" i="52" a="1"/>
  <c r="AU302" i="52"/>
  <c r="AU303" i="52" a="1"/>
  <c r="AU303" i="52"/>
  <c r="AU301" i="52"/>
  <c r="AU306" i="52" a="1"/>
  <c r="AU306" i="52"/>
  <c r="AU305" i="52"/>
  <c r="AU309" i="52" a="1"/>
  <c r="AU309" i="52"/>
  <c r="AU308" i="52"/>
  <c r="AU267" i="52"/>
  <c r="AV270" i="52" a="1"/>
  <c r="AV270" i="52"/>
  <c r="AV271" i="52" a="1"/>
  <c r="AV271" i="52"/>
  <c r="AV272" i="52" a="1"/>
  <c r="AV273" i="52" a="1"/>
  <c r="AV274" i="52" a="1"/>
  <c r="AV275" i="52" a="1"/>
  <c r="AV276" i="52" a="1"/>
  <c r="AV272" i="52"/>
  <c r="AV273" i="52"/>
  <c r="AV274" i="52"/>
  <c r="AV275" i="52"/>
  <c r="AV276" i="52"/>
  <c r="AV269" i="52"/>
  <c r="AV279" i="52" a="1"/>
  <c r="AV279" i="52"/>
  <c r="AV280" i="52" a="1"/>
  <c r="AV280" i="52"/>
  <c r="AV281" i="52" a="1"/>
  <c r="AV282" i="52" a="1"/>
  <c r="AV283" i="52" a="1"/>
  <c r="AV284" i="52" a="1"/>
  <c r="AV285" i="52" a="1"/>
  <c r="AV281" i="52"/>
  <c r="AV282" i="52"/>
  <c r="AV283" i="52"/>
  <c r="AV284" i="52"/>
  <c r="AV285" i="52"/>
  <c r="AV278" i="52"/>
  <c r="AV288" i="52" a="1"/>
  <c r="AV288" i="52"/>
  <c r="AV287" i="52"/>
  <c r="AV291" i="52" a="1"/>
  <c r="AV291" i="52"/>
  <c r="AV292" i="52" a="1"/>
  <c r="AV292" i="52"/>
  <c r="AV290" i="52"/>
  <c r="AV295" i="52" a="1"/>
  <c r="AV295" i="52"/>
  <c r="AV294" i="52"/>
  <c r="AV298" i="52" a="1"/>
  <c r="AV298" i="52"/>
  <c r="AV299" i="52" a="1"/>
  <c r="AV299" i="52"/>
  <c r="AV297" i="52"/>
  <c r="AV302" i="52" a="1"/>
  <c r="AV302" i="52"/>
  <c r="AV303" i="52" a="1"/>
  <c r="AV303" i="52"/>
  <c r="AV301" i="52"/>
  <c r="AV306" i="52" a="1"/>
  <c r="AV306" i="52"/>
  <c r="AV305" i="52"/>
  <c r="AV309" i="52" a="1"/>
  <c r="AV309" i="52"/>
  <c r="AV308" i="52"/>
  <c r="AV267" i="52"/>
  <c r="AW270" i="52" a="1"/>
  <c r="AW270" i="52"/>
  <c r="AW271" i="52" a="1"/>
  <c r="AW271" i="52"/>
  <c r="AW272" i="52" a="1"/>
  <c r="AW273" i="52" a="1"/>
  <c r="AW274" i="52" a="1"/>
  <c r="AW275" i="52" a="1"/>
  <c r="AW276" i="52" a="1"/>
  <c r="AW272" i="52"/>
  <c r="AW273" i="52"/>
  <c r="AW274" i="52"/>
  <c r="AW275" i="52"/>
  <c r="AW276" i="52"/>
  <c r="AW269" i="52"/>
  <c r="AW279" i="52" a="1"/>
  <c r="AW279" i="52"/>
  <c r="AW280" i="52" a="1"/>
  <c r="AW280" i="52"/>
  <c r="AW281" i="52" a="1"/>
  <c r="AW282" i="52" a="1"/>
  <c r="AW283" i="52" a="1"/>
  <c r="AW284" i="52" a="1"/>
  <c r="AW285" i="52" a="1"/>
  <c r="AW281" i="52"/>
  <c r="AW282" i="52"/>
  <c r="AW283" i="52"/>
  <c r="AW284" i="52"/>
  <c r="AW285" i="52"/>
  <c r="AW278" i="52"/>
  <c r="AW288" i="52" a="1"/>
  <c r="AW288" i="52"/>
  <c r="AW287" i="52"/>
  <c r="AW291" i="52" a="1"/>
  <c r="AW291" i="52"/>
  <c r="AW292" i="52" a="1"/>
  <c r="AW292" i="52"/>
  <c r="AW290" i="52"/>
  <c r="AW295" i="52" a="1"/>
  <c r="AW295" i="52"/>
  <c r="AW294" i="52"/>
  <c r="AW298" i="52" a="1"/>
  <c r="AW298" i="52"/>
  <c r="AW299" i="52" a="1"/>
  <c r="AW299" i="52"/>
  <c r="AW297" i="52"/>
  <c r="AW302" i="52" a="1"/>
  <c r="AW302" i="52"/>
  <c r="AW303" i="52" a="1"/>
  <c r="AW303" i="52"/>
  <c r="AW301" i="52"/>
  <c r="AW306" i="52" a="1"/>
  <c r="AW306" i="52"/>
  <c r="AW305" i="52"/>
  <c r="AW309" i="52" a="1"/>
  <c r="AW309" i="52"/>
  <c r="AW308" i="52"/>
  <c r="AW267" i="52"/>
  <c r="AX270" i="52" a="1"/>
  <c r="AX270" i="52"/>
  <c r="AX271" i="52" a="1"/>
  <c r="AX271" i="52"/>
  <c r="AX272" i="52" a="1"/>
  <c r="AX273" i="52" a="1"/>
  <c r="AX274" i="52" a="1"/>
  <c r="AX275" i="52" a="1"/>
  <c r="AX276" i="52" a="1"/>
  <c r="AX272" i="52"/>
  <c r="AX273" i="52"/>
  <c r="AX274" i="52"/>
  <c r="AX275" i="52"/>
  <c r="AX276" i="52"/>
  <c r="AX269" i="52"/>
  <c r="AX279" i="52" a="1"/>
  <c r="AX279" i="52"/>
  <c r="AX280" i="52" a="1"/>
  <c r="AX280" i="52"/>
  <c r="AX281" i="52" a="1"/>
  <c r="AX282" i="52" a="1"/>
  <c r="AX283" i="52" a="1"/>
  <c r="AX284" i="52" a="1"/>
  <c r="AX285" i="52" a="1"/>
  <c r="AX281" i="52"/>
  <c r="AX282" i="52"/>
  <c r="AX283" i="52"/>
  <c r="AX284" i="52"/>
  <c r="AX285" i="52"/>
  <c r="AX278" i="52"/>
  <c r="AX288" i="52" a="1"/>
  <c r="AX288" i="52"/>
  <c r="AX287" i="52"/>
  <c r="AX291" i="52" a="1"/>
  <c r="AX291" i="52"/>
  <c r="AX292" i="52" a="1"/>
  <c r="AX292" i="52"/>
  <c r="AX290" i="52"/>
  <c r="AX295" i="52" a="1"/>
  <c r="AX295" i="52"/>
  <c r="AX294" i="52"/>
  <c r="AX298" i="52" a="1"/>
  <c r="AX298" i="52"/>
  <c r="AX299" i="52" a="1"/>
  <c r="AX299" i="52"/>
  <c r="AX297" i="52"/>
  <c r="AX302" i="52" a="1"/>
  <c r="AX302" i="52"/>
  <c r="AX303" i="52" a="1"/>
  <c r="AX303" i="52"/>
  <c r="AX301" i="52"/>
  <c r="AX306" i="52" a="1"/>
  <c r="AX306" i="52"/>
  <c r="AX305" i="52"/>
  <c r="AX309" i="52" a="1"/>
  <c r="AX309" i="52"/>
  <c r="AX308" i="52"/>
  <c r="AX267" i="52"/>
  <c r="AY270" i="52" a="1"/>
  <c r="AY270" i="52"/>
  <c r="AY271" i="52" a="1"/>
  <c r="AY271" i="52"/>
  <c r="AY272" i="52" a="1"/>
  <c r="AY273" i="52" a="1"/>
  <c r="AY274" i="52" a="1"/>
  <c r="AY275" i="52" a="1"/>
  <c r="AY276" i="52" a="1"/>
  <c r="AY272" i="52"/>
  <c r="AY273" i="52"/>
  <c r="AY274" i="52"/>
  <c r="AY275" i="52"/>
  <c r="AY276" i="52"/>
  <c r="AY269" i="52"/>
  <c r="AY279" i="52" a="1"/>
  <c r="AY279" i="52"/>
  <c r="AY280" i="52" a="1"/>
  <c r="AY280" i="52"/>
  <c r="AY281" i="52" a="1"/>
  <c r="AY282" i="52" a="1"/>
  <c r="AY283" i="52" a="1"/>
  <c r="AY284" i="52" a="1"/>
  <c r="AY285" i="52" a="1"/>
  <c r="AY281" i="52"/>
  <c r="AY282" i="52"/>
  <c r="AY283" i="52"/>
  <c r="AY284" i="52"/>
  <c r="AY285" i="52"/>
  <c r="AY278" i="52"/>
  <c r="AY288" i="52" a="1"/>
  <c r="AY288" i="52"/>
  <c r="AY287" i="52"/>
  <c r="AY291" i="52" a="1"/>
  <c r="AY291" i="52"/>
  <c r="AY292" i="52" a="1"/>
  <c r="AY292" i="52"/>
  <c r="AY290" i="52"/>
  <c r="AY295" i="52" a="1"/>
  <c r="AY295" i="52"/>
  <c r="AY294" i="52"/>
  <c r="AY298" i="52" a="1"/>
  <c r="AY298" i="52"/>
  <c r="AY299" i="52" a="1"/>
  <c r="AY299" i="52"/>
  <c r="AY297" i="52"/>
  <c r="AY302" i="52" a="1"/>
  <c r="AY302" i="52"/>
  <c r="AY303" i="52" a="1"/>
  <c r="AY303" i="52"/>
  <c r="AY301" i="52"/>
  <c r="AY306" i="52" a="1"/>
  <c r="AY306" i="52"/>
  <c r="AY305" i="52"/>
  <c r="AY309" i="52" a="1"/>
  <c r="AY309" i="52"/>
  <c r="AY308" i="52"/>
  <c r="AY267" i="52"/>
  <c r="AZ270" i="52" a="1"/>
  <c r="AZ270" i="52"/>
  <c r="AZ271" i="52" a="1"/>
  <c r="AZ271" i="52"/>
  <c r="AZ272" i="52" a="1"/>
  <c r="AZ273" i="52" a="1"/>
  <c r="AZ274" i="52" a="1"/>
  <c r="AZ275" i="52" a="1"/>
  <c r="AZ276" i="52" a="1"/>
  <c r="AZ272" i="52"/>
  <c r="AZ273" i="52"/>
  <c r="AZ274" i="52"/>
  <c r="AZ275" i="52"/>
  <c r="AZ276" i="52"/>
  <c r="AZ269" i="52"/>
  <c r="AZ279" i="52" a="1"/>
  <c r="AZ279" i="52"/>
  <c r="AZ280" i="52" a="1"/>
  <c r="AZ280" i="52"/>
  <c r="AZ281" i="52" a="1"/>
  <c r="AZ282" i="52" a="1"/>
  <c r="AZ283" i="52" a="1"/>
  <c r="AZ284" i="52" a="1"/>
  <c r="AZ285" i="52" a="1"/>
  <c r="AZ281" i="52"/>
  <c r="AZ282" i="52"/>
  <c r="AZ283" i="52"/>
  <c r="AZ284" i="52"/>
  <c r="AZ285" i="52"/>
  <c r="AZ278" i="52"/>
  <c r="AZ288" i="52" a="1"/>
  <c r="AZ288" i="52"/>
  <c r="AZ287" i="52"/>
  <c r="AZ291" i="52" a="1"/>
  <c r="AZ291" i="52"/>
  <c r="AZ292" i="52" a="1"/>
  <c r="AZ292" i="52"/>
  <c r="AZ290" i="52"/>
  <c r="AZ295" i="52" a="1"/>
  <c r="AZ295" i="52"/>
  <c r="AZ294" i="52"/>
  <c r="AZ298" i="52" a="1"/>
  <c r="AZ298" i="52"/>
  <c r="AZ299" i="52" a="1"/>
  <c r="AZ299" i="52"/>
  <c r="AZ297" i="52"/>
  <c r="AZ302" i="52" a="1"/>
  <c r="AZ302" i="52"/>
  <c r="AZ303" i="52" a="1"/>
  <c r="AZ303" i="52"/>
  <c r="AZ301" i="52"/>
  <c r="AZ306" i="52" a="1"/>
  <c r="AZ306" i="52"/>
  <c r="AZ305" i="52"/>
  <c r="AZ309" i="52" a="1"/>
  <c r="AZ309" i="52"/>
  <c r="AZ308" i="52"/>
  <c r="AZ267" i="52"/>
  <c r="BA270" i="52" a="1"/>
  <c r="BA270" i="52"/>
  <c r="BA271" i="52" a="1"/>
  <c r="BA271" i="52"/>
  <c r="BA272" i="52" a="1"/>
  <c r="BA273" i="52" a="1"/>
  <c r="BA274" i="52" a="1"/>
  <c r="BA275" i="52" a="1"/>
  <c r="BA276" i="52" a="1"/>
  <c r="BA272" i="52"/>
  <c r="BA273" i="52"/>
  <c r="BA274" i="52"/>
  <c r="BA275" i="52"/>
  <c r="BA276" i="52"/>
  <c r="BA269" i="52"/>
  <c r="BA279" i="52" a="1"/>
  <c r="BA279" i="52"/>
  <c r="BA280" i="52" a="1"/>
  <c r="BA280" i="52"/>
  <c r="BA281" i="52" a="1"/>
  <c r="BA282" i="52" a="1"/>
  <c r="BA283" i="52" a="1"/>
  <c r="BA284" i="52" a="1"/>
  <c r="BA285" i="52" a="1"/>
  <c r="BA281" i="52"/>
  <c r="BA282" i="52"/>
  <c r="BA283" i="52"/>
  <c r="BA284" i="52"/>
  <c r="BA285" i="52"/>
  <c r="BA278" i="52"/>
  <c r="BA288" i="52" a="1"/>
  <c r="BA288" i="52"/>
  <c r="BA287" i="52"/>
  <c r="BA291" i="52" a="1"/>
  <c r="BA291" i="52"/>
  <c r="BA292" i="52" a="1"/>
  <c r="BA292" i="52"/>
  <c r="BA290" i="52"/>
  <c r="BA295" i="52" a="1"/>
  <c r="BA295" i="52"/>
  <c r="BA294" i="52"/>
  <c r="BA298" i="52" a="1"/>
  <c r="BA298" i="52"/>
  <c r="BA299" i="52" a="1"/>
  <c r="BA299" i="52"/>
  <c r="BA297" i="52"/>
  <c r="BA302" i="52" a="1"/>
  <c r="BA302" i="52"/>
  <c r="BA303" i="52" a="1"/>
  <c r="BA303" i="52"/>
  <c r="BA301" i="52"/>
  <c r="BA306" i="52" a="1"/>
  <c r="BA306" i="52"/>
  <c r="BA305" i="52"/>
  <c r="BA309" i="52" a="1"/>
  <c r="BA309" i="52"/>
  <c r="BA308" i="52"/>
  <c r="BA267" i="52"/>
  <c r="BB270" i="52" a="1"/>
  <c r="BB270" i="52"/>
  <c r="BB271" i="52" a="1"/>
  <c r="BB271" i="52"/>
  <c r="BB272" i="52" a="1"/>
  <c r="BB273" i="52" a="1"/>
  <c r="BB274" i="52" a="1"/>
  <c r="BB275" i="52" a="1"/>
  <c r="BB276" i="52" a="1"/>
  <c r="BB272" i="52"/>
  <c r="BB273" i="52"/>
  <c r="BB274" i="52"/>
  <c r="BB275" i="52"/>
  <c r="BB276" i="52"/>
  <c r="BB269" i="52"/>
  <c r="BB279" i="52" a="1"/>
  <c r="BB279" i="52"/>
  <c r="BB280" i="52" a="1"/>
  <c r="BB280" i="52"/>
  <c r="BB281" i="52" a="1"/>
  <c r="BB282" i="52" a="1"/>
  <c r="BB283" i="52" a="1"/>
  <c r="BB284" i="52" a="1"/>
  <c r="BB285" i="52" a="1"/>
  <c r="BB281" i="52"/>
  <c r="BB282" i="52"/>
  <c r="BB283" i="52"/>
  <c r="BB284" i="52"/>
  <c r="BB285" i="52"/>
  <c r="BB278" i="52"/>
  <c r="BB288" i="52" a="1"/>
  <c r="BB288" i="52"/>
  <c r="BB287" i="52"/>
  <c r="BB291" i="52" a="1"/>
  <c r="BB291" i="52"/>
  <c r="BB292" i="52" a="1"/>
  <c r="BB292" i="52"/>
  <c r="BB290" i="52"/>
  <c r="BB295" i="52" a="1"/>
  <c r="BB295" i="52"/>
  <c r="BB294" i="52"/>
  <c r="BB298" i="52" a="1"/>
  <c r="BB298" i="52"/>
  <c r="BB299" i="52" a="1"/>
  <c r="BB299" i="52"/>
  <c r="BB297" i="52"/>
  <c r="BB302" i="52" a="1"/>
  <c r="BB302" i="52"/>
  <c r="BB303" i="52" a="1"/>
  <c r="BB303" i="52"/>
  <c r="BB301" i="52"/>
  <c r="BB306" i="52" a="1"/>
  <c r="BB306" i="52"/>
  <c r="BB305" i="52"/>
  <c r="BB309" i="52" a="1"/>
  <c r="BB309" i="52"/>
  <c r="BB308" i="52"/>
  <c r="BB267" i="52"/>
  <c r="BC270" i="52" a="1"/>
  <c r="BC270" i="52"/>
  <c r="BC271" i="52" a="1"/>
  <c r="BC271" i="52"/>
  <c r="BC272" i="52" a="1"/>
  <c r="BC273" i="52" a="1"/>
  <c r="BC274" i="52" a="1"/>
  <c r="BC275" i="52" a="1"/>
  <c r="BC276" i="52" a="1"/>
  <c r="BC272" i="52"/>
  <c r="BC273" i="52"/>
  <c r="BC274" i="52"/>
  <c r="BC275" i="52"/>
  <c r="BC276" i="52"/>
  <c r="BC269" i="52"/>
  <c r="BC279" i="52" a="1"/>
  <c r="BC279" i="52"/>
  <c r="BC280" i="52" a="1"/>
  <c r="BC280" i="52"/>
  <c r="BC281" i="52" a="1"/>
  <c r="BC282" i="52" a="1"/>
  <c r="BC283" i="52" a="1"/>
  <c r="BC284" i="52" a="1"/>
  <c r="BC285" i="52" a="1"/>
  <c r="BC281" i="52"/>
  <c r="BC282" i="52"/>
  <c r="BC283" i="52"/>
  <c r="BC284" i="52"/>
  <c r="BC285" i="52"/>
  <c r="BC278" i="52"/>
  <c r="BC288" i="52" a="1"/>
  <c r="BC288" i="52"/>
  <c r="BC287" i="52"/>
  <c r="BC291" i="52" a="1"/>
  <c r="BC291" i="52"/>
  <c r="BC292" i="52" a="1"/>
  <c r="BC292" i="52"/>
  <c r="BC290" i="52"/>
  <c r="BC295" i="52" a="1"/>
  <c r="BC295" i="52"/>
  <c r="BC294" i="52"/>
  <c r="BC298" i="52" a="1"/>
  <c r="BC298" i="52"/>
  <c r="BC299" i="52" a="1"/>
  <c r="BC299" i="52"/>
  <c r="BC297" i="52"/>
  <c r="BC302" i="52" a="1"/>
  <c r="BC302" i="52"/>
  <c r="BC303" i="52" a="1"/>
  <c r="BC303" i="52"/>
  <c r="BC301" i="52"/>
  <c r="BC306" i="52" a="1"/>
  <c r="BC306" i="52"/>
  <c r="BC305" i="52"/>
  <c r="BC309" i="52" a="1"/>
  <c r="BC309" i="52"/>
  <c r="BC308" i="52"/>
  <c r="BC267" i="52"/>
  <c r="BD270" i="52"/>
  <c r="BD271" i="52"/>
  <c r="BD272" i="52"/>
  <c r="BD273" i="52"/>
  <c r="BD274" i="52"/>
  <c r="BD275" i="52"/>
  <c r="BD276" i="52"/>
  <c r="BD269" i="52"/>
  <c r="BD279" i="52"/>
  <c r="BD280" i="52"/>
  <c r="BD281" i="52"/>
  <c r="BD282" i="52"/>
  <c r="BD283" i="52"/>
  <c r="BD284" i="52"/>
  <c r="BD285" i="52"/>
  <c r="BD278" i="52"/>
  <c r="BD288" i="52"/>
  <c r="BD287" i="52"/>
  <c r="BD291" i="52"/>
  <c r="BD292" i="52"/>
  <c r="BD290" i="52"/>
  <c r="BD295" i="52"/>
  <c r="BD294" i="52"/>
  <c r="BD298" i="52"/>
  <c r="BD299" i="52"/>
  <c r="BD297" i="52"/>
  <c r="BD302" i="52"/>
  <c r="BD303" i="52"/>
  <c r="BD301" i="52"/>
  <c r="BD306" i="52"/>
  <c r="BD305" i="52"/>
  <c r="BD309" i="52"/>
  <c r="BD308" i="52"/>
  <c r="BD267" i="52"/>
  <c r="V271" i="52" a="1"/>
  <c r="V271" i="52"/>
  <c r="V272" i="52" a="1"/>
  <c r="V272" i="52"/>
  <c r="V273" i="52" a="1"/>
  <c r="X273" i="52" a="1"/>
  <c r="V273" i="52"/>
  <c r="V274" i="52" a="1"/>
  <c r="X274" i="52" a="1"/>
  <c r="V274" i="52"/>
  <c r="V275" i="52" a="1"/>
  <c r="X275" i="52" a="1"/>
  <c r="V275" i="52"/>
  <c r="V276" i="52" a="1"/>
  <c r="X276" i="52" a="1"/>
  <c r="V276" i="52"/>
  <c r="W279" i="52" a="1"/>
  <c r="W279" i="52"/>
  <c r="W280" i="52" a="1"/>
  <c r="W280" i="52"/>
  <c r="W281" i="52" a="1"/>
  <c r="W282" i="52" a="1"/>
  <c r="W283" i="52" a="1"/>
  <c r="W284" i="52" a="1"/>
  <c r="W285" i="52" a="1"/>
  <c r="W281" i="52"/>
  <c r="W282" i="52"/>
  <c r="W283" i="52"/>
  <c r="W284" i="52"/>
  <c r="W285" i="52"/>
  <c r="W278" i="52"/>
  <c r="X279" i="52" a="1"/>
  <c r="X279" i="52"/>
  <c r="X280" i="52" a="1"/>
  <c r="X280" i="52"/>
  <c r="X281" i="52" a="1"/>
  <c r="X282" i="52" a="1"/>
  <c r="X283" i="52" a="1"/>
  <c r="X284" i="52" a="1"/>
  <c r="X285" i="52" a="1"/>
  <c r="X281" i="52"/>
  <c r="X282" i="52"/>
  <c r="X283" i="52"/>
  <c r="X284" i="52"/>
  <c r="X285" i="52"/>
  <c r="X278" i="52"/>
  <c r="Y279" i="52" a="1"/>
  <c r="Y279" i="52"/>
  <c r="Y280" i="52" a="1"/>
  <c r="Y280" i="52"/>
  <c r="Y281" i="52" a="1"/>
  <c r="Y282" i="52" a="1"/>
  <c r="Y283" i="52" a="1"/>
  <c r="Y284" i="52" a="1"/>
  <c r="Y285" i="52" a="1"/>
  <c r="Y281" i="52"/>
  <c r="Y282" i="52"/>
  <c r="Y283" i="52"/>
  <c r="Y284" i="52"/>
  <c r="Y285" i="52"/>
  <c r="Y278" i="52"/>
  <c r="Z279" i="52" a="1"/>
  <c r="Z279" i="52"/>
  <c r="Z280" i="52" a="1"/>
  <c r="Z280" i="52"/>
  <c r="Z281" i="52" a="1"/>
  <c r="Z282" i="52" a="1"/>
  <c r="Z283" i="52" a="1"/>
  <c r="Z284" i="52" a="1"/>
  <c r="Z285" i="52" a="1"/>
  <c r="Z281" i="52"/>
  <c r="Z282" i="52"/>
  <c r="Z283" i="52"/>
  <c r="Z284" i="52"/>
  <c r="Z285" i="52"/>
  <c r="Z278" i="52"/>
  <c r="BG279" i="52" a="1"/>
  <c r="BG279" i="52"/>
  <c r="BG280" i="52" a="1"/>
  <c r="BG280" i="52"/>
  <c r="BG281" i="52" a="1"/>
  <c r="BG282" i="52" a="1"/>
  <c r="BG283" i="52" a="1"/>
  <c r="BG284" i="52" a="1"/>
  <c r="BG285" i="52" a="1"/>
  <c r="BG281" i="52"/>
  <c r="BG282" i="52"/>
  <c r="BG283" i="52"/>
  <c r="BG284" i="52"/>
  <c r="BG285" i="52"/>
  <c r="BG278" i="52"/>
  <c r="W288" i="52" a="1"/>
  <c r="W288" i="52"/>
  <c r="W287" i="52"/>
  <c r="X288" i="52" a="1"/>
  <c r="X288" i="52"/>
  <c r="X287" i="52"/>
  <c r="Y288" i="52" a="1"/>
  <c r="Y288" i="52"/>
  <c r="Y287" i="52"/>
  <c r="Z288" i="52" a="1"/>
  <c r="Z288" i="52"/>
  <c r="Z287" i="52"/>
  <c r="BG288" i="52" a="1"/>
  <c r="BG288" i="52"/>
  <c r="BG287" i="52"/>
  <c r="W291" i="52" a="1"/>
  <c r="W291" i="52"/>
  <c r="W292" i="52" a="1"/>
  <c r="W292" i="52"/>
  <c r="W290" i="52"/>
  <c r="X291" i="52" a="1"/>
  <c r="X291" i="52"/>
  <c r="X292" i="52" a="1"/>
  <c r="X292" i="52"/>
  <c r="X290" i="52"/>
  <c r="Y291" i="52" a="1"/>
  <c r="Y291" i="52"/>
  <c r="Y292" i="52" a="1"/>
  <c r="Y292" i="52"/>
  <c r="Y290" i="52"/>
  <c r="Z291" i="52" a="1"/>
  <c r="Z291" i="52"/>
  <c r="Z292" i="52" a="1"/>
  <c r="Z292" i="52"/>
  <c r="Z290" i="52"/>
  <c r="AL291" i="52" a="1"/>
  <c r="AL291" i="52"/>
  <c r="AL292" i="52" a="1"/>
  <c r="AL292" i="52"/>
  <c r="AL290" i="52"/>
  <c r="AO291" i="52"/>
  <c r="AO292" i="52"/>
  <c r="AO290" i="52"/>
  <c r="BF291" i="52" a="1"/>
  <c r="BF291" i="52"/>
  <c r="BF292" i="52" a="1"/>
  <c r="BF292" i="52"/>
  <c r="BF290" i="52"/>
  <c r="BG291" i="52" a="1"/>
  <c r="BG291" i="52"/>
  <c r="BG292" i="52" a="1"/>
  <c r="BG292" i="52"/>
  <c r="BG290" i="52"/>
  <c r="BH291" i="52"/>
  <c r="BH292" i="52"/>
  <c r="BH290" i="52"/>
  <c r="BI291" i="52"/>
  <c r="BI292" i="52"/>
  <c r="BI290" i="52"/>
  <c r="W295" i="52" a="1"/>
  <c r="W295" i="52"/>
  <c r="W294" i="52"/>
  <c r="X295" i="52" a="1"/>
  <c r="X295" i="52"/>
  <c r="X294" i="52"/>
  <c r="Y295" i="52" a="1"/>
  <c r="Y295" i="52"/>
  <c r="Y294" i="52"/>
  <c r="Z295" i="52" a="1"/>
  <c r="Z295" i="52"/>
  <c r="Z294" i="52"/>
  <c r="AL295" i="52" a="1"/>
  <c r="AL295" i="52"/>
  <c r="AL294" i="52"/>
  <c r="AO295" i="52"/>
  <c r="AO294" i="52"/>
  <c r="BF295" i="52" a="1"/>
  <c r="BF295" i="52"/>
  <c r="BF294" i="52"/>
  <c r="BG295" i="52" a="1"/>
  <c r="BG295" i="52"/>
  <c r="BG294" i="52"/>
  <c r="BH295" i="52"/>
  <c r="BH294" i="52"/>
  <c r="BI295" i="52"/>
  <c r="BI294" i="52"/>
  <c r="W298" i="52" a="1"/>
  <c r="W298" i="52"/>
  <c r="W299" i="52" a="1"/>
  <c r="W299" i="52"/>
  <c r="W297" i="52"/>
  <c r="X298" i="52" a="1"/>
  <c r="X298" i="52"/>
  <c r="X299" i="52" a="1"/>
  <c r="X299" i="52"/>
  <c r="X297" i="52"/>
  <c r="Y298" i="52" a="1"/>
  <c r="Y298" i="52"/>
  <c r="Y299" i="52" a="1"/>
  <c r="Y299" i="52"/>
  <c r="Y297" i="52"/>
  <c r="Z298" i="52" a="1"/>
  <c r="Z298" i="52"/>
  <c r="Z299" i="52" a="1"/>
  <c r="Z299" i="52"/>
  <c r="Z297" i="52"/>
  <c r="AL298" i="52" a="1"/>
  <c r="AL298" i="52"/>
  <c r="AL299" i="52" a="1"/>
  <c r="AL299" i="52"/>
  <c r="AL297" i="52"/>
  <c r="AO298" i="52"/>
  <c r="AO299" i="52"/>
  <c r="AO297" i="52"/>
  <c r="BF298" i="52" a="1"/>
  <c r="BF298" i="52"/>
  <c r="BF299" i="52" a="1"/>
  <c r="BF299" i="52"/>
  <c r="BF297" i="52"/>
  <c r="BG298" i="52" a="1"/>
  <c r="BG298" i="52"/>
  <c r="BG299" i="52" a="1"/>
  <c r="BG299" i="52"/>
  <c r="BG297" i="52"/>
  <c r="BH298" i="52"/>
  <c r="BH299" i="52"/>
  <c r="BH297" i="52"/>
  <c r="BI298" i="52"/>
  <c r="BI299" i="52"/>
  <c r="BI297" i="52"/>
  <c r="W302" i="52" a="1"/>
  <c r="W302" i="52"/>
  <c r="W303" i="52" a="1"/>
  <c r="W303" i="52"/>
  <c r="W301" i="52"/>
  <c r="X302" i="52" a="1"/>
  <c r="X302" i="52"/>
  <c r="X303" i="52" a="1"/>
  <c r="X303" i="52"/>
  <c r="X301" i="52"/>
  <c r="Y302" i="52" a="1"/>
  <c r="Y302" i="52"/>
  <c r="Y303" i="52" a="1"/>
  <c r="Y303" i="52"/>
  <c r="Y301" i="52"/>
  <c r="Z302" i="52" a="1"/>
  <c r="Z302" i="52"/>
  <c r="Z303" i="52" a="1"/>
  <c r="Z303" i="52"/>
  <c r="Z301" i="52"/>
  <c r="AL302" i="52" a="1"/>
  <c r="AL302" i="52"/>
  <c r="AL303" i="52" a="1"/>
  <c r="AL303" i="52"/>
  <c r="AL301" i="52"/>
  <c r="AO302" i="52"/>
  <c r="AO303" i="52"/>
  <c r="AO301" i="52"/>
  <c r="BF302" i="52" a="1"/>
  <c r="BF302" i="52"/>
  <c r="BF303" i="52" a="1"/>
  <c r="BF303" i="52"/>
  <c r="BF301" i="52"/>
  <c r="BG302" i="52" a="1"/>
  <c r="BG302" i="52"/>
  <c r="BG303" i="52" a="1"/>
  <c r="BG303" i="52"/>
  <c r="BG301" i="52"/>
  <c r="BH302" i="52"/>
  <c r="BH303" i="52"/>
  <c r="BH301" i="52"/>
  <c r="BI302" i="52"/>
  <c r="BI303" i="52"/>
  <c r="BI301" i="52"/>
  <c r="W306" i="52" a="1"/>
  <c r="W306" i="52"/>
  <c r="W305" i="52"/>
  <c r="X306" i="52" a="1"/>
  <c r="X306" i="52"/>
  <c r="X305" i="52"/>
  <c r="Y306" i="52" a="1"/>
  <c r="Y306" i="52"/>
  <c r="Y305" i="52"/>
  <c r="Z306" i="52" a="1"/>
  <c r="Z306" i="52"/>
  <c r="Z305" i="52"/>
  <c r="AL306" i="52" a="1"/>
  <c r="AL306" i="52"/>
  <c r="AL305" i="52"/>
  <c r="AO306" i="52"/>
  <c r="AO305" i="52"/>
  <c r="BF306" i="52" a="1"/>
  <c r="BF306" i="52"/>
  <c r="BF305" i="52"/>
  <c r="BG306" i="52" a="1"/>
  <c r="BG306" i="52"/>
  <c r="BG305" i="52"/>
  <c r="BH306" i="52"/>
  <c r="BH305" i="52"/>
  <c r="BI306" i="52"/>
  <c r="BI305" i="52"/>
  <c r="W309" i="52" a="1"/>
  <c r="W309" i="52"/>
  <c r="W308" i="52"/>
  <c r="X309" i="52" a="1"/>
  <c r="X309" i="52"/>
  <c r="X308" i="52"/>
  <c r="Y309" i="52" a="1"/>
  <c r="Y309" i="52"/>
  <c r="Y308" i="52"/>
  <c r="Z309" i="52" a="1"/>
  <c r="Z309" i="52"/>
  <c r="Z308" i="52"/>
  <c r="AL309" i="52" a="1"/>
  <c r="AL309" i="52"/>
  <c r="AL308" i="52"/>
  <c r="AO309" i="52"/>
  <c r="AO308" i="52"/>
  <c r="BF309" i="52" a="1"/>
  <c r="BF309" i="52"/>
  <c r="BF308" i="52"/>
  <c r="BG309" i="52" a="1"/>
  <c r="BG309" i="52"/>
  <c r="BG308" i="52"/>
  <c r="BH309" i="52"/>
  <c r="BH308" i="52"/>
  <c r="BI309" i="52"/>
  <c r="BI308" i="52"/>
  <c r="E314" i="52" a="1"/>
  <c r="E314" i="52"/>
  <c r="E315" i="52" a="1"/>
  <c r="E315" i="52"/>
  <c r="E316" i="52" a="1"/>
  <c r="E316" i="52"/>
  <c r="E313" i="52"/>
  <c r="E319" i="52" a="1"/>
  <c r="E319" i="52"/>
  <c r="E320" i="52" a="1"/>
  <c r="E320" i="52"/>
  <c r="E321" i="52" a="1"/>
  <c r="E321" i="52"/>
  <c r="E318" i="52"/>
  <c r="E324" i="52" a="1"/>
  <c r="E324" i="52"/>
  <c r="E325" i="52" a="1"/>
  <c r="E325" i="52"/>
  <c r="E326" i="52" a="1"/>
  <c r="E327" i="52" a="1"/>
  <c r="E326" i="52"/>
  <c r="E327" i="52"/>
  <c r="E323" i="52"/>
  <c r="E330" i="52" a="1"/>
  <c r="E330" i="52"/>
  <c r="E331" i="52" a="1"/>
  <c r="E331" i="52"/>
  <c r="E332" i="52" a="1"/>
  <c r="E333" i="52" a="1"/>
  <c r="E334" i="52" a="1"/>
  <c r="E335" i="52" a="1"/>
  <c r="E332" i="52"/>
  <c r="E333" i="52"/>
  <c r="E334" i="52"/>
  <c r="E335" i="52"/>
  <c r="E329" i="52"/>
  <c r="E311" i="52"/>
  <c r="F314" i="52" a="1"/>
  <c r="F314" i="52"/>
  <c r="F315" i="52" a="1"/>
  <c r="F315" i="52"/>
  <c r="F316" i="52" a="1"/>
  <c r="F316" i="52"/>
  <c r="F313" i="52"/>
  <c r="F319" i="52" a="1"/>
  <c r="F319" i="52"/>
  <c r="F320" i="52" a="1"/>
  <c r="F320" i="52"/>
  <c r="F321" i="52" a="1"/>
  <c r="F321" i="52"/>
  <c r="F318" i="52"/>
  <c r="F324" i="52" a="1"/>
  <c r="F324" i="52"/>
  <c r="F325" i="52" a="1"/>
  <c r="F325" i="52"/>
  <c r="F326" i="52" a="1"/>
  <c r="F327" i="52" a="1"/>
  <c r="F326" i="52"/>
  <c r="F327" i="52"/>
  <c r="F323" i="52"/>
  <c r="F330" i="52" a="1"/>
  <c r="F330" i="52"/>
  <c r="F331" i="52" a="1"/>
  <c r="F331" i="52"/>
  <c r="F332" i="52" a="1"/>
  <c r="F333" i="52" a="1"/>
  <c r="F334" i="52" a="1"/>
  <c r="F335" i="52" a="1"/>
  <c r="F332" i="52"/>
  <c r="F333" i="52"/>
  <c r="F334" i="52"/>
  <c r="F335" i="52"/>
  <c r="F329" i="52"/>
  <c r="F311" i="52"/>
  <c r="G314" i="52" a="1"/>
  <c r="G314" i="52"/>
  <c r="G315" i="52" a="1"/>
  <c r="G315" i="52"/>
  <c r="G316" i="52" a="1"/>
  <c r="G316" i="52"/>
  <c r="G313" i="52"/>
  <c r="G319" i="52" a="1"/>
  <c r="G319" i="52"/>
  <c r="G320" i="52" a="1"/>
  <c r="G320" i="52"/>
  <c r="G321" i="52" a="1"/>
  <c r="G321" i="52"/>
  <c r="G318" i="52"/>
  <c r="G324" i="52" a="1"/>
  <c r="G324" i="52"/>
  <c r="G325" i="52" a="1"/>
  <c r="G325" i="52"/>
  <c r="G326" i="52" a="1"/>
  <c r="G327" i="52" a="1"/>
  <c r="G326" i="52"/>
  <c r="G327" i="52"/>
  <c r="G323" i="52"/>
  <c r="G330" i="52" a="1"/>
  <c r="G330" i="52"/>
  <c r="G331" i="52" a="1"/>
  <c r="G331" i="52"/>
  <c r="G332" i="52" a="1"/>
  <c r="G333" i="52" a="1"/>
  <c r="G334" i="52" a="1"/>
  <c r="G335" i="52" a="1"/>
  <c r="G332" i="52"/>
  <c r="G333" i="52"/>
  <c r="G334" i="52"/>
  <c r="G335" i="52"/>
  <c r="G329" i="52"/>
  <c r="G311" i="52"/>
  <c r="H314" i="52" a="1"/>
  <c r="H314" i="52"/>
  <c r="H315" i="52" a="1"/>
  <c r="H315" i="52"/>
  <c r="H316" i="52" a="1"/>
  <c r="H316" i="52"/>
  <c r="H313" i="52"/>
  <c r="H319" i="52" a="1"/>
  <c r="H319" i="52"/>
  <c r="H320" i="52" a="1"/>
  <c r="H320" i="52"/>
  <c r="H321" i="52" a="1"/>
  <c r="H321" i="52"/>
  <c r="H318" i="52"/>
  <c r="H324" i="52" a="1"/>
  <c r="H324" i="52"/>
  <c r="H325" i="52" a="1"/>
  <c r="H325" i="52"/>
  <c r="H326" i="52" a="1"/>
  <c r="H327" i="52" a="1"/>
  <c r="H326" i="52"/>
  <c r="H327" i="52"/>
  <c r="H323" i="52"/>
  <c r="H330" i="52" a="1"/>
  <c r="H330" i="52"/>
  <c r="H331" i="52" a="1"/>
  <c r="H331" i="52"/>
  <c r="H332" i="52" a="1"/>
  <c r="H333" i="52" a="1"/>
  <c r="H334" i="52" a="1"/>
  <c r="H335" i="52" a="1"/>
  <c r="H332" i="52"/>
  <c r="H333" i="52"/>
  <c r="H334" i="52"/>
  <c r="H335" i="52"/>
  <c r="H329" i="52"/>
  <c r="H311" i="52"/>
  <c r="I314" i="52" a="1"/>
  <c r="I314" i="52"/>
  <c r="I315" i="52" a="1"/>
  <c r="I315" i="52"/>
  <c r="I316" i="52" a="1"/>
  <c r="I316" i="52"/>
  <c r="I313" i="52"/>
  <c r="I319" i="52" a="1"/>
  <c r="I319" i="52"/>
  <c r="I320" i="52" a="1"/>
  <c r="I320" i="52"/>
  <c r="I321" i="52" a="1"/>
  <c r="I321" i="52"/>
  <c r="I318" i="52"/>
  <c r="I324" i="52" a="1"/>
  <c r="I324" i="52"/>
  <c r="I325" i="52" a="1"/>
  <c r="I325" i="52"/>
  <c r="I326" i="52" a="1"/>
  <c r="I327" i="52" a="1"/>
  <c r="I326" i="52"/>
  <c r="I327" i="52"/>
  <c r="I323" i="52"/>
  <c r="I330" i="52" a="1"/>
  <c r="I330" i="52"/>
  <c r="I331" i="52" a="1"/>
  <c r="I331" i="52"/>
  <c r="I332" i="52" a="1"/>
  <c r="I333" i="52" a="1"/>
  <c r="I334" i="52" a="1"/>
  <c r="I335" i="52" a="1"/>
  <c r="I332" i="52"/>
  <c r="I333" i="52"/>
  <c r="I334" i="52"/>
  <c r="I335" i="52"/>
  <c r="I329" i="52"/>
  <c r="I311" i="52"/>
  <c r="J314" i="52" a="1"/>
  <c r="J314" i="52"/>
  <c r="J315" i="52" a="1"/>
  <c r="J315" i="52"/>
  <c r="J316" i="52" a="1"/>
  <c r="J316" i="52"/>
  <c r="J313" i="52"/>
  <c r="J319" i="52" a="1"/>
  <c r="J319" i="52"/>
  <c r="J320" i="52" a="1"/>
  <c r="J320" i="52"/>
  <c r="J321" i="52" a="1"/>
  <c r="J321" i="52"/>
  <c r="J318" i="52"/>
  <c r="J324" i="52" a="1"/>
  <c r="J324" i="52"/>
  <c r="J325" i="52" a="1"/>
  <c r="J325" i="52"/>
  <c r="J326" i="52" a="1"/>
  <c r="J327" i="52" a="1"/>
  <c r="J326" i="52"/>
  <c r="J327" i="52"/>
  <c r="J323" i="52"/>
  <c r="J330" i="52" a="1"/>
  <c r="J330" i="52"/>
  <c r="J331" i="52" a="1"/>
  <c r="J331" i="52"/>
  <c r="J332" i="52" a="1"/>
  <c r="J333" i="52" a="1"/>
  <c r="J334" i="52" a="1"/>
  <c r="J335" i="52" a="1"/>
  <c r="J332" i="52"/>
  <c r="J333" i="52"/>
  <c r="J334" i="52"/>
  <c r="J335" i="52"/>
  <c r="J329" i="52"/>
  <c r="J311" i="52"/>
  <c r="K314" i="52" a="1"/>
  <c r="K314" i="52"/>
  <c r="K315" i="52" a="1"/>
  <c r="K315" i="52"/>
  <c r="K316" i="52" a="1"/>
  <c r="K316" i="52"/>
  <c r="K313" i="52"/>
  <c r="K319" i="52" a="1"/>
  <c r="K319" i="52"/>
  <c r="K320" i="52" a="1"/>
  <c r="K320" i="52"/>
  <c r="K321" i="52" a="1"/>
  <c r="K321" i="52"/>
  <c r="K318" i="52"/>
  <c r="K324" i="52" a="1"/>
  <c r="K324" i="52"/>
  <c r="K325" i="52" a="1"/>
  <c r="K325" i="52"/>
  <c r="K326" i="52" a="1"/>
  <c r="K327" i="52" a="1"/>
  <c r="K326" i="52"/>
  <c r="K327" i="52"/>
  <c r="K323" i="52"/>
  <c r="K330" i="52" a="1"/>
  <c r="K330" i="52"/>
  <c r="K331" i="52" a="1"/>
  <c r="K331" i="52"/>
  <c r="K332" i="52" a="1"/>
  <c r="K333" i="52" a="1"/>
  <c r="K334" i="52" a="1"/>
  <c r="K335" i="52" a="1"/>
  <c r="K332" i="52"/>
  <c r="K333" i="52"/>
  <c r="K334" i="52"/>
  <c r="K335" i="52"/>
  <c r="K329" i="52"/>
  <c r="K311" i="52"/>
  <c r="L314" i="52" a="1"/>
  <c r="L314" i="52"/>
  <c r="L315" i="52" a="1"/>
  <c r="L315" i="52"/>
  <c r="L316" i="52" a="1"/>
  <c r="L316" i="52"/>
  <c r="L313" i="52"/>
  <c r="L319" i="52" a="1"/>
  <c r="L319" i="52"/>
  <c r="L320" i="52" a="1"/>
  <c r="L320" i="52"/>
  <c r="L321" i="52" a="1"/>
  <c r="L321" i="52"/>
  <c r="L318" i="52"/>
  <c r="L324" i="52" a="1"/>
  <c r="L324" i="52"/>
  <c r="L325" i="52" a="1"/>
  <c r="L325" i="52"/>
  <c r="L326" i="52" a="1"/>
  <c r="L327" i="52" a="1"/>
  <c r="L326" i="52"/>
  <c r="L327" i="52"/>
  <c r="L323" i="52"/>
  <c r="L330" i="52" a="1"/>
  <c r="L330" i="52"/>
  <c r="L331" i="52" a="1"/>
  <c r="L331" i="52"/>
  <c r="L332" i="52" a="1"/>
  <c r="L333" i="52" a="1"/>
  <c r="L334" i="52" a="1"/>
  <c r="L335" i="52" a="1"/>
  <c r="L332" i="52"/>
  <c r="L333" i="52"/>
  <c r="L334" i="52"/>
  <c r="L335" i="52"/>
  <c r="L329" i="52"/>
  <c r="L311" i="52"/>
  <c r="M314" i="52" a="1"/>
  <c r="M314" i="52"/>
  <c r="M315" i="52" a="1"/>
  <c r="M315" i="52"/>
  <c r="M316" i="52" a="1"/>
  <c r="M316" i="52"/>
  <c r="M313" i="52"/>
  <c r="M319" i="52" a="1"/>
  <c r="M319" i="52"/>
  <c r="M320" i="52" a="1"/>
  <c r="M320" i="52"/>
  <c r="M321" i="52" a="1"/>
  <c r="M321" i="52"/>
  <c r="M318" i="52"/>
  <c r="M324" i="52" a="1"/>
  <c r="M324" i="52"/>
  <c r="M325" i="52" a="1"/>
  <c r="M325" i="52"/>
  <c r="M326" i="52" a="1"/>
  <c r="M327" i="52" a="1"/>
  <c r="M326" i="52"/>
  <c r="M327" i="52"/>
  <c r="M323" i="52"/>
  <c r="M330" i="52" a="1"/>
  <c r="M330" i="52"/>
  <c r="M331" i="52" a="1"/>
  <c r="M331" i="52"/>
  <c r="M332" i="52" a="1"/>
  <c r="M333" i="52" a="1"/>
  <c r="M334" i="52" a="1"/>
  <c r="M335" i="52" a="1"/>
  <c r="M332" i="52"/>
  <c r="M333" i="52"/>
  <c r="M334" i="52"/>
  <c r="M335" i="52"/>
  <c r="M329" i="52"/>
  <c r="M311" i="52"/>
  <c r="N314" i="52" a="1"/>
  <c r="N314" i="52"/>
  <c r="N315" i="52" a="1"/>
  <c r="N315" i="52"/>
  <c r="N316" i="52" a="1"/>
  <c r="N316" i="52"/>
  <c r="N313" i="52"/>
  <c r="N319" i="52" a="1"/>
  <c r="N319" i="52"/>
  <c r="N320" i="52" a="1"/>
  <c r="N320" i="52"/>
  <c r="N321" i="52" a="1"/>
  <c r="N321" i="52"/>
  <c r="N318" i="52"/>
  <c r="N324" i="52" a="1"/>
  <c r="N324" i="52"/>
  <c r="N325" i="52" a="1"/>
  <c r="N325" i="52"/>
  <c r="N326" i="52" a="1"/>
  <c r="N327" i="52" a="1"/>
  <c r="N326" i="52"/>
  <c r="N327" i="52"/>
  <c r="N323" i="52"/>
  <c r="N330" i="52" a="1"/>
  <c r="N330" i="52"/>
  <c r="N331" i="52" a="1"/>
  <c r="N331" i="52"/>
  <c r="N332" i="52" a="1"/>
  <c r="N333" i="52" a="1"/>
  <c r="N334" i="52" a="1"/>
  <c r="N335" i="52" a="1"/>
  <c r="N332" i="52"/>
  <c r="N333" i="52"/>
  <c r="N334" i="52"/>
  <c r="N335" i="52"/>
  <c r="N329" i="52"/>
  <c r="N311" i="52"/>
  <c r="O314" i="52" a="1"/>
  <c r="O314" i="52"/>
  <c r="O315" i="52" a="1"/>
  <c r="O315" i="52"/>
  <c r="O316" i="52" a="1"/>
  <c r="O316" i="52"/>
  <c r="O313" i="52"/>
  <c r="O319" i="52" a="1"/>
  <c r="O319" i="52"/>
  <c r="O320" i="52" a="1"/>
  <c r="O320" i="52"/>
  <c r="O321" i="52" a="1"/>
  <c r="O321" i="52"/>
  <c r="O318" i="52"/>
  <c r="O324" i="52" a="1"/>
  <c r="O324" i="52"/>
  <c r="O325" i="52" a="1"/>
  <c r="O325" i="52"/>
  <c r="O326" i="52" a="1"/>
  <c r="O327" i="52" a="1"/>
  <c r="O326" i="52"/>
  <c r="O327" i="52"/>
  <c r="O323" i="52"/>
  <c r="O330" i="52" a="1"/>
  <c r="O330" i="52"/>
  <c r="O331" i="52" a="1"/>
  <c r="O331" i="52"/>
  <c r="O332" i="52" a="1"/>
  <c r="O333" i="52" a="1"/>
  <c r="O334" i="52" a="1"/>
  <c r="O335" i="52" a="1"/>
  <c r="O332" i="52"/>
  <c r="O333" i="52"/>
  <c r="O334" i="52"/>
  <c r="O335" i="52"/>
  <c r="O329" i="52"/>
  <c r="O311" i="52"/>
  <c r="P314" i="52" a="1"/>
  <c r="P314" i="52"/>
  <c r="P315" i="52" a="1"/>
  <c r="P315" i="52"/>
  <c r="P316" i="52" a="1"/>
  <c r="P316" i="52"/>
  <c r="P313" i="52"/>
  <c r="P319" i="52" a="1"/>
  <c r="P319" i="52"/>
  <c r="P320" i="52" a="1"/>
  <c r="P320" i="52"/>
  <c r="P321" i="52" a="1"/>
  <c r="P321" i="52"/>
  <c r="P318" i="52"/>
  <c r="P324" i="52" a="1"/>
  <c r="P324" i="52"/>
  <c r="P325" i="52" a="1"/>
  <c r="P325" i="52"/>
  <c r="P326" i="52" a="1"/>
  <c r="P327" i="52" a="1"/>
  <c r="P326" i="52"/>
  <c r="P327" i="52"/>
  <c r="P323" i="52"/>
  <c r="P330" i="52" a="1"/>
  <c r="P330" i="52"/>
  <c r="P331" i="52" a="1"/>
  <c r="P331" i="52"/>
  <c r="P332" i="52" a="1"/>
  <c r="P333" i="52" a="1"/>
  <c r="P334" i="52" a="1"/>
  <c r="P335" i="52" a="1"/>
  <c r="P332" i="52"/>
  <c r="P333" i="52"/>
  <c r="P334" i="52"/>
  <c r="P335" i="52"/>
  <c r="P329" i="52"/>
  <c r="P311" i="52"/>
  <c r="Q314" i="52" a="1"/>
  <c r="Q314" i="52"/>
  <c r="Q315" i="52" a="1"/>
  <c r="Q315" i="52"/>
  <c r="Q316" i="52" a="1"/>
  <c r="Q316" i="52"/>
  <c r="Q313" i="52"/>
  <c r="Q319" i="52" a="1"/>
  <c r="Q319" i="52"/>
  <c r="Q320" i="52" a="1"/>
  <c r="Q320" i="52"/>
  <c r="Q321" i="52" a="1"/>
  <c r="Q321" i="52"/>
  <c r="Q318" i="52"/>
  <c r="Q324" i="52" a="1"/>
  <c r="Q324" i="52"/>
  <c r="Q325" i="52" a="1"/>
  <c r="Q325" i="52"/>
  <c r="Q326" i="52" a="1"/>
  <c r="Q327" i="52" a="1"/>
  <c r="Q326" i="52"/>
  <c r="Q327" i="52"/>
  <c r="Q323" i="52"/>
  <c r="Q330" i="52" a="1"/>
  <c r="Q330" i="52"/>
  <c r="Q331" i="52" a="1"/>
  <c r="Q331" i="52"/>
  <c r="Q332" i="52" a="1"/>
  <c r="Q333" i="52" a="1"/>
  <c r="Q334" i="52" a="1"/>
  <c r="Q335" i="52" a="1"/>
  <c r="Q332" i="52"/>
  <c r="Q333" i="52"/>
  <c r="Q334" i="52"/>
  <c r="Q335" i="52"/>
  <c r="Q329" i="52"/>
  <c r="Q311" i="52"/>
  <c r="R314" i="52" a="1"/>
  <c r="R314" i="52"/>
  <c r="R315" i="52" a="1"/>
  <c r="R315" i="52"/>
  <c r="R316" i="52" a="1"/>
  <c r="R316" i="52"/>
  <c r="R313" i="52"/>
  <c r="R319" i="52" a="1"/>
  <c r="R319" i="52"/>
  <c r="R320" i="52" a="1"/>
  <c r="R320" i="52"/>
  <c r="R321" i="52" a="1"/>
  <c r="R321" i="52"/>
  <c r="R318" i="52"/>
  <c r="R324" i="52" a="1"/>
  <c r="R324" i="52"/>
  <c r="R325" i="52" a="1"/>
  <c r="R325" i="52"/>
  <c r="R326" i="52" a="1"/>
  <c r="R327" i="52" a="1"/>
  <c r="R326" i="52"/>
  <c r="R327" i="52"/>
  <c r="R323" i="52"/>
  <c r="R330" i="52" a="1"/>
  <c r="R330" i="52"/>
  <c r="R331" i="52" a="1"/>
  <c r="R331" i="52"/>
  <c r="R332" i="52" a="1"/>
  <c r="R333" i="52" a="1"/>
  <c r="R334" i="52" a="1"/>
  <c r="R335" i="52" a="1"/>
  <c r="R332" i="52"/>
  <c r="R333" i="52"/>
  <c r="R334" i="52"/>
  <c r="R335" i="52"/>
  <c r="R329" i="52"/>
  <c r="R311" i="52"/>
  <c r="S314" i="52" a="1"/>
  <c r="S314" i="52"/>
  <c r="S315" i="52" a="1"/>
  <c r="S315" i="52"/>
  <c r="S316" i="52" a="1"/>
  <c r="S316" i="52"/>
  <c r="S313" i="52"/>
  <c r="S319" i="52" a="1"/>
  <c r="S319" i="52"/>
  <c r="S320" i="52" a="1"/>
  <c r="S320" i="52"/>
  <c r="S321" i="52" a="1"/>
  <c r="S321" i="52"/>
  <c r="S318" i="52"/>
  <c r="S324" i="52" a="1"/>
  <c r="S324" i="52"/>
  <c r="S325" i="52" a="1"/>
  <c r="S325" i="52"/>
  <c r="S326" i="52" a="1"/>
  <c r="S327" i="52" a="1"/>
  <c r="S326" i="52"/>
  <c r="S327" i="52"/>
  <c r="S323" i="52"/>
  <c r="S330" i="52" a="1"/>
  <c r="S330" i="52"/>
  <c r="S331" i="52" a="1"/>
  <c r="S331" i="52"/>
  <c r="S332" i="52" a="1"/>
  <c r="S333" i="52" a="1"/>
  <c r="S334" i="52" a="1"/>
  <c r="S335" i="52" a="1"/>
  <c r="S332" i="52"/>
  <c r="S333" i="52"/>
  <c r="S334" i="52"/>
  <c r="S335" i="52"/>
  <c r="S329" i="52"/>
  <c r="S311" i="52"/>
  <c r="T314" i="52"/>
  <c r="T315" i="52"/>
  <c r="T316" i="52"/>
  <c r="T313" i="52"/>
  <c r="T319" i="52"/>
  <c r="T320" i="52"/>
  <c r="T321" i="52"/>
  <c r="T318" i="52"/>
  <c r="T324" i="52"/>
  <c r="T325" i="52"/>
  <c r="T326" i="52"/>
  <c r="T327" i="52"/>
  <c r="T323" i="52"/>
  <c r="T330" i="52"/>
  <c r="T331" i="52"/>
  <c r="T332" i="52"/>
  <c r="T333" i="52"/>
  <c r="T334" i="52"/>
  <c r="T335" i="52"/>
  <c r="T329" i="52"/>
  <c r="T311" i="52"/>
  <c r="V314" i="52" a="1"/>
  <c r="V314" i="52"/>
  <c r="V315" i="52" a="1"/>
  <c r="V315" i="52"/>
  <c r="V316" i="52" a="1"/>
  <c r="V316" i="52"/>
  <c r="V313" i="52"/>
  <c r="V319" i="52" a="1"/>
  <c r="V319" i="52"/>
  <c r="V320" i="52" a="1"/>
  <c r="V320" i="52"/>
  <c r="V321" i="52" a="1"/>
  <c r="V321" i="52"/>
  <c r="V318" i="52"/>
  <c r="V324" i="52" a="1"/>
  <c r="V324" i="52"/>
  <c r="V325" i="52" a="1"/>
  <c r="V325" i="52"/>
  <c r="V326" i="52" a="1"/>
  <c r="W314" i="52" a="1"/>
  <c r="W314" i="52"/>
  <c r="W315" i="52" a="1"/>
  <c r="W315" i="52"/>
  <c r="W316" i="52" a="1"/>
  <c r="W316" i="52"/>
  <c r="W313" i="52"/>
  <c r="W319" i="52" a="1"/>
  <c r="W319" i="52"/>
  <c r="W320" i="52" a="1"/>
  <c r="W320" i="52"/>
  <c r="W321" i="52" a="1"/>
  <c r="W321" i="52"/>
  <c r="W318" i="52"/>
  <c r="W324" i="52" a="1"/>
  <c r="W324" i="52"/>
  <c r="W325" i="52" a="1"/>
  <c r="W325" i="52"/>
  <c r="W326" i="52" a="1"/>
  <c r="X314" i="52" a="1"/>
  <c r="X314" i="52"/>
  <c r="X315" i="52" a="1"/>
  <c r="X315" i="52"/>
  <c r="X316" i="52" a="1"/>
  <c r="X316" i="52"/>
  <c r="X313" i="52"/>
  <c r="X319" i="52" a="1"/>
  <c r="X319" i="52"/>
  <c r="X320" i="52" a="1"/>
  <c r="X320" i="52"/>
  <c r="X321" i="52" a="1"/>
  <c r="X321" i="52"/>
  <c r="X318" i="52"/>
  <c r="X324" i="52" a="1"/>
  <c r="X324" i="52"/>
  <c r="X325" i="52" a="1"/>
  <c r="X325" i="52"/>
  <c r="X326" i="52" a="1"/>
  <c r="X327" i="52" a="1"/>
  <c r="X326" i="52"/>
  <c r="X327" i="52"/>
  <c r="X323" i="52"/>
  <c r="AH314" i="52" a="1"/>
  <c r="AH314" i="52"/>
  <c r="AH315" i="52" a="1"/>
  <c r="AH315" i="52"/>
  <c r="AH316" i="52" a="1"/>
  <c r="AH316" i="52"/>
  <c r="AH313" i="52"/>
  <c r="AH319" i="52" a="1"/>
  <c r="AH319" i="52"/>
  <c r="AH320" i="52" a="1"/>
  <c r="AH320" i="52"/>
  <c r="AH321" i="52" a="1"/>
  <c r="AH321" i="52"/>
  <c r="AH318" i="52"/>
  <c r="AH324" i="52" a="1"/>
  <c r="AH324" i="52"/>
  <c r="AH325" i="52" a="1"/>
  <c r="AH325" i="52"/>
  <c r="AH326" i="52" a="1"/>
  <c r="AH327" i="52" a="1"/>
  <c r="AH326" i="52"/>
  <c r="AH327" i="52"/>
  <c r="AH323" i="52"/>
  <c r="AH339" i="52" a="1"/>
  <c r="AH339" i="52"/>
  <c r="AH340" i="52" a="1"/>
  <c r="AH340" i="52"/>
  <c r="AH341" i="52" a="1"/>
  <c r="AH342" i="52" a="1"/>
  <c r="AH343" i="52" a="1"/>
  <c r="AH344" i="52" a="1"/>
  <c r="AH345" i="52" a="1"/>
  <c r="AH346" i="52" a="1"/>
  <c r="AH347" i="52" a="1"/>
  <c r="AH349" i="52" a="1"/>
  <c r="AH341" i="52"/>
  <c r="AH342" i="52"/>
  <c r="AH343" i="52"/>
  <c r="AH344" i="52"/>
  <c r="AH345" i="52"/>
  <c r="AH346" i="52"/>
  <c r="AH347" i="52"/>
  <c r="AH349" i="52"/>
  <c r="AH337" i="52"/>
  <c r="AH362" i="52"/>
  <c r="X330" i="52" a="1"/>
  <c r="X330" i="52"/>
  <c r="X331" i="52" a="1"/>
  <c r="X331" i="52"/>
  <c r="X332" i="52" a="1"/>
  <c r="X333" i="52" a="1"/>
  <c r="X334" i="52" a="1"/>
  <c r="X335" i="52" a="1"/>
  <c r="X332" i="52"/>
  <c r="X333" i="52"/>
  <c r="X334" i="52"/>
  <c r="X335" i="52"/>
  <c r="X329" i="52"/>
  <c r="X311" i="52"/>
  <c r="Y314" i="52" a="1"/>
  <c r="Y314" i="52"/>
  <c r="Y315" i="52" a="1"/>
  <c r="Y315" i="52"/>
  <c r="Y316" i="52" a="1"/>
  <c r="Y316" i="52"/>
  <c r="Y313" i="52"/>
  <c r="Y319" i="52" a="1"/>
  <c r="Y319" i="52"/>
  <c r="Y320" i="52" a="1"/>
  <c r="Y320" i="52"/>
  <c r="Y321" i="52" a="1"/>
  <c r="Y321" i="52"/>
  <c r="Y318" i="52"/>
  <c r="Y324" i="52" a="1"/>
  <c r="Y324" i="52"/>
  <c r="Y325" i="52" a="1"/>
  <c r="Y325" i="52"/>
  <c r="Y326" i="52" a="1"/>
  <c r="Y327" i="52" a="1"/>
  <c r="Y326" i="52"/>
  <c r="Y327" i="52"/>
  <c r="Y323" i="52"/>
  <c r="Y330" i="52" a="1"/>
  <c r="Y330" i="52"/>
  <c r="Y331" i="52" a="1"/>
  <c r="Y331" i="52"/>
  <c r="Y332" i="52" a="1"/>
  <c r="AI314" i="52" a="1"/>
  <c r="AI314" i="52"/>
  <c r="AI315" i="52" a="1"/>
  <c r="AI315" i="52"/>
  <c r="AI316" i="52" a="1"/>
  <c r="AI316" i="52"/>
  <c r="AI313" i="52"/>
  <c r="AI319" i="52" a="1"/>
  <c r="AI319" i="52"/>
  <c r="AI320" i="52" a="1"/>
  <c r="AI320" i="52"/>
  <c r="AI321" i="52" a="1"/>
  <c r="AI321" i="52"/>
  <c r="AI318" i="52"/>
  <c r="AI324" i="52" a="1"/>
  <c r="AI324" i="52"/>
  <c r="AI325" i="52" a="1"/>
  <c r="AI325" i="52"/>
  <c r="AI326" i="52" a="1"/>
  <c r="AI327" i="52" a="1"/>
  <c r="AI326" i="52"/>
  <c r="AI327" i="52"/>
  <c r="AI323" i="52"/>
  <c r="AI339" i="52" a="1"/>
  <c r="AI339" i="52"/>
  <c r="AI340" i="52" a="1"/>
  <c r="AI340" i="52"/>
  <c r="AI341" i="52" a="1"/>
  <c r="AI342" i="52" a="1"/>
  <c r="AI343" i="52" a="1"/>
  <c r="AI344" i="52" a="1"/>
  <c r="AI345" i="52" a="1"/>
  <c r="AI346" i="52" a="1"/>
  <c r="AI347" i="52" a="1"/>
  <c r="AI349" i="52" a="1"/>
  <c r="AI341" i="52"/>
  <c r="AI342" i="52"/>
  <c r="AI343" i="52"/>
  <c r="AI344" i="52"/>
  <c r="AI345" i="52"/>
  <c r="AI346" i="52"/>
  <c r="AI347" i="52"/>
  <c r="AI349" i="52"/>
  <c r="AI337" i="52"/>
  <c r="AI363" i="52"/>
  <c r="Y333" i="52" a="1"/>
  <c r="Y334" i="52" a="1"/>
  <c r="Y335" i="52" a="1"/>
  <c r="Y332" i="52"/>
  <c r="Y333" i="52"/>
  <c r="Y334" i="52"/>
  <c r="Y335" i="52"/>
  <c r="Y329" i="52"/>
  <c r="Y311" i="52"/>
  <c r="Z314" i="52" a="1"/>
  <c r="Z314" i="52"/>
  <c r="Z315" i="52" a="1"/>
  <c r="Z315" i="52"/>
  <c r="Z316" i="52" a="1"/>
  <c r="Z316" i="52"/>
  <c r="Z313" i="52"/>
  <c r="Z319" i="52" a="1"/>
  <c r="Z319" i="52"/>
  <c r="Z320" i="52" a="1"/>
  <c r="Z320" i="52"/>
  <c r="Z321" i="52" a="1"/>
  <c r="Z321" i="52"/>
  <c r="Z318" i="52"/>
  <c r="Z324" i="52" a="1"/>
  <c r="Z324" i="52"/>
  <c r="Z325" i="52" a="1"/>
  <c r="Z325" i="52"/>
  <c r="Z326" i="52" a="1"/>
  <c r="Z327" i="52" a="1"/>
  <c r="Z326" i="52"/>
  <c r="Z327" i="52"/>
  <c r="Z323" i="52"/>
  <c r="Z330" i="52" a="1"/>
  <c r="Z330" i="52"/>
  <c r="Z331" i="52" a="1"/>
  <c r="Z331" i="52"/>
  <c r="Z332" i="52" a="1"/>
  <c r="Z333" i="52" a="1"/>
  <c r="Z334" i="52" a="1"/>
  <c r="AJ314" i="52" a="1"/>
  <c r="AJ314" i="52"/>
  <c r="AJ315" i="52" a="1"/>
  <c r="AJ315" i="52"/>
  <c r="AJ316" i="52" a="1"/>
  <c r="AJ316" i="52"/>
  <c r="AJ313" i="52"/>
  <c r="AJ319" i="52" a="1"/>
  <c r="AJ319" i="52"/>
  <c r="AJ320" i="52" a="1"/>
  <c r="AJ320" i="52"/>
  <c r="AJ321" i="52" a="1"/>
  <c r="AJ321" i="52"/>
  <c r="AJ318" i="52"/>
  <c r="AJ324" i="52" a="1"/>
  <c r="AJ324" i="52"/>
  <c r="AJ325" i="52" a="1"/>
  <c r="AJ325" i="52"/>
  <c r="AJ326" i="52" a="1"/>
  <c r="AJ327" i="52" a="1"/>
  <c r="AJ326" i="52"/>
  <c r="AJ327" i="52"/>
  <c r="AJ323" i="52"/>
  <c r="AJ339" i="52" a="1"/>
  <c r="AJ339" i="52"/>
  <c r="AJ340" i="52" a="1"/>
  <c r="AJ340" i="52"/>
  <c r="AJ341" i="52" a="1"/>
  <c r="AJ342" i="52" a="1"/>
  <c r="AJ343" i="52" a="1"/>
  <c r="AJ344" i="52" a="1"/>
  <c r="AJ345" i="52" a="1"/>
  <c r="AJ346" i="52" a="1"/>
  <c r="AJ347" i="52" a="1"/>
  <c r="AJ349" i="52" a="1"/>
  <c r="AJ341" i="52"/>
  <c r="AJ342" i="52"/>
  <c r="AJ343" i="52"/>
  <c r="AJ344" i="52"/>
  <c r="AJ345" i="52"/>
  <c r="AJ346" i="52"/>
  <c r="AJ347" i="52"/>
  <c r="AJ349" i="52"/>
  <c r="AJ337" i="52"/>
  <c r="AJ364" i="52"/>
  <c r="Z335" i="52" a="1"/>
  <c r="Z332" i="52"/>
  <c r="Z333" i="52"/>
  <c r="Z334" i="52"/>
  <c r="Z335" i="52"/>
  <c r="Z329" i="52"/>
  <c r="Z311" i="52"/>
  <c r="AA314" i="52" a="1"/>
  <c r="AA314" i="52"/>
  <c r="AA315" i="52" a="1"/>
  <c r="AA315" i="52"/>
  <c r="AA316" i="52" a="1"/>
  <c r="AA316" i="52"/>
  <c r="AA313" i="52"/>
  <c r="AA319" i="52" a="1"/>
  <c r="AA319" i="52"/>
  <c r="AB314" i="52" a="1"/>
  <c r="AB314" i="52"/>
  <c r="AB315" i="52" a="1"/>
  <c r="AB315" i="52"/>
  <c r="AB316" i="52" a="1"/>
  <c r="AB316" i="52"/>
  <c r="AB313" i="52"/>
  <c r="AC314" i="52" a="1"/>
  <c r="AC314" i="52"/>
  <c r="AC315" i="52" a="1"/>
  <c r="AC315" i="52"/>
  <c r="AC316" i="52" a="1"/>
  <c r="AC316" i="52"/>
  <c r="AC313" i="52"/>
  <c r="AC319" i="52" a="1"/>
  <c r="AC319" i="52"/>
  <c r="AC320" i="52" a="1"/>
  <c r="AC320" i="52"/>
  <c r="AD314" i="52" a="1"/>
  <c r="AD314" i="52"/>
  <c r="AD315" i="52" a="1"/>
  <c r="AD315" i="52"/>
  <c r="AD316" i="52" a="1"/>
  <c r="AD316" i="52"/>
  <c r="AD313" i="52"/>
  <c r="AD319" i="52" a="1"/>
  <c r="AD319" i="52"/>
  <c r="AD320" i="52" a="1"/>
  <c r="AD320" i="52"/>
  <c r="AD321" i="52" a="1"/>
  <c r="AD321" i="52"/>
  <c r="AD318" i="52"/>
  <c r="AD324" i="52" a="1"/>
  <c r="AD324" i="52"/>
  <c r="AD325" i="52" a="1"/>
  <c r="AD325" i="52"/>
  <c r="AD326" i="52" a="1"/>
  <c r="AD327" i="52" a="1"/>
  <c r="AD326" i="52"/>
  <c r="AD327" i="52"/>
  <c r="AD323" i="52"/>
  <c r="AD330" i="52" a="1"/>
  <c r="AD330" i="52"/>
  <c r="AD331" i="52" a="1"/>
  <c r="AD331" i="52"/>
  <c r="AD332" i="52" a="1"/>
  <c r="AD333" i="52" a="1"/>
  <c r="AD334" i="52" a="1"/>
  <c r="AD335" i="52" a="1"/>
  <c r="AD332" i="52"/>
  <c r="AD333" i="52"/>
  <c r="AD334" i="52"/>
  <c r="AD335" i="52"/>
  <c r="AD329" i="52"/>
  <c r="AD311" i="52"/>
  <c r="AE314" i="52" a="1"/>
  <c r="AE314" i="52"/>
  <c r="AE315" i="52" a="1"/>
  <c r="AE315" i="52"/>
  <c r="AE316" i="52" a="1"/>
  <c r="AE316" i="52"/>
  <c r="AE313" i="52"/>
  <c r="AE319" i="52" a="1"/>
  <c r="AE319" i="52"/>
  <c r="AE320" i="52" a="1"/>
  <c r="AE320" i="52"/>
  <c r="AE321" i="52" a="1"/>
  <c r="AE321" i="52"/>
  <c r="AE318" i="52"/>
  <c r="AE324" i="52" a="1"/>
  <c r="AE324" i="52"/>
  <c r="AE325" i="52" a="1"/>
  <c r="AE325" i="52"/>
  <c r="AE326" i="52" a="1"/>
  <c r="AE327" i="52" a="1"/>
  <c r="AE326" i="52"/>
  <c r="AE327" i="52"/>
  <c r="AE323" i="52"/>
  <c r="AE330" i="52" a="1"/>
  <c r="AE330" i="52"/>
  <c r="AE331" i="52" a="1"/>
  <c r="AE331" i="52"/>
  <c r="AE332" i="52" a="1"/>
  <c r="AE333" i="52" a="1"/>
  <c r="AE334" i="52" a="1"/>
  <c r="AE335" i="52" a="1"/>
  <c r="AE332" i="52"/>
  <c r="AE333" i="52"/>
  <c r="AE334" i="52"/>
  <c r="AE335" i="52"/>
  <c r="AE329" i="52"/>
  <c r="AE311" i="52"/>
  <c r="AF314" i="52" a="1"/>
  <c r="AF314" i="52"/>
  <c r="AF315" i="52" a="1"/>
  <c r="AF315" i="52"/>
  <c r="AF316" i="52" a="1"/>
  <c r="AF316" i="52"/>
  <c r="AF313" i="52"/>
  <c r="AF319" i="52" a="1"/>
  <c r="AF319" i="52"/>
  <c r="AF320" i="52" a="1"/>
  <c r="AF320" i="52"/>
  <c r="AF321" i="52" a="1"/>
  <c r="AF321" i="52"/>
  <c r="AF318" i="52"/>
  <c r="AF324" i="52" a="1"/>
  <c r="AF324" i="52"/>
  <c r="AF325" i="52" a="1"/>
  <c r="AF325" i="52"/>
  <c r="AF326" i="52" a="1"/>
  <c r="AF327" i="52" a="1"/>
  <c r="AF326" i="52"/>
  <c r="AF327" i="52"/>
  <c r="AF323" i="52"/>
  <c r="AF330" i="52" a="1"/>
  <c r="AF330" i="52"/>
  <c r="AF331" i="52" a="1"/>
  <c r="AF331" i="52"/>
  <c r="AF332" i="52" a="1"/>
  <c r="AF333" i="52" a="1"/>
  <c r="AF334" i="52" a="1"/>
  <c r="AF335" i="52" a="1"/>
  <c r="AF332" i="52"/>
  <c r="AF333" i="52"/>
  <c r="AF334" i="52"/>
  <c r="AF335" i="52"/>
  <c r="AF329" i="52"/>
  <c r="AF311" i="52"/>
  <c r="AG314" i="52" a="1"/>
  <c r="AG314" i="52"/>
  <c r="AG315" i="52" a="1"/>
  <c r="AG315" i="52"/>
  <c r="AG316" i="52" a="1"/>
  <c r="AG316" i="52"/>
  <c r="AG313" i="52"/>
  <c r="AG319" i="52" a="1"/>
  <c r="AG319" i="52"/>
  <c r="AG320" i="52" a="1"/>
  <c r="AG320" i="52"/>
  <c r="AG321" i="52" a="1"/>
  <c r="AG321" i="52"/>
  <c r="AG318" i="52"/>
  <c r="AG324" i="52" a="1"/>
  <c r="AG324" i="52"/>
  <c r="AG325" i="52" a="1"/>
  <c r="AG325" i="52"/>
  <c r="AG326" i="52" a="1"/>
  <c r="AG327" i="52" a="1"/>
  <c r="AG326" i="52"/>
  <c r="AG327" i="52"/>
  <c r="AG323" i="52"/>
  <c r="AG330" i="52" a="1"/>
  <c r="AG330" i="52"/>
  <c r="AG331" i="52" a="1"/>
  <c r="AG331" i="52"/>
  <c r="AG332" i="52" a="1"/>
  <c r="AG333" i="52" a="1"/>
  <c r="AG334" i="52" a="1"/>
  <c r="AG335" i="52" a="1"/>
  <c r="AG332" i="52"/>
  <c r="AG333" i="52"/>
  <c r="AG334" i="52"/>
  <c r="AG335" i="52"/>
  <c r="AG329" i="52"/>
  <c r="AG311" i="52"/>
  <c r="AH330" i="52" a="1"/>
  <c r="AH330" i="52"/>
  <c r="AH331" i="52" a="1"/>
  <c r="AH331" i="52"/>
  <c r="AH332" i="52" a="1"/>
  <c r="AH333" i="52" a="1"/>
  <c r="AH334" i="52" a="1"/>
  <c r="AH335" i="52" a="1"/>
  <c r="AH332" i="52"/>
  <c r="AH333" i="52"/>
  <c r="AH334" i="52"/>
  <c r="AH335" i="52"/>
  <c r="AH329" i="52"/>
  <c r="AH311" i="52"/>
  <c r="AI330" i="52" a="1"/>
  <c r="AI330" i="52"/>
  <c r="AI331" i="52" a="1"/>
  <c r="AI331" i="52"/>
  <c r="AI332" i="52" a="1"/>
  <c r="AI333" i="52" a="1"/>
  <c r="AI334" i="52" a="1"/>
  <c r="AI335" i="52" a="1"/>
  <c r="AI332" i="52"/>
  <c r="AI333" i="52"/>
  <c r="AI334" i="52"/>
  <c r="AI335" i="52"/>
  <c r="AI329" i="52"/>
  <c r="AI311" i="52"/>
  <c r="AJ330" i="52" a="1"/>
  <c r="AJ330" i="52"/>
  <c r="AJ331" i="52" a="1"/>
  <c r="AJ331" i="52"/>
  <c r="AJ332" i="52" a="1"/>
  <c r="AJ333" i="52" a="1"/>
  <c r="AJ334" i="52" a="1"/>
  <c r="AJ335" i="52" a="1"/>
  <c r="AJ332" i="52"/>
  <c r="AJ333" i="52"/>
  <c r="AJ334" i="52"/>
  <c r="AJ335" i="52"/>
  <c r="AJ329" i="52"/>
  <c r="AJ311" i="52"/>
  <c r="AK314" i="52" a="1"/>
  <c r="AK314" i="52"/>
  <c r="AK315" i="52" a="1"/>
  <c r="AK315" i="52"/>
  <c r="AK316" i="52" a="1"/>
  <c r="AK316" i="52"/>
  <c r="AK313" i="52"/>
  <c r="AK319" i="52" a="1"/>
  <c r="AK319" i="52"/>
  <c r="AK320" i="52" a="1"/>
  <c r="AK320" i="52"/>
  <c r="AK321" i="52" a="1"/>
  <c r="AK321" i="52"/>
  <c r="AK318" i="52"/>
  <c r="AK324" i="52" a="1"/>
  <c r="AK324" i="52"/>
  <c r="AK325" i="52" a="1"/>
  <c r="AK325" i="52"/>
  <c r="AK326" i="52" a="1"/>
  <c r="AK327" i="52" a="1"/>
  <c r="AK326" i="52"/>
  <c r="AK327" i="52"/>
  <c r="AK323" i="52"/>
  <c r="AK330" i="52" a="1"/>
  <c r="AK330" i="52"/>
  <c r="AK331" i="52" a="1"/>
  <c r="AK331" i="52"/>
  <c r="AK332" i="52" a="1"/>
  <c r="AK333" i="52" a="1"/>
  <c r="AK334" i="52" a="1"/>
  <c r="AK335" i="52" a="1"/>
  <c r="AK332" i="52"/>
  <c r="AK333" i="52"/>
  <c r="AK334" i="52"/>
  <c r="AK335" i="52"/>
  <c r="AK329" i="52"/>
  <c r="AK311" i="52"/>
  <c r="AL314" i="52" a="1"/>
  <c r="AL314" i="52"/>
  <c r="AL315" i="52" a="1"/>
  <c r="AL315" i="52"/>
  <c r="AL316" i="52" a="1"/>
  <c r="AL316" i="52"/>
  <c r="AL313" i="52"/>
  <c r="AL319" i="52" a="1"/>
  <c r="AL319" i="52"/>
  <c r="AL320" i="52" a="1"/>
  <c r="AL320" i="52"/>
  <c r="AL321" i="52" a="1"/>
  <c r="AL321" i="52"/>
  <c r="AL318" i="52"/>
  <c r="AL324" i="52" a="1"/>
  <c r="AL324" i="52"/>
  <c r="AL325" i="52" a="1"/>
  <c r="AL325" i="52"/>
  <c r="AL326" i="52" a="1"/>
  <c r="AL327" i="52" a="1"/>
  <c r="AL326" i="52"/>
  <c r="AL327" i="52"/>
  <c r="AL323" i="52"/>
  <c r="AL330" i="52" a="1"/>
  <c r="AL330" i="52"/>
  <c r="AL331" i="52" a="1"/>
  <c r="AL331" i="52"/>
  <c r="AL332" i="52" a="1"/>
  <c r="AL333" i="52" a="1"/>
  <c r="AL334" i="52" a="1"/>
  <c r="AL335" i="52" a="1"/>
  <c r="AL332" i="52"/>
  <c r="AL333" i="52"/>
  <c r="AL334" i="52"/>
  <c r="AL335" i="52"/>
  <c r="AL329" i="52"/>
  <c r="AL311" i="52"/>
  <c r="AM314" i="52" a="1"/>
  <c r="AM314" i="52"/>
  <c r="AM315" i="52" a="1"/>
  <c r="AM315" i="52"/>
  <c r="AM316" i="52" a="1"/>
  <c r="AM316" i="52"/>
  <c r="AM313" i="52"/>
  <c r="AM319" i="52" a="1"/>
  <c r="AM319" i="52"/>
  <c r="AM320" i="52" a="1"/>
  <c r="AM320" i="52"/>
  <c r="AM321" i="52" a="1"/>
  <c r="AM321" i="52"/>
  <c r="AM318" i="52"/>
  <c r="AM324" i="52" a="1"/>
  <c r="AM324" i="52"/>
  <c r="AM325" i="52" a="1"/>
  <c r="AM325" i="52"/>
  <c r="AM326" i="52" a="1"/>
  <c r="AM327" i="52" a="1"/>
  <c r="AM326" i="52"/>
  <c r="AM327" i="52"/>
  <c r="AM323" i="52"/>
  <c r="AM330" i="52" a="1"/>
  <c r="AM330" i="52"/>
  <c r="AM331" i="52" a="1"/>
  <c r="AM331" i="52"/>
  <c r="AM332" i="52" a="1"/>
  <c r="AM333" i="52" a="1"/>
  <c r="AM334" i="52" a="1"/>
  <c r="AM335" i="52" a="1"/>
  <c r="AM332" i="52"/>
  <c r="AM333" i="52"/>
  <c r="AM334" i="52"/>
  <c r="AM335" i="52"/>
  <c r="AM329" i="52"/>
  <c r="AM311" i="52"/>
  <c r="AN314" i="52" a="1"/>
  <c r="AN314" i="52"/>
  <c r="AN315" i="52" a="1"/>
  <c r="AN315" i="52"/>
  <c r="AN316" i="52" a="1"/>
  <c r="AN316" i="52"/>
  <c r="AN313" i="52"/>
  <c r="AN319" i="52" a="1"/>
  <c r="AN319" i="52"/>
  <c r="AN320" i="52" a="1"/>
  <c r="AN320" i="52"/>
  <c r="AN321" i="52" a="1"/>
  <c r="AN321" i="52"/>
  <c r="AN318" i="52"/>
  <c r="AN324" i="52" a="1"/>
  <c r="AN324" i="52"/>
  <c r="AN325" i="52" a="1"/>
  <c r="AN325" i="52"/>
  <c r="AN326" i="52" a="1"/>
  <c r="AN327" i="52" a="1"/>
  <c r="AN326" i="52"/>
  <c r="AN327" i="52"/>
  <c r="AN323" i="52"/>
  <c r="AN330" i="52" a="1"/>
  <c r="AN330" i="52"/>
  <c r="AN331" i="52" a="1"/>
  <c r="AN331" i="52"/>
  <c r="AN332" i="52" a="1"/>
  <c r="AN333" i="52" a="1"/>
  <c r="AN334" i="52" a="1"/>
  <c r="AN335" i="52" a="1"/>
  <c r="AN332" i="52"/>
  <c r="AN333" i="52"/>
  <c r="AN334" i="52"/>
  <c r="AN335" i="52"/>
  <c r="AN329" i="52"/>
  <c r="AN311" i="52"/>
  <c r="AO314" i="52"/>
  <c r="AO315" i="52"/>
  <c r="AO316" i="52"/>
  <c r="AO313" i="52"/>
  <c r="AT314" i="52" a="1"/>
  <c r="AT314" i="52"/>
  <c r="AT315" i="52" a="1"/>
  <c r="AT315" i="52"/>
  <c r="AT316" i="52" a="1"/>
  <c r="AT316" i="52"/>
  <c r="AT313" i="52"/>
  <c r="AT319" i="52" a="1"/>
  <c r="AT319" i="52"/>
  <c r="AT320" i="52" a="1"/>
  <c r="AT320" i="52"/>
  <c r="AT321" i="52" a="1"/>
  <c r="AT321" i="52"/>
  <c r="AT318" i="52"/>
  <c r="AT324" i="52" a="1"/>
  <c r="AT324" i="52"/>
  <c r="AT325" i="52" a="1"/>
  <c r="AT325" i="52"/>
  <c r="AT326" i="52" a="1"/>
  <c r="AT327" i="52" a="1"/>
  <c r="AT326" i="52"/>
  <c r="AT327" i="52"/>
  <c r="AT323" i="52"/>
  <c r="AT330" i="52" a="1"/>
  <c r="AT330" i="52"/>
  <c r="AT331" i="52" a="1"/>
  <c r="AT331" i="52"/>
  <c r="AT332" i="52" a="1"/>
  <c r="AT333" i="52" a="1"/>
  <c r="AT334" i="52" a="1"/>
  <c r="AT335" i="52" a="1"/>
  <c r="AT332" i="52"/>
  <c r="AT333" i="52"/>
  <c r="AT334" i="52"/>
  <c r="AT335" i="52"/>
  <c r="AT329" i="52"/>
  <c r="AT311" i="52"/>
  <c r="AU314" i="52" a="1"/>
  <c r="AU314" i="52"/>
  <c r="AU315" i="52" a="1"/>
  <c r="AU315" i="52"/>
  <c r="AU316" i="52" a="1"/>
  <c r="AU316" i="52"/>
  <c r="AU313" i="52"/>
  <c r="AU319" i="52" a="1"/>
  <c r="AU319" i="52"/>
  <c r="AU320" i="52" a="1"/>
  <c r="AU320" i="52"/>
  <c r="AU321" i="52" a="1"/>
  <c r="AU321" i="52"/>
  <c r="AU318" i="52"/>
  <c r="AU324" i="52" a="1"/>
  <c r="AU324" i="52"/>
  <c r="AU325" i="52" a="1"/>
  <c r="AU325" i="52"/>
  <c r="AU326" i="52" a="1"/>
  <c r="AU327" i="52" a="1"/>
  <c r="AU326" i="52"/>
  <c r="AU327" i="52"/>
  <c r="AU323" i="52"/>
  <c r="AU330" i="52" a="1"/>
  <c r="AU330" i="52"/>
  <c r="AU331" i="52" a="1"/>
  <c r="AU331" i="52"/>
  <c r="AU332" i="52" a="1"/>
  <c r="AU333" i="52" a="1"/>
  <c r="AU334" i="52" a="1"/>
  <c r="AU335" i="52" a="1"/>
  <c r="AU332" i="52"/>
  <c r="AU333" i="52"/>
  <c r="AU334" i="52"/>
  <c r="AU335" i="52"/>
  <c r="AU329" i="52"/>
  <c r="AU311" i="52"/>
  <c r="AV314" i="52" a="1"/>
  <c r="AV314" i="52"/>
  <c r="AV315" i="52" a="1"/>
  <c r="AV315" i="52"/>
  <c r="AV316" i="52" a="1"/>
  <c r="AV316" i="52"/>
  <c r="AV313" i="52"/>
  <c r="AV319" i="52" a="1"/>
  <c r="AV319" i="52"/>
  <c r="AV320" i="52" a="1"/>
  <c r="AV320" i="52"/>
  <c r="AV321" i="52" a="1"/>
  <c r="AV321" i="52"/>
  <c r="AV318" i="52"/>
  <c r="AV324" i="52" a="1"/>
  <c r="AV324" i="52"/>
  <c r="AV325" i="52" a="1"/>
  <c r="AV325" i="52"/>
  <c r="AV326" i="52" a="1"/>
  <c r="AV327" i="52" a="1"/>
  <c r="AV326" i="52"/>
  <c r="AV327" i="52"/>
  <c r="AV323" i="52"/>
  <c r="AV330" i="52" a="1"/>
  <c r="AV330" i="52"/>
  <c r="AV331" i="52" a="1"/>
  <c r="AV331" i="52"/>
  <c r="AV332" i="52" a="1"/>
  <c r="AV333" i="52" a="1"/>
  <c r="AV334" i="52" a="1"/>
  <c r="AV335" i="52" a="1"/>
  <c r="AV332" i="52"/>
  <c r="AV333" i="52"/>
  <c r="AV334" i="52"/>
  <c r="AV335" i="52"/>
  <c r="AV329" i="52"/>
  <c r="AV311" i="52"/>
  <c r="AW314" i="52" a="1"/>
  <c r="AW314" i="52"/>
  <c r="AW315" i="52" a="1"/>
  <c r="AW315" i="52"/>
  <c r="AW316" i="52" a="1"/>
  <c r="AW316" i="52"/>
  <c r="AW313" i="52"/>
  <c r="AW319" i="52" a="1"/>
  <c r="AW319" i="52"/>
  <c r="AW320" i="52" a="1"/>
  <c r="AW320" i="52"/>
  <c r="AW321" i="52" a="1"/>
  <c r="AW321" i="52"/>
  <c r="AW318" i="52"/>
  <c r="AW324" i="52" a="1"/>
  <c r="AW324" i="52"/>
  <c r="AW325" i="52" a="1"/>
  <c r="AW325" i="52"/>
  <c r="AW326" i="52" a="1"/>
  <c r="AW327" i="52" a="1"/>
  <c r="AW326" i="52"/>
  <c r="AW327" i="52"/>
  <c r="AW323" i="52"/>
  <c r="AW330" i="52" a="1"/>
  <c r="AW330" i="52"/>
  <c r="AW331" i="52" a="1"/>
  <c r="AW331" i="52"/>
  <c r="AW332" i="52" a="1"/>
  <c r="AW333" i="52" a="1"/>
  <c r="AW334" i="52" a="1"/>
  <c r="AW335" i="52" a="1"/>
  <c r="AW332" i="52"/>
  <c r="AW333" i="52"/>
  <c r="AW334" i="52"/>
  <c r="AW335" i="52"/>
  <c r="AW329" i="52"/>
  <c r="AW311" i="52"/>
  <c r="AX314" i="52" a="1"/>
  <c r="AX314" i="52"/>
  <c r="AX315" i="52" a="1"/>
  <c r="AX315" i="52"/>
  <c r="AX316" i="52" a="1"/>
  <c r="AX316" i="52"/>
  <c r="AX313" i="52"/>
  <c r="AX319" i="52" a="1"/>
  <c r="AX319" i="52"/>
  <c r="AX320" i="52" a="1"/>
  <c r="AX320" i="52"/>
  <c r="AX321" i="52" a="1"/>
  <c r="AX321" i="52"/>
  <c r="AX318" i="52"/>
  <c r="AX324" i="52" a="1"/>
  <c r="AX324" i="52"/>
  <c r="AX325" i="52" a="1"/>
  <c r="AX325" i="52"/>
  <c r="AX326" i="52" a="1"/>
  <c r="AX327" i="52" a="1"/>
  <c r="AX326" i="52"/>
  <c r="AX327" i="52"/>
  <c r="AX323" i="52"/>
  <c r="AX330" i="52" a="1"/>
  <c r="AX330" i="52"/>
  <c r="AX331" i="52" a="1"/>
  <c r="AX331" i="52"/>
  <c r="AX332" i="52" a="1"/>
  <c r="AX333" i="52" a="1"/>
  <c r="AX334" i="52" a="1"/>
  <c r="AX335" i="52" a="1"/>
  <c r="AX332" i="52"/>
  <c r="AX333" i="52"/>
  <c r="AX334" i="52"/>
  <c r="AX335" i="52"/>
  <c r="AX329" i="52"/>
  <c r="AX311" i="52"/>
  <c r="AY314" i="52" a="1"/>
  <c r="AY314" i="52"/>
  <c r="AY315" i="52" a="1"/>
  <c r="AY315" i="52"/>
  <c r="AY316" i="52" a="1"/>
  <c r="AY316" i="52"/>
  <c r="AY313" i="52"/>
  <c r="AY319" i="52" a="1"/>
  <c r="AY319" i="52"/>
  <c r="AY320" i="52" a="1"/>
  <c r="AY320" i="52"/>
  <c r="AY321" i="52" a="1"/>
  <c r="AY321" i="52"/>
  <c r="AY318" i="52"/>
  <c r="AY324" i="52" a="1"/>
  <c r="AY324" i="52"/>
  <c r="AY325" i="52" a="1"/>
  <c r="AY325" i="52"/>
  <c r="AY326" i="52" a="1"/>
  <c r="AY327" i="52" a="1"/>
  <c r="AY326" i="52"/>
  <c r="AY327" i="52"/>
  <c r="AY323" i="52"/>
  <c r="AY330" i="52" a="1"/>
  <c r="AY330" i="52"/>
  <c r="AY331" i="52" a="1"/>
  <c r="AY331" i="52"/>
  <c r="AY332" i="52" a="1"/>
  <c r="AY333" i="52" a="1"/>
  <c r="AY334" i="52" a="1"/>
  <c r="AY335" i="52" a="1"/>
  <c r="AY332" i="52"/>
  <c r="AY333" i="52"/>
  <c r="AY334" i="52"/>
  <c r="AY335" i="52"/>
  <c r="AY329" i="52"/>
  <c r="AY311" i="52"/>
  <c r="AZ314" i="52" a="1"/>
  <c r="AZ314" i="52"/>
  <c r="AZ315" i="52" a="1"/>
  <c r="AZ315" i="52"/>
  <c r="AZ316" i="52" a="1"/>
  <c r="AZ316" i="52"/>
  <c r="AZ313" i="52"/>
  <c r="AZ319" i="52" a="1"/>
  <c r="AZ319" i="52"/>
  <c r="AZ320" i="52" a="1"/>
  <c r="AZ320" i="52"/>
  <c r="AZ321" i="52" a="1"/>
  <c r="AZ321" i="52"/>
  <c r="AZ318" i="52"/>
  <c r="AZ324" i="52" a="1"/>
  <c r="AZ324" i="52"/>
  <c r="AZ325" i="52" a="1"/>
  <c r="AZ325" i="52"/>
  <c r="AZ326" i="52" a="1"/>
  <c r="AZ327" i="52" a="1"/>
  <c r="AZ326" i="52"/>
  <c r="AZ327" i="52"/>
  <c r="AZ323" i="52"/>
  <c r="AZ330" i="52" a="1"/>
  <c r="AZ330" i="52"/>
  <c r="AZ331" i="52" a="1"/>
  <c r="AZ331" i="52"/>
  <c r="AZ332" i="52" a="1"/>
  <c r="AZ333" i="52" a="1"/>
  <c r="AZ334" i="52" a="1"/>
  <c r="AZ335" i="52" a="1"/>
  <c r="AZ332" i="52"/>
  <c r="AZ333" i="52"/>
  <c r="AZ334" i="52"/>
  <c r="AZ335" i="52"/>
  <c r="AZ329" i="52"/>
  <c r="AZ311" i="52"/>
  <c r="BA314" i="52" a="1"/>
  <c r="BA314" i="52"/>
  <c r="BA315" i="52" a="1"/>
  <c r="BA315" i="52"/>
  <c r="BA316" i="52" a="1"/>
  <c r="BA316" i="52"/>
  <c r="BA313" i="52"/>
  <c r="BA319" i="52" a="1"/>
  <c r="BA319" i="52"/>
  <c r="BA320" i="52" a="1"/>
  <c r="BA320" i="52"/>
  <c r="BA321" i="52" a="1"/>
  <c r="BA321" i="52"/>
  <c r="BA318" i="52"/>
  <c r="BA324" i="52" a="1"/>
  <c r="BA324" i="52"/>
  <c r="BA325" i="52" a="1"/>
  <c r="BA325" i="52"/>
  <c r="BA326" i="52" a="1"/>
  <c r="BA327" i="52" a="1"/>
  <c r="BA326" i="52"/>
  <c r="BA327" i="52"/>
  <c r="BA323" i="52"/>
  <c r="BA330" i="52" a="1"/>
  <c r="BA330" i="52"/>
  <c r="BA331" i="52" a="1"/>
  <c r="BA331" i="52"/>
  <c r="BA332" i="52" a="1"/>
  <c r="BA333" i="52" a="1"/>
  <c r="BA334" i="52" a="1"/>
  <c r="BA335" i="52" a="1"/>
  <c r="BA332" i="52"/>
  <c r="BA333" i="52"/>
  <c r="BA334" i="52"/>
  <c r="BA335" i="52"/>
  <c r="BA329" i="52"/>
  <c r="BA311" i="52"/>
  <c r="BB314" i="52" a="1"/>
  <c r="BB314" i="52"/>
  <c r="BB315" i="52" a="1"/>
  <c r="BB315" i="52"/>
  <c r="BB316" i="52" a="1"/>
  <c r="BB316" i="52"/>
  <c r="BB313" i="52"/>
  <c r="BB319" i="52" a="1"/>
  <c r="BB319" i="52"/>
  <c r="BB320" i="52" a="1"/>
  <c r="BB320" i="52"/>
  <c r="BB321" i="52" a="1"/>
  <c r="BB321" i="52"/>
  <c r="BB318" i="52"/>
  <c r="BB324" i="52" a="1"/>
  <c r="BB324" i="52"/>
  <c r="BB325" i="52" a="1"/>
  <c r="BB325" i="52"/>
  <c r="BB326" i="52" a="1"/>
  <c r="BB327" i="52" a="1"/>
  <c r="BB326" i="52"/>
  <c r="BB327" i="52"/>
  <c r="BB323" i="52"/>
  <c r="BB330" i="52" a="1"/>
  <c r="BB330" i="52"/>
  <c r="BB331" i="52" a="1"/>
  <c r="BB331" i="52"/>
  <c r="BB332" i="52" a="1"/>
  <c r="BB333" i="52" a="1"/>
  <c r="BB334" i="52" a="1"/>
  <c r="BB335" i="52" a="1"/>
  <c r="BB332" i="52"/>
  <c r="BB333" i="52"/>
  <c r="BB334" i="52"/>
  <c r="BB335" i="52"/>
  <c r="BB329" i="52"/>
  <c r="BB311" i="52"/>
  <c r="BC314" i="52" a="1"/>
  <c r="BC314" i="52"/>
  <c r="BC315" i="52" a="1"/>
  <c r="BC315" i="52"/>
  <c r="BC316" i="52" a="1"/>
  <c r="BC316" i="52"/>
  <c r="BC313" i="52"/>
  <c r="BC319" i="52" a="1"/>
  <c r="BC319" i="52"/>
  <c r="BC320" i="52" a="1"/>
  <c r="BC320" i="52"/>
  <c r="BC321" i="52" a="1"/>
  <c r="BC321" i="52"/>
  <c r="BC318" i="52"/>
  <c r="BC324" i="52" a="1"/>
  <c r="BC324" i="52"/>
  <c r="BC325" i="52" a="1"/>
  <c r="BC325" i="52"/>
  <c r="BC326" i="52" a="1"/>
  <c r="BC327" i="52" a="1"/>
  <c r="BC326" i="52"/>
  <c r="BC327" i="52"/>
  <c r="BC323" i="52"/>
  <c r="BC330" i="52" a="1"/>
  <c r="BC330" i="52"/>
  <c r="BC331" i="52" a="1"/>
  <c r="BC331" i="52"/>
  <c r="BC332" i="52" a="1"/>
  <c r="BC333" i="52" a="1"/>
  <c r="BC334" i="52" a="1"/>
  <c r="BC335" i="52" a="1"/>
  <c r="BC332" i="52"/>
  <c r="BC333" i="52"/>
  <c r="BC334" i="52"/>
  <c r="BC335" i="52"/>
  <c r="BC329" i="52"/>
  <c r="BC311" i="52"/>
  <c r="BD314" i="52"/>
  <c r="BD315" i="52"/>
  <c r="BD316" i="52"/>
  <c r="BD313" i="52"/>
  <c r="BF314" i="52" a="1"/>
  <c r="BF314" i="52"/>
  <c r="BF315" i="52" a="1"/>
  <c r="BF315" i="52"/>
  <c r="BF316" i="52" a="1"/>
  <c r="BF316" i="52"/>
  <c r="BF313" i="52"/>
  <c r="BG314" i="52" a="1"/>
  <c r="BG314" i="52"/>
  <c r="BG315" i="52" a="1"/>
  <c r="BG315" i="52"/>
  <c r="BG316" i="52" a="1"/>
  <c r="BG316" i="52"/>
  <c r="BG313" i="52"/>
  <c r="BG319" i="52" a="1"/>
  <c r="BG319" i="52"/>
  <c r="BG320" i="52" a="1"/>
  <c r="BG320" i="52"/>
  <c r="BG321" i="52" a="1"/>
  <c r="BG321" i="52"/>
  <c r="BG318" i="52"/>
  <c r="BH314" i="52"/>
  <c r="BH315" i="52"/>
  <c r="BH316" i="52"/>
  <c r="BH313" i="52"/>
  <c r="BI313" i="52"/>
  <c r="BI314" i="52"/>
  <c r="BI315" i="52"/>
  <c r="BI316" i="52"/>
  <c r="AB320" i="52" a="1"/>
  <c r="AR320" i="52" a="1"/>
  <c r="AA321" i="52" a="1"/>
  <c r="AB321" i="52" a="1"/>
  <c r="AA321" i="52"/>
  <c r="AB321" i="52"/>
  <c r="AQ321" i="52" a="1"/>
  <c r="AR321" i="52" a="1"/>
  <c r="AQ321" i="52"/>
  <c r="AR321" i="52"/>
  <c r="AA324" i="52" a="1"/>
  <c r="AA324" i="52"/>
  <c r="AC324" i="52" a="1"/>
  <c r="AC324" i="52"/>
  <c r="AC325" i="52" a="1"/>
  <c r="AC325" i="52"/>
  <c r="AC327" i="52" a="1"/>
  <c r="AC327" i="52"/>
  <c r="AQ324" i="52" a="1"/>
  <c r="AQ324" i="52"/>
  <c r="AQ325" i="52" a="1"/>
  <c r="AQ325" i="52"/>
  <c r="AQ326" i="52" a="1"/>
  <c r="AQ327" i="52" a="1"/>
  <c r="AQ326" i="52"/>
  <c r="AQ327" i="52"/>
  <c r="AQ323" i="52"/>
  <c r="AR324" i="52" a="1"/>
  <c r="AR324" i="52"/>
  <c r="AR325" i="52" a="1"/>
  <c r="AR325" i="52"/>
  <c r="AR326" i="52" a="1"/>
  <c r="AR327" i="52" a="1"/>
  <c r="AR326" i="52"/>
  <c r="AR327" i="52"/>
  <c r="AR323" i="52"/>
  <c r="AS324" i="52" a="1"/>
  <c r="AS324" i="52"/>
  <c r="AS325" i="52" a="1"/>
  <c r="AS325" i="52"/>
  <c r="AS326" i="52" a="1"/>
  <c r="AS327" i="52" a="1"/>
  <c r="AS326" i="52"/>
  <c r="AS327" i="52"/>
  <c r="AS323" i="52"/>
  <c r="BD324" i="52"/>
  <c r="BD325" i="52"/>
  <c r="BD326" i="52"/>
  <c r="BD327" i="52"/>
  <c r="BD323" i="52"/>
  <c r="BF324" i="52" a="1"/>
  <c r="BF324" i="52"/>
  <c r="BF325" i="52" a="1"/>
  <c r="BF325" i="52"/>
  <c r="BF326" i="52" a="1"/>
  <c r="BF327" i="52" a="1"/>
  <c r="BF326" i="52"/>
  <c r="BF327" i="52"/>
  <c r="BF323" i="52"/>
  <c r="AB325" i="52" a="1"/>
  <c r="AA326" i="52" a="1"/>
  <c r="AB326" i="52" a="1"/>
  <c r="V326" i="52"/>
  <c r="W326" i="52"/>
  <c r="AA326" i="52"/>
  <c r="AB326" i="52"/>
  <c r="AA327" i="52" a="1"/>
  <c r="AB327" i="52" a="1"/>
  <c r="V330" i="52" a="1"/>
  <c r="V330" i="52"/>
  <c r="V331" i="52" a="1"/>
  <c r="V331" i="52"/>
  <c r="V332" i="52" a="1"/>
  <c r="V333" i="52" a="1"/>
  <c r="V334" i="52" a="1"/>
  <c r="V335" i="52" a="1"/>
  <c r="V332" i="52"/>
  <c r="V333" i="52"/>
  <c r="V334" i="52"/>
  <c r="V335" i="52"/>
  <c r="V329" i="52"/>
  <c r="W330" i="52" a="1"/>
  <c r="W330" i="52"/>
  <c r="W331" i="52" a="1"/>
  <c r="W331" i="52"/>
  <c r="W332" i="52" a="1"/>
  <c r="W333" i="52" a="1"/>
  <c r="W334" i="52" a="1"/>
  <c r="W335" i="52" a="1"/>
  <c r="W332" i="52"/>
  <c r="W333" i="52"/>
  <c r="W334" i="52"/>
  <c r="W335" i="52"/>
  <c r="W329" i="52"/>
  <c r="AA330" i="52" a="1"/>
  <c r="AA330" i="52"/>
  <c r="AA331" i="52" a="1"/>
  <c r="AA331" i="52"/>
  <c r="AA332" i="52" a="1"/>
  <c r="AA333" i="52" a="1"/>
  <c r="AA334" i="52" a="1"/>
  <c r="AA335" i="52" a="1"/>
  <c r="AA332" i="52"/>
  <c r="AA333" i="52"/>
  <c r="AA334" i="52"/>
  <c r="AA335" i="52"/>
  <c r="AA329" i="52"/>
  <c r="AB330" i="52" a="1"/>
  <c r="AB330" i="52"/>
  <c r="AB331" i="52" a="1"/>
  <c r="AB331" i="52"/>
  <c r="AB332" i="52" a="1"/>
  <c r="AB333" i="52" a="1"/>
  <c r="AB334" i="52" a="1"/>
  <c r="AB335" i="52" a="1"/>
  <c r="AB332" i="52"/>
  <c r="AB333" i="52"/>
  <c r="AB334" i="52"/>
  <c r="AB335" i="52"/>
  <c r="AB329" i="52"/>
  <c r="AC330" i="52" a="1"/>
  <c r="AC330" i="52"/>
  <c r="AC331" i="52" a="1"/>
  <c r="AC331" i="52"/>
  <c r="AC332" i="52" a="1"/>
  <c r="AC333" i="52" a="1"/>
  <c r="AC334" i="52" a="1"/>
  <c r="AC335" i="52" a="1"/>
  <c r="AC332" i="52"/>
  <c r="AC333" i="52"/>
  <c r="AC334" i="52"/>
  <c r="AC335" i="52"/>
  <c r="AC329" i="52"/>
  <c r="AO330" i="52"/>
  <c r="AO331" i="52"/>
  <c r="AO332" i="52"/>
  <c r="AO333" i="52"/>
  <c r="AO334" i="52"/>
  <c r="AO335" i="52"/>
  <c r="AO329" i="52"/>
  <c r="AQ330" i="52" a="1"/>
  <c r="AQ330" i="52"/>
  <c r="AQ331" i="52" a="1"/>
  <c r="AQ331" i="52"/>
  <c r="AQ332" i="52" a="1"/>
  <c r="AQ333" i="52" a="1"/>
  <c r="AQ334" i="52" a="1"/>
  <c r="AQ335" i="52" a="1"/>
  <c r="AQ332" i="52"/>
  <c r="AQ333" i="52"/>
  <c r="AQ334" i="52"/>
  <c r="AQ335" i="52"/>
  <c r="AQ329" i="52"/>
  <c r="AR330" i="52" a="1"/>
  <c r="AR330" i="52"/>
  <c r="AR331" i="52" a="1"/>
  <c r="AR331" i="52"/>
  <c r="AR332" i="52" a="1"/>
  <c r="AR333" i="52" a="1"/>
  <c r="AR334" i="52" a="1"/>
  <c r="AR335" i="52" a="1"/>
  <c r="AR332" i="52"/>
  <c r="AR333" i="52"/>
  <c r="AR334" i="52"/>
  <c r="AR335" i="52"/>
  <c r="AR329" i="52"/>
  <c r="AS330" i="52" a="1"/>
  <c r="AS330" i="52"/>
  <c r="AS331" i="52" a="1"/>
  <c r="AS331" i="52"/>
  <c r="AS332" i="52" a="1"/>
  <c r="AS333" i="52" a="1"/>
  <c r="AS334" i="52" a="1"/>
  <c r="AS335" i="52" a="1"/>
  <c r="AS332" i="52"/>
  <c r="AS333" i="52"/>
  <c r="AS334" i="52"/>
  <c r="AS335" i="52"/>
  <c r="AS329" i="52"/>
  <c r="BD330" i="52"/>
  <c r="BD331" i="52"/>
  <c r="BD332" i="52"/>
  <c r="BD333" i="52"/>
  <c r="BD334" i="52"/>
  <c r="BD335" i="52"/>
  <c r="BD329" i="52"/>
  <c r="BF330" i="52" a="1"/>
  <c r="BF330" i="52"/>
  <c r="BF331" i="52" a="1"/>
  <c r="BF331" i="52"/>
  <c r="BF332" i="52" a="1"/>
  <c r="BF333" i="52" a="1"/>
  <c r="BF334" i="52" a="1"/>
  <c r="BF335" i="52" a="1"/>
  <c r="BF332" i="52"/>
  <c r="BF333" i="52"/>
  <c r="BF334" i="52"/>
  <c r="BF335" i="52"/>
  <c r="BF329" i="52"/>
  <c r="BG330" i="52" a="1"/>
  <c r="BG330" i="52"/>
  <c r="BG331" i="52" a="1"/>
  <c r="BG331" i="52"/>
  <c r="BG332" i="52" a="1"/>
  <c r="BG333" i="52" a="1"/>
  <c r="BG334" i="52" a="1"/>
  <c r="BG335" i="52" a="1"/>
  <c r="BG332" i="52"/>
  <c r="BG333" i="52"/>
  <c r="BG334" i="52"/>
  <c r="BG335" i="52"/>
  <c r="BG329" i="52"/>
  <c r="BH330" i="52"/>
  <c r="BH331" i="52"/>
  <c r="BH332" i="52"/>
  <c r="BH333" i="52"/>
  <c r="BH334" i="52"/>
  <c r="BH335" i="52"/>
  <c r="BH329" i="52"/>
  <c r="BI329" i="52"/>
  <c r="BI330" i="52"/>
  <c r="BI331" i="52"/>
  <c r="BI332" i="52"/>
  <c r="BI333" i="52"/>
  <c r="BI334" i="52"/>
  <c r="BI335" i="52"/>
  <c r="E339" i="52" a="1"/>
  <c r="E339" i="52"/>
  <c r="E340" i="52" a="1"/>
  <c r="E340" i="52"/>
  <c r="E341" i="52" a="1"/>
  <c r="E342" i="52" a="1"/>
  <c r="E343" i="52" a="1"/>
  <c r="E344" i="52" a="1"/>
  <c r="E345" i="52" a="1"/>
  <c r="E346" i="52" a="1"/>
  <c r="E347" i="52" a="1"/>
  <c r="E349" i="52" a="1"/>
  <c r="E341" i="52"/>
  <c r="E342" i="52"/>
  <c r="E343" i="52"/>
  <c r="E344" i="52"/>
  <c r="E345" i="52"/>
  <c r="E346" i="52"/>
  <c r="E347" i="52"/>
  <c r="E349" i="52"/>
  <c r="E337" i="52"/>
  <c r="F339" i="52" a="1"/>
  <c r="F339" i="52"/>
  <c r="F340" i="52" a="1"/>
  <c r="F340" i="52"/>
  <c r="F341" i="52" a="1"/>
  <c r="F342" i="52" a="1"/>
  <c r="F343" i="52" a="1"/>
  <c r="F344" i="52" a="1"/>
  <c r="F345" i="52" a="1"/>
  <c r="F346" i="52" a="1"/>
  <c r="F347" i="52" a="1"/>
  <c r="F349" i="52" a="1"/>
  <c r="F341" i="52"/>
  <c r="F342" i="52"/>
  <c r="F343" i="52"/>
  <c r="F344" i="52"/>
  <c r="F345" i="52"/>
  <c r="F346" i="52"/>
  <c r="F347" i="52"/>
  <c r="F349" i="52"/>
  <c r="F337" i="52"/>
  <c r="G339" i="52" a="1"/>
  <c r="G339" i="52"/>
  <c r="G340" i="52" a="1"/>
  <c r="G340" i="52"/>
  <c r="G341" i="52" a="1"/>
  <c r="G342" i="52" a="1"/>
  <c r="G343" i="52" a="1"/>
  <c r="G344" i="52" a="1"/>
  <c r="G345" i="52" a="1"/>
  <c r="G346" i="52" a="1"/>
  <c r="G347" i="52" a="1"/>
  <c r="G349" i="52" a="1"/>
  <c r="G341" i="52"/>
  <c r="G342" i="52"/>
  <c r="G343" i="52"/>
  <c r="G344" i="52"/>
  <c r="G345" i="52"/>
  <c r="G346" i="52"/>
  <c r="G347" i="52"/>
  <c r="G349" i="52"/>
  <c r="G337" i="52"/>
  <c r="H339" i="52" a="1"/>
  <c r="H339" i="52"/>
  <c r="H340" i="52" a="1"/>
  <c r="H340" i="52"/>
  <c r="H341" i="52" a="1"/>
  <c r="H342" i="52" a="1"/>
  <c r="H343" i="52" a="1"/>
  <c r="H344" i="52" a="1"/>
  <c r="H345" i="52" a="1"/>
  <c r="H346" i="52" a="1"/>
  <c r="H347" i="52" a="1"/>
  <c r="H349" i="52" a="1"/>
  <c r="H341" i="52"/>
  <c r="H342" i="52"/>
  <c r="H343" i="52"/>
  <c r="H344" i="52"/>
  <c r="H345" i="52"/>
  <c r="H346" i="52"/>
  <c r="H347" i="52"/>
  <c r="H349" i="52"/>
  <c r="H337" i="52"/>
  <c r="I339" i="52" a="1"/>
  <c r="I339" i="52"/>
  <c r="I340" i="52" a="1"/>
  <c r="I340" i="52"/>
  <c r="I341" i="52" a="1"/>
  <c r="I342" i="52" a="1"/>
  <c r="I343" i="52" a="1"/>
  <c r="I344" i="52" a="1"/>
  <c r="I345" i="52" a="1"/>
  <c r="I346" i="52" a="1"/>
  <c r="I347" i="52" a="1"/>
  <c r="I349" i="52" a="1"/>
  <c r="I341" i="52"/>
  <c r="I342" i="52"/>
  <c r="I343" i="52"/>
  <c r="I344" i="52"/>
  <c r="I345" i="52"/>
  <c r="I346" i="52"/>
  <c r="I347" i="52"/>
  <c r="I349" i="52"/>
  <c r="I337" i="52"/>
  <c r="J339" i="52" a="1"/>
  <c r="J339" i="52"/>
  <c r="J340" i="52" a="1"/>
  <c r="J340" i="52"/>
  <c r="J341" i="52" a="1"/>
  <c r="J342" i="52" a="1"/>
  <c r="J343" i="52" a="1"/>
  <c r="J344" i="52" a="1"/>
  <c r="J345" i="52" a="1"/>
  <c r="J346" i="52" a="1"/>
  <c r="J347" i="52" a="1"/>
  <c r="J349" i="52" a="1"/>
  <c r="J341" i="52"/>
  <c r="J342" i="52"/>
  <c r="J343" i="52"/>
  <c r="J344" i="52"/>
  <c r="J345" i="52"/>
  <c r="J346" i="52"/>
  <c r="J347" i="52"/>
  <c r="J349" i="52"/>
  <c r="J337" i="52"/>
  <c r="K339" i="52" a="1"/>
  <c r="K339" i="52"/>
  <c r="K340" i="52" a="1"/>
  <c r="K340" i="52"/>
  <c r="K341" i="52" a="1"/>
  <c r="K342" i="52" a="1"/>
  <c r="K343" i="52" a="1"/>
  <c r="K344" i="52" a="1"/>
  <c r="K345" i="52" a="1"/>
  <c r="K346" i="52" a="1"/>
  <c r="K347" i="52" a="1"/>
  <c r="K349" i="52" a="1"/>
  <c r="K341" i="52"/>
  <c r="K342" i="52"/>
  <c r="K343" i="52"/>
  <c r="K344" i="52"/>
  <c r="K345" i="52"/>
  <c r="K346" i="52"/>
  <c r="K347" i="52"/>
  <c r="K349" i="52"/>
  <c r="K337" i="52"/>
  <c r="L339" i="52" a="1"/>
  <c r="L339" i="52"/>
  <c r="L340" i="52" a="1"/>
  <c r="L340" i="52"/>
  <c r="L341" i="52" a="1"/>
  <c r="L342" i="52" a="1"/>
  <c r="L343" i="52" a="1"/>
  <c r="L344" i="52" a="1"/>
  <c r="L345" i="52" a="1"/>
  <c r="L346" i="52" a="1"/>
  <c r="L347" i="52" a="1"/>
  <c r="L349" i="52" a="1"/>
  <c r="L341" i="52"/>
  <c r="L342" i="52"/>
  <c r="L343" i="52"/>
  <c r="L344" i="52"/>
  <c r="L345" i="52"/>
  <c r="L346" i="52"/>
  <c r="L347" i="52"/>
  <c r="L349" i="52"/>
  <c r="L337" i="52"/>
  <c r="M339" i="52" a="1"/>
  <c r="M339" i="52"/>
  <c r="M340" i="52" a="1"/>
  <c r="M340" i="52"/>
  <c r="M341" i="52" a="1"/>
  <c r="M342" i="52" a="1"/>
  <c r="M343" i="52" a="1"/>
  <c r="M344" i="52" a="1"/>
  <c r="M345" i="52" a="1"/>
  <c r="M346" i="52" a="1"/>
  <c r="M347" i="52" a="1"/>
  <c r="M349" i="52" a="1"/>
  <c r="M341" i="52"/>
  <c r="M342" i="52"/>
  <c r="M343" i="52"/>
  <c r="M344" i="52"/>
  <c r="M345" i="52"/>
  <c r="M346" i="52"/>
  <c r="M347" i="52"/>
  <c r="M349" i="52"/>
  <c r="M337" i="52"/>
  <c r="N339" i="52" a="1"/>
  <c r="N339" i="52"/>
  <c r="N340" i="52" a="1"/>
  <c r="N340" i="52"/>
  <c r="N341" i="52" a="1"/>
  <c r="N342" i="52" a="1"/>
  <c r="N343" i="52" a="1"/>
  <c r="N344" i="52" a="1"/>
  <c r="N345" i="52" a="1"/>
  <c r="N346" i="52" a="1"/>
  <c r="N347" i="52" a="1"/>
  <c r="N349" i="52" a="1"/>
  <c r="N341" i="52"/>
  <c r="N342" i="52"/>
  <c r="N343" i="52"/>
  <c r="N344" i="52"/>
  <c r="N345" i="52"/>
  <c r="N346" i="52"/>
  <c r="N347" i="52"/>
  <c r="N349" i="52"/>
  <c r="N337" i="52"/>
  <c r="O339" i="52" a="1"/>
  <c r="O339" i="52"/>
  <c r="O340" i="52" a="1"/>
  <c r="O340" i="52"/>
  <c r="O341" i="52" a="1"/>
  <c r="O342" i="52" a="1"/>
  <c r="O343" i="52" a="1"/>
  <c r="O344" i="52" a="1"/>
  <c r="O345" i="52" a="1"/>
  <c r="O346" i="52" a="1"/>
  <c r="O347" i="52" a="1"/>
  <c r="O349" i="52" a="1"/>
  <c r="O341" i="52"/>
  <c r="O342" i="52"/>
  <c r="O343" i="52"/>
  <c r="O344" i="52"/>
  <c r="O345" i="52"/>
  <c r="O346" i="52"/>
  <c r="O347" i="52"/>
  <c r="O349" i="52"/>
  <c r="O337" i="52"/>
  <c r="P339" i="52" a="1"/>
  <c r="P339" i="52"/>
  <c r="P340" i="52" a="1"/>
  <c r="P340" i="52"/>
  <c r="P341" i="52" a="1"/>
  <c r="P342" i="52" a="1"/>
  <c r="P343" i="52" a="1"/>
  <c r="P344" i="52" a="1"/>
  <c r="P345" i="52" a="1"/>
  <c r="P346" i="52" a="1"/>
  <c r="P347" i="52" a="1"/>
  <c r="P349" i="52" a="1"/>
  <c r="P341" i="52"/>
  <c r="P342" i="52"/>
  <c r="P343" i="52"/>
  <c r="P344" i="52"/>
  <c r="P345" i="52"/>
  <c r="P346" i="52"/>
  <c r="P347" i="52"/>
  <c r="P349" i="52"/>
  <c r="P337" i="52"/>
  <c r="Q339" i="52" a="1"/>
  <c r="Q339" i="52"/>
  <c r="Q340" i="52" a="1"/>
  <c r="Q340" i="52"/>
  <c r="Q341" i="52" a="1"/>
  <c r="Q342" i="52" a="1"/>
  <c r="Q343" i="52" a="1"/>
  <c r="Q344" i="52" a="1"/>
  <c r="Q345" i="52" a="1"/>
  <c r="Q346" i="52" a="1"/>
  <c r="Q347" i="52" a="1"/>
  <c r="Q349" i="52" a="1"/>
  <c r="Q341" i="52"/>
  <c r="Q342" i="52"/>
  <c r="Q343" i="52"/>
  <c r="Q344" i="52"/>
  <c r="Q345" i="52"/>
  <c r="Q346" i="52"/>
  <c r="Q347" i="52"/>
  <c r="Q349" i="52"/>
  <c r="Q337" i="52"/>
  <c r="R339" i="52" a="1"/>
  <c r="R339" i="52"/>
  <c r="R340" i="52" a="1"/>
  <c r="R340" i="52"/>
  <c r="R341" i="52" a="1"/>
  <c r="R342" i="52" a="1"/>
  <c r="R343" i="52" a="1"/>
  <c r="R344" i="52" a="1"/>
  <c r="R345" i="52" a="1"/>
  <c r="R346" i="52" a="1"/>
  <c r="R347" i="52" a="1"/>
  <c r="R349" i="52" a="1"/>
  <c r="R341" i="52"/>
  <c r="R342" i="52"/>
  <c r="R343" i="52"/>
  <c r="R344" i="52"/>
  <c r="R345" i="52"/>
  <c r="R346" i="52"/>
  <c r="R347" i="52"/>
  <c r="R349" i="52"/>
  <c r="R337" i="52"/>
  <c r="S339" i="52" a="1"/>
  <c r="S339" i="52"/>
  <c r="S340" i="52" a="1"/>
  <c r="S340" i="52"/>
  <c r="S341" i="52" a="1"/>
  <c r="S342" i="52" a="1"/>
  <c r="S343" i="52" a="1"/>
  <c r="S344" i="52" a="1"/>
  <c r="S345" i="52" a="1"/>
  <c r="S346" i="52" a="1"/>
  <c r="S347" i="52" a="1"/>
  <c r="S349" i="52" a="1"/>
  <c r="S341" i="52"/>
  <c r="S342" i="52"/>
  <c r="S343" i="52"/>
  <c r="S344" i="52"/>
  <c r="S345" i="52"/>
  <c r="S346" i="52"/>
  <c r="S347" i="52"/>
  <c r="S349" i="52"/>
  <c r="S337" i="52"/>
  <c r="T339" i="52"/>
  <c r="T340" i="52"/>
  <c r="T341" i="52"/>
  <c r="T342" i="52"/>
  <c r="T343" i="52"/>
  <c r="T344" i="52"/>
  <c r="T345" i="52"/>
  <c r="T346" i="52"/>
  <c r="T347" i="52"/>
  <c r="T349" i="52"/>
  <c r="T337" i="52"/>
  <c r="V339" i="52" a="1"/>
  <c r="V339" i="52"/>
  <c r="V340" i="52" a="1"/>
  <c r="V340" i="52"/>
  <c r="V341" i="52" a="1"/>
  <c r="V342" i="52" a="1"/>
  <c r="V343" i="52" a="1"/>
  <c r="V344" i="52" a="1"/>
  <c r="V345" i="52" a="1"/>
  <c r="V346" i="52" a="1"/>
  <c r="V347" i="52" a="1"/>
  <c r="V349" i="52" a="1"/>
  <c r="V341" i="52"/>
  <c r="V342" i="52"/>
  <c r="V343" i="52"/>
  <c r="V344" i="52"/>
  <c r="V345" i="52"/>
  <c r="V346" i="52"/>
  <c r="V347" i="52"/>
  <c r="V349" i="52"/>
  <c r="V337" i="52"/>
  <c r="W339" i="52" a="1"/>
  <c r="W339" i="52"/>
  <c r="W340" i="52" a="1"/>
  <c r="W340" i="52"/>
  <c r="W341" i="52" a="1"/>
  <c r="W342" i="52" a="1"/>
  <c r="W343" i="52" a="1"/>
  <c r="W344" i="52" a="1"/>
  <c r="W345" i="52" a="1"/>
  <c r="W346" i="52" a="1"/>
  <c r="W347" i="52" a="1"/>
  <c r="W349" i="52" a="1"/>
  <c r="W341" i="52"/>
  <c r="W342" i="52"/>
  <c r="W343" i="52"/>
  <c r="W344" i="52"/>
  <c r="W345" i="52"/>
  <c r="W346" i="52"/>
  <c r="W347" i="52"/>
  <c r="W349" i="52"/>
  <c r="W337" i="52"/>
  <c r="X339" i="52" a="1"/>
  <c r="X339" i="52"/>
  <c r="X340" i="52" a="1"/>
  <c r="X340" i="52"/>
  <c r="X341" i="52" a="1"/>
  <c r="X342" i="52" a="1"/>
  <c r="X343" i="52" a="1"/>
  <c r="X344" i="52" a="1"/>
  <c r="X345" i="52" a="1"/>
  <c r="X346" i="52" a="1"/>
  <c r="X347" i="52" a="1"/>
  <c r="X349" i="52" a="1"/>
  <c r="X341" i="52"/>
  <c r="X342" i="52"/>
  <c r="X343" i="52"/>
  <c r="X344" i="52"/>
  <c r="X345" i="52"/>
  <c r="X346" i="52"/>
  <c r="X347" i="52"/>
  <c r="X349" i="52"/>
  <c r="X337" i="52"/>
  <c r="Y339" i="52" a="1"/>
  <c r="Y339" i="52"/>
  <c r="Y340" i="52" a="1"/>
  <c r="Y340" i="52"/>
  <c r="Y341" i="52" a="1"/>
  <c r="Y342" i="52" a="1"/>
  <c r="Y343" i="52" a="1"/>
  <c r="Y344" i="52" a="1"/>
  <c r="Y345" i="52" a="1"/>
  <c r="Y346" i="52" a="1"/>
  <c r="Y347" i="52" a="1"/>
  <c r="Y349" i="52" a="1"/>
  <c r="Y341" i="52"/>
  <c r="Y342" i="52"/>
  <c r="Y343" i="52"/>
  <c r="Y344" i="52"/>
  <c r="Y345" i="52"/>
  <c r="Y346" i="52"/>
  <c r="Y347" i="52"/>
  <c r="Y349" i="52"/>
  <c r="Y337" i="52"/>
  <c r="Z339" i="52" a="1"/>
  <c r="Z339" i="52"/>
  <c r="Z340" i="52" a="1"/>
  <c r="Z340" i="52"/>
  <c r="Z341" i="52" a="1"/>
  <c r="Z342" i="52" a="1"/>
  <c r="Z343" i="52" a="1"/>
  <c r="Z344" i="52" a="1"/>
  <c r="Z345" i="52" a="1"/>
  <c r="Z346" i="52" a="1"/>
  <c r="Z347" i="52" a="1"/>
  <c r="Z349" i="52" a="1"/>
  <c r="Z341" i="52"/>
  <c r="Z342" i="52"/>
  <c r="Z343" i="52"/>
  <c r="Z344" i="52"/>
  <c r="Z345" i="52"/>
  <c r="Z346" i="52"/>
  <c r="Z347" i="52"/>
  <c r="Z349" i="52"/>
  <c r="Z337" i="52"/>
  <c r="AA339" i="52" a="1"/>
  <c r="AA339" i="52"/>
  <c r="AA340" i="52" a="1"/>
  <c r="AA340" i="52"/>
  <c r="AA341" i="52" a="1"/>
  <c r="AA342" i="52" a="1"/>
  <c r="AA343" i="52" a="1"/>
  <c r="AA344" i="52" a="1"/>
  <c r="AA345" i="52" a="1"/>
  <c r="AA346" i="52" a="1"/>
  <c r="AA347" i="52" a="1"/>
  <c r="AA349" i="52" a="1"/>
  <c r="AA341" i="52"/>
  <c r="AA342" i="52"/>
  <c r="AA343" i="52"/>
  <c r="AA344" i="52"/>
  <c r="AA345" i="52"/>
  <c r="AA346" i="52"/>
  <c r="AA347" i="52"/>
  <c r="AA349" i="52"/>
  <c r="AA337" i="52"/>
  <c r="AB339" i="52" a="1"/>
  <c r="AB339" i="52"/>
  <c r="AB340" i="52" a="1"/>
  <c r="AB340" i="52"/>
  <c r="AB341" i="52" a="1"/>
  <c r="AB342" i="52" a="1"/>
  <c r="AB343" i="52" a="1"/>
  <c r="AB344" i="52" a="1"/>
  <c r="AB345" i="52" a="1"/>
  <c r="AB346" i="52" a="1"/>
  <c r="AB347" i="52" a="1"/>
  <c r="AB349" i="52" a="1"/>
  <c r="AB341" i="52"/>
  <c r="AB342" i="52"/>
  <c r="AB343" i="52"/>
  <c r="AB344" i="52"/>
  <c r="AB345" i="52"/>
  <c r="AB346" i="52"/>
  <c r="AB347" i="52"/>
  <c r="AB349" i="52"/>
  <c r="AB337" i="52"/>
  <c r="AC339" i="52" a="1"/>
  <c r="AC339" i="52"/>
  <c r="AC340" i="52" a="1"/>
  <c r="AC340" i="52"/>
  <c r="AC341" i="52" a="1"/>
  <c r="AC342" i="52" a="1"/>
  <c r="AC343" i="52" a="1"/>
  <c r="AC344" i="52" a="1"/>
  <c r="AC345" i="52" a="1"/>
  <c r="AC346" i="52" a="1"/>
  <c r="AC347" i="52" a="1"/>
  <c r="AC349" i="52" a="1"/>
  <c r="AC341" i="52"/>
  <c r="AC342" i="52"/>
  <c r="AC343" i="52"/>
  <c r="AC344" i="52"/>
  <c r="AC345" i="52"/>
  <c r="AC346" i="52"/>
  <c r="AC347" i="52"/>
  <c r="AC349" i="52"/>
  <c r="AC337" i="52"/>
  <c r="AD339" i="52" a="1"/>
  <c r="AD339" i="52"/>
  <c r="AD340" i="52" a="1"/>
  <c r="AD340" i="52"/>
  <c r="AD341" i="52" a="1"/>
  <c r="AD342" i="52" a="1"/>
  <c r="AD343" i="52" a="1"/>
  <c r="AD344" i="52" a="1"/>
  <c r="AD345" i="52" a="1"/>
  <c r="AD346" i="52" a="1"/>
  <c r="AD347" i="52" a="1"/>
  <c r="AD349" i="52" a="1"/>
  <c r="AD341" i="52"/>
  <c r="AD342" i="52"/>
  <c r="AD343" i="52"/>
  <c r="AD344" i="52"/>
  <c r="AD345" i="52"/>
  <c r="AD346" i="52"/>
  <c r="AD347" i="52"/>
  <c r="AD349" i="52"/>
  <c r="AD337" i="52"/>
  <c r="AE339" i="52" a="1"/>
  <c r="AE339" i="52"/>
  <c r="AE340" i="52" a="1"/>
  <c r="AE340" i="52"/>
  <c r="AE341" i="52" a="1"/>
  <c r="AE342" i="52" a="1"/>
  <c r="AE343" i="52" a="1"/>
  <c r="AE344" i="52" a="1"/>
  <c r="AE345" i="52" a="1"/>
  <c r="AE346" i="52" a="1"/>
  <c r="AE347" i="52" a="1"/>
  <c r="AE349" i="52" a="1"/>
  <c r="AE341" i="52"/>
  <c r="AE342" i="52"/>
  <c r="AE343" i="52"/>
  <c r="AE344" i="52"/>
  <c r="AE345" i="52"/>
  <c r="AE346" i="52"/>
  <c r="AE347" i="52"/>
  <c r="AE349" i="52"/>
  <c r="AE337" i="52"/>
  <c r="AF339" i="52" a="1"/>
  <c r="AF339" i="52"/>
  <c r="AF340" i="52" a="1"/>
  <c r="AF340" i="52"/>
  <c r="AF341" i="52" a="1"/>
  <c r="AF342" i="52" a="1"/>
  <c r="AF343" i="52" a="1"/>
  <c r="AF344" i="52" a="1"/>
  <c r="AF345" i="52" a="1"/>
  <c r="AF346" i="52" a="1"/>
  <c r="AF347" i="52" a="1"/>
  <c r="AF349" i="52" a="1"/>
  <c r="AF341" i="52"/>
  <c r="AF342" i="52"/>
  <c r="AF343" i="52"/>
  <c r="AF344" i="52"/>
  <c r="AF345" i="52"/>
  <c r="AF346" i="52"/>
  <c r="AF347" i="52"/>
  <c r="AF349" i="52"/>
  <c r="AF337" i="52"/>
  <c r="AG339" i="52" a="1"/>
  <c r="AG339" i="52"/>
  <c r="AG340" i="52" a="1"/>
  <c r="AG340" i="52"/>
  <c r="AG341" i="52" a="1"/>
  <c r="AG342" i="52" a="1"/>
  <c r="AG343" i="52" a="1"/>
  <c r="AG344" i="52" a="1"/>
  <c r="AG345" i="52" a="1"/>
  <c r="AG346" i="52" a="1"/>
  <c r="AG347" i="52" a="1"/>
  <c r="AG349" i="52" a="1"/>
  <c r="AG341" i="52"/>
  <c r="AG342" i="52"/>
  <c r="AG343" i="52"/>
  <c r="AG344" i="52"/>
  <c r="AG345" i="52"/>
  <c r="AG346" i="52"/>
  <c r="AG347" i="52"/>
  <c r="AG349" i="52"/>
  <c r="AG337" i="52"/>
  <c r="AK339" i="52" a="1"/>
  <c r="AK339" i="52"/>
  <c r="AK340" i="52" a="1"/>
  <c r="AK340" i="52"/>
  <c r="AK341" i="52" a="1"/>
  <c r="AK342" i="52" a="1"/>
  <c r="AK343" i="52" a="1"/>
  <c r="AK344" i="52" a="1"/>
  <c r="AK345" i="52" a="1"/>
  <c r="AK346" i="52" a="1"/>
  <c r="AK347" i="52" a="1"/>
  <c r="AK349" i="52" a="1"/>
  <c r="AK341" i="52"/>
  <c r="AK342" i="52"/>
  <c r="AK343" i="52"/>
  <c r="AK344" i="52"/>
  <c r="AK345" i="52"/>
  <c r="AK346" i="52"/>
  <c r="AK347" i="52"/>
  <c r="AK349" i="52"/>
  <c r="AK337" i="52"/>
  <c r="AL339" i="52" a="1"/>
  <c r="AL339" i="52"/>
  <c r="AL340" i="52" a="1"/>
  <c r="AL340" i="52"/>
  <c r="AL341" i="52" a="1"/>
  <c r="AL342" i="52" a="1"/>
  <c r="AL343" i="52" a="1"/>
  <c r="AL344" i="52" a="1"/>
  <c r="AL345" i="52" a="1"/>
  <c r="AL346" i="52" a="1"/>
  <c r="AL347" i="52" a="1"/>
  <c r="AL349" i="52" a="1"/>
  <c r="AL341" i="52"/>
  <c r="AL342" i="52"/>
  <c r="AL343" i="52"/>
  <c r="AL344" i="52"/>
  <c r="AL345" i="52"/>
  <c r="AL346" i="52"/>
  <c r="AL347" i="52"/>
  <c r="AL349" i="52"/>
  <c r="AL337" i="52"/>
  <c r="AM339" i="52" a="1"/>
  <c r="AM339" i="52"/>
  <c r="AM340" i="52" a="1"/>
  <c r="AM340" i="52"/>
  <c r="AM341" i="52" a="1"/>
  <c r="AM342" i="52" a="1"/>
  <c r="AM343" i="52" a="1"/>
  <c r="AM344" i="52" a="1"/>
  <c r="AM345" i="52" a="1"/>
  <c r="AM346" i="52" a="1"/>
  <c r="AM347" i="52" a="1"/>
  <c r="AM349" i="52" a="1"/>
  <c r="AM341" i="52"/>
  <c r="AM342" i="52"/>
  <c r="AM343" i="52"/>
  <c r="AM344" i="52"/>
  <c r="AM345" i="52"/>
  <c r="AM346" i="52"/>
  <c r="AM347" i="52"/>
  <c r="AM349" i="52"/>
  <c r="AM337" i="52"/>
  <c r="AN339" i="52" a="1"/>
  <c r="AN339" i="52"/>
  <c r="AN340" i="52" a="1"/>
  <c r="AN340" i="52"/>
  <c r="AN341" i="52" a="1"/>
  <c r="AN342" i="52" a="1"/>
  <c r="AN343" i="52" a="1"/>
  <c r="AN344" i="52" a="1"/>
  <c r="AN345" i="52" a="1"/>
  <c r="AN346" i="52" a="1"/>
  <c r="AN347" i="52" a="1"/>
  <c r="AN349" i="52" a="1"/>
  <c r="AN341" i="52"/>
  <c r="AN342" i="52"/>
  <c r="AN343" i="52"/>
  <c r="AN344" i="52"/>
  <c r="AN345" i="52"/>
  <c r="AN346" i="52"/>
  <c r="AN347" i="52"/>
  <c r="AN349" i="52"/>
  <c r="AN337" i="52"/>
  <c r="AO339" i="52"/>
  <c r="AO340" i="52"/>
  <c r="AO341" i="52"/>
  <c r="AO342" i="52"/>
  <c r="AO343" i="52"/>
  <c r="AO344" i="52"/>
  <c r="AO345" i="52"/>
  <c r="AO346" i="52"/>
  <c r="AO347" i="52"/>
  <c r="AO349" i="52"/>
  <c r="AO337" i="52"/>
  <c r="AQ339" i="52" a="1"/>
  <c r="AQ339" i="52"/>
  <c r="AQ340" i="52" a="1"/>
  <c r="AQ340" i="52"/>
  <c r="AQ341" i="52" a="1"/>
  <c r="AQ342" i="52" a="1"/>
  <c r="AQ343" i="52" a="1"/>
  <c r="AQ344" i="52" a="1"/>
  <c r="AQ345" i="52" a="1"/>
  <c r="AQ346" i="52" a="1"/>
  <c r="AQ347" i="52" a="1"/>
  <c r="AQ349" i="52" a="1"/>
  <c r="AQ341" i="52"/>
  <c r="AQ342" i="52"/>
  <c r="AQ343" i="52"/>
  <c r="AQ344" i="52"/>
  <c r="AQ345" i="52"/>
  <c r="AQ346" i="52"/>
  <c r="AQ347" i="52"/>
  <c r="AQ349" i="52"/>
  <c r="AQ337" i="52"/>
  <c r="AR339" i="52" a="1"/>
  <c r="AR339" i="52"/>
  <c r="AR340" i="52" a="1"/>
  <c r="AR340" i="52"/>
  <c r="AR341" i="52" a="1"/>
  <c r="AR342" i="52" a="1"/>
  <c r="AR343" i="52" a="1"/>
  <c r="AR344" i="52" a="1"/>
  <c r="AR345" i="52" a="1"/>
  <c r="AR346" i="52" a="1"/>
  <c r="AR347" i="52" a="1"/>
  <c r="AR349" i="52" a="1"/>
  <c r="AR341" i="52"/>
  <c r="AR342" i="52"/>
  <c r="AR343" i="52"/>
  <c r="AR344" i="52"/>
  <c r="AR345" i="52"/>
  <c r="AR346" i="52"/>
  <c r="AR347" i="52"/>
  <c r="AR349" i="52"/>
  <c r="AR337" i="52"/>
  <c r="AS339" i="52" a="1"/>
  <c r="AS339" i="52"/>
  <c r="AS340" i="52" a="1"/>
  <c r="AS340" i="52"/>
  <c r="AS341" i="52" a="1"/>
  <c r="AS342" i="52" a="1"/>
  <c r="AS343" i="52" a="1"/>
  <c r="AS344" i="52" a="1"/>
  <c r="AS345" i="52" a="1"/>
  <c r="AS346" i="52" a="1"/>
  <c r="AS347" i="52" a="1"/>
  <c r="AS349" i="52" a="1"/>
  <c r="AS341" i="52"/>
  <c r="AS342" i="52"/>
  <c r="AS343" i="52"/>
  <c r="AS344" i="52"/>
  <c r="AS345" i="52"/>
  <c r="AS346" i="52"/>
  <c r="AS347" i="52"/>
  <c r="AS349" i="52"/>
  <c r="AS337" i="52"/>
  <c r="AT339" i="52" a="1"/>
  <c r="AT339" i="52"/>
  <c r="AT340" i="52" a="1"/>
  <c r="AT340" i="52"/>
  <c r="AT341" i="52" a="1"/>
  <c r="AT342" i="52" a="1"/>
  <c r="AT343" i="52" a="1"/>
  <c r="AT344" i="52" a="1"/>
  <c r="AT345" i="52" a="1"/>
  <c r="AT346" i="52" a="1"/>
  <c r="AT347" i="52" a="1"/>
  <c r="AT349" i="52" a="1"/>
  <c r="AT341" i="52"/>
  <c r="AT342" i="52"/>
  <c r="AT343" i="52"/>
  <c r="AT344" i="52"/>
  <c r="AT345" i="52"/>
  <c r="AT346" i="52"/>
  <c r="AT347" i="52"/>
  <c r="AT349" i="52"/>
  <c r="AT337" i="52"/>
  <c r="AU339" i="52" a="1"/>
  <c r="AU339" i="52"/>
  <c r="AU340" i="52" a="1"/>
  <c r="AU340" i="52"/>
  <c r="AU341" i="52" a="1"/>
  <c r="AU342" i="52" a="1"/>
  <c r="AU343" i="52" a="1"/>
  <c r="AU344" i="52" a="1"/>
  <c r="AU345" i="52" a="1"/>
  <c r="AU346" i="52" a="1"/>
  <c r="AU347" i="52" a="1"/>
  <c r="AU349" i="52" a="1"/>
  <c r="AU341" i="52"/>
  <c r="AU342" i="52"/>
  <c r="AU343" i="52"/>
  <c r="AU344" i="52"/>
  <c r="AU345" i="52"/>
  <c r="AU346" i="52"/>
  <c r="AU347" i="52"/>
  <c r="AU349" i="52"/>
  <c r="AU337" i="52"/>
  <c r="AV339" i="52" a="1"/>
  <c r="AV339" i="52"/>
  <c r="AV340" i="52" a="1"/>
  <c r="AV340" i="52"/>
  <c r="AV341" i="52" a="1"/>
  <c r="AV342" i="52" a="1"/>
  <c r="AV343" i="52" a="1"/>
  <c r="AV344" i="52" a="1"/>
  <c r="AV345" i="52" a="1"/>
  <c r="AV346" i="52" a="1"/>
  <c r="AV347" i="52" a="1"/>
  <c r="AV349" i="52" a="1"/>
  <c r="AV341" i="52"/>
  <c r="AV342" i="52"/>
  <c r="AV343" i="52"/>
  <c r="AV344" i="52"/>
  <c r="AV345" i="52"/>
  <c r="AV346" i="52"/>
  <c r="AV347" i="52"/>
  <c r="AV349" i="52"/>
  <c r="AV337" i="52"/>
  <c r="AW339" i="52" a="1"/>
  <c r="AW339" i="52"/>
  <c r="AW340" i="52" a="1"/>
  <c r="AW340" i="52"/>
  <c r="AW341" i="52" a="1"/>
  <c r="AW342" i="52" a="1"/>
  <c r="AW343" i="52" a="1"/>
  <c r="AW344" i="52" a="1"/>
  <c r="AW345" i="52" a="1"/>
  <c r="AW346" i="52" a="1"/>
  <c r="AW347" i="52" a="1"/>
  <c r="AW349" i="52" a="1"/>
  <c r="AW341" i="52"/>
  <c r="AW342" i="52"/>
  <c r="AW343" i="52"/>
  <c r="AW344" i="52"/>
  <c r="AW345" i="52"/>
  <c r="AW346" i="52"/>
  <c r="AW347" i="52"/>
  <c r="AW349" i="52"/>
  <c r="AW337" i="52"/>
  <c r="AX339" i="52" a="1"/>
  <c r="AX339" i="52"/>
  <c r="AX340" i="52" a="1"/>
  <c r="AX340" i="52"/>
  <c r="AX341" i="52" a="1"/>
  <c r="AX342" i="52" a="1"/>
  <c r="AX343" i="52" a="1"/>
  <c r="AX344" i="52" a="1"/>
  <c r="AX345" i="52" a="1"/>
  <c r="AX346" i="52" a="1"/>
  <c r="AX347" i="52" a="1"/>
  <c r="AX349" i="52" a="1"/>
  <c r="AX341" i="52"/>
  <c r="AX342" i="52"/>
  <c r="AX343" i="52"/>
  <c r="AX344" i="52"/>
  <c r="AX345" i="52"/>
  <c r="AX346" i="52"/>
  <c r="AX347" i="52"/>
  <c r="AX349" i="52"/>
  <c r="AX337" i="52"/>
  <c r="AY339" i="52" a="1"/>
  <c r="AY339" i="52"/>
  <c r="AY340" i="52" a="1"/>
  <c r="AY340" i="52"/>
  <c r="AY341" i="52" a="1"/>
  <c r="AY342" i="52" a="1"/>
  <c r="AY343" i="52" a="1"/>
  <c r="AY344" i="52" a="1"/>
  <c r="AY345" i="52" a="1"/>
  <c r="AY346" i="52" a="1"/>
  <c r="AY347" i="52" a="1"/>
  <c r="AY349" i="52" a="1"/>
  <c r="AY341" i="52"/>
  <c r="AY342" i="52"/>
  <c r="AY343" i="52"/>
  <c r="AY344" i="52"/>
  <c r="AY345" i="52"/>
  <c r="AY346" i="52"/>
  <c r="AY347" i="52"/>
  <c r="AY349" i="52"/>
  <c r="AY337" i="52"/>
  <c r="AZ339" i="52" a="1"/>
  <c r="AZ339" i="52"/>
  <c r="AZ340" i="52" a="1"/>
  <c r="AZ340" i="52"/>
  <c r="AZ341" i="52" a="1"/>
  <c r="AZ342" i="52" a="1"/>
  <c r="AZ343" i="52" a="1"/>
  <c r="AZ344" i="52" a="1"/>
  <c r="AZ345" i="52" a="1"/>
  <c r="AZ346" i="52" a="1"/>
  <c r="AZ347" i="52" a="1"/>
  <c r="AZ349" i="52" a="1"/>
  <c r="AZ341" i="52"/>
  <c r="AZ342" i="52"/>
  <c r="AZ343" i="52"/>
  <c r="AZ344" i="52"/>
  <c r="AZ345" i="52"/>
  <c r="AZ346" i="52"/>
  <c r="AZ347" i="52"/>
  <c r="AZ349" i="52"/>
  <c r="AZ337" i="52"/>
  <c r="BA339" i="52" a="1"/>
  <c r="BA339" i="52"/>
  <c r="BA340" i="52" a="1"/>
  <c r="BA340" i="52"/>
  <c r="BA341" i="52" a="1"/>
  <c r="BA342" i="52" a="1"/>
  <c r="BA343" i="52" a="1"/>
  <c r="BA344" i="52" a="1"/>
  <c r="BA345" i="52" a="1"/>
  <c r="BA346" i="52" a="1"/>
  <c r="BA347" i="52" a="1"/>
  <c r="BA349" i="52" a="1"/>
  <c r="BA341" i="52"/>
  <c r="BA342" i="52"/>
  <c r="BA343" i="52"/>
  <c r="BA344" i="52"/>
  <c r="BA345" i="52"/>
  <c r="BA346" i="52"/>
  <c r="BA347" i="52"/>
  <c r="BA349" i="52"/>
  <c r="BA337" i="52"/>
  <c r="BB339" i="52" a="1"/>
  <c r="BB339" i="52"/>
  <c r="BB340" i="52" a="1"/>
  <c r="BB340" i="52"/>
  <c r="BB341" i="52" a="1"/>
  <c r="BB342" i="52" a="1"/>
  <c r="BB343" i="52" a="1"/>
  <c r="BB344" i="52" a="1"/>
  <c r="BB345" i="52" a="1"/>
  <c r="BB346" i="52" a="1"/>
  <c r="BB347" i="52" a="1"/>
  <c r="BB349" i="52" a="1"/>
  <c r="BB341" i="52"/>
  <c r="BB342" i="52"/>
  <c r="BB343" i="52"/>
  <c r="BB344" i="52"/>
  <c r="BB345" i="52"/>
  <c r="BB346" i="52"/>
  <c r="BB347" i="52"/>
  <c r="BB349" i="52"/>
  <c r="BB337" i="52"/>
  <c r="BC339" i="52" a="1"/>
  <c r="BC339" i="52"/>
  <c r="BC340" i="52" a="1"/>
  <c r="BC340" i="52"/>
  <c r="BC341" i="52" a="1"/>
  <c r="BC342" i="52" a="1"/>
  <c r="BC343" i="52" a="1"/>
  <c r="BC344" i="52" a="1"/>
  <c r="BC345" i="52" a="1"/>
  <c r="BC346" i="52" a="1"/>
  <c r="BC347" i="52" a="1"/>
  <c r="BC349" i="52" a="1"/>
  <c r="BC341" i="52"/>
  <c r="BC342" i="52"/>
  <c r="BC343" i="52"/>
  <c r="BC344" i="52"/>
  <c r="BC345" i="52"/>
  <c r="BC346" i="52"/>
  <c r="BC347" i="52"/>
  <c r="BC349" i="52"/>
  <c r="BC337" i="52"/>
  <c r="BD339" i="52"/>
  <c r="BD340" i="52"/>
  <c r="BD341" i="52"/>
  <c r="BD342" i="52"/>
  <c r="BD343" i="52"/>
  <c r="BD344" i="52"/>
  <c r="BD345" i="52"/>
  <c r="BD346" i="52"/>
  <c r="BD347" i="52"/>
  <c r="BD349" i="52"/>
  <c r="BD337" i="52"/>
  <c r="BF339" i="52" a="1"/>
  <c r="BF339" i="52"/>
  <c r="BF340" i="52" a="1"/>
  <c r="BF340" i="52"/>
  <c r="BF341" i="52" a="1"/>
  <c r="BF342" i="52" a="1"/>
  <c r="BF343" i="52" a="1"/>
  <c r="BF344" i="52" a="1"/>
  <c r="BF345" i="52" a="1"/>
  <c r="BF346" i="52" a="1"/>
  <c r="BF347" i="52" a="1"/>
  <c r="BF349" i="52" a="1"/>
  <c r="BF341" i="52"/>
  <c r="BF342" i="52"/>
  <c r="BF343" i="52"/>
  <c r="BF344" i="52"/>
  <c r="BF345" i="52"/>
  <c r="BF346" i="52"/>
  <c r="BF347" i="52"/>
  <c r="BF349" i="52"/>
  <c r="BF337" i="52"/>
  <c r="BG339" i="52" a="1"/>
  <c r="BG339" i="52"/>
  <c r="BG340" i="52" a="1"/>
  <c r="BG340" i="52"/>
  <c r="BG341" i="52" a="1"/>
  <c r="BG342" i="52" a="1"/>
  <c r="BG343" i="52" a="1"/>
  <c r="BG344" i="52" a="1"/>
  <c r="BG345" i="52" a="1"/>
  <c r="BG346" i="52" a="1"/>
  <c r="BG347" i="52" a="1"/>
  <c r="BG349" i="52" a="1"/>
  <c r="BG341" i="52"/>
  <c r="BG342" i="52"/>
  <c r="BG343" i="52"/>
  <c r="BG344" i="52"/>
  <c r="BG345" i="52"/>
  <c r="BG346" i="52"/>
  <c r="BG347" i="52"/>
  <c r="BG349" i="52"/>
  <c r="BG337" i="52"/>
  <c r="BH339" i="52"/>
  <c r="BH340" i="52"/>
  <c r="BH341" i="52"/>
  <c r="BH342" i="52"/>
  <c r="BH343" i="52"/>
  <c r="BH344" i="52"/>
  <c r="BH345" i="52"/>
  <c r="BH346" i="52"/>
  <c r="BH347" i="52"/>
  <c r="BH349" i="52"/>
  <c r="BH337" i="52"/>
  <c r="BI337" i="52"/>
  <c r="BI339" i="52"/>
  <c r="BI340" i="52"/>
  <c r="BI341" i="52"/>
  <c r="BI342" i="52"/>
  <c r="BI343" i="52"/>
  <c r="BI344" i="52"/>
  <c r="BI345" i="52"/>
  <c r="BI346" i="52"/>
  <c r="BI349" i="52"/>
  <c r="E352" i="52"/>
  <c r="F352" i="52"/>
  <c r="G352" i="52"/>
  <c r="H352" i="52"/>
  <c r="I352" i="52"/>
  <c r="J352" i="52"/>
  <c r="K352" i="52"/>
  <c r="L352" i="52"/>
  <c r="M352" i="52"/>
  <c r="N352" i="52"/>
  <c r="O352" i="52"/>
  <c r="P352" i="52"/>
  <c r="Q352" i="52"/>
  <c r="R352" i="52"/>
  <c r="S352" i="52"/>
  <c r="T352" i="52"/>
  <c r="AD352" i="52"/>
  <c r="AE352" i="52"/>
  <c r="AF352" i="52"/>
  <c r="AG352" i="52"/>
  <c r="AH352" i="52"/>
  <c r="AI352" i="52"/>
  <c r="AJ352" i="52"/>
  <c r="AK352" i="52"/>
  <c r="AM352" i="52"/>
  <c r="AN352" i="52"/>
  <c r="AT352" i="52"/>
  <c r="AU352" i="52"/>
  <c r="AV352" i="52"/>
  <c r="AW352" i="52"/>
  <c r="AX352" i="52"/>
  <c r="AY352" i="52"/>
  <c r="AZ352" i="52"/>
  <c r="BA352" i="52"/>
  <c r="BB352" i="52"/>
  <c r="BC352" i="52"/>
  <c r="E367" i="52"/>
  <c r="F367" i="52"/>
  <c r="G367" i="52"/>
  <c r="H367" i="52"/>
  <c r="I367" i="52"/>
  <c r="K367" i="52"/>
  <c r="M367" i="52"/>
  <c r="O367" i="52"/>
  <c r="P367" i="52"/>
  <c r="Q367" i="52"/>
  <c r="R367" i="52"/>
  <c r="S367" i="52"/>
  <c r="AD367" i="52"/>
  <c r="AE367" i="52"/>
  <c r="AF367" i="52"/>
  <c r="AG367" i="52"/>
  <c r="AH367" i="52"/>
  <c r="AI367" i="52"/>
  <c r="AJ367" i="52"/>
  <c r="AK367" i="52"/>
  <c r="AM367" i="52"/>
  <c r="AN367" i="52"/>
  <c r="AT367" i="52"/>
  <c r="AV367" i="52"/>
  <c r="AW367" i="52"/>
  <c r="AX367" i="52"/>
  <c r="AZ367" i="52"/>
  <c r="BB367" i="52"/>
  <c r="BC367" i="52"/>
  <c r="AO9" i="10"/>
  <c r="AN10" i="10"/>
  <c r="AO10" i="10"/>
  <c r="AN11" i="10"/>
  <c r="AO11" i="10"/>
  <c r="AN12" i="10"/>
  <c r="AO12" i="10"/>
  <c r="AN13" i="10"/>
  <c r="AO13" i="10"/>
  <c r="AN14" i="10"/>
  <c r="AO14" i="10"/>
  <c r="AN15" i="10"/>
  <c r="AO15" i="10"/>
  <c r="AN16" i="10"/>
  <c r="AO16" i="10"/>
  <c r="AN17" i="10"/>
  <c r="AO17" i="10"/>
  <c r="AN18" i="10"/>
  <c r="AO18" i="10"/>
  <c r="AN19" i="10"/>
  <c r="AO19" i="10"/>
  <c r="AN20" i="10"/>
  <c r="AO20" i="10"/>
  <c r="AP9" i="10"/>
  <c r="AP10" i="10"/>
  <c r="AP11" i="10"/>
  <c r="AP12" i="10"/>
  <c r="AP13" i="10"/>
  <c r="AP14" i="10"/>
  <c r="AP15" i="10"/>
  <c r="AP16" i="10"/>
  <c r="AP17" i="10"/>
  <c r="AP18" i="10"/>
  <c r="AP19" i="10"/>
  <c r="AP20" i="10"/>
  <c r="F56" i="7"/>
  <c r="Y9" i="9"/>
  <c r="Y19" i="9"/>
  <c r="Y8" i="9"/>
  <c r="Y17" i="9"/>
  <c r="Y12" i="9"/>
  <c r="E153" i="7"/>
  <c r="F153" i="7"/>
  <c r="Y15" i="9"/>
  <c r="Y18" i="9"/>
  <c r="Y16" i="9"/>
  <c r="Y14" i="9"/>
  <c r="E55" i="7"/>
  <c r="F55" i="7"/>
  <c r="Y10" i="9"/>
  <c r="C55" i="12"/>
  <c r="D55" i="12"/>
  <c r="O10" i="9"/>
  <c r="U7" i="9"/>
  <c r="U10" i="9"/>
  <c r="M15" i="9"/>
  <c r="O15" i="9"/>
  <c r="U9" i="9"/>
  <c r="U12" i="9"/>
  <c r="N10" i="9"/>
  <c r="T7" i="9"/>
  <c r="T10" i="9"/>
  <c r="N15" i="9"/>
  <c r="T9" i="9"/>
  <c r="T12" i="9"/>
  <c r="S9" i="9"/>
  <c r="S12" i="9"/>
  <c r="W28" i="29"/>
  <c r="C22" i="12"/>
  <c r="R22" i="12"/>
  <c r="D22" i="12"/>
  <c r="I2" i="42"/>
  <c r="C52" i="12"/>
  <c r="D52" i="12"/>
  <c r="J27" i="35"/>
  <c r="H27" i="35"/>
  <c r="I27" i="35"/>
  <c r="K27" i="35"/>
  <c r="L27" i="35"/>
  <c r="M27" i="35"/>
  <c r="N27" i="35"/>
  <c r="O27" i="35"/>
  <c r="P27" i="35"/>
  <c r="Q27" i="35"/>
  <c r="C57" i="12"/>
  <c r="R57" i="12"/>
  <c r="C58" i="12"/>
  <c r="R58" i="12"/>
  <c r="C59" i="12"/>
  <c r="R59" i="12"/>
  <c r="R74" i="12"/>
  <c r="M14" i="9"/>
  <c r="M13" i="9"/>
  <c r="M11" i="9"/>
  <c r="M9" i="9"/>
  <c r="M8" i="9"/>
  <c r="M7" i="9"/>
  <c r="P112" i="12"/>
  <c r="P105" i="12"/>
  <c r="P119" i="12"/>
  <c r="F141" i="12"/>
  <c r="R153" i="12"/>
  <c r="R164" i="12"/>
  <c r="R152" i="12"/>
  <c r="R163" i="12"/>
  <c r="R149" i="12"/>
  <c r="R150" i="12"/>
  <c r="R151" i="12"/>
  <c r="R162" i="12"/>
  <c r="R148" i="12"/>
  <c r="R161" i="12"/>
  <c r="R147" i="12"/>
  <c r="R160" i="12"/>
  <c r="P164" i="12"/>
  <c r="O164" i="12"/>
  <c r="N164" i="12"/>
  <c r="M164" i="12"/>
  <c r="L164" i="12"/>
  <c r="K164" i="12"/>
  <c r="J164" i="12"/>
  <c r="I164" i="12"/>
  <c r="H164" i="12"/>
  <c r="P163" i="12"/>
  <c r="O163" i="12"/>
  <c r="N163" i="12"/>
  <c r="M163" i="12"/>
  <c r="L163" i="12"/>
  <c r="K163" i="12"/>
  <c r="J163" i="12"/>
  <c r="I163" i="12"/>
  <c r="H163" i="12"/>
  <c r="P162" i="12"/>
  <c r="O162" i="12"/>
  <c r="N162" i="12"/>
  <c r="M162" i="12"/>
  <c r="L162" i="12"/>
  <c r="K162" i="12"/>
  <c r="J162" i="12"/>
  <c r="I162" i="12"/>
  <c r="H162" i="12"/>
  <c r="P161" i="12"/>
  <c r="O161" i="12"/>
  <c r="N161" i="12"/>
  <c r="M161" i="12"/>
  <c r="L161" i="12"/>
  <c r="K161" i="12"/>
  <c r="J161" i="12"/>
  <c r="I161" i="12"/>
  <c r="H161" i="12"/>
  <c r="P160" i="12"/>
  <c r="O160" i="12"/>
  <c r="N160" i="12"/>
  <c r="M160" i="12"/>
  <c r="L160" i="12"/>
  <c r="K160" i="12"/>
  <c r="J160" i="12"/>
  <c r="I160" i="12"/>
  <c r="H160" i="12"/>
  <c r="P159" i="12"/>
  <c r="O159" i="12"/>
  <c r="N159" i="12"/>
  <c r="M159" i="12"/>
  <c r="L159" i="12"/>
  <c r="K159" i="12"/>
  <c r="J159" i="12"/>
  <c r="I159" i="12"/>
  <c r="H159" i="12"/>
  <c r="D145" i="12"/>
  <c r="C50" i="12"/>
  <c r="R50" i="12"/>
  <c r="R72" i="12"/>
  <c r="R52" i="12"/>
  <c r="C44" i="12"/>
  <c r="C46" i="12"/>
  <c r="C47" i="12"/>
  <c r="C48" i="12"/>
  <c r="C49" i="12"/>
  <c r="C51" i="12"/>
  <c r="R46" i="12"/>
  <c r="R47" i="12"/>
  <c r="R48" i="12"/>
  <c r="R49" i="12"/>
  <c r="R51" i="12"/>
  <c r="R44" i="12"/>
  <c r="H87" i="29"/>
  <c r="H88" i="29"/>
  <c r="H89" i="29"/>
  <c r="H90" i="29"/>
  <c r="H91" i="29"/>
  <c r="H92" i="29"/>
  <c r="H93" i="29"/>
  <c r="H94" i="29"/>
  <c r="H95" i="29"/>
  <c r="H96" i="29"/>
  <c r="H97" i="29"/>
  <c r="H98" i="29"/>
  <c r="H9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100" i="29"/>
  <c r="C15" i="12"/>
  <c r="H20" i="35"/>
  <c r="J20" i="35"/>
  <c r="I20" i="35"/>
  <c r="Q20" i="35"/>
  <c r="L7" i="42"/>
  <c r="J7" i="42"/>
  <c r="H18" i="35"/>
  <c r="Q18" i="35"/>
  <c r="H7" i="42"/>
  <c r="L6" i="42"/>
  <c r="J6" i="42"/>
  <c r="Q25" i="35"/>
  <c r="H6" i="42"/>
  <c r="K20" i="35"/>
  <c r="L20" i="35"/>
  <c r="M20" i="35"/>
  <c r="N20" i="35"/>
  <c r="O20" i="35"/>
  <c r="P20" i="35"/>
  <c r="E1156" i="34"/>
  <c r="E1151" i="34"/>
  <c r="E1150" i="34"/>
  <c r="C3" i="29"/>
  <c r="C2" i="29"/>
  <c r="D2391" i="34"/>
  <c r="D2390" i="34"/>
  <c r="D2389" i="34"/>
  <c r="D2388" i="34"/>
  <c r="D2387" i="34"/>
  <c r="D2386" i="34"/>
  <c r="D2385" i="34"/>
  <c r="D2384" i="34"/>
  <c r="D2383" i="34"/>
  <c r="D2382" i="34"/>
  <c r="D2381" i="34"/>
  <c r="D2380" i="34"/>
  <c r="D2379" i="34"/>
  <c r="D2378" i="34"/>
  <c r="D2377" i="34"/>
  <c r="D2376" i="34"/>
  <c r="D2375" i="34"/>
  <c r="D2374" i="34"/>
  <c r="D2373" i="34"/>
  <c r="D2372" i="34"/>
  <c r="D2371" i="34"/>
  <c r="D2370" i="34"/>
  <c r="D2369" i="34"/>
  <c r="D2368" i="34"/>
  <c r="D2367" i="34"/>
  <c r="D2366" i="34"/>
  <c r="D2365" i="34"/>
  <c r="D2364" i="34"/>
  <c r="D2363" i="34"/>
  <c r="D2362" i="34"/>
  <c r="D2361" i="34"/>
  <c r="D2360" i="34"/>
  <c r="D2359" i="34"/>
  <c r="D2358" i="34"/>
  <c r="D2357" i="34"/>
  <c r="D2356" i="34"/>
  <c r="D2355" i="34"/>
  <c r="D2354" i="34"/>
  <c r="D2353" i="34"/>
  <c r="D2352" i="34"/>
  <c r="D2351" i="34"/>
  <c r="D2350" i="34"/>
  <c r="D2349" i="34"/>
  <c r="D2348" i="34"/>
  <c r="D2347" i="34"/>
  <c r="D2346" i="34"/>
  <c r="D2345" i="34"/>
  <c r="D2344" i="34"/>
  <c r="D2343" i="34"/>
  <c r="D2342" i="34"/>
  <c r="D2341" i="34"/>
  <c r="D2340" i="34"/>
  <c r="D2339" i="34"/>
  <c r="D2338" i="34"/>
  <c r="D2337" i="34"/>
  <c r="D2336" i="34"/>
  <c r="D2335" i="34"/>
  <c r="D2334" i="34"/>
  <c r="D2333" i="34"/>
  <c r="D2332" i="34"/>
  <c r="D2331" i="34"/>
  <c r="D2330" i="34"/>
  <c r="D2329" i="34"/>
  <c r="D2328" i="34"/>
  <c r="D2327" i="34"/>
  <c r="D2326" i="34"/>
  <c r="D2325" i="34"/>
  <c r="D2324" i="34"/>
  <c r="D2323" i="34"/>
  <c r="D2322" i="34"/>
  <c r="D2321" i="34"/>
  <c r="D2320" i="34"/>
  <c r="D2319" i="34"/>
  <c r="D2318" i="34"/>
  <c r="D2317" i="34"/>
  <c r="D2316" i="34"/>
  <c r="D2315" i="34"/>
  <c r="D2314" i="34"/>
  <c r="D2313" i="34"/>
  <c r="D2312" i="34"/>
  <c r="D2311" i="34"/>
  <c r="D2310" i="34"/>
  <c r="D2309" i="34"/>
  <c r="D2308" i="34"/>
  <c r="D2307" i="34"/>
  <c r="D2306" i="34"/>
  <c r="D2305" i="34"/>
  <c r="D2304" i="34"/>
  <c r="D2303" i="34"/>
  <c r="D2302" i="34"/>
  <c r="D2158" i="34"/>
  <c r="D2157" i="34"/>
  <c r="D2156" i="34"/>
  <c r="D2155" i="34"/>
  <c r="D2154" i="34"/>
  <c r="D2153" i="34"/>
  <c r="D2152" i="34"/>
  <c r="D2151" i="34"/>
  <c r="D2150" i="34"/>
  <c r="D2149" i="34"/>
  <c r="D2148" i="34"/>
  <c r="D2147" i="34"/>
  <c r="D2146" i="34"/>
  <c r="D2145" i="34"/>
  <c r="D2144" i="34"/>
  <c r="D2143" i="34"/>
  <c r="D2142" i="34"/>
  <c r="D2141" i="34"/>
  <c r="D2140" i="34"/>
  <c r="D2139" i="34"/>
  <c r="D2138" i="34"/>
  <c r="D2137" i="34"/>
  <c r="D2136" i="34"/>
  <c r="D2135" i="34"/>
  <c r="D2134" i="34"/>
  <c r="D2133" i="34"/>
  <c r="D2132" i="34"/>
  <c r="D2131" i="34"/>
  <c r="D2130" i="34"/>
  <c r="D2129" i="34"/>
  <c r="D2128" i="34"/>
  <c r="D2127" i="34"/>
  <c r="D2126" i="34"/>
  <c r="D2125" i="34"/>
  <c r="D2124" i="34"/>
  <c r="D2123" i="34"/>
  <c r="D2122" i="34"/>
  <c r="D2121" i="34"/>
  <c r="D2120" i="34"/>
  <c r="D2119" i="34"/>
  <c r="D2118" i="34"/>
  <c r="D2117" i="34"/>
  <c r="D2116" i="34"/>
  <c r="D2115" i="34"/>
  <c r="D2114" i="34"/>
  <c r="D2113" i="34"/>
  <c r="D2112" i="34"/>
  <c r="D2111" i="34"/>
  <c r="D2110" i="34"/>
  <c r="D2109" i="34"/>
  <c r="D2108" i="34"/>
  <c r="D2107" i="34"/>
  <c r="D2106" i="34"/>
  <c r="D2105" i="34"/>
  <c r="D2104" i="34"/>
  <c r="D2103" i="34"/>
  <c r="D2102" i="34"/>
  <c r="D2101" i="34"/>
  <c r="D2100" i="34"/>
  <c r="D2099" i="34"/>
  <c r="D2098" i="34"/>
  <c r="D2097" i="34"/>
  <c r="D2096" i="34"/>
  <c r="D2095" i="34"/>
  <c r="D2094" i="34"/>
  <c r="D2093" i="34"/>
  <c r="D2092" i="34"/>
  <c r="D2091" i="34"/>
  <c r="D2090" i="34"/>
  <c r="D2089" i="34"/>
  <c r="D2088" i="34"/>
  <c r="D2087" i="34"/>
  <c r="D2086" i="34"/>
  <c r="D2085" i="34"/>
  <c r="D2084" i="34"/>
  <c r="D2083" i="34"/>
  <c r="D2082" i="34"/>
  <c r="D2081" i="34"/>
  <c r="D2080" i="34"/>
  <c r="D2079" i="34"/>
  <c r="D2078" i="34"/>
  <c r="D2077" i="34"/>
  <c r="D2076" i="34"/>
  <c r="D2075" i="34"/>
  <c r="D2074" i="34"/>
  <c r="D2073" i="34"/>
  <c r="D2072" i="34"/>
  <c r="D2071" i="34"/>
  <c r="D2070" i="34"/>
  <c r="D2069" i="34"/>
  <c r="D2063" i="34"/>
  <c r="D2062" i="34"/>
  <c r="D2061" i="34"/>
  <c r="D2060" i="34"/>
  <c r="D2059" i="34"/>
  <c r="D2058" i="34"/>
  <c r="D2057" i="34"/>
  <c r="D2056" i="34"/>
  <c r="D2055" i="34"/>
  <c r="D2054" i="34"/>
  <c r="D2053" i="34"/>
  <c r="D2052" i="34"/>
  <c r="D2051" i="34"/>
  <c r="D2050" i="34"/>
  <c r="D2049" i="34"/>
  <c r="D2048" i="34"/>
  <c r="D2047" i="34"/>
  <c r="D2046" i="34"/>
  <c r="D2045" i="34"/>
  <c r="D2044" i="34"/>
  <c r="D2043" i="34"/>
  <c r="D2042" i="34"/>
  <c r="D2041" i="34"/>
  <c r="D2040" i="34"/>
  <c r="D2033" i="34"/>
  <c r="D2032" i="34"/>
  <c r="D2031" i="34"/>
  <c r="D2030" i="34"/>
  <c r="D2029" i="34"/>
  <c r="D2028" i="34"/>
  <c r="D2027" i="34"/>
  <c r="D2026" i="34"/>
  <c r="D2025" i="34"/>
  <c r="D2024" i="34"/>
  <c r="D2023" i="34"/>
  <c r="D2022" i="34"/>
  <c r="D2021" i="34"/>
  <c r="D2020" i="34"/>
  <c r="D2019" i="34"/>
  <c r="D2018" i="34"/>
  <c r="D2017" i="34"/>
  <c r="D2016" i="34"/>
  <c r="D2015" i="34"/>
  <c r="D2014" i="34"/>
  <c r="D2013" i="34"/>
  <c r="D2012" i="34"/>
  <c r="D2011" i="34"/>
  <c r="D2010" i="34"/>
  <c r="D2009" i="34"/>
  <c r="D2008" i="34"/>
  <c r="D2007" i="34"/>
  <c r="D2006" i="34"/>
  <c r="D2005" i="34"/>
  <c r="D2004" i="34"/>
  <c r="D2003" i="34"/>
  <c r="D2002" i="34"/>
  <c r="D2001" i="34"/>
  <c r="D2000" i="34"/>
  <c r="D1999" i="34"/>
  <c r="D1998" i="34"/>
  <c r="D1997" i="34"/>
  <c r="D1996" i="34"/>
  <c r="D1995" i="34"/>
  <c r="D1994" i="34"/>
  <c r="D1993" i="34"/>
  <c r="D1992" i="34"/>
  <c r="D1991" i="34"/>
  <c r="D1990" i="34"/>
  <c r="D1989" i="34"/>
  <c r="D1988" i="34"/>
  <c r="D1987" i="34"/>
  <c r="D1986" i="34"/>
  <c r="D1985" i="34"/>
  <c r="D1984" i="34"/>
  <c r="D1983" i="34"/>
  <c r="D1982" i="34"/>
  <c r="D1981" i="34"/>
  <c r="D1980" i="34"/>
  <c r="D1979" i="34"/>
  <c r="D1978" i="34"/>
  <c r="D1977" i="34"/>
  <c r="D1976" i="34"/>
  <c r="D1975" i="34"/>
  <c r="D1974" i="34"/>
  <c r="D1973" i="34"/>
  <c r="D1972" i="34"/>
  <c r="D1971" i="34"/>
  <c r="D1970" i="34"/>
  <c r="D1969" i="34"/>
  <c r="D1968" i="34"/>
  <c r="D1967" i="34"/>
  <c r="D1966" i="34"/>
  <c r="D1965" i="34"/>
  <c r="D1964" i="34"/>
  <c r="D1963" i="34"/>
  <c r="D1962" i="34"/>
  <c r="D1961" i="34"/>
  <c r="D1960" i="34"/>
  <c r="D1959" i="34"/>
  <c r="D1958" i="34"/>
  <c r="D1957" i="34"/>
  <c r="D1956" i="34"/>
  <c r="D1955" i="34"/>
  <c r="D1954" i="34"/>
  <c r="D1953" i="34"/>
  <c r="D1952" i="34"/>
  <c r="D1951" i="34"/>
  <c r="D1950" i="34"/>
  <c r="D1949" i="34"/>
  <c r="D1948" i="34"/>
  <c r="D1947" i="34"/>
  <c r="D1946" i="34"/>
  <c r="D1945" i="34"/>
  <c r="D1944" i="34"/>
  <c r="D1939" i="34" a="1"/>
  <c r="D1939" i="34"/>
  <c r="D1938" i="34" a="1"/>
  <c r="D1938" i="34"/>
  <c r="D1937" i="34" a="1"/>
  <c r="D1937" i="34"/>
  <c r="D1936" i="34" a="1"/>
  <c r="D1936" i="34"/>
  <c r="D1935" i="34" a="1"/>
  <c r="D1935" i="34"/>
  <c r="D1934" i="34" a="1"/>
  <c r="D1934" i="34"/>
  <c r="D1933" i="34" a="1"/>
  <c r="D1933" i="34"/>
  <c r="F1932" i="34"/>
  <c r="D1932" i="34" a="1"/>
  <c r="D1932" i="34"/>
  <c r="D1931" i="34" a="1"/>
  <c r="D1931" i="34"/>
  <c r="D1930" i="34" a="1"/>
  <c r="D1930" i="34"/>
  <c r="D1924" i="34"/>
  <c r="D1923" i="34"/>
  <c r="D1922" i="34"/>
  <c r="D1921" i="34"/>
  <c r="D1920" i="34"/>
  <c r="D1919" i="34"/>
  <c r="D1918" i="34"/>
  <c r="D1917" i="34"/>
  <c r="D1916" i="34"/>
  <c r="D1915" i="34"/>
  <c r="D1914" i="34"/>
  <c r="D1913" i="34"/>
  <c r="D1912" i="34"/>
  <c r="D1911" i="34"/>
  <c r="D1910" i="34"/>
  <c r="D1909" i="34"/>
  <c r="D1908" i="34"/>
  <c r="D1907" i="34"/>
  <c r="D1906" i="34"/>
  <c r="D1905" i="34"/>
  <c r="D1904" i="34"/>
  <c r="D1903" i="34"/>
  <c r="D1902" i="34"/>
  <c r="D1901" i="34"/>
  <c r="D1900" i="34"/>
  <c r="D1899" i="34"/>
  <c r="D1898" i="34"/>
  <c r="D1897" i="34"/>
  <c r="D1896" i="34"/>
  <c r="D1895" i="34"/>
  <c r="D1894" i="34"/>
  <c r="D1893" i="34"/>
  <c r="D1892" i="34"/>
  <c r="D1891" i="34"/>
  <c r="D1890" i="34"/>
  <c r="D1889" i="34"/>
  <c r="D1888" i="34"/>
  <c r="D1887" i="34"/>
  <c r="D1886" i="34"/>
  <c r="D1885" i="34"/>
  <c r="D1884" i="34"/>
  <c r="D1883" i="34"/>
  <c r="D1882" i="34"/>
  <c r="D1881" i="34"/>
  <c r="D1880" i="34"/>
  <c r="D1879" i="34"/>
  <c r="D1878" i="34"/>
  <c r="D1877" i="34"/>
  <c r="D1876" i="34"/>
  <c r="D1875" i="34"/>
  <c r="D1874" i="34"/>
  <c r="D1873" i="34"/>
  <c r="D1872" i="34"/>
  <c r="D1871" i="34"/>
  <c r="D1870" i="34"/>
  <c r="D1869" i="34"/>
  <c r="D1868" i="34"/>
  <c r="D1867" i="34"/>
  <c r="D1866" i="34"/>
  <c r="D1865" i="34"/>
  <c r="D1864" i="34"/>
  <c r="D1863" i="34"/>
  <c r="D1862" i="34"/>
  <c r="D1861" i="34"/>
  <c r="D1860" i="34"/>
  <c r="D1859" i="34"/>
  <c r="D1858" i="34"/>
  <c r="D1857" i="34"/>
  <c r="D1856" i="34"/>
  <c r="D1855" i="34"/>
  <c r="D1854" i="34"/>
  <c r="D1853" i="34"/>
  <c r="D1852" i="34"/>
  <c r="D1851" i="34"/>
  <c r="D1850" i="34"/>
  <c r="D1849" i="34"/>
  <c r="D1848" i="34"/>
  <c r="D1847" i="34"/>
  <c r="D1846" i="34"/>
  <c r="D1845" i="34"/>
  <c r="D1844" i="34"/>
  <c r="D1843" i="34"/>
  <c r="D1842" i="34"/>
  <c r="D1841" i="34"/>
  <c r="D1840" i="34"/>
  <c r="D1839" i="34"/>
  <c r="D1838" i="34"/>
  <c r="D1837" i="34"/>
  <c r="D1836" i="34"/>
  <c r="D1835" i="34"/>
  <c r="D1825" i="34"/>
  <c r="D1824" i="34"/>
  <c r="D1823" i="34"/>
  <c r="D1822" i="34"/>
  <c r="D1821" i="34"/>
  <c r="D1820" i="34"/>
  <c r="D1819" i="34"/>
  <c r="D1818" i="34"/>
  <c r="D1817" i="34"/>
  <c r="F1816" i="34"/>
  <c r="D1816" i="34"/>
  <c r="D1815" i="34"/>
  <c r="D1814" i="34"/>
  <c r="D1813" i="34"/>
  <c r="D1812" i="34"/>
  <c r="D1747" i="34"/>
  <c r="D1746" i="34"/>
  <c r="D1745" i="34"/>
  <c r="D1744" i="34"/>
  <c r="D1743" i="34"/>
  <c r="D1742" i="34"/>
  <c r="D1741" i="34"/>
  <c r="D1740" i="34"/>
  <c r="D1739" i="34"/>
  <c r="D1738" i="34"/>
  <c r="D1737" i="34"/>
  <c r="D1736" i="34"/>
  <c r="D1735" i="34"/>
  <c r="D1734" i="34"/>
  <c r="D1733" i="34"/>
  <c r="D1732" i="34"/>
  <c r="D1731" i="34"/>
  <c r="D1730" i="34"/>
  <c r="D1729" i="34"/>
  <c r="D1728" i="34"/>
  <c r="D1727" i="34"/>
  <c r="D1726" i="34"/>
  <c r="D1725" i="34"/>
  <c r="D1724" i="34"/>
  <c r="D1723" i="34"/>
  <c r="D1722" i="34"/>
  <c r="D1721" i="34"/>
  <c r="D1720" i="34"/>
  <c r="D1719" i="34"/>
  <c r="D1718" i="34"/>
  <c r="D1717" i="34"/>
  <c r="D1716" i="34"/>
  <c r="D1715" i="34"/>
  <c r="D1714" i="34"/>
  <c r="D1713" i="34"/>
  <c r="D1712" i="34"/>
  <c r="D1711" i="34"/>
  <c r="D1710" i="34"/>
  <c r="D1709" i="34"/>
  <c r="D1708" i="34"/>
  <c r="D1707" i="34"/>
  <c r="D1706" i="34"/>
  <c r="D1705" i="34"/>
  <c r="D1704" i="34"/>
  <c r="D1703" i="34"/>
  <c r="D1702" i="34"/>
  <c r="D1701" i="34"/>
  <c r="D1700" i="34"/>
  <c r="D1699" i="34"/>
  <c r="D1698" i="34"/>
  <c r="D1697" i="34"/>
  <c r="D1696" i="34"/>
  <c r="D1695" i="34"/>
  <c r="D1694" i="34"/>
  <c r="D1693" i="34"/>
  <c r="D1692" i="34"/>
  <c r="D1691" i="34"/>
  <c r="D1690" i="34"/>
  <c r="D1689" i="34"/>
  <c r="D1688" i="34"/>
  <c r="D1687" i="34"/>
  <c r="D1686" i="34"/>
  <c r="D1685" i="34"/>
  <c r="D1684" i="34"/>
  <c r="D1683" i="34"/>
  <c r="D1682" i="34"/>
  <c r="D1681" i="34"/>
  <c r="D1680" i="34"/>
  <c r="D1679" i="34"/>
  <c r="D1678" i="34"/>
  <c r="D1677" i="34"/>
  <c r="D1676" i="34"/>
  <c r="D1675" i="34"/>
  <c r="D1674" i="34"/>
  <c r="D1673" i="34"/>
  <c r="D1672" i="34"/>
  <c r="D1671" i="34"/>
  <c r="D1670" i="34"/>
  <c r="D1669" i="34"/>
  <c r="D1668" i="34"/>
  <c r="D1667" i="34"/>
  <c r="D1666" i="34"/>
  <c r="D1665" i="34"/>
  <c r="D1664" i="34"/>
  <c r="D1663" i="34"/>
  <c r="D1662" i="34"/>
  <c r="D1661" i="34"/>
  <c r="D1660" i="34"/>
  <c r="D1659" i="34"/>
  <c r="D1658" i="34"/>
  <c r="D1633" i="34"/>
  <c r="D1632" i="34"/>
  <c r="D1631" i="34"/>
  <c r="D1630" i="34"/>
  <c r="D1629" i="34"/>
  <c r="D1628" i="34"/>
  <c r="I1454" i="34"/>
  <c r="D1450" i="34"/>
  <c r="D1449" i="34"/>
  <c r="D1448" i="34"/>
  <c r="D1447" i="34"/>
  <c r="D1446" i="34"/>
  <c r="D1445" i="34"/>
  <c r="D1444" i="34"/>
  <c r="D1443" i="34"/>
  <c r="D1442" i="34"/>
  <c r="D1441" i="34"/>
  <c r="D1440" i="34"/>
  <c r="D1439" i="34"/>
  <c r="D1438" i="34"/>
  <c r="D1437" i="34"/>
  <c r="D1436" i="34"/>
  <c r="D1435" i="34"/>
  <c r="D1434" i="34"/>
  <c r="D1433" i="34"/>
  <c r="D1432" i="34"/>
  <c r="D1431" i="34"/>
  <c r="D1430" i="34"/>
  <c r="D1429" i="34"/>
  <c r="D1428" i="34"/>
  <c r="D1427" i="34"/>
  <c r="D1426" i="34"/>
  <c r="D1425" i="34"/>
  <c r="D1424" i="34"/>
  <c r="D1423" i="34"/>
  <c r="D1422" i="34"/>
  <c r="D1421" i="34"/>
  <c r="D1420" i="34"/>
  <c r="D1419" i="34"/>
  <c r="D1418" i="34"/>
  <c r="D1417" i="34"/>
  <c r="D1416" i="34"/>
  <c r="D1415" i="34"/>
  <c r="D1414" i="34"/>
  <c r="D1413" i="34"/>
  <c r="D1412" i="34"/>
  <c r="D1411" i="34"/>
  <c r="D1410" i="34"/>
  <c r="D1409" i="34"/>
  <c r="D1408" i="34"/>
  <c r="D1407" i="34"/>
  <c r="D1406" i="34"/>
  <c r="D1405" i="34"/>
  <c r="D1404" i="34"/>
  <c r="D1403" i="34"/>
  <c r="D1402" i="34"/>
  <c r="D1401" i="34"/>
  <c r="D1400" i="34"/>
  <c r="D1399" i="34"/>
  <c r="D1398" i="34"/>
  <c r="D1397" i="34"/>
  <c r="D1396" i="34"/>
  <c r="D1395" i="34"/>
  <c r="D1394" i="34"/>
  <c r="D1393" i="34"/>
  <c r="D1392" i="34"/>
  <c r="D1391" i="34"/>
  <c r="D1390" i="34"/>
  <c r="D1389" i="34"/>
  <c r="D1388" i="34"/>
  <c r="D1387" i="34"/>
  <c r="D1386" i="34"/>
  <c r="D1385" i="34"/>
  <c r="D1384" i="34"/>
  <c r="D1383" i="34"/>
  <c r="D1382" i="34"/>
  <c r="D1381" i="34"/>
  <c r="D1380" i="34"/>
  <c r="D1379" i="34"/>
  <c r="D1378" i="34"/>
  <c r="D1377" i="34"/>
  <c r="D1376" i="34"/>
  <c r="D1375" i="34"/>
  <c r="D1374" i="34"/>
  <c r="D1373" i="34"/>
  <c r="D1372" i="34"/>
  <c r="D1371" i="34"/>
  <c r="D1370" i="34"/>
  <c r="D1369" i="34"/>
  <c r="D1368" i="34"/>
  <c r="D1367" i="34"/>
  <c r="K1256" i="34"/>
  <c r="J1256" i="34"/>
  <c r="I1256" i="34"/>
  <c r="G1256" i="34"/>
  <c r="F1256" i="34"/>
  <c r="E1256" i="34"/>
  <c r="G1255" i="34"/>
  <c r="F1255" i="34"/>
  <c r="E1255" i="34"/>
  <c r="K1254" i="34"/>
  <c r="J1254" i="34"/>
  <c r="I1254" i="34"/>
  <c r="G1254" i="34"/>
  <c r="F1254" i="34"/>
  <c r="E1254" i="34"/>
  <c r="K1253" i="34"/>
  <c r="J1253" i="34"/>
  <c r="I1253" i="34"/>
  <c r="G1253" i="34"/>
  <c r="F1253" i="34"/>
  <c r="E1253" i="34"/>
  <c r="K1252" i="34"/>
  <c r="J1252" i="34"/>
  <c r="I1252" i="34"/>
  <c r="G1252" i="34"/>
  <c r="F1252" i="34"/>
  <c r="E1252" i="34"/>
  <c r="K1251" i="34"/>
  <c r="J1251" i="34"/>
  <c r="I1251" i="34"/>
  <c r="G1251" i="34"/>
  <c r="F1251" i="34"/>
  <c r="E1251" i="34"/>
  <c r="D976" i="34"/>
  <c r="D975" i="34"/>
  <c r="D974" i="34"/>
  <c r="D973" i="34"/>
  <c r="D972" i="34"/>
  <c r="D971" i="34"/>
  <c r="D970" i="34"/>
  <c r="D969" i="34"/>
  <c r="D968" i="34"/>
  <c r="D967" i="34"/>
  <c r="D966" i="34"/>
  <c r="D965" i="34"/>
  <c r="D964" i="34"/>
  <c r="D963" i="34"/>
  <c r="D962" i="34"/>
  <c r="D961" i="34"/>
  <c r="D960" i="34"/>
  <c r="D959" i="34"/>
  <c r="D958" i="34"/>
  <c r="D957" i="34"/>
  <c r="D956" i="34"/>
  <c r="D955" i="34"/>
  <c r="D954" i="34"/>
  <c r="D953" i="34"/>
  <c r="D952" i="34"/>
  <c r="D951" i="34"/>
  <c r="D950" i="34"/>
  <c r="D949" i="34"/>
  <c r="D948" i="34"/>
  <c r="D947" i="34"/>
  <c r="D946" i="34"/>
  <c r="D945" i="34"/>
  <c r="D944" i="34"/>
  <c r="D943" i="34"/>
  <c r="D942" i="34"/>
  <c r="D941" i="34"/>
  <c r="D940" i="34"/>
  <c r="D939" i="34"/>
  <c r="D938" i="34"/>
  <c r="D937" i="34"/>
  <c r="D936" i="34"/>
  <c r="D935" i="34"/>
  <c r="D934" i="34"/>
  <c r="D933" i="34"/>
  <c r="D932" i="34"/>
  <c r="D931" i="34"/>
  <c r="D930" i="34"/>
  <c r="D929" i="34"/>
  <c r="D928" i="34"/>
  <c r="D927" i="34"/>
  <c r="D926" i="34"/>
  <c r="D925" i="34"/>
  <c r="D924" i="34"/>
  <c r="D923" i="34"/>
  <c r="D922" i="34"/>
  <c r="D921" i="34"/>
  <c r="D920" i="34"/>
  <c r="D919" i="34"/>
  <c r="D918" i="34"/>
  <c r="D917" i="34"/>
  <c r="D916" i="34"/>
  <c r="D915" i="34"/>
  <c r="D914" i="34"/>
  <c r="D913" i="34"/>
  <c r="D912" i="34"/>
  <c r="D911" i="34"/>
  <c r="D910" i="34"/>
  <c r="D909" i="34"/>
  <c r="D908" i="34"/>
  <c r="D907" i="34"/>
  <c r="D906" i="34"/>
  <c r="D905" i="34"/>
  <c r="D904" i="34"/>
  <c r="D903" i="34"/>
  <c r="D902" i="34"/>
  <c r="D901" i="34"/>
  <c r="D900" i="34"/>
  <c r="D899" i="34"/>
  <c r="D898" i="34"/>
  <c r="D897" i="34"/>
  <c r="D896" i="34"/>
  <c r="D895" i="34"/>
  <c r="D894" i="34"/>
  <c r="D893" i="34"/>
  <c r="D892" i="34"/>
  <c r="D891" i="34"/>
  <c r="D890" i="34"/>
  <c r="D889" i="34"/>
  <c r="D888" i="34"/>
  <c r="D887" i="34"/>
  <c r="D886" i="34"/>
  <c r="D885" i="34"/>
  <c r="D884" i="34"/>
  <c r="D883" i="34"/>
  <c r="D882" i="34"/>
  <c r="D881" i="34"/>
  <c r="D880" i="34"/>
  <c r="D879" i="34"/>
  <c r="D878" i="34"/>
  <c r="D877" i="34"/>
  <c r="D876" i="34"/>
  <c r="D875" i="34"/>
  <c r="D874" i="34"/>
  <c r="D873" i="34"/>
  <c r="D872" i="34"/>
  <c r="D871" i="34"/>
  <c r="D870" i="34"/>
  <c r="D869" i="34"/>
  <c r="D868" i="34"/>
  <c r="D867" i="34"/>
  <c r="D866" i="34"/>
  <c r="D865" i="34"/>
  <c r="D864" i="34"/>
  <c r="D863" i="34"/>
  <c r="D862" i="34"/>
  <c r="D861" i="34"/>
  <c r="D860" i="34"/>
  <c r="D859" i="34"/>
  <c r="D858" i="34"/>
  <c r="D857" i="34"/>
  <c r="D856" i="34"/>
  <c r="D855" i="34"/>
  <c r="D854" i="34"/>
  <c r="D853" i="34"/>
  <c r="D852" i="34"/>
  <c r="D851" i="34"/>
  <c r="D850" i="34"/>
  <c r="D849" i="34"/>
  <c r="D848" i="34"/>
  <c r="D847" i="34"/>
  <c r="D846" i="34"/>
  <c r="D845" i="34"/>
  <c r="D844" i="34"/>
  <c r="D843" i="34"/>
  <c r="D842" i="34"/>
  <c r="D841" i="34"/>
  <c r="D840" i="34"/>
  <c r="D839" i="34"/>
  <c r="D838" i="34"/>
  <c r="D837" i="34"/>
  <c r="D836" i="34"/>
  <c r="D835" i="34"/>
  <c r="D834" i="34"/>
  <c r="D833" i="34"/>
  <c r="D832" i="34"/>
  <c r="D831" i="34"/>
  <c r="D830" i="34"/>
  <c r="D829" i="34"/>
  <c r="D828" i="34"/>
  <c r="D827" i="34"/>
  <c r="D826" i="34"/>
  <c r="D825" i="34"/>
  <c r="D824" i="34"/>
  <c r="D823" i="34"/>
  <c r="D822" i="34"/>
  <c r="D821" i="34"/>
  <c r="D820" i="34"/>
  <c r="D819" i="34"/>
  <c r="D818" i="34"/>
  <c r="D817" i="34"/>
  <c r="D816" i="34"/>
  <c r="D815" i="34"/>
  <c r="D814" i="34"/>
  <c r="D813" i="34"/>
  <c r="D812" i="34"/>
  <c r="D811" i="34"/>
  <c r="D810" i="34"/>
  <c r="D809" i="34"/>
  <c r="D808" i="34"/>
  <c r="D807" i="34"/>
  <c r="D806" i="34"/>
  <c r="D805" i="34"/>
  <c r="D804" i="34"/>
  <c r="D803" i="34"/>
  <c r="D802" i="34"/>
  <c r="D801" i="34"/>
  <c r="D800" i="34"/>
  <c r="D799" i="34"/>
  <c r="D798" i="34"/>
  <c r="D797" i="34"/>
  <c r="D796" i="34"/>
  <c r="D795" i="34"/>
  <c r="D794" i="34"/>
  <c r="D793" i="34"/>
  <c r="D792" i="34"/>
  <c r="D791" i="34"/>
  <c r="D790" i="34"/>
  <c r="D789" i="34"/>
  <c r="D788" i="34"/>
  <c r="D787" i="34"/>
  <c r="D786" i="34"/>
  <c r="D785" i="34"/>
  <c r="D784" i="34"/>
  <c r="D783" i="34"/>
  <c r="D782" i="34"/>
  <c r="D781" i="34"/>
  <c r="D780" i="34"/>
  <c r="D779" i="34"/>
  <c r="D778" i="34"/>
  <c r="D777" i="34"/>
  <c r="D776" i="34"/>
  <c r="D775" i="34"/>
  <c r="D774" i="34"/>
  <c r="D773" i="34"/>
  <c r="D772" i="34"/>
  <c r="D771" i="34"/>
  <c r="D770" i="34"/>
  <c r="D769" i="34"/>
  <c r="D768" i="34"/>
  <c r="D767" i="34"/>
  <c r="D766" i="34"/>
  <c r="D765" i="34"/>
  <c r="D764" i="34"/>
  <c r="D763" i="34"/>
  <c r="D762" i="34"/>
  <c r="D761" i="34"/>
  <c r="D760" i="34"/>
  <c r="D759" i="34"/>
  <c r="D758" i="34"/>
  <c r="D757" i="34"/>
  <c r="D756" i="34"/>
  <c r="D755" i="34"/>
  <c r="D754" i="34"/>
  <c r="D753" i="34"/>
  <c r="D752" i="34"/>
  <c r="D751" i="34"/>
  <c r="D750" i="34"/>
  <c r="D749" i="34"/>
  <c r="D748" i="34"/>
  <c r="D747" i="34"/>
  <c r="D746" i="34"/>
  <c r="D745" i="34"/>
  <c r="D744" i="34"/>
  <c r="D743" i="34"/>
  <c r="D742" i="34"/>
  <c r="D741" i="34"/>
  <c r="D740" i="34"/>
  <c r="D739" i="34"/>
  <c r="D738" i="34"/>
  <c r="D737" i="34"/>
  <c r="D736" i="34"/>
  <c r="D735" i="34"/>
  <c r="D734" i="34"/>
  <c r="D733" i="34"/>
  <c r="D732" i="34"/>
  <c r="D731" i="34"/>
  <c r="D730" i="34"/>
  <c r="D729" i="34"/>
  <c r="D728" i="34"/>
  <c r="D727" i="34"/>
  <c r="D726" i="34"/>
  <c r="D725" i="34"/>
  <c r="D724" i="34"/>
  <c r="D723" i="34"/>
  <c r="D722" i="34"/>
  <c r="D721" i="34"/>
  <c r="D720" i="34"/>
  <c r="D719" i="34"/>
  <c r="D718" i="34"/>
  <c r="D717" i="34"/>
  <c r="D716" i="34"/>
  <c r="D715" i="34"/>
  <c r="D714" i="34"/>
  <c r="D713" i="34"/>
  <c r="D712" i="34"/>
  <c r="D711" i="34"/>
  <c r="D710" i="34"/>
  <c r="D709" i="34"/>
  <c r="D708" i="34"/>
  <c r="D707" i="34"/>
  <c r="D706" i="34"/>
  <c r="D705" i="34"/>
  <c r="D704" i="34"/>
  <c r="D703" i="34"/>
  <c r="D702" i="34"/>
  <c r="D701" i="34"/>
  <c r="D700" i="34"/>
  <c r="D699" i="34"/>
  <c r="D698" i="34"/>
  <c r="D697" i="34"/>
  <c r="D696" i="34"/>
  <c r="D695" i="34"/>
  <c r="D694" i="34"/>
  <c r="D693" i="34"/>
  <c r="D692" i="34"/>
  <c r="D691" i="34"/>
  <c r="D690" i="34"/>
  <c r="D689" i="34"/>
  <c r="D688" i="34"/>
  <c r="D687" i="34"/>
  <c r="D686" i="34"/>
  <c r="D685" i="34"/>
  <c r="D680" i="34" a="1"/>
  <c r="D680" i="34"/>
  <c r="D679" i="34" a="1"/>
  <c r="D679" i="34"/>
  <c r="D678" i="34" a="1"/>
  <c r="D678" i="34"/>
  <c r="D677" i="34" a="1"/>
  <c r="D677" i="34"/>
  <c r="D676" i="34" a="1"/>
  <c r="D676" i="34"/>
  <c r="D675" i="34" a="1"/>
  <c r="D675" i="34"/>
  <c r="D674" i="34" a="1"/>
  <c r="D674" i="34"/>
  <c r="D673" i="34" a="1"/>
  <c r="D673" i="34"/>
  <c r="D672" i="34" a="1"/>
  <c r="D672" i="34"/>
  <c r="D671" i="34" a="1"/>
  <c r="D671" i="34"/>
  <c r="D670" i="34" a="1"/>
  <c r="D670" i="34"/>
  <c r="D669" i="34" a="1"/>
  <c r="D669" i="34"/>
  <c r="D668" i="34" a="1"/>
  <c r="D668" i="34"/>
  <c r="D667" i="34" a="1"/>
  <c r="D667" i="34"/>
  <c r="D666" i="34" a="1"/>
  <c r="D666" i="34"/>
  <c r="D665" i="34" a="1"/>
  <c r="D665" i="34"/>
  <c r="D664" i="34" a="1"/>
  <c r="D664" i="34"/>
  <c r="D663" i="34" a="1"/>
  <c r="D663" i="34"/>
  <c r="D662" i="34" a="1"/>
  <c r="D662" i="34"/>
  <c r="D661" i="34" a="1"/>
  <c r="D661" i="34"/>
  <c r="D660" i="34" a="1"/>
  <c r="D660" i="34"/>
  <c r="D659" i="34" a="1"/>
  <c r="D659" i="34"/>
  <c r="D658" i="34" a="1"/>
  <c r="D658" i="34"/>
  <c r="D657" i="34" a="1"/>
  <c r="D657" i="34"/>
  <c r="D656" i="34" a="1"/>
  <c r="D656" i="34"/>
  <c r="D655" i="34" a="1"/>
  <c r="D655" i="34"/>
  <c r="D654" i="34" a="1"/>
  <c r="D654" i="34"/>
  <c r="D653" i="34" a="1"/>
  <c r="D653" i="34"/>
  <c r="D652" i="34" a="1"/>
  <c r="D652" i="34"/>
  <c r="D651" i="34" a="1"/>
  <c r="D651" i="34"/>
  <c r="D650" i="34" a="1"/>
  <c r="D650" i="34"/>
  <c r="D649" i="34" a="1"/>
  <c r="D649" i="34"/>
  <c r="D648" i="34" a="1"/>
  <c r="D648" i="34"/>
  <c r="D647" i="34" a="1"/>
  <c r="D647" i="34"/>
  <c r="D646" i="34" a="1"/>
  <c r="D646" i="34"/>
  <c r="D645" i="34" a="1"/>
  <c r="D645" i="34"/>
  <c r="D644" i="34" a="1"/>
  <c r="D644" i="34"/>
  <c r="D643" i="34" a="1"/>
  <c r="D643" i="34"/>
  <c r="D642" i="34" a="1"/>
  <c r="D642" i="34"/>
  <c r="D641" i="34" a="1"/>
  <c r="D641" i="34"/>
  <c r="D640" i="34" a="1"/>
  <c r="D640" i="34"/>
  <c r="D639" i="34" a="1"/>
  <c r="D639" i="34"/>
  <c r="D638" i="34" a="1"/>
  <c r="D638" i="34"/>
  <c r="D637" i="34" a="1"/>
  <c r="D637" i="34"/>
  <c r="D636" i="34" a="1"/>
  <c r="D636" i="34"/>
  <c r="D635" i="34" a="1"/>
  <c r="D635" i="34"/>
  <c r="D634" i="34" a="1"/>
  <c r="D634" i="34"/>
  <c r="D633" i="34" a="1"/>
  <c r="D633" i="34"/>
  <c r="D632" i="34" a="1"/>
  <c r="D632" i="34"/>
  <c r="D631" i="34" a="1"/>
  <c r="D631" i="34"/>
  <c r="D630" i="34" a="1"/>
  <c r="D630" i="34"/>
  <c r="D629" i="34" a="1"/>
  <c r="D629" i="34"/>
  <c r="D624" i="34"/>
  <c r="D623" i="34"/>
  <c r="D622" i="34"/>
  <c r="D621" i="34"/>
  <c r="D620" i="34"/>
  <c r="D619" i="34"/>
  <c r="D618" i="34"/>
  <c r="D617" i="34"/>
  <c r="D616" i="34"/>
  <c r="D615" i="34"/>
  <c r="D614" i="34"/>
  <c r="D613" i="34"/>
  <c r="D612" i="34"/>
  <c r="D611" i="34"/>
  <c r="D610" i="34"/>
  <c r="D609" i="34"/>
  <c r="D608" i="34"/>
  <c r="D607" i="34"/>
  <c r="D606" i="34"/>
  <c r="D605" i="34"/>
  <c r="D604" i="34"/>
  <c r="D603" i="34"/>
  <c r="D602" i="34"/>
  <c r="D601" i="34"/>
  <c r="D600" i="34"/>
  <c r="D599" i="34"/>
  <c r="D598" i="34"/>
  <c r="D597" i="34"/>
  <c r="D596" i="34"/>
  <c r="D595" i="34"/>
  <c r="D594" i="34"/>
  <c r="D593" i="34"/>
  <c r="D592" i="34"/>
  <c r="D591" i="34"/>
  <c r="D590" i="34"/>
  <c r="D589" i="34"/>
  <c r="D588" i="34"/>
  <c r="D587" i="34"/>
  <c r="D586" i="34"/>
  <c r="D585" i="34"/>
  <c r="D584" i="34"/>
  <c r="D583" i="34"/>
  <c r="D582" i="34"/>
  <c r="D581" i="34"/>
  <c r="D580" i="34"/>
  <c r="D579" i="34"/>
  <c r="D578" i="34"/>
  <c r="D577" i="34"/>
  <c r="D576" i="34"/>
  <c r="D575" i="34"/>
  <c r="D574" i="34"/>
  <c r="D573" i="34"/>
  <c r="D572" i="34"/>
  <c r="D571" i="34"/>
  <c r="D570" i="34"/>
  <c r="D569" i="34"/>
  <c r="D568" i="34"/>
  <c r="D567" i="34"/>
  <c r="D566" i="34"/>
  <c r="D565" i="34"/>
  <c r="D564" i="34"/>
  <c r="D563" i="34"/>
  <c r="D562" i="34"/>
  <c r="D561" i="34"/>
  <c r="D560" i="34"/>
  <c r="D559" i="34"/>
  <c r="D558" i="34"/>
  <c r="D557" i="34"/>
  <c r="D556" i="34"/>
  <c r="D555" i="34"/>
  <c r="D554" i="34"/>
  <c r="D553" i="34"/>
  <c r="D552" i="34"/>
  <c r="D551" i="34"/>
  <c r="D550" i="34"/>
  <c r="D549" i="34"/>
  <c r="D548" i="34"/>
  <c r="D547" i="34"/>
  <c r="D546" i="34"/>
  <c r="D545" i="34"/>
  <c r="D544" i="34"/>
  <c r="D543" i="34"/>
  <c r="D542" i="34"/>
  <c r="D541" i="34"/>
  <c r="D540" i="34"/>
  <c r="D539" i="34"/>
  <c r="D538" i="34"/>
  <c r="D537" i="34"/>
  <c r="D536" i="34"/>
  <c r="D535" i="34"/>
  <c r="D534" i="34"/>
  <c r="D533" i="34"/>
  <c r="D532" i="34"/>
  <c r="D531" i="34"/>
  <c r="D530" i="34"/>
  <c r="D529" i="34"/>
  <c r="D523" i="34"/>
  <c r="D522" i="34"/>
  <c r="D521" i="34"/>
  <c r="D520" i="34"/>
  <c r="D519" i="34"/>
  <c r="D518" i="34"/>
  <c r="D517" i="34"/>
  <c r="D516" i="34"/>
  <c r="D515" i="34"/>
  <c r="D514" i="34"/>
  <c r="D513" i="34"/>
  <c r="D512" i="34"/>
  <c r="D511" i="34"/>
  <c r="D510" i="34"/>
  <c r="D509" i="34"/>
  <c r="D508" i="34"/>
  <c r="D507" i="34"/>
  <c r="D506" i="34"/>
  <c r="D505" i="34"/>
  <c r="D504" i="34"/>
  <c r="D503" i="34"/>
  <c r="D502" i="34"/>
  <c r="D501" i="34"/>
  <c r="D500" i="34"/>
  <c r="D499" i="34"/>
  <c r="D498" i="34"/>
  <c r="D497" i="34"/>
  <c r="D496" i="34"/>
  <c r="D495" i="34"/>
  <c r="D494" i="34"/>
  <c r="D493" i="34"/>
  <c r="D492" i="34"/>
  <c r="D491" i="34"/>
  <c r="D490" i="34"/>
  <c r="D489" i="34"/>
  <c r="D488" i="34"/>
  <c r="D487" i="34"/>
  <c r="D486" i="34"/>
  <c r="D485" i="34"/>
  <c r="D484" i="34"/>
  <c r="D483" i="34"/>
  <c r="D482" i="34"/>
  <c r="D481" i="34"/>
  <c r="D480" i="34"/>
  <c r="D479" i="34"/>
  <c r="D478" i="34"/>
  <c r="D477" i="34"/>
  <c r="D476" i="34"/>
  <c r="D475" i="34"/>
  <c r="D474" i="34"/>
  <c r="D473" i="34"/>
  <c r="D472" i="34"/>
  <c r="D471" i="34"/>
  <c r="D470" i="34"/>
  <c r="D469" i="34"/>
  <c r="D468" i="34"/>
  <c r="D467" i="34"/>
  <c r="D466" i="34"/>
  <c r="D465" i="34"/>
  <c r="D464" i="34"/>
  <c r="D463" i="34"/>
  <c r="D462" i="34"/>
  <c r="D461" i="34"/>
  <c r="D460" i="34"/>
  <c r="D459" i="34"/>
  <c r="D458" i="34"/>
  <c r="D457" i="34"/>
  <c r="D456" i="34"/>
  <c r="D455" i="34"/>
  <c r="D454" i="34"/>
  <c r="D453" i="34"/>
  <c r="D452" i="34"/>
  <c r="D451" i="34"/>
  <c r="D450" i="34"/>
  <c r="D449" i="34"/>
  <c r="D448" i="34"/>
  <c r="D447" i="34"/>
  <c r="D446" i="34"/>
  <c r="D445" i="34"/>
  <c r="D444" i="34"/>
  <c r="D443" i="34"/>
  <c r="D442" i="34"/>
  <c r="D441" i="34"/>
  <c r="D440" i="34"/>
  <c r="D439" i="34"/>
  <c r="D438" i="34"/>
  <c r="D437" i="34"/>
  <c r="D436" i="34"/>
  <c r="D435" i="34"/>
  <c r="D434" i="34"/>
  <c r="D433" i="34"/>
  <c r="D432" i="34"/>
  <c r="D431" i="34"/>
  <c r="D430" i="34"/>
  <c r="D429" i="34"/>
  <c r="D428" i="34"/>
  <c r="D427" i="34"/>
  <c r="D426" i="34"/>
  <c r="D425" i="34"/>
  <c r="D424" i="34"/>
  <c r="D423" i="34"/>
  <c r="D422" i="34"/>
  <c r="D421" i="34"/>
  <c r="D420" i="34"/>
  <c r="D419" i="34"/>
  <c r="D418" i="34"/>
  <c r="D417" i="34"/>
  <c r="D416" i="34"/>
  <c r="D415" i="34"/>
  <c r="D414" i="34"/>
  <c r="D413" i="34"/>
  <c r="D412" i="34"/>
  <c r="D411" i="34"/>
  <c r="D410" i="34"/>
  <c r="D409" i="34"/>
  <c r="D408" i="34"/>
  <c r="D407" i="34"/>
  <c r="D406" i="34"/>
  <c r="D405" i="34"/>
  <c r="D404" i="34"/>
  <c r="D403" i="34"/>
  <c r="D402" i="34"/>
  <c r="D401" i="34"/>
  <c r="D400" i="34"/>
  <c r="D399" i="34"/>
  <c r="D398" i="34"/>
  <c r="D397" i="34"/>
  <c r="D396" i="34"/>
  <c r="D395" i="34"/>
  <c r="D394" i="34"/>
  <c r="D393" i="34"/>
  <c r="D392" i="34"/>
  <c r="D391" i="34"/>
  <c r="D390" i="34"/>
  <c r="D389" i="34"/>
  <c r="D388" i="34"/>
  <c r="D387" i="34"/>
  <c r="D386" i="34"/>
  <c r="D385" i="34"/>
  <c r="D384" i="34"/>
  <c r="D383" i="34"/>
  <c r="D382" i="34"/>
  <c r="D381" i="34"/>
  <c r="D380" i="34"/>
  <c r="D379" i="34"/>
  <c r="D378" i="34"/>
  <c r="D377" i="34"/>
  <c r="D376" i="34"/>
  <c r="D375" i="34"/>
  <c r="D374" i="34"/>
  <c r="D373" i="34"/>
  <c r="D372" i="34"/>
  <c r="D371" i="34"/>
  <c r="D370" i="34"/>
  <c r="D369" i="34"/>
  <c r="D368" i="34"/>
  <c r="D367" i="34"/>
  <c r="D366" i="34"/>
  <c r="D365" i="34"/>
  <c r="D364" i="34"/>
  <c r="D363" i="34"/>
  <c r="D362" i="34"/>
  <c r="D361" i="34"/>
  <c r="D360" i="34"/>
  <c r="D359" i="34"/>
  <c r="D358" i="34"/>
  <c r="D357" i="34"/>
  <c r="D356" i="34"/>
  <c r="D355" i="34"/>
  <c r="D354" i="34"/>
  <c r="D353" i="34"/>
  <c r="D352" i="34"/>
  <c r="D351" i="34"/>
  <c r="D350" i="34"/>
  <c r="D349" i="34"/>
  <c r="D348" i="34"/>
  <c r="D347" i="34"/>
  <c r="D346" i="34"/>
  <c r="D345" i="34"/>
  <c r="D344" i="34"/>
  <c r="D343" i="34"/>
  <c r="D342" i="34"/>
  <c r="D341" i="34"/>
  <c r="D340" i="34"/>
  <c r="D339" i="34"/>
  <c r="D338" i="34"/>
  <c r="D337" i="34"/>
  <c r="D336" i="34"/>
  <c r="D335" i="34"/>
  <c r="D334" i="34"/>
  <c r="D333" i="34"/>
  <c r="D332" i="34"/>
  <c r="D331" i="34"/>
  <c r="D330" i="34"/>
  <c r="D329" i="34"/>
  <c r="D328" i="34"/>
  <c r="D327" i="34"/>
  <c r="D326" i="34"/>
  <c r="D325" i="34"/>
  <c r="D324" i="34"/>
  <c r="D323" i="34"/>
  <c r="D322" i="34"/>
  <c r="D321" i="34"/>
  <c r="D320" i="34"/>
  <c r="D319" i="34"/>
  <c r="D318" i="34"/>
  <c r="D317" i="34"/>
  <c r="D316" i="34"/>
  <c r="D315" i="34"/>
  <c r="D314" i="34"/>
  <c r="D313" i="34"/>
  <c r="D312" i="34"/>
  <c r="D311" i="34"/>
  <c r="D310" i="34"/>
  <c r="D309" i="34"/>
  <c r="D308" i="34"/>
  <c r="D307" i="34"/>
  <c r="D306" i="34"/>
  <c r="D305" i="34"/>
  <c r="D304" i="34"/>
  <c r="D303" i="34"/>
  <c r="D302" i="34"/>
  <c r="D301" i="34"/>
  <c r="D300" i="34"/>
  <c r="D299" i="34"/>
  <c r="D298" i="34"/>
  <c r="D297" i="34"/>
  <c r="D296" i="34"/>
  <c r="D295" i="34"/>
  <c r="D294" i="34"/>
  <c r="D293" i="34"/>
  <c r="D292" i="34"/>
  <c r="D291" i="34"/>
  <c r="D290" i="34"/>
  <c r="D289" i="34"/>
  <c r="D288" i="34"/>
  <c r="D287" i="34"/>
  <c r="D286" i="34"/>
  <c r="D285" i="34"/>
  <c r="D284" i="34"/>
  <c r="D283" i="34"/>
  <c r="D282" i="34"/>
  <c r="D281" i="34"/>
  <c r="D280" i="34"/>
  <c r="D279" i="34"/>
  <c r="D278" i="34"/>
  <c r="D277" i="34"/>
  <c r="D276" i="34"/>
  <c r="D275" i="34"/>
  <c r="D274" i="34"/>
  <c r="D273" i="34"/>
  <c r="D272" i="34"/>
  <c r="D271" i="34"/>
  <c r="D270" i="34"/>
  <c r="D269" i="34"/>
  <c r="D268" i="34"/>
  <c r="D267" i="34"/>
  <c r="D266" i="34"/>
  <c r="D265" i="34"/>
  <c r="D264" i="34"/>
  <c r="D263" i="34"/>
  <c r="D262" i="34"/>
  <c r="D261" i="34"/>
  <c r="D260" i="34"/>
  <c r="C3" i="34"/>
  <c r="C2" i="34"/>
  <c r="H190" i="29"/>
  <c r="H189" i="29"/>
  <c r="H188" i="29"/>
  <c r="H187" i="29"/>
  <c r="H186" i="29"/>
  <c r="H185" i="29"/>
  <c r="H184" i="29"/>
  <c r="H183" i="29"/>
  <c r="H182" i="29"/>
  <c r="H181" i="29"/>
  <c r="H180" i="29"/>
  <c r="H179" i="29"/>
  <c r="H178" i="29"/>
  <c r="H177" i="29"/>
  <c r="H176" i="29"/>
  <c r="H175" i="29"/>
  <c r="H174" i="29"/>
  <c r="H173" i="29"/>
  <c r="H172" i="29"/>
  <c r="H171" i="29"/>
  <c r="H170" i="29"/>
  <c r="H169" i="29"/>
  <c r="H168" i="29"/>
  <c r="H167" i="29"/>
  <c r="H166" i="29"/>
  <c r="H165" i="29"/>
  <c r="H164" i="29"/>
  <c r="H163" i="29"/>
  <c r="H162" i="29"/>
  <c r="H161" i="29"/>
  <c r="H160" i="29"/>
  <c r="H159" i="29"/>
  <c r="H158" i="29"/>
  <c r="H157" i="29"/>
  <c r="H156" i="29"/>
  <c r="H155" i="29"/>
  <c r="H154" i="29"/>
  <c r="H153" i="29"/>
  <c r="H152" i="29"/>
  <c r="H151" i="29"/>
  <c r="H150" i="29"/>
  <c r="H149" i="29"/>
  <c r="H148" i="29"/>
  <c r="H147" i="29"/>
  <c r="H146" i="29"/>
  <c r="H145" i="29"/>
  <c r="H144" i="29"/>
  <c r="H143" i="29"/>
  <c r="H142" i="29"/>
  <c r="H141" i="29"/>
  <c r="H140" i="29"/>
  <c r="H139" i="29"/>
  <c r="H138" i="29"/>
  <c r="H137" i="29"/>
  <c r="H136" i="29"/>
  <c r="H135" i="29"/>
  <c r="H134" i="29"/>
  <c r="H133" i="29"/>
  <c r="H132" i="29"/>
  <c r="H131" i="29"/>
  <c r="H130" i="29"/>
  <c r="H129" i="29"/>
  <c r="H128" i="29"/>
  <c r="H127" i="29"/>
  <c r="H126" i="29"/>
  <c r="H125" i="29"/>
  <c r="H124" i="29"/>
  <c r="H123" i="29"/>
  <c r="H122" i="29"/>
  <c r="H121" i="29"/>
  <c r="H120" i="29"/>
  <c r="H119" i="29"/>
  <c r="H118" i="29"/>
  <c r="H117" i="29"/>
  <c r="H116" i="29"/>
  <c r="H115" i="29"/>
  <c r="H114" i="29"/>
  <c r="H113" i="29"/>
  <c r="H112" i="29"/>
  <c r="H111" i="29"/>
  <c r="H110" i="29"/>
  <c r="H109" i="29"/>
  <c r="H108" i="29"/>
  <c r="H107" i="29"/>
  <c r="H106" i="29"/>
  <c r="H105" i="29"/>
  <c r="H104" i="29"/>
  <c r="H103" i="29"/>
  <c r="H102" i="29"/>
  <c r="H101" i="29"/>
  <c r="F2583" i="34"/>
  <c r="H2577" i="34"/>
  <c r="F2577" i="34"/>
  <c r="F2576" i="34"/>
  <c r="F2575" i="34"/>
  <c r="F2574" i="34"/>
  <c r="F2566" i="34"/>
  <c r="H2559" i="34"/>
  <c r="F2559" i="34"/>
  <c r="F2551" i="34"/>
  <c r="H2548" i="34"/>
  <c r="F2548" i="34"/>
  <c r="X2469" i="34"/>
  <c r="V2469" i="34"/>
  <c r="U2469" i="34"/>
  <c r="T2469" i="34"/>
  <c r="X2398" i="34"/>
  <c r="V2398" i="34"/>
  <c r="U2398" i="34"/>
  <c r="T2398" i="34"/>
  <c r="X2301" i="34"/>
  <c r="V2301" i="34"/>
  <c r="U2301" i="34"/>
  <c r="T2301" i="34"/>
  <c r="Q2299" i="34"/>
  <c r="G2296" i="34"/>
  <c r="D9" i="34"/>
  <c r="E9" i="34"/>
  <c r="E10" i="34"/>
  <c r="E11" i="34"/>
  <c r="E12" i="34"/>
  <c r="D13" i="34"/>
  <c r="E13" i="34"/>
  <c r="E14" i="34"/>
  <c r="E15" i="34"/>
  <c r="E16" i="34"/>
  <c r="E17" i="34"/>
  <c r="E18" i="34"/>
  <c r="E19" i="34"/>
  <c r="E20" i="34"/>
  <c r="E21" i="34"/>
  <c r="E22" i="34"/>
  <c r="E23" i="34"/>
  <c r="E24" i="34"/>
  <c r="E25" i="34"/>
  <c r="E26" i="34"/>
  <c r="E27" i="34"/>
  <c r="E28" i="34"/>
  <c r="E29" i="34"/>
  <c r="E30" i="34"/>
  <c r="E31" i="34"/>
  <c r="E32" i="34"/>
  <c r="E33" i="34"/>
  <c r="E34" i="34"/>
  <c r="D35" i="34"/>
  <c r="E35" i="34"/>
  <c r="E36" i="34"/>
  <c r="E37" i="34"/>
  <c r="E38" i="34"/>
  <c r="E39" i="34"/>
  <c r="E40" i="34"/>
  <c r="E41" i="34"/>
  <c r="E42" i="34"/>
  <c r="E43" i="34"/>
  <c r="E44" i="34"/>
  <c r="E45" i="34"/>
  <c r="E46" i="34"/>
  <c r="E47" i="34"/>
  <c r="E48" i="34"/>
  <c r="E49" i="34"/>
  <c r="E50" i="34"/>
  <c r="E51" i="34"/>
  <c r="E52" i="34"/>
  <c r="E53" i="34"/>
  <c r="E54" i="34"/>
  <c r="E56" i="34"/>
  <c r="E57" i="34"/>
  <c r="E59" i="34"/>
  <c r="E60" i="34"/>
  <c r="E61" i="34"/>
  <c r="E62" i="34"/>
  <c r="E63" i="34"/>
  <c r="E64" i="34"/>
  <c r="E65" i="34"/>
  <c r="E66" i="34"/>
  <c r="E67" i="34"/>
  <c r="E68" i="34"/>
  <c r="E69" i="34"/>
  <c r="E70" i="34"/>
  <c r="E71" i="34"/>
  <c r="E72" i="34"/>
  <c r="E73" i="34"/>
  <c r="E74" i="34"/>
  <c r="E76" i="34"/>
  <c r="E77" i="34"/>
  <c r="E79" i="34"/>
  <c r="E80" i="34"/>
  <c r="E81" i="34"/>
  <c r="E82" i="34"/>
  <c r="E83" i="34"/>
  <c r="E84" i="34"/>
  <c r="E85" i="34"/>
  <c r="E86" i="34"/>
  <c r="E87" i="34"/>
  <c r="E88" i="34"/>
  <c r="E89" i="34"/>
  <c r="E90" i="34"/>
  <c r="E91" i="34"/>
  <c r="E92" i="34"/>
  <c r="E93" i="34"/>
  <c r="E94" i="34"/>
  <c r="E96" i="34"/>
  <c r="E97" i="34"/>
  <c r="E99" i="34"/>
  <c r="E100" i="34"/>
  <c r="E101" i="34"/>
  <c r="E102" i="34"/>
  <c r="E103" i="34"/>
  <c r="E104" i="34"/>
  <c r="E105" i="34"/>
  <c r="E106" i="34"/>
  <c r="E107" i="34"/>
  <c r="E108" i="34"/>
  <c r="E109" i="34"/>
  <c r="E110" i="34"/>
  <c r="E111" i="34"/>
  <c r="E112" i="34"/>
  <c r="E113" i="34"/>
  <c r="E114" i="34"/>
  <c r="F9" i="34"/>
  <c r="F10" i="34"/>
  <c r="F11" i="34"/>
  <c r="F12" i="34"/>
  <c r="F13" i="34"/>
  <c r="F14" i="34"/>
  <c r="F15" i="34"/>
  <c r="F16" i="34"/>
  <c r="F17" i="34"/>
  <c r="F18" i="34"/>
  <c r="F19" i="34"/>
  <c r="F20" i="34"/>
  <c r="F21" i="34"/>
  <c r="F22" i="34"/>
  <c r="F23" i="34"/>
  <c r="F24" i="34"/>
  <c r="F25" i="34"/>
  <c r="F26" i="34"/>
  <c r="F27" i="34"/>
  <c r="F28" i="34"/>
  <c r="F29" i="34"/>
  <c r="F30" i="34"/>
  <c r="F31" i="34"/>
  <c r="F32" i="34"/>
  <c r="F33" i="34"/>
  <c r="F34" i="34"/>
  <c r="F35" i="34"/>
  <c r="F36" i="34"/>
  <c r="F37" i="34"/>
  <c r="F38" i="34"/>
  <c r="F39" i="34"/>
  <c r="F40" i="34"/>
  <c r="F41" i="34"/>
  <c r="F42" i="34"/>
  <c r="F43" i="34"/>
  <c r="F44" i="34"/>
  <c r="F45" i="34"/>
  <c r="F46" i="34"/>
  <c r="F47" i="34"/>
  <c r="F48" i="34"/>
  <c r="F49" i="34"/>
  <c r="F50" i="34"/>
  <c r="F51" i="34"/>
  <c r="F52" i="34"/>
  <c r="F53" i="34"/>
  <c r="F54" i="34"/>
  <c r="F55" i="34"/>
  <c r="F56" i="34"/>
  <c r="F57" i="34"/>
  <c r="F58" i="34"/>
  <c r="F59" i="34"/>
  <c r="F60" i="34"/>
  <c r="F61" i="34"/>
  <c r="F62" i="34"/>
  <c r="F63" i="34"/>
  <c r="F64" i="34"/>
  <c r="F65" i="34"/>
  <c r="F66" i="34"/>
  <c r="F67" i="34"/>
  <c r="F68" i="34"/>
  <c r="F69" i="34"/>
  <c r="F70" i="34"/>
  <c r="F71" i="34"/>
  <c r="F72" i="34"/>
  <c r="F73" i="34"/>
  <c r="F74" i="34"/>
  <c r="F75" i="34"/>
  <c r="F76" i="34"/>
  <c r="F77" i="34"/>
  <c r="F78" i="34"/>
  <c r="F79" i="34"/>
  <c r="F80" i="34"/>
  <c r="F81" i="34"/>
  <c r="F82" i="34"/>
  <c r="F83" i="34"/>
  <c r="F84" i="34"/>
  <c r="F85" i="34"/>
  <c r="F86" i="34"/>
  <c r="F87" i="34"/>
  <c r="F88" i="34"/>
  <c r="F89" i="34"/>
  <c r="F90" i="34"/>
  <c r="F91" i="34"/>
  <c r="F92" i="34"/>
  <c r="F93" i="34"/>
  <c r="F94" i="34"/>
  <c r="D95" i="34"/>
  <c r="F95" i="34"/>
  <c r="F96" i="34"/>
  <c r="F97" i="34"/>
  <c r="F98" i="34"/>
  <c r="F99" i="34"/>
  <c r="F100" i="34"/>
  <c r="F101" i="34"/>
  <c r="F102" i="34"/>
  <c r="F103" i="34"/>
  <c r="F104" i="34"/>
  <c r="F105" i="34"/>
  <c r="F106" i="34"/>
  <c r="F107" i="34"/>
  <c r="F108" i="34"/>
  <c r="F109" i="34"/>
  <c r="F110" i="34"/>
  <c r="F111" i="34"/>
  <c r="F112" i="34"/>
  <c r="F113" i="34"/>
  <c r="F114" i="34"/>
  <c r="E2296" i="34"/>
  <c r="Q1031" i="34"/>
  <c r="Q2296" i="34" a="1"/>
  <c r="Q2296" i="34"/>
  <c r="P1030" i="34"/>
  <c r="P1031" i="34"/>
  <c r="P1029" i="34"/>
  <c r="P2296" i="34" a="1"/>
  <c r="P2296" i="34"/>
  <c r="O1030" i="34"/>
  <c r="O1031" i="34"/>
  <c r="O1029" i="34"/>
  <c r="O2296" i="34" a="1"/>
  <c r="O2296" i="34"/>
  <c r="N1030" i="34"/>
  <c r="N1031" i="34"/>
  <c r="N1029" i="34"/>
  <c r="N2296" i="34" a="1"/>
  <c r="N2296" i="34"/>
  <c r="M1030" i="34"/>
  <c r="M1031" i="34"/>
  <c r="M1029" i="34"/>
  <c r="M2296" i="34" a="1"/>
  <c r="M2296" i="34"/>
  <c r="L2296" i="34" a="1"/>
  <c r="L2296" i="34"/>
  <c r="K2296" i="34" a="1"/>
  <c r="K2296" i="34"/>
  <c r="J2296" i="34" a="1"/>
  <c r="J2296" i="34"/>
  <c r="I2296" i="34" a="1"/>
  <c r="I2296" i="34"/>
  <c r="G2295" i="34"/>
  <c r="E2295" i="34"/>
  <c r="Q2295" i="34" a="1"/>
  <c r="Q2295" i="34"/>
  <c r="P2295" i="34" a="1"/>
  <c r="P2295" i="34"/>
  <c r="O2295" i="34" a="1"/>
  <c r="O2295" i="34"/>
  <c r="N2295" i="34" a="1"/>
  <c r="N2295" i="34"/>
  <c r="M2295" i="34" a="1"/>
  <c r="M2295" i="34"/>
  <c r="L2295" i="34" a="1"/>
  <c r="L2295" i="34"/>
  <c r="K2295" i="34" a="1"/>
  <c r="K2295" i="34"/>
  <c r="J2295" i="34" a="1"/>
  <c r="J2295" i="34"/>
  <c r="I2295" i="34" a="1"/>
  <c r="I2295" i="34"/>
  <c r="G2294" i="34"/>
  <c r="E2294" i="34"/>
  <c r="Q1027" i="34"/>
  <c r="Q2294" i="34" a="1"/>
  <c r="Q2294" i="34"/>
  <c r="P1026" i="34"/>
  <c r="P1027" i="34"/>
  <c r="P1025" i="34"/>
  <c r="P2294" i="34" a="1"/>
  <c r="P2294" i="34"/>
  <c r="O1026" i="34"/>
  <c r="O1027" i="34"/>
  <c r="O1025" i="34"/>
  <c r="O2294" i="34" a="1"/>
  <c r="O2294" i="34"/>
  <c r="N1026" i="34"/>
  <c r="N1027" i="34"/>
  <c r="N1025" i="34"/>
  <c r="N2294" i="34" a="1"/>
  <c r="N2294" i="34"/>
  <c r="M1026" i="34"/>
  <c r="M1027" i="34"/>
  <c r="M1025" i="34"/>
  <c r="M2294" i="34" a="1"/>
  <c r="M2294" i="34"/>
  <c r="L2294" i="34" a="1"/>
  <c r="L2294" i="34"/>
  <c r="K2294" i="34" a="1"/>
  <c r="K2294" i="34"/>
  <c r="J2294" i="34" a="1"/>
  <c r="J2294" i="34"/>
  <c r="I2294" i="34" a="1"/>
  <c r="I2294" i="34"/>
  <c r="G2293" i="34"/>
  <c r="E2293" i="34"/>
  <c r="Q1023" i="34"/>
  <c r="Q2293" i="34" a="1"/>
  <c r="Q2293" i="34"/>
  <c r="P1022" i="34"/>
  <c r="P1023" i="34"/>
  <c r="P1021" i="34"/>
  <c r="P2293" i="34" a="1"/>
  <c r="P2293" i="34"/>
  <c r="O1022" i="34"/>
  <c r="O1023" i="34"/>
  <c r="O1021" i="34"/>
  <c r="O2293" i="34" a="1"/>
  <c r="O2293" i="34"/>
  <c r="N1022" i="34"/>
  <c r="N1023" i="34"/>
  <c r="N1021" i="34"/>
  <c r="N2293" i="34" a="1"/>
  <c r="N2293" i="34"/>
  <c r="M1022" i="34"/>
  <c r="M1023" i="34"/>
  <c r="M1021" i="34"/>
  <c r="M2293" i="34" a="1"/>
  <c r="M2293" i="34"/>
  <c r="L2293" i="34" a="1"/>
  <c r="L2293" i="34"/>
  <c r="K2293" i="34" a="1"/>
  <c r="K2293" i="34"/>
  <c r="J2293" i="34" a="1"/>
  <c r="J2293" i="34"/>
  <c r="I2293" i="34" a="1"/>
  <c r="I2293" i="34"/>
  <c r="G2292" i="34"/>
  <c r="E2292" i="34"/>
  <c r="Q1019" i="34"/>
  <c r="Q2292" i="34" a="1"/>
  <c r="Q2292" i="34"/>
  <c r="P1018" i="34"/>
  <c r="P1019" i="34"/>
  <c r="P1017" i="34"/>
  <c r="P2292" i="34" a="1"/>
  <c r="P2292" i="34"/>
  <c r="O1018" i="34"/>
  <c r="O1019" i="34"/>
  <c r="O1017" i="34"/>
  <c r="O2292" i="34" a="1"/>
  <c r="O2292" i="34"/>
  <c r="N1018" i="34"/>
  <c r="N1019" i="34"/>
  <c r="N1017" i="34"/>
  <c r="N2292" i="34" a="1"/>
  <c r="N2292" i="34"/>
  <c r="M1018" i="34"/>
  <c r="M1019" i="34"/>
  <c r="M1017" i="34"/>
  <c r="M2292" i="34" a="1"/>
  <c r="M2292" i="34"/>
  <c r="L2292" i="34" a="1"/>
  <c r="L2292" i="34"/>
  <c r="K2292" i="34" a="1"/>
  <c r="K2292" i="34"/>
  <c r="J2292" i="34" a="1"/>
  <c r="J2292" i="34"/>
  <c r="I2292" i="34" a="1"/>
  <c r="I2292" i="34"/>
  <c r="G2291" i="34"/>
  <c r="E2291" i="34"/>
  <c r="Q1015" i="34"/>
  <c r="Q2291" i="34" a="1"/>
  <c r="Q2291" i="34"/>
  <c r="P1014" i="34"/>
  <c r="P1015" i="34"/>
  <c r="P1013" i="34"/>
  <c r="P2291" i="34" a="1"/>
  <c r="P2291" i="34"/>
  <c r="O1014" i="34"/>
  <c r="O1015" i="34"/>
  <c r="O1013" i="34"/>
  <c r="O2291" i="34" a="1"/>
  <c r="O2291" i="34"/>
  <c r="N1014" i="34"/>
  <c r="N1015" i="34"/>
  <c r="N1013" i="34"/>
  <c r="N2291" i="34" a="1"/>
  <c r="N2291" i="34"/>
  <c r="M1014" i="34"/>
  <c r="M1015" i="34"/>
  <c r="M1013" i="34"/>
  <c r="M2291" i="34" a="1"/>
  <c r="M2291" i="34"/>
  <c r="L2291" i="34" a="1"/>
  <c r="L2291" i="34"/>
  <c r="K2291" i="34" a="1"/>
  <c r="K2291" i="34"/>
  <c r="J2291" i="34" a="1"/>
  <c r="J2291" i="34"/>
  <c r="I2291" i="34" a="1"/>
  <c r="I2291" i="34"/>
  <c r="G2290" i="34"/>
  <c r="E2290" i="34"/>
  <c r="Q1011" i="34"/>
  <c r="Q2290" i="34" a="1"/>
  <c r="Q2290" i="34"/>
  <c r="P1010" i="34"/>
  <c r="P1011" i="34"/>
  <c r="P1009" i="34"/>
  <c r="P2290" i="34" a="1"/>
  <c r="P2290" i="34"/>
  <c r="O1010" i="34"/>
  <c r="O1011" i="34"/>
  <c r="O1009" i="34"/>
  <c r="O2290" i="34" a="1"/>
  <c r="O2290" i="34"/>
  <c r="N1010" i="34"/>
  <c r="N1011" i="34"/>
  <c r="N1009" i="34"/>
  <c r="N2290" i="34" a="1"/>
  <c r="N2290" i="34"/>
  <c r="M1010" i="34"/>
  <c r="M1011" i="34"/>
  <c r="M1009" i="34"/>
  <c r="M2290" i="34" a="1"/>
  <c r="M2290" i="34"/>
  <c r="L2290" i="34" a="1"/>
  <c r="L2290" i="34"/>
  <c r="K2290" i="34" a="1"/>
  <c r="K2290" i="34"/>
  <c r="J2290" i="34" a="1"/>
  <c r="J2290" i="34"/>
  <c r="I2290" i="34" a="1"/>
  <c r="I2290" i="34"/>
  <c r="G2289" i="34"/>
  <c r="E2289" i="34"/>
  <c r="Q2289" i="34" a="1"/>
  <c r="Q2289" i="34"/>
  <c r="P2289" i="34" a="1"/>
  <c r="P2289" i="34"/>
  <c r="O2289" i="34" a="1"/>
  <c r="O2289" i="34"/>
  <c r="N2289" i="34" a="1"/>
  <c r="N2289" i="34"/>
  <c r="M2289" i="34" a="1"/>
  <c r="M2289" i="34"/>
  <c r="L2289" i="34" a="1"/>
  <c r="L2289" i="34"/>
  <c r="K2289" i="34" a="1"/>
  <c r="K2289" i="34"/>
  <c r="J2289" i="34" a="1"/>
  <c r="J2289" i="34"/>
  <c r="I2289" i="34" a="1"/>
  <c r="I2289" i="34"/>
  <c r="G2288" i="34"/>
  <c r="E2288" i="34"/>
  <c r="Q2288" i="34" a="1"/>
  <c r="Q2288" i="34"/>
  <c r="P2288" i="34" a="1"/>
  <c r="P2288" i="34"/>
  <c r="O2288" i="34" a="1"/>
  <c r="O2288" i="34"/>
  <c r="N2288" i="34" a="1"/>
  <c r="N2288" i="34"/>
  <c r="M2288" i="34" a="1"/>
  <c r="M2288" i="34"/>
  <c r="L2288" i="34" a="1"/>
  <c r="L2288" i="34"/>
  <c r="K2288" i="34" a="1"/>
  <c r="K2288" i="34"/>
  <c r="J2288" i="34" a="1"/>
  <c r="J2288" i="34"/>
  <c r="I2288" i="34" a="1"/>
  <c r="I2288" i="34"/>
  <c r="G2287" i="34"/>
  <c r="E2287" i="34"/>
  <c r="Q2287" i="34" a="1"/>
  <c r="Q2287" i="34"/>
  <c r="P2287" i="34" a="1"/>
  <c r="P2287" i="34"/>
  <c r="O2287" i="34" a="1"/>
  <c r="O2287" i="34"/>
  <c r="N2287" i="34" a="1"/>
  <c r="N2287" i="34"/>
  <c r="M2287" i="34" a="1"/>
  <c r="M2287" i="34"/>
  <c r="L2287" i="34" a="1"/>
  <c r="L2287" i="34"/>
  <c r="K2287" i="34" a="1"/>
  <c r="K2287" i="34"/>
  <c r="J2287" i="34" a="1"/>
  <c r="J2287" i="34"/>
  <c r="I2287" i="34" a="1"/>
  <c r="I2287" i="34"/>
  <c r="G2286" i="34"/>
  <c r="E2286" i="34"/>
  <c r="Q995" i="34"/>
  <c r="Q2286" i="34" a="1"/>
  <c r="Q2286" i="34"/>
  <c r="P994" i="34"/>
  <c r="P995" i="34"/>
  <c r="P993" i="34"/>
  <c r="P2286" i="34" a="1"/>
  <c r="P2286" i="34"/>
  <c r="O994" i="34"/>
  <c r="O995" i="34"/>
  <c r="O993" i="34"/>
  <c r="O2286" i="34" a="1"/>
  <c r="O2286" i="34"/>
  <c r="N994" i="34"/>
  <c r="N995" i="34"/>
  <c r="N993" i="34"/>
  <c r="N2286" i="34" a="1"/>
  <c r="N2286" i="34"/>
  <c r="M994" i="34"/>
  <c r="M995" i="34"/>
  <c r="M993" i="34"/>
  <c r="M2286" i="34" a="1"/>
  <c r="M2286" i="34"/>
  <c r="L2286" i="34" a="1"/>
  <c r="L2286" i="34"/>
  <c r="K2286" i="34" a="1"/>
  <c r="K2286" i="34"/>
  <c r="J2286" i="34" a="1"/>
  <c r="J2286" i="34"/>
  <c r="I2286" i="34" a="1"/>
  <c r="I2286" i="34"/>
  <c r="G2285" i="34"/>
  <c r="E2285" i="34"/>
  <c r="Q2285" i="34" a="1"/>
  <c r="Q2285" i="34"/>
  <c r="P2285" i="34" a="1"/>
  <c r="P2285" i="34"/>
  <c r="O2285" i="34" a="1"/>
  <c r="O2285" i="34"/>
  <c r="N2285" i="34" a="1"/>
  <c r="N2285" i="34"/>
  <c r="M2285" i="34" a="1"/>
  <c r="M2285" i="34"/>
  <c r="L2285" i="34" a="1"/>
  <c r="L2285" i="34"/>
  <c r="K2285" i="34" a="1"/>
  <c r="K2285" i="34"/>
  <c r="J2285" i="34" a="1"/>
  <c r="J2285" i="34"/>
  <c r="I2285" i="34" a="1"/>
  <c r="I2285" i="34"/>
  <c r="G2284" i="34"/>
  <c r="E2284" i="34"/>
  <c r="Q991" i="34"/>
  <c r="Q2284" i="34" a="1"/>
  <c r="Q2284" i="34"/>
  <c r="P990" i="34"/>
  <c r="P991" i="34"/>
  <c r="P989" i="34"/>
  <c r="P2284" i="34" a="1"/>
  <c r="P2284" i="34"/>
  <c r="O990" i="34"/>
  <c r="O991" i="34"/>
  <c r="O989" i="34"/>
  <c r="O2284" i="34" a="1"/>
  <c r="O2284" i="34"/>
  <c r="N990" i="34"/>
  <c r="N991" i="34"/>
  <c r="N989" i="34"/>
  <c r="N2284" i="34" a="1"/>
  <c r="N2284" i="34"/>
  <c r="M990" i="34"/>
  <c r="M991" i="34"/>
  <c r="M989" i="34"/>
  <c r="M2284" i="34" a="1"/>
  <c r="M2284" i="34"/>
  <c r="L2284" i="34" a="1"/>
  <c r="L2284" i="34"/>
  <c r="K2284" i="34" a="1"/>
  <c r="K2284" i="34"/>
  <c r="J2284" i="34" a="1"/>
  <c r="J2284" i="34"/>
  <c r="I2284" i="34" a="1"/>
  <c r="I2284" i="34"/>
  <c r="G2283" i="34"/>
  <c r="E2283" i="34"/>
  <c r="Q987" i="34"/>
  <c r="Q2283" i="34" a="1"/>
  <c r="Q2283" i="34"/>
  <c r="P986" i="34"/>
  <c r="P987" i="34"/>
  <c r="P985" i="34"/>
  <c r="P2283" i="34" a="1"/>
  <c r="P2283" i="34"/>
  <c r="O986" i="34"/>
  <c r="O987" i="34"/>
  <c r="O985" i="34"/>
  <c r="O2283" i="34" a="1"/>
  <c r="O2283" i="34"/>
  <c r="N986" i="34"/>
  <c r="N987" i="34"/>
  <c r="N985" i="34"/>
  <c r="N2283" i="34" a="1"/>
  <c r="N2283" i="34"/>
  <c r="M986" i="34"/>
  <c r="M987" i="34"/>
  <c r="M985" i="34"/>
  <c r="M2283" i="34" a="1"/>
  <c r="M2283" i="34"/>
  <c r="L2283" i="34" a="1"/>
  <c r="L2283" i="34"/>
  <c r="K2283" i="34" a="1"/>
  <c r="K2283" i="34"/>
  <c r="J2283" i="34" a="1"/>
  <c r="J2283" i="34"/>
  <c r="I2283" i="34" a="1"/>
  <c r="I2283" i="34"/>
  <c r="G2282" i="34"/>
  <c r="E2282" i="34"/>
  <c r="Q983" i="34"/>
  <c r="Q2282" i="34" a="1"/>
  <c r="Q2282" i="34"/>
  <c r="P982" i="34"/>
  <c r="P983" i="34"/>
  <c r="P981" i="34"/>
  <c r="P2282" i="34" a="1"/>
  <c r="P2282" i="34"/>
  <c r="O982" i="34"/>
  <c r="O983" i="34"/>
  <c r="O981" i="34"/>
  <c r="O2282" i="34" a="1"/>
  <c r="O2282" i="34"/>
  <c r="N982" i="34"/>
  <c r="N983" i="34"/>
  <c r="N981" i="34"/>
  <c r="N2282" i="34" a="1"/>
  <c r="N2282" i="34"/>
  <c r="M982" i="34"/>
  <c r="M983" i="34"/>
  <c r="M981" i="34"/>
  <c r="M2282" i="34" a="1"/>
  <c r="M2282" i="34"/>
  <c r="L2282" i="34" a="1"/>
  <c r="L2282" i="34"/>
  <c r="K2282" i="34" a="1"/>
  <c r="K2282" i="34"/>
  <c r="J2282" i="34" a="1"/>
  <c r="J2282" i="34"/>
  <c r="I2282" i="34" a="1"/>
  <c r="I2282" i="34"/>
  <c r="X2281" i="34"/>
  <c r="V2281" i="34"/>
  <c r="U2281" i="34"/>
  <c r="T2281" i="34"/>
  <c r="X2236" i="34"/>
  <c r="V2236" i="34"/>
  <c r="U2236" i="34"/>
  <c r="T2236" i="34"/>
  <c r="X2166" i="34"/>
  <c r="V2166" i="34"/>
  <c r="U2166" i="34"/>
  <c r="T2166" i="34"/>
  <c r="X2165" i="34"/>
  <c r="V2165" i="34"/>
  <c r="U2165" i="34"/>
  <c r="T2165" i="34"/>
  <c r="X2069" i="34"/>
  <c r="V2069" i="34"/>
  <c r="U2069" i="34"/>
  <c r="T2069" i="34"/>
  <c r="Q2066" i="34"/>
  <c r="G2063" i="34"/>
  <c r="E2063" i="34"/>
  <c r="Q689" i="34"/>
  <c r="Q690" i="34"/>
  <c r="Q691" i="34"/>
  <c r="Q692" i="34"/>
  <c r="Q693" i="34"/>
  <c r="Q694" i="34"/>
  <c r="Q695" i="34"/>
  <c r="Q696" i="34"/>
  <c r="Q697" i="34"/>
  <c r="Q698" i="34"/>
  <c r="Q699" i="34"/>
  <c r="Q700" i="34"/>
  <c r="Q701" i="34"/>
  <c r="Q702" i="34"/>
  <c r="Q703" i="34"/>
  <c r="Q704" i="34"/>
  <c r="Q709" i="34"/>
  <c r="Q710" i="34"/>
  <c r="Q711" i="34"/>
  <c r="Q712" i="34"/>
  <c r="Q713" i="34"/>
  <c r="Q714" i="34"/>
  <c r="Q715" i="34"/>
  <c r="Q716" i="34"/>
  <c r="Q717" i="34"/>
  <c r="Q718" i="34"/>
  <c r="Q719" i="34"/>
  <c r="Q720" i="34"/>
  <c r="Q721" i="34"/>
  <c r="Q722" i="34"/>
  <c r="Q723" i="34"/>
  <c r="Q724" i="34"/>
  <c r="Q749" i="34"/>
  <c r="Q750" i="34"/>
  <c r="Q751" i="34"/>
  <c r="Q752" i="34"/>
  <c r="Q753" i="34"/>
  <c r="Q754" i="34"/>
  <c r="Q755" i="34"/>
  <c r="Q756" i="34"/>
  <c r="Q757" i="34"/>
  <c r="Q758" i="34"/>
  <c r="Q759" i="34"/>
  <c r="Q760" i="34"/>
  <c r="Q761" i="34"/>
  <c r="Q762" i="34"/>
  <c r="Q763" i="34"/>
  <c r="Q764" i="34"/>
  <c r="Q2063" i="34" a="1"/>
  <c r="Q2063" i="34"/>
  <c r="P2063" i="34" a="1"/>
  <c r="P2063" i="34"/>
  <c r="O2063" i="34" a="1"/>
  <c r="O2063" i="34"/>
  <c r="N2063" i="34" a="1"/>
  <c r="N2063" i="34"/>
  <c r="M2063" i="34" a="1"/>
  <c r="M2063" i="34"/>
  <c r="L2063" i="34" a="1"/>
  <c r="L2063" i="34"/>
  <c r="K2063" i="34" a="1"/>
  <c r="K2063" i="34"/>
  <c r="J2063" i="34" a="1"/>
  <c r="J2063" i="34"/>
  <c r="I2063" i="34" a="1"/>
  <c r="I2063" i="34"/>
  <c r="G2062" i="34"/>
  <c r="E2062" i="34"/>
  <c r="Q2062" i="34" a="1"/>
  <c r="Q2062" i="34"/>
  <c r="P782" i="34"/>
  <c r="P783" i="34"/>
  <c r="P781" i="34"/>
  <c r="P2062" i="34" a="1"/>
  <c r="P2062" i="34"/>
  <c r="O782" i="34"/>
  <c r="O783" i="34"/>
  <c r="O781" i="34"/>
  <c r="O2062" i="34" a="1"/>
  <c r="O2062" i="34"/>
  <c r="N782" i="34"/>
  <c r="N783" i="34"/>
  <c r="N781" i="34"/>
  <c r="N2062" i="34" a="1"/>
  <c r="N2062" i="34"/>
  <c r="M782" i="34"/>
  <c r="M783" i="34"/>
  <c r="M781" i="34"/>
  <c r="M2062" i="34" a="1"/>
  <c r="M2062" i="34"/>
  <c r="L782" i="34"/>
  <c r="L783" i="34"/>
  <c r="L781" i="34"/>
  <c r="L2062" i="34" a="1"/>
  <c r="L2062" i="34"/>
  <c r="K782" i="34"/>
  <c r="K783" i="34"/>
  <c r="K781" i="34"/>
  <c r="K2062" i="34" a="1"/>
  <c r="K2062" i="34"/>
  <c r="J782" i="34"/>
  <c r="J783" i="34"/>
  <c r="J781" i="34"/>
  <c r="J2062" i="34" a="1"/>
  <c r="J2062" i="34"/>
  <c r="I2062" i="34" a="1"/>
  <c r="I2062" i="34"/>
  <c r="G2061" i="34"/>
  <c r="E2061" i="34"/>
  <c r="Q2061" i="34" a="1"/>
  <c r="Q2061" i="34"/>
  <c r="P778" i="34"/>
  <c r="P779" i="34"/>
  <c r="P777" i="34"/>
  <c r="P2061" i="34" a="1"/>
  <c r="P2061" i="34"/>
  <c r="O778" i="34"/>
  <c r="O779" i="34"/>
  <c r="O777" i="34"/>
  <c r="O2061" i="34" a="1"/>
  <c r="O2061" i="34"/>
  <c r="N778" i="34"/>
  <c r="N779" i="34"/>
  <c r="N777" i="34"/>
  <c r="N2061" i="34" a="1"/>
  <c r="N2061" i="34"/>
  <c r="M778" i="34"/>
  <c r="M779" i="34"/>
  <c r="M777" i="34"/>
  <c r="M2061" i="34" a="1"/>
  <c r="M2061" i="34"/>
  <c r="L778" i="34"/>
  <c r="L779" i="34"/>
  <c r="L777" i="34"/>
  <c r="L2061" i="34" a="1"/>
  <c r="L2061" i="34"/>
  <c r="K778" i="34"/>
  <c r="K779" i="34"/>
  <c r="K777" i="34"/>
  <c r="K2061" i="34" a="1"/>
  <c r="K2061" i="34"/>
  <c r="J778" i="34"/>
  <c r="J779" i="34"/>
  <c r="J777" i="34"/>
  <c r="J2061" i="34" a="1"/>
  <c r="J2061" i="34"/>
  <c r="I2061" i="34" a="1"/>
  <c r="I2061" i="34"/>
  <c r="G2060" i="34"/>
  <c r="E2060" i="34"/>
  <c r="Q2060" i="34" a="1"/>
  <c r="Q2060" i="34"/>
  <c r="P774" i="34"/>
  <c r="P775" i="34"/>
  <c r="P773" i="34"/>
  <c r="P2060" i="34" a="1"/>
  <c r="P2060" i="34"/>
  <c r="O774" i="34"/>
  <c r="O775" i="34"/>
  <c r="O773" i="34"/>
  <c r="O2060" i="34" a="1"/>
  <c r="O2060" i="34"/>
  <c r="N774" i="34"/>
  <c r="N775" i="34"/>
  <c r="N773" i="34"/>
  <c r="N2060" i="34" a="1"/>
  <c r="N2060" i="34"/>
  <c r="M774" i="34"/>
  <c r="M775" i="34"/>
  <c r="M773" i="34"/>
  <c r="M2060" i="34" a="1"/>
  <c r="M2060" i="34"/>
  <c r="L774" i="34"/>
  <c r="L775" i="34"/>
  <c r="L773" i="34"/>
  <c r="L2060" i="34" a="1"/>
  <c r="L2060" i="34"/>
  <c r="K774" i="34"/>
  <c r="K775" i="34"/>
  <c r="K773" i="34"/>
  <c r="K2060" i="34" a="1"/>
  <c r="K2060" i="34"/>
  <c r="J774" i="34"/>
  <c r="J775" i="34"/>
  <c r="J773" i="34"/>
  <c r="J2060" i="34" a="1"/>
  <c r="J2060" i="34"/>
  <c r="I2060" i="34" a="1"/>
  <c r="I2060" i="34"/>
  <c r="G2059" i="34"/>
  <c r="E2059" i="34"/>
  <c r="Q2059" i="34" a="1"/>
  <c r="Q2059" i="34"/>
  <c r="P770" i="34"/>
  <c r="P771" i="34"/>
  <c r="P769" i="34"/>
  <c r="P2059" i="34" a="1"/>
  <c r="P2059" i="34"/>
  <c r="O770" i="34"/>
  <c r="O771" i="34"/>
  <c r="O769" i="34"/>
  <c r="O2059" i="34" a="1"/>
  <c r="O2059" i="34"/>
  <c r="N770" i="34"/>
  <c r="N771" i="34"/>
  <c r="N769" i="34"/>
  <c r="N2059" i="34" a="1"/>
  <c r="N2059" i="34"/>
  <c r="M770" i="34"/>
  <c r="M771" i="34"/>
  <c r="M769" i="34"/>
  <c r="M2059" i="34" a="1"/>
  <c r="M2059" i="34"/>
  <c r="L770" i="34"/>
  <c r="L771" i="34"/>
  <c r="L769" i="34"/>
  <c r="L2059" i="34" a="1"/>
  <c r="L2059" i="34"/>
  <c r="K770" i="34"/>
  <c r="K771" i="34"/>
  <c r="K769" i="34"/>
  <c r="K2059" i="34" a="1"/>
  <c r="K2059" i="34"/>
  <c r="J770" i="34"/>
  <c r="J771" i="34"/>
  <c r="J769" i="34"/>
  <c r="J2059" i="34" a="1"/>
  <c r="J2059" i="34"/>
  <c r="I2059" i="34" a="1"/>
  <c r="I2059" i="34"/>
  <c r="G2058" i="34"/>
  <c r="E2058" i="34"/>
  <c r="Q2058" i="34" a="1"/>
  <c r="Q2058" i="34"/>
  <c r="P766" i="34"/>
  <c r="P767" i="34"/>
  <c r="P765" i="34"/>
  <c r="P2058" i="34" a="1"/>
  <c r="P2058" i="34"/>
  <c r="O766" i="34"/>
  <c r="O767" i="34"/>
  <c r="O765" i="34"/>
  <c r="O2058" i="34" a="1"/>
  <c r="O2058" i="34"/>
  <c r="N766" i="34"/>
  <c r="N767" i="34"/>
  <c r="N765" i="34"/>
  <c r="N2058" i="34" a="1"/>
  <c r="N2058" i="34"/>
  <c r="M766" i="34"/>
  <c r="M767" i="34"/>
  <c r="M765" i="34"/>
  <c r="M2058" i="34" a="1"/>
  <c r="M2058" i="34"/>
  <c r="L766" i="34"/>
  <c r="L767" i="34"/>
  <c r="L765" i="34"/>
  <c r="L2058" i="34" a="1"/>
  <c r="L2058" i="34"/>
  <c r="K766" i="34"/>
  <c r="K767" i="34"/>
  <c r="K765" i="34"/>
  <c r="K2058" i="34" a="1"/>
  <c r="K2058" i="34"/>
  <c r="J766" i="34"/>
  <c r="J767" i="34"/>
  <c r="J765" i="34"/>
  <c r="J2058" i="34" a="1"/>
  <c r="J2058" i="34"/>
  <c r="I2058" i="34" a="1"/>
  <c r="I2058" i="34"/>
  <c r="G2057" i="34"/>
  <c r="E2057" i="34"/>
  <c r="Q2057" i="34" a="1"/>
  <c r="Q2057" i="34"/>
  <c r="P2057" i="34" a="1"/>
  <c r="P2057" i="34"/>
  <c r="O2057" i="34" a="1"/>
  <c r="O2057" i="34"/>
  <c r="N2057" i="34" a="1"/>
  <c r="N2057" i="34"/>
  <c r="M2057" i="34" a="1"/>
  <c r="M2057" i="34"/>
  <c r="L2057" i="34" a="1"/>
  <c r="L2057" i="34"/>
  <c r="K2057" i="34" a="1"/>
  <c r="K2057" i="34"/>
  <c r="J2057" i="34" a="1"/>
  <c r="J2057" i="34"/>
  <c r="I2057" i="34" a="1"/>
  <c r="I2057" i="34"/>
  <c r="G2056" i="34"/>
  <c r="E2056" i="34"/>
  <c r="Q2056" i="34" a="1"/>
  <c r="Q2056" i="34"/>
  <c r="I750" i="34"/>
  <c r="I754" i="34"/>
  <c r="I758" i="34"/>
  <c r="I762" i="34"/>
  <c r="P762" i="34"/>
  <c r="I751" i="34"/>
  <c r="I755" i="34"/>
  <c r="I759" i="34"/>
  <c r="I763" i="34"/>
  <c r="P763" i="34"/>
  <c r="I749" i="34"/>
  <c r="I753" i="34"/>
  <c r="I757" i="34"/>
  <c r="I761" i="34"/>
  <c r="P761" i="34"/>
  <c r="P2056" i="34" a="1"/>
  <c r="P2056" i="34"/>
  <c r="O762" i="34"/>
  <c r="O763" i="34"/>
  <c r="O761" i="34"/>
  <c r="O2056" i="34" a="1"/>
  <c r="O2056" i="34"/>
  <c r="N762" i="34"/>
  <c r="N763" i="34"/>
  <c r="N761" i="34"/>
  <c r="N2056" i="34" a="1"/>
  <c r="N2056" i="34"/>
  <c r="M762" i="34"/>
  <c r="M763" i="34"/>
  <c r="M761" i="34"/>
  <c r="M2056" i="34" a="1"/>
  <c r="M2056" i="34"/>
  <c r="L762" i="34"/>
  <c r="L763" i="34"/>
  <c r="L761" i="34"/>
  <c r="L2056" i="34" a="1"/>
  <c r="L2056" i="34"/>
  <c r="K762" i="34"/>
  <c r="K763" i="34"/>
  <c r="K761" i="34"/>
  <c r="K2056" i="34" a="1"/>
  <c r="K2056" i="34"/>
  <c r="J762" i="34"/>
  <c r="J763" i="34"/>
  <c r="J761" i="34"/>
  <c r="J2056" i="34" a="1"/>
  <c r="J2056" i="34"/>
  <c r="I2056" i="34" a="1"/>
  <c r="I2056" i="34"/>
  <c r="G2055" i="34"/>
  <c r="E2055" i="34"/>
  <c r="Q2055" i="34" a="1"/>
  <c r="Q2055" i="34"/>
  <c r="P758" i="34"/>
  <c r="P759" i="34"/>
  <c r="P757" i="34"/>
  <c r="P2055" i="34" a="1"/>
  <c r="P2055" i="34"/>
  <c r="O758" i="34"/>
  <c r="O759" i="34"/>
  <c r="O757" i="34"/>
  <c r="O2055" i="34" a="1"/>
  <c r="O2055" i="34"/>
  <c r="N758" i="34"/>
  <c r="N759" i="34"/>
  <c r="N757" i="34"/>
  <c r="N2055" i="34" a="1"/>
  <c r="N2055" i="34"/>
  <c r="M758" i="34"/>
  <c r="M759" i="34"/>
  <c r="M757" i="34"/>
  <c r="M2055" i="34" a="1"/>
  <c r="M2055" i="34"/>
  <c r="L758" i="34"/>
  <c r="L759" i="34"/>
  <c r="L757" i="34"/>
  <c r="L2055" i="34" a="1"/>
  <c r="L2055" i="34"/>
  <c r="K758" i="34"/>
  <c r="K759" i="34"/>
  <c r="K757" i="34"/>
  <c r="K2055" i="34" a="1"/>
  <c r="K2055" i="34"/>
  <c r="J758" i="34"/>
  <c r="J759" i="34"/>
  <c r="J757" i="34"/>
  <c r="J2055" i="34" a="1"/>
  <c r="J2055" i="34"/>
  <c r="I2055" i="34" a="1"/>
  <c r="I2055" i="34"/>
  <c r="G2054" i="34"/>
  <c r="E2054" i="34"/>
  <c r="Q2054" i="34" a="1"/>
  <c r="Q2054" i="34"/>
  <c r="P754" i="34"/>
  <c r="P755" i="34"/>
  <c r="P753" i="34"/>
  <c r="P2054" i="34" a="1"/>
  <c r="P2054" i="34"/>
  <c r="O754" i="34"/>
  <c r="O755" i="34"/>
  <c r="O753" i="34"/>
  <c r="O2054" i="34" a="1"/>
  <c r="O2054" i="34"/>
  <c r="N754" i="34"/>
  <c r="N755" i="34"/>
  <c r="N753" i="34"/>
  <c r="N2054" i="34" a="1"/>
  <c r="N2054" i="34"/>
  <c r="M754" i="34"/>
  <c r="M755" i="34"/>
  <c r="M753" i="34"/>
  <c r="M2054" i="34" a="1"/>
  <c r="M2054" i="34"/>
  <c r="L754" i="34"/>
  <c r="L755" i="34"/>
  <c r="L753" i="34"/>
  <c r="L2054" i="34" a="1"/>
  <c r="L2054" i="34"/>
  <c r="K754" i="34"/>
  <c r="K755" i="34"/>
  <c r="K753" i="34"/>
  <c r="K2054" i="34" a="1"/>
  <c r="K2054" i="34"/>
  <c r="J754" i="34"/>
  <c r="J755" i="34"/>
  <c r="J753" i="34"/>
  <c r="J2054" i="34" a="1"/>
  <c r="J2054" i="34"/>
  <c r="I2054" i="34" a="1"/>
  <c r="I2054" i="34"/>
  <c r="G2053" i="34"/>
  <c r="E2053" i="34"/>
  <c r="Q2053" i="34" a="1"/>
  <c r="Q2053" i="34"/>
  <c r="P750" i="34"/>
  <c r="P751" i="34"/>
  <c r="P749" i="34"/>
  <c r="P2053" i="34" a="1"/>
  <c r="P2053" i="34"/>
  <c r="O750" i="34"/>
  <c r="O751" i="34"/>
  <c r="O749" i="34"/>
  <c r="O2053" i="34" a="1"/>
  <c r="O2053" i="34"/>
  <c r="N750" i="34"/>
  <c r="N751" i="34"/>
  <c r="N749" i="34"/>
  <c r="N2053" i="34" a="1"/>
  <c r="N2053" i="34"/>
  <c r="M750" i="34"/>
  <c r="M751" i="34"/>
  <c r="M749" i="34"/>
  <c r="M2053" i="34" a="1"/>
  <c r="M2053" i="34"/>
  <c r="L750" i="34"/>
  <c r="L751" i="34"/>
  <c r="L749" i="34"/>
  <c r="L2053" i="34" a="1"/>
  <c r="L2053" i="34"/>
  <c r="K750" i="34"/>
  <c r="K751" i="34"/>
  <c r="K749" i="34"/>
  <c r="K2053" i="34" a="1"/>
  <c r="K2053" i="34"/>
  <c r="J750" i="34"/>
  <c r="J751" i="34"/>
  <c r="J749" i="34"/>
  <c r="J2053" i="34" a="1"/>
  <c r="J2053" i="34"/>
  <c r="I2053" i="34" a="1"/>
  <c r="I2053" i="34"/>
  <c r="G2052" i="34"/>
  <c r="E2052" i="34"/>
  <c r="Q2052" i="34" a="1"/>
  <c r="Q2052" i="34"/>
  <c r="P746" i="34"/>
  <c r="P747" i="34"/>
  <c r="P745" i="34"/>
  <c r="P2052" i="34" a="1"/>
  <c r="P2052" i="34"/>
  <c r="O746" i="34"/>
  <c r="O747" i="34"/>
  <c r="O745" i="34"/>
  <c r="O2052" i="34" a="1"/>
  <c r="O2052" i="34"/>
  <c r="N746" i="34"/>
  <c r="N747" i="34"/>
  <c r="N745" i="34"/>
  <c r="N2052" i="34" a="1"/>
  <c r="N2052" i="34"/>
  <c r="M746" i="34"/>
  <c r="M747" i="34"/>
  <c r="M745" i="34"/>
  <c r="M2052" i="34" a="1"/>
  <c r="M2052" i="34"/>
  <c r="L746" i="34"/>
  <c r="L747" i="34"/>
  <c r="L745" i="34"/>
  <c r="L2052" i="34" a="1"/>
  <c r="L2052" i="34"/>
  <c r="K746" i="34"/>
  <c r="K747" i="34"/>
  <c r="K745" i="34"/>
  <c r="K2052" i="34" a="1"/>
  <c r="K2052" i="34"/>
  <c r="J746" i="34"/>
  <c r="J747" i="34"/>
  <c r="J745" i="34"/>
  <c r="J2052" i="34" a="1"/>
  <c r="J2052" i="34"/>
  <c r="I2052" i="34" a="1"/>
  <c r="I2052" i="34"/>
  <c r="G2051" i="34"/>
  <c r="E2051" i="34"/>
  <c r="Q2051" i="34" a="1"/>
  <c r="Q2051" i="34"/>
  <c r="P2051" i="34" a="1"/>
  <c r="P2051" i="34"/>
  <c r="O2051" i="34" a="1"/>
  <c r="O2051" i="34"/>
  <c r="N2051" i="34" a="1"/>
  <c r="N2051" i="34"/>
  <c r="M2051" i="34" a="1"/>
  <c r="M2051" i="34"/>
  <c r="L2051" i="34" a="1"/>
  <c r="L2051" i="34"/>
  <c r="K2051" i="34" a="1"/>
  <c r="K2051" i="34"/>
  <c r="J2051" i="34" a="1"/>
  <c r="J2051" i="34"/>
  <c r="I2051" i="34" a="1"/>
  <c r="I2051" i="34"/>
  <c r="G2050" i="34"/>
  <c r="E2050" i="34"/>
  <c r="Q2050" i="34" a="1"/>
  <c r="Q2050" i="34"/>
  <c r="P742" i="34"/>
  <c r="P743" i="34"/>
  <c r="P741" i="34"/>
  <c r="P2050" i="34" a="1"/>
  <c r="P2050" i="34"/>
  <c r="O742" i="34"/>
  <c r="O743" i="34"/>
  <c r="O741" i="34"/>
  <c r="O2050" i="34" a="1"/>
  <c r="O2050" i="34"/>
  <c r="N742" i="34"/>
  <c r="N743" i="34"/>
  <c r="N741" i="34"/>
  <c r="N2050" i="34" a="1"/>
  <c r="N2050" i="34"/>
  <c r="M742" i="34"/>
  <c r="M743" i="34"/>
  <c r="M741" i="34"/>
  <c r="M2050" i="34" a="1"/>
  <c r="M2050" i="34"/>
  <c r="L742" i="34"/>
  <c r="L743" i="34"/>
  <c r="L741" i="34"/>
  <c r="L2050" i="34" a="1"/>
  <c r="L2050" i="34"/>
  <c r="K742" i="34"/>
  <c r="K743" i="34"/>
  <c r="K741" i="34"/>
  <c r="K2050" i="34" a="1"/>
  <c r="K2050" i="34"/>
  <c r="J742" i="34"/>
  <c r="J743" i="34"/>
  <c r="J741" i="34"/>
  <c r="J2050" i="34" a="1"/>
  <c r="J2050" i="34"/>
  <c r="I2050" i="34" a="1"/>
  <c r="I2050" i="34"/>
  <c r="G2049" i="34"/>
  <c r="E2049" i="34"/>
  <c r="Q2049" i="34" a="1"/>
  <c r="Q2049" i="34"/>
  <c r="P738" i="34"/>
  <c r="P739" i="34"/>
  <c r="P737" i="34"/>
  <c r="P2049" i="34" a="1"/>
  <c r="P2049" i="34"/>
  <c r="O738" i="34"/>
  <c r="O739" i="34"/>
  <c r="O737" i="34"/>
  <c r="O2049" i="34" a="1"/>
  <c r="O2049" i="34"/>
  <c r="N738" i="34"/>
  <c r="N739" i="34"/>
  <c r="N737" i="34"/>
  <c r="N2049" i="34" a="1"/>
  <c r="N2049" i="34"/>
  <c r="M738" i="34"/>
  <c r="M739" i="34"/>
  <c r="M737" i="34"/>
  <c r="M2049" i="34" a="1"/>
  <c r="M2049" i="34"/>
  <c r="L738" i="34"/>
  <c r="L739" i="34"/>
  <c r="L737" i="34"/>
  <c r="L2049" i="34" a="1"/>
  <c r="L2049" i="34"/>
  <c r="K738" i="34"/>
  <c r="K739" i="34"/>
  <c r="K737" i="34"/>
  <c r="K2049" i="34" a="1"/>
  <c r="K2049" i="34"/>
  <c r="J738" i="34"/>
  <c r="J739" i="34"/>
  <c r="J737" i="34"/>
  <c r="J2049" i="34" a="1"/>
  <c r="J2049" i="34"/>
  <c r="I2049" i="34" a="1"/>
  <c r="I2049" i="34"/>
  <c r="G2048" i="34"/>
  <c r="E2048" i="34"/>
  <c r="Q2048" i="34" a="1"/>
  <c r="Q2048" i="34"/>
  <c r="P734" i="34"/>
  <c r="P735" i="34"/>
  <c r="P733" i="34"/>
  <c r="P2048" i="34" a="1"/>
  <c r="P2048" i="34"/>
  <c r="O734" i="34"/>
  <c r="O735" i="34"/>
  <c r="O733" i="34"/>
  <c r="O2048" i="34" a="1"/>
  <c r="O2048" i="34"/>
  <c r="N734" i="34"/>
  <c r="N735" i="34"/>
  <c r="N733" i="34"/>
  <c r="N2048" i="34" a="1"/>
  <c r="N2048" i="34"/>
  <c r="M734" i="34"/>
  <c r="M735" i="34"/>
  <c r="M733" i="34"/>
  <c r="M2048" i="34" a="1"/>
  <c r="M2048" i="34"/>
  <c r="L734" i="34"/>
  <c r="L735" i="34"/>
  <c r="L733" i="34"/>
  <c r="L2048" i="34" a="1"/>
  <c r="L2048" i="34"/>
  <c r="K734" i="34"/>
  <c r="K735" i="34"/>
  <c r="K733" i="34"/>
  <c r="K2048" i="34" a="1"/>
  <c r="K2048" i="34"/>
  <c r="J734" i="34"/>
  <c r="J735" i="34"/>
  <c r="J733" i="34"/>
  <c r="J2048" i="34" a="1"/>
  <c r="J2048" i="34"/>
  <c r="I2048" i="34" a="1"/>
  <c r="I2048" i="34"/>
  <c r="G2047" i="34"/>
  <c r="E2047" i="34"/>
  <c r="Q2047" i="34" a="1"/>
  <c r="Q2047" i="34"/>
  <c r="P730" i="34"/>
  <c r="P731" i="34"/>
  <c r="P729" i="34"/>
  <c r="P2047" i="34" a="1"/>
  <c r="P2047" i="34"/>
  <c r="O730" i="34"/>
  <c r="O731" i="34"/>
  <c r="O729" i="34"/>
  <c r="O2047" i="34" a="1"/>
  <c r="O2047" i="34"/>
  <c r="N730" i="34"/>
  <c r="N731" i="34"/>
  <c r="N729" i="34"/>
  <c r="N2047" i="34" a="1"/>
  <c r="N2047" i="34"/>
  <c r="M730" i="34"/>
  <c r="M731" i="34"/>
  <c r="M729" i="34"/>
  <c r="M2047" i="34" a="1"/>
  <c r="M2047" i="34"/>
  <c r="L730" i="34"/>
  <c r="L731" i="34"/>
  <c r="L729" i="34"/>
  <c r="L2047" i="34" a="1"/>
  <c r="L2047" i="34"/>
  <c r="K730" i="34"/>
  <c r="K731" i="34"/>
  <c r="K729" i="34"/>
  <c r="K2047" i="34" a="1"/>
  <c r="K2047" i="34"/>
  <c r="J730" i="34"/>
  <c r="J731" i="34"/>
  <c r="J729" i="34"/>
  <c r="J2047" i="34" a="1"/>
  <c r="J2047" i="34"/>
  <c r="I2047" i="34" a="1"/>
  <c r="I2047" i="34"/>
  <c r="G2046" i="34"/>
  <c r="E2046" i="34"/>
  <c r="Q2046" i="34" a="1"/>
  <c r="Q2046" i="34"/>
  <c r="P726" i="34"/>
  <c r="P727" i="34"/>
  <c r="P725" i="34"/>
  <c r="P2046" i="34" a="1"/>
  <c r="P2046" i="34"/>
  <c r="O726" i="34"/>
  <c r="O727" i="34"/>
  <c r="O725" i="34"/>
  <c r="O2046" i="34" a="1"/>
  <c r="O2046" i="34"/>
  <c r="N726" i="34"/>
  <c r="N727" i="34"/>
  <c r="N725" i="34"/>
  <c r="N2046" i="34" a="1"/>
  <c r="N2046" i="34"/>
  <c r="M726" i="34"/>
  <c r="M727" i="34"/>
  <c r="M725" i="34"/>
  <c r="M2046" i="34" a="1"/>
  <c r="M2046" i="34"/>
  <c r="L726" i="34"/>
  <c r="L727" i="34"/>
  <c r="L725" i="34"/>
  <c r="L2046" i="34" a="1"/>
  <c r="L2046" i="34"/>
  <c r="K726" i="34"/>
  <c r="K727" i="34"/>
  <c r="K725" i="34"/>
  <c r="K2046" i="34" a="1"/>
  <c r="K2046" i="34"/>
  <c r="J726" i="34"/>
  <c r="J727" i="34"/>
  <c r="J725" i="34"/>
  <c r="J2046" i="34" a="1"/>
  <c r="J2046" i="34"/>
  <c r="I2046" i="34" a="1"/>
  <c r="I2046" i="34"/>
  <c r="G2045" i="34"/>
  <c r="E2045" i="34"/>
  <c r="Q2045" i="34" a="1"/>
  <c r="Q2045" i="34"/>
  <c r="P2045" i="34" a="1"/>
  <c r="P2045" i="34"/>
  <c r="O2045" i="34" a="1"/>
  <c r="O2045" i="34"/>
  <c r="N2045" i="34" a="1"/>
  <c r="N2045" i="34"/>
  <c r="M2045" i="34" a="1"/>
  <c r="M2045" i="34"/>
  <c r="L2045" i="34" a="1"/>
  <c r="L2045" i="34"/>
  <c r="K2045" i="34" a="1"/>
  <c r="K2045" i="34"/>
  <c r="J2045" i="34" a="1"/>
  <c r="J2045" i="34"/>
  <c r="I2045" i="34" a="1"/>
  <c r="I2045" i="34"/>
  <c r="G2044" i="34"/>
  <c r="E2044" i="34"/>
  <c r="Q2044" i="34" a="1"/>
  <c r="Q2044" i="34"/>
  <c r="I690" i="34"/>
  <c r="I694" i="34"/>
  <c r="I698" i="34"/>
  <c r="I702" i="34"/>
  <c r="P702" i="34"/>
  <c r="I691" i="34"/>
  <c r="I695" i="34"/>
  <c r="I699" i="34"/>
  <c r="I703" i="34"/>
  <c r="P703" i="34"/>
  <c r="I689" i="34"/>
  <c r="I693" i="34"/>
  <c r="I697" i="34"/>
  <c r="I701" i="34"/>
  <c r="P701" i="34"/>
  <c r="P2044" i="34" a="1"/>
  <c r="P2044" i="34"/>
  <c r="O702" i="34"/>
  <c r="O703" i="34"/>
  <c r="O701" i="34"/>
  <c r="O2044" i="34" a="1"/>
  <c r="O2044" i="34"/>
  <c r="N702" i="34"/>
  <c r="N703" i="34"/>
  <c r="N701" i="34"/>
  <c r="N2044" i="34" a="1"/>
  <c r="N2044" i="34"/>
  <c r="M702" i="34"/>
  <c r="M703" i="34"/>
  <c r="M701" i="34"/>
  <c r="M2044" i="34" a="1"/>
  <c r="M2044" i="34"/>
  <c r="L702" i="34"/>
  <c r="L703" i="34"/>
  <c r="L701" i="34"/>
  <c r="L2044" i="34" a="1"/>
  <c r="L2044" i="34"/>
  <c r="K702" i="34"/>
  <c r="K703" i="34"/>
  <c r="K701" i="34"/>
  <c r="K2044" i="34" a="1"/>
  <c r="K2044" i="34"/>
  <c r="J702" i="34"/>
  <c r="J703" i="34"/>
  <c r="J701" i="34"/>
  <c r="J2044" i="34" a="1"/>
  <c r="J2044" i="34"/>
  <c r="I2044" i="34" a="1"/>
  <c r="I2044" i="34"/>
  <c r="G2043" i="34"/>
  <c r="E2043" i="34"/>
  <c r="Q2043" i="34" a="1"/>
  <c r="Q2043" i="34"/>
  <c r="P698" i="34"/>
  <c r="P699" i="34"/>
  <c r="P697" i="34"/>
  <c r="P2043" i="34" a="1"/>
  <c r="P2043" i="34"/>
  <c r="O698" i="34"/>
  <c r="O699" i="34"/>
  <c r="O697" i="34"/>
  <c r="O2043" i="34" a="1"/>
  <c r="O2043" i="34"/>
  <c r="N698" i="34"/>
  <c r="N699" i="34"/>
  <c r="N697" i="34"/>
  <c r="N2043" i="34" a="1"/>
  <c r="N2043" i="34"/>
  <c r="M698" i="34"/>
  <c r="M699" i="34"/>
  <c r="M697" i="34"/>
  <c r="M2043" i="34" a="1"/>
  <c r="M2043" i="34"/>
  <c r="L698" i="34"/>
  <c r="L699" i="34"/>
  <c r="L697" i="34"/>
  <c r="L2043" i="34" a="1"/>
  <c r="L2043" i="34"/>
  <c r="K698" i="34"/>
  <c r="K699" i="34"/>
  <c r="K697" i="34"/>
  <c r="K2043" i="34" a="1"/>
  <c r="K2043" i="34"/>
  <c r="J698" i="34"/>
  <c r="J699" i="34"/>
  <c r="J697" i="34"/>
  <c r="J2043" i="34" a="1"/>
  <c r="J2043" i="34"/>
  <c r="I2043" i="34" a="1"/>
  <c r="I2043" i="34"/>
  <c r="G2042" i="34"/>
  <c r="E2042" i="34"/>
  <c r="Q2042" i="34" a="1"/>
  <c r="Q2042" i="34"/>
  <c r="P694" i="34"/>
  <c r="P695" i="34"/>
  <c r="P693" i="34"/>
  <c r="P2042" i="34" a="1"/>
  <c r="P2042" i="34"/>
  <c r="O694" i="34"/>
  <c r="O695" i="34"/>
  <c r="O693" i="34"/>
  <c r="O2042" i="34" a="1"/>
  <c r="O2042" i="34"/>
  <c r="N694" i="34"/>
  <c r="N695" i="34"/>
  <c r="N693" i="34"/>
  <c r="N2042" i="34" a="1"/>
  <c r="N2042" i="34"/>
  <c r="M694" i="34"/>
  <c r="M695" i="34"/>
  <c r="M693" i="34"/>
  <c r="M2042" i="34" a="1"/>
  <c r="M2042" i="34"/>
  <c r="L694" i="34"/>
  <c r="L695" i="34"/>
  <c r="L693" i="34"/>
  <c r="L2042" i="34" a="1"/>
  <c r="L2042" i="34"/>
  <c r="K694" i="34"/>
  <c r="K695" i="34"/>
  <c r="K693" i="34"/>
  <c r="K2042" i="34" a="1"/>
  <c r="K2042" i="34"/>
  <c r="J694" i="34"/>
  <c r="J695" i="34"/>
  <c r="J693" i="34"/>
  <c r="J2042" i="34" a="1"/>
  <c r="J2042" i="34"/>
  <c r="I2042" i="34" a="1"/>
  <c r="I2042" i="34"/>
  <c r="G2041" i="34"/>
  <c r="E2041" i="34"/>
  <c r="Q2041" i="34" a="1"/>
  <c r="Q2041" i="34"/>
  <c r="P690" i="34"/>
  <c r="P691" i="34"/>
  <c r="P689" i="34"/>
  <c r="P2041" i="34" a="1"/>
  <c r="P2041" i="34"/>
  <c r="O690" i="34"/>
  <c r="O691" i="34"/>
  <c r="O689" i="34"/>
  <c r="O2041" i="34" a="1"/>
  <c r="O2041" i="34"/>
  <c r="N690" i="34"/>
  <c r="N691" i="34"/>
  <c r="N689" i="34"/>
  <c r="N2041" i="34" a="1"/>
  <c r="N2041" i="34"/>
  <c r="M690" i="34"/>
  <c r="M691" i="34"/>
  <c r="M689" i="34"/>
  <c r="M2041" i="34" a="1"/>
  <c r="M2041" i="34"/>
  <c r="L690" i="34"/>
  <c r="L691" i="34"/>
  <c r="L689" i="34"/>
  <c r="L2041" i="34" a="1"/>
  <c r="L2041" i="34"/>
  <c r="K690" i="34"/>
  <c r="K691" i="34"/>
  <c r="K689" i="34"/>
  <c r="K2041" i="34" a="1"/>
  <c r="K2041" i="34"/>
  <c r="J690" i="34"/>
  <c r="J691" i="34"/>
  <c r="J689" i="34"/>
  <c r="J2041" i="34" a="1"/>
  <c r="J2041" i="34"/>
  <c r="I2041" i="34" a="1"/>
  <c r="I2041" i="34"/>
  <c r="X2040" i="34"/>
  <c r="V2040" i="34"/>
  <c r="U2040" i="34"/>
  <c r="T2040" i="34"/>
  <c r="G2040" i="34"/>
  <c r="E2040" i="34"/>
  <c r="Q2040" i="34" a="1"/>
  <c r="Q2040" i="34"/>
  <c r="P686" i="34"/>
  <c r="P687" i="34"/>
  <c r="P685" i="34"/>
  <c r="P2040" i="34" a="1"/>
  <c r="P2040" i="34"/>
  <c r="O686" i="34"/>
  <c r="O687" i="34"/>
  <c r="O685" i="34"/>
  <c r="O2040" i="34" a="1"/>
  <c r="O2040" i="34"/>
  <c r="N686" i="34"/>
  <c r="N687" i="34"/>
  <c r="N685" i="34"/>
  <c r="N2040" i="34" a="1"/>
  <c r="N2040" i="34"/>
  <c r="M686" i="34"/>
  <c r="M687" i="34"/>
  <c r="M685" i="34"/>
  <c r="M2040" i="34" a="1"/>
  <c r="M2040" i="34"/>
  <c r="L686" i="34"/>
  <c r="L687" i="34"/>
  <c r="L685" i="34"/>
  <c r="L2040" i="34" a="1"/>
  <c r="L2040" i="34"/>
  <c r="K686" i="34"/>
  <c r="K687" i="34"/>
  <c r="K685" i="34"/>
  <c r="K2040" i="34" a="1"/>
  <c r="K2040" i="34"/>
  <c r="J686" i="34"/>
  <c r="J687" i="34"/>
  <c r="J685" i="34"/>
  <c r="J2040" i="34" a="1"/>
  <c r="J2040" i="34"/>
  <c r="I2040" i="34" a="1"/>
  <c r="I2040" i="34"/>
  <c r="G1939" i="34"/>
  <c r="E1939" i="34" a="1"/>
  <c r="E1939" i="34"/>
  <c r="Q1939" i="34" a="1"/>
  <c r="Q1939" i="34"/>
  <c r="P678" i="34"/>
  <c r="P679" i="34"/>
  <c r="P677" i="34"/>
  <c r="P1939" i="34" a="1"/>
  <c r="P1939" i="34"/>
  <c r="O678" i="34"/>
  <c r="O679" i="34"/>
  <c r="O677" i="34"/>
  <c r="O1939" i="34" a="1"/>
  <c r="O1939" i="34"/>
  <c r="N678" i="34"/>
  <c r="N679" i="34"/>
  <c r="N677" i="34"/>
  <c r="N1939" i="34" a="1"/>
  <c r="N1939" i="34"/>
  <c r="M678" i="34"/>
  <c r="M679" i="34"/>
  <c r="M677" i="34"/>
  <c r="M1939" i="34" a="1"/>
  <c r="M1939" i="34"/>
  <c r="L678" i="34"/>
  <c r="L679" i="34"/>
  <c r="L677" i="34"/>
  <c r="L1939" i="34" a="1"/>
  <c r="L1939" i="34"/>
  <c r="K678" i="34"/>
  <c r="K679" i="34"/>
  <c r="K677" i="34"/>
  <c r="K1939" i="34" a="1"/>
  <c r="K1939" i="34"/>
  <c r="J678" i="34"/>
  <c r="J679" i="34"/>
  <c r="J677" i="34"/>
  <c r="J1939" i="34" a="1"/>
  <c r="J1939" i="34"/>
  <c r="I1939" i="34" a="1"/>
  <c r="I1939" i="34"/>
  <c r="G1938" i="34"/>
  <c r="E1938" i="34" a="1"/>
  <c r="E1938" i="34"/>
  <c r="Q1938" i="34" a="1"/>
  <c r="Q1938" i="34"/>
  <c r="P674" i="34"/>
  <c r="P675" i="34"/>
  <c r="P673" i="34"/>
  <c r="P1938" i="34" a="1"/>
  <c r="P1938" i="34"/>
  <c r="O674" i="34"/>
  <c r="O675" i="34"/>
  <c r="O673" i="34"/>
  <c r="O1938" i="34" a="1"/>
  <c r="O1938" i="34"/>
  <c r="N674" i="34"/>
  <c r="N675" i="34"/>
  <c r="N673" i="34"/>
  <c r="N1938" i="34" a="1"/>
  <c r="N1938" i="34"/>
  <c r="M674" i="34"/>
  <c r="M675" i="34"/>
  <c r="M673" i="34"/>
  <c r="M1938" i="34" a="1"/>
  <c r="M1938" i="34"/>
  <c r="L674" i="34"/>
  <c r="L675" i="34"/>
  <c r="L673" i="34"/>
  <c r="L1938" i="34" a="1"/>
  <c r="L1938" i="34"/>
  <c r="K674" i="34"/>
  <c r="K675" i="34"/>
  <c r="K673" i="34"/>
  <c r="K1938" i="34" a="1"/>
  <c r="K1938" i="34"/>
  <c r="J674" i="34"/>
  <c r="J675" i="34"/>
  <c r="J673" i="34"/>
  <c r="J1938" i="34" a="1"/>
  <c r="J1938" i="34"/>
  <c r="I1938" i="34" a="1"/>
  <c r="I1938" i="34"/>
  <c r="G1937" i="34"/>
  <c r="E1937" i="34" a="1"/>
  <c r="E1937" i="34"/>
  <c r="Q1937" i="34" a="1"/>
  <c r="Q1937" i="34"/>
  <c r="P666" i="34"/>
  <c r="P667" i="34"/>
  <c r="P665" i="34"/>
  <c r="P1937" i="34" a="1"/>
  <c r="P1937" i="34"/>
  <c r="O666" i="34"/>
  <c r="O667" i="34"/>
  <c r="O665" i="34"/>
  <c r="O1937" i="34" a="1"/>
  <c r="O1937" i="34"/>
  <c r="N666" i="34"/>
  <c r="N667" i="34"/>
  <c r="N665" i="34"/>
  <c r="N1937" i="34" a="1"/>
  <c r="N1937" i="34"/>
  <c r="M666" i="34"/>
  <c r="M667" i="34"/>
  <c r="M665" i="34"/>
  <c r="M1937" i="34" a="1"/>
  <c r="M1937" i="34"/>
  <c r="L666" i="34"/>
  <c r="L667" i="34"/>
  <c r="L665" i="34"/>
  <c r="L1937" i="34" a="1"/>
  <c r="L1937" i="34"/>
  <c r="K666" i="34"/>
  <c r="K667" i="34"/>
  <c r="K665" i="34"/>
  <c r="K1937" i="34" a="1"/>
  <c r="K1937" i="34"/>
  <c r="J666" i="34"/>
  <c r="J667" i="34"/>
  <c r="J665" i="34"/>
  <c r="J1937" i="34" a="1"/>
  <c r="J1937" i="34"/>
  <c r="I1937" i="34" a="1"/>
  <c r="I1937" i="34"/>
  <c r="G1936" i="34"/>
  <c r="E1936" i="34" a="1"/>
  <c r="E1936" i="34"/>
  <c r="Q1936" i="34" a="1"/>
  <c r="Q1936" i="34"/>
  <c r="P662" i="34"/>
  <c r="P663" i="34"/>
  <c r="P661" i="34"/>
  <c r="P1936" i="34" a="1"/>
  <c r="P1936" i="34"/>
  <c r="O662" i="34"/>
  <c r="O663" i="34"/>
  <c r="O661" i="34"/>
  <c r="O1936" i="34" a="1"/>
  <c r="O1936" i="34"/>
  <c r="N662" i="34"/>
  <c r="N663" i="34"/>
  <c r="N661" i="34"/>
  <c r="N1936" i="34" a="1"/>
  <c r="N1936" i="34"/>
  <c r="M662" i="34"/>
  <c r="M663" i="34"/>
  <c r="M661" i="34"/>
  <c r="M1936" i="34" a="1"/>
  <c r="M1936" i="34"/>
  <c r="L662" i="34"/>
  <c r="L663" i="34"/>
  <c r="L661" i="34"/>
  <c r="L1936" i="34" a="1"/>
  <c r="L1936" i="34"/>
  <c r="K662" i="34"/>
  <c r="K663" i="34"/>
  <c r="K661" i="34"/>
  <c r="K1936" i="34" a="1"/>
  <c r="K1936" i="34"/>
  <c r="J662" i="34"/>
  <c r="J663" i="34"/>
  <c r="J661" i="34"/>
  <c r="J1936" i="34" a="1"/>
  <c r="J1936" i="34"/>
  <c r="I1936" i="34" a="1"/>
  <c r="I1936" i="34"/>
  <c r="G1935" i="34"/>
  <c r="E1935" i="34" a="1"/>
  <c r="E1935" i="34"/>
  <c r="Q1935" i="34" a="1"/>
  <c r="Q1935" i="34"/>
  <c r="P658" i="34"/>
  <c r="P659" i="34"/>
  <c r="P657" i="34"/>
  <c r="P1935" i="34" a="1"/>
  <c r="P1935" i="34"/>
  <c r="O658" i="34"/>
  <c r="O659" i="34"/>
  <c r="O657" i="34"/>
  <c r="O1935" i="34" a="1"/>
  <c r="O1935" i="34"/>
  <c r="N658" i="34"/>
  <c r="N659" i="34"/>
  <c r="N657" i="34"/>
  <c r="N1935" i="34" a="1"/>
  <c r="N1935" i="34"/>
  <c r="M658" i="34"/>
  <c r="M659" i="34"/>
  <c r="M657" i="34"/>
  <c r="M1935" i="34" a="1"/>
  <c r="M1935" i="34"/>
  <c r="L658" i="34"/>
  <c r="L659" i="34"/>
  <c r="L657" i="34"/>
  <c r="L1935" i="34" a="1"/>
  <c r="L1935" i="34"/>
  <c r="K658" i="34"/>
  <c r="K659" i="34"/>
  <c r="K657" i="34"/>
  <c r="K1935" i="34" a="1"/>
  <c r="K1935" i="34"/>
  <c r="J658" i="34"/>
  <c r="J659" i="34"/>
  <c r="J657" i="34"/>
  <c r="J1935" i="34" a="1"/>
  <c r="J1935" i="34"/>
  <c r="I1935" i="34" a="1"/>
  <c r="I1935" i="34"/>
  <c r="G1934" i="34"/>
  <c r="E1934" i="34" a="1"/>
  <c r="E1934" i="34"/>
  <c r="Q1934" i="34" a="1"/>
  <c r="Q1934" i="34"/>
  <c r="P654" i="34"/>
  <c r="P655" i="34"/>
  <c r="P653" i="34"/>
  <c r="P1934" i="34" a="1"/>
  <c r="P1934" i="34"/>
  <c r="O654" i="34"/>
  <c r="O655" i="34"/>
  <c r="O653" i="34"/>
  <c r="O1934" i="34" a="1"/>
  <c r="O1934" i="34"/>
  <c r="N654" i="34"/>
  <c r="N655" i="34"/>
  <c r="N653" i="34"/>
  <c r="N1934" i="34" a="1"/>
  <c r="N1934" i="34"/>
  <c r="M654" i="34"/>
  <c r="M655" i="34"/>
  <c r="M653" i="34"/>
  <c r="M1934" i="34" a="1"/>
  <c r="M1934" i="34"/>
  <c r="L654" i="34"/>
  <c r="L655" i="34"/>
  <c r="L653" i="34"/>
  <c r="L1934" i="34" a="1"/>
  <c r="L1934" i="34"/>
  <c r="K654" i="34"/>
  <c r="K655" i="34"/>
  <c r="K653" i="34"/>
  <c r="K1934" i="34" a="1"/>
  <c r="K1934" i="34"/>
  <c r="J654" i="34"/>
  <c r="J655" i="34"/>
  <c r="J653" i="34"/>
  <c r="J1934" i="34" a="1"/>
  <c r="J1934" i="34"/>
  <c r="I1934" i="34" a="1"/>
  <c r="I1934" i="34"/>
  <c r="G1933" i="34"/>
  <c r="E1933" i="34" a="1"/>
  <c r="E1933" i="34"/>
  <c r="Q1933" i="34" a="1"/>
  <c r="Q1933" i="34"/>
  <c r="P650" i="34"/>
  <c r="P651" i="34"/>
  <c r="P649" i="34"/>
  <c r="P1933" i="34" a="1"/>
  <c r="P1933" i="34"/>
  <c r="O650" i="34"/>
  <c r="O651" i="34"/>
  <c r="O649" i="34"/>
  <c r="O1933" i="34" a="1"/>
  <c r="O1933" i="34"/>
  <c r="N650" i="34"/>
  <c r="N651" i="34"/>
  <c r="N649" i="34"/>
  <c r="N1933" i="34" a="1"/>
  <c r="N1933" i="34"/>
  <c r="M650" i="34"/>
  <c r="M651" i="34"/>
  <c r="M649" i="34"/>
  <c r="M1933" i="34" a="1"/>
  <c r="M1933" i="34"/>
  <c r="L650" i="34"/>
  <c r="L651" i="34"/>
  <c r="L649" i="34"/>
  <c r="L1933" i="34" a="1"/>
  <c r="L1933" i="34"/>
  <c r="K650" i="34"/>
  <c r="K651" i="34"/>
  <c r="K649" i="34"/>
  <c r="K1933" i="34" a="1"/>
  <c r="K1933" i="34"/>
  <c r="J650" i="34"/>
  <c r="J651" i="34"/>
  <c r="J649" i="34"/>
  <c r="J1933" i="34" a="1"/>
  <c r="J1933" i="34"/>
  <c r="I1933" i="34" a="1"/>
  <c r="I1933" i="34"/>
  <c r="G1932" i="34"/>
  <c r="E1932" i="34" a="1"/>
  <c r="E1932" i="34"/>
  <c r="Q1932" i="34" a="1"/>
  <c r="Q1932" i="34"/>
  <c r="P642" i="34"/>
  <c r="P643" i="34"/>
  <c r="P641" i="34"/>
  <c r="P1932" i="34" a="1"/>
  <c r="P1932" i="34"/>
  <c r="O642" i="34"/>
  <c r="O643" i="34"/>
  <c r="O641" i="34"/>
  <c r="O1932" i="34" a="1"/>
  <c r="O1932" i="34"/>
  <c r="N642" i="34"/>
  <c r="N643" i="34"/>
  <c r="N641" i="34"/>
  <c r="N1932" i="34" a="1"/>
  <c r="N1932" i="34"/>
  <c r="M642" i="34"/>
  <c r="M643" i="34"/>
  <c r="M641" i="34"/>
  <c r="M1932" i="34" a="1"/>
  <c r="M1932" i="34"/>
  <c r="L642" i="34"/>
  <c r="L643" i="34"/>
  <c r="L641" i="34"/>
  <c r="L1932" i="34" a="1"/>
  <c r="L1932" i="34"/>
  <c r="K642" i="34"/>
  <c r="K643" i="34"/>
  <c r="K641" i="34"/>
  <c r="K1932" i="34" a="1"/>
  <c r="K1932" i="34"/>
  <c r="J642" i="34"/>
  <c r="J643" i="34"/>
  <c r="J641" i="34"/>
  <c r="J1932" i="34" a="1"/>
  <c r="J1932" i="34"/>
  <c r="I1932" i="34" a="1"/>
  <c r="I1932" i="34"/>
  <c r="G1931" i="34"/>
  <c r="E1931" i="34" a="1"/>
  <c r="E1931" i="34"/>
  <c r="Q1931" i="34" a="1"/>
  <c r="Q1931" i="34"/>
  <c r="P634" i="34"/>
  <c r="P635" i="34"/>
  <c r="P633" i="34"/>
  <c r="P1931" i="34" a="1"/>
  <c r="P1931" i="34"/>
  <c r="O634" i="34"/>
  <c r="O635" i="34"/>
  <c r="O633" i="34"/>
  <c r="O1931" i="34" a="1"/>
  <c r="O1931" i="34"/>
  <c r="N634" i="34"/>
  <c r="N635" i="34"/>
  <c r="N633" i="34"/>
  <c r="N1931" i="34" a="1"/>
  <c r="N1931" i="34"/>
  <c r="M634" i="34"/>
  <c r="M635" i="34"/>
  <c r="M633" i="34"/>
  <c r="M1931" i="34" a="1"/>
  <c r="M1931" i="34"/>
  <c r="L634" i="34"/>
  <c r="L635" i="34"/>
  <c r="L633" i="34"/>
  <c r="L1931" i="34" a="1"/>
  <c r="L1931" i="34"/>
  <c r="K634" i="34"/>
  <c r="K635" i="34"/>
  <c r="K633" i="34"/>
  <c r="K1931" i="34" a="1"/>
  <c r="K1931" i="34"/>
  <c r="J634" i="34"/>
  <c r="J635" i="34"/>
  <c r="J633" i="34"/>
  <c r="J1931" i="34" a="1"/>
  <c r="J1931" i="34"/>
  <c r="I1931" i="34" a="1"/>
  <c r="I1931" i="34"/>
  <c r="G1930" i="34"/>
  <c r="E1930" i="34" a="1"/>
  <c r="E1930" i="34"/>
  <c r="Q1930" i="34" a="1"/>
  <c r="Q1930" i="34"/>
  <c r="P630" i="34"/>
  <c r="P631" i="34"/>
  <c r="P629" i="34"/>
  <c r="P1930" i="34" a="1"/>
  <c r="P1930" i="34"/>
  <c r="O630" i="34"/>
  <c r="O631" i="34"/>
  <c r="O629" i="34"/>
  <c r="O1930" i="34" a="1"/>
  <c r="O1930" i="34"/>
  <c r="N630" i="34"/>
  <c r="N631" i="34"/>
  <c r="N629" i="34"/>
  <c r="N1930" i="34" a="1"/>
  <c r="N1930" i="34"/>
  <c r="M630" i="34"/>
  <c r="M631" i="34"/>
  <c r="M629" i="34"/>
  <c r="M1930" i="34" a="1"/>
  <c r="M1930" i="34"/>
  <c r="L630" i="34"/>
  <c r="L631" i="34"/>
  <c r="L629" i="34"/>
  <c r="L1930" i="34" a="1"/>
  <c r="L1930" i="34"/>
  <c r="K630" i="34"/>
  <c r="K631" i="34"/>
  <c r="K629" i="34"/>
  <c r="K1930" i="34" a="1"/>
  <c r="K1930" i="34"/>
  <c r="J630" i="34"/>
  <c r="J631" i="34"/>
  <c r="J629" i="34"/>
  <c r="J1930" i="34" a="1"/>
  <c r="J1930" i="34"/>
  <c r="I1930" i="34" a="1"/>
  <c r="I1930" i="34"/>
  <c r="E19" i="7"/>
  <c r="E21" i="7"/>
  <c r="F21" i="7"/>
  <c r="F1162" i="34"/>
  <c r="G1162" i="34"/>
  <c r="E1143" i="34"/>
  <c r="H1162" i="34"/>
  <c r="X1834" i="34"/>
  <c r="V1834" i="34"/>
  <c r="U1834" i="34"/>
  <c r="T1834" i="34"/>
  <c r="Q1832" i="34"/>
  <c r="G1825" i="34"/>
  <c r="E1825" i="34"/>
  <c r="Q1825" i="34" a="1"/>
  <c r="Q1825" i="34"/>
  <c r="P618" i="34"/>
  <c r="P619" i="34"/>
  <c r="P617" i="34"/>
  <c r="P1825" i="34" a="1"/>
  <c r="P1825" i="34"/>
  <c r="O618" i="34"/>
  <c r="O619" i="34"/>
  <c r="O617" i="34"/>
  <c r="O1825" i="34" a="1"/>
  <c r="O1825" i="34"/>
  <c r="N618" i="34"/>
  <c r="N619" i="34"/>
  <c r="N617" i="34"/>
  <c r="N1825" i="34" a="1"/>
  <c r="N1825" i="34"/>
  <c r="M618" i="34"/>
  <c r="M619" i="34"/>
  <c r="M617" i="34"/>
  <c r="M1825" i="34" a="1"/>
  <c r="M1825" i="34"/>
  <c r="L618" i="34"/>
  <c r="L619" i="34"/>
  <c r="L617" i="34"/>
  <c r="L1825" i="34" a="1"/>
  <c r="L1825" i="34"/>
  <c r="K618" i="34"/>
  <c r="K619" i="34"/>
  <c r="K617" i="34"/>
  <c r="K1825" i="34" a="1"/>
  <c r="K1825" i="34"/>
  <c r="J618" i="34"/>
  <c r="J619" i="34"/>
  <c r="J617" i="34"/>
  <c r="J1825" i="34" a="1"/>
  <c r="J1825" i="34"/>
  <c r="I1825" i="34" a="1"/>
  <c r="I1825" i="34"/>
  <c r="G1824" i="34"/>
  <c r="E1824" i="34"/>
  <c r="Q1824" i="34" a="1"/>
  <c r="Q1824" i="34"/>
  <c r="P1824" i="34" a="1"/>
  <c r="P1824" i="34"/>
  <c r="O1824" i="34" a="1"/>
  <c r="O1824" i="34"/>
  <c r="N1824" i="34" a="1"/>
  <c r="N1824" i="34"/>
  <c r="M1824" i="34" a="1"/>
  <c r="M1824" i="34"/>
  <c r="L1824" i="34" a="1"/>
  <c r="L1824" i="34"/>
  <c r="K1824" i="34" a="1"/>
  <c r="K1824" i="34"/>
  <c r="J1824" i="34" a="1"/>
  <c r="J1824" i="34"/>
  <c r="I1824" i="34" a="1"/>
  <c r="I1824" i="34"/>
  <c r="G1823" i="34"/>
  <c r="E1823" i="34"/>
  <c r="Q1823" i="34" a="1"/>
  <c r="Q1823" i="34"/>
  <c r="P610" i="34"/>
  <c r="P611" i="34"/>
  <c r="P609" i="34"/>
  <c r="P1823" i="34" a="1"/>
  <c r="P1823" i="34"/>
  <c r="O610" i="34"/>
  <c r="O611" i="34"/>
  <c r="O609" i="34"/>
  <c r="O1823" i="34" a="1"/>
  <c r="O1823" i="34"/>
  <c r="N610" i="34"/>
  <c r="N611" i="34"/>
  <c r="N609" i="34"/>
  <c r="N1823" i="34" a="1"/>
  <c r="N1823" i="34"/>
  <c r="M610" i="34"/>
  <c r="M611" i="34"/>
  <c r="M609" i="34"/>
  <c r="M1823" i="34" a="1"/>
  <c r="M1823" i="34"/>
  <c r="L610" i="34"/>
  <c r="L611" i="34"/>
  <c r="L609" i="34"/>
  <c r="L1823" i="34" a="1"/>
  <c r="L1823" i="34"/>
  <c r="K610" i="34"/>
  <c r="K611" i="34"/>
  <c r="K609" i="34"/>
  <c r="K1823" i="34" a="1"/>
  <c r="K1823" i="34"/>
  <c r="J610" i="34"/>
  <c r="J611" i="34"/>
  <c r="J609" i="34"/>
  <c r="J1823" i="34" a="1"/>
  <c r="J1823" i="34"/>
  <c r="I1823" i="34" a="1"/>
  <c r="I1823" i="34"/>
  <c r="G1822" i="34"/>
  <c r="E1822" i="34"/>
  <c r="Q1822" i="34" a="1"/>
  <c r="Q1822" i="34"/>
  <c r="P602" i="34"/>
  <c r="P603" i="34"/>
  <c r="P601" i="34"/>
  <c r="P1822" i="34" a="1"/>
  <c r="P1822" i="34"/>
  <c r="O602" i="34"/>
  <c r="O603" i="34"/>
  <c r="O601" i="34"/>
  <c r="O1822" i="34" a="1"/>
  <c r="O1822" i="34"/>
  <c r="N602" i="34"/>
  <c r="N603" i="34"/>
  <c r="N601" i="34"/>
  <c r="N1822" i="34" a="1"/>
  <c r="N1822" i="34"/>
  <c r="M602" i="34"/>
  <c r="M603" i="34"/>
  <c r="M601" i="34"/>
  <c r="M1822" i="34" a="1"/>
  <c r="M1822" i="34"/>
  <c r="L602" i="34"/>
  <c r="L603" i="34"/>
  <c r="L601" i="34"/>
  <c r="L1822" i="34" a="1"/>
  <c r="L1822" i="34"/>
  <c r="K602" i="34"/>
  <c r="K603" i="34"/>
  <c r="K601" i="34"/>
  <c r="K1822" i="34" a="1"/>
  <c r="K1822" i="34"/>
  <c r="J602" i="34"/>
  <c r="J603" i="34"/>
  <c r="J601" i="34"/>
  <c r="J1822" i="34" a="1"/>
  <c r="J1822" i="34"/>
  <c r="I1822" i="34" a="1"/>
  <c r="I1822" i="34"/>
  <c r="G1821" i="34"/>
  <c r="E1821" i="34"/>
  <c r="Q1821" i="34" a="1"/>
  <c r="Q1821" i="34"/>
  <c r="P594" i="34"/>
  <c r="P595" i="34"/>
  <c r="P593" i="34"/>
  <c r="P1821" i="34" a="1"/>
  <c r="P1821" i="34"/>
  <c r="O594" i="34"/>
  <c r="O595" i="34"/>
  <c r="O593" i="34"/>
  <c r="O1821" i="34" a="1"/>
  <c r="O1821" i="34"/>
  <c r="N594" i="34"/>
  <c r="N595" i="34"/>
  <c r="N593" i="34"/>
  <c r="N1821" i="34" a="1"/>
  <c r="N1821" i="34"/>
  <c r="M594" i="34"/>
  <c r="M595" i="34"/>
  <c r="M593" i="34"/>
  <c r="M1821" i="34" a="1"/>
  <c r="M1821" i="34"/>
  <c r="L594" i="34"/>
  <c r="L595" i="34"/>
  <c r="L593" i="34"/>
  <c r="L1821" i="34" a="1"/>
  <c r="L1821" i="34"/>
  <c r="K594" i="34"/>
  <c r="K595" i="34"/>
  <c r="K593" i="34"/>
  <c r="K1821" i="34" a="1"/>
  <c r="K1821" i="34"/>
  <c r="J594" i="34"/>
  <c r="J595" i="34"/>
  <c r="J593" i="34"/>
  <c r="J1821" i="34" a="1"/>
  <c r="J1821" i="34"/>
  <c r="I1821" i="34" a="1"/>
  <c r="I1821" i="34"/>
  <c r="G1820" i="34"/>
  <c r="E1820" i="34"/>
  <c r="Q1820" i="34" a="1"/>
  <c r="Q1820" i="34"/>
  <c r="P586" i="34"/>
  <c r="P587" i="34"/>
  <c r="P585" i="34"/>
  <c r="P1820" i="34" a="1"/>
  <c r="P1820" i="34"/>
  <c r="O586" i="34"/>
  <c r="O587" i="34"/>
  <c r="O585" i="34"/>
  <c r="O1820" i="34" a="1"/>
  <c r="O1820" i="34"/>
  <c r="N586" i="34"/>
  <c r="N587" i="34"/>
  <c r="N585" i="34"/>
  <c r="N1820" i="34" a="1"/>
  <c r="N1820" i="34"/>
  <c r="M586" i="34"/>
  <c r="M587" i="34"/>
  <c r="M585" i="34"/>
  <c r="M1820" i="34" a="1"/>
  <c r="M1820" i="34"/>
  <c r="L586" i="34"/>
  <c r="L587" i="34"/>
  <c r="L585" i="34"/>
  <c r="L1820" i="34" a="1"/>
  <c r="L1820" i="34"/>
  <c r="K586" i="34"/>
  <c r="K587" i="34"/>
  <c r="K585" i="34"/>
  <c r="K1820" i="34" a="1"/>
  <c r="K1820" i="34"/>
  <c r="J586" i="34"/>
  <c r="J587" i="34"/>
  <c r="J585" i="34"/>
  <c r="J1820" i="34" a="1"/>
  <c r="J1820" i="34"/>
  <c r="I1820" i="34" a="1"/>
  <c r="I1820" i="34"/>
  <c r="G1819" i="34"/>
  <c r="E1819" i="34"/>
  <c r="Q1819" i="34" a="1"/>
  <c r="Q1819" i="34"/>
  <c r="P578" i="34"/>
  <c r="P579" i="34"/>
  <c r="P577" i="34"/>
  <c r="P1819" i="34" a="1"/>
  <c r="P1819" i="34"/>
  <c r="O578" i="34"/>
  <c r="O579" i="34"/>
  <c r="O577" i="34"/>
  <c r="O1819" i="34" a="1"/>
  <c r="O1819" i="34"/>
  <c r="N578" i="34"/>
  <c r="N579" i="34"/>
  <c r="N577" i="34"/>
  <c r="N1819" i="34" a="1"/>
  <c r="N1819" i="34"/>
  <c r="M578" i="34"/>
  <c r="M579" i="34"/>
  <c r="M577" i="34"/>
  <c r="M1819" i="34" a="1"/>
  <c r="M1819" i="34"/>
  <c r="L578" i="34"/>
  <c r="L579" i="34"/>
  <c r="L577" i="34"/>
  <c r="L1819" i="34" a="1"/>
  <c r="L1819" i="34"/>
  <c r="K578" i="34"/>
  <c r="K579" i="34"/>
  <c r="K577" i="34"/>
  <c r="K1819" i="34" a="1"/>
  <c r="K1819" i="34"/>
  <c r="J578" i="34"/>
  <c r="J579" i="34"/>
  <c r="J577" i="34"/>
  <c r="J1819" i="34" a="1"/>
  <c r="J1819" i="34"/>
  <c r="I1819" i="34" a="1"/>
  <c r="I1819" i="34"/>
  <c r="G1818" i="34"/>
  <c r="E1818" i="34"/>
  <c r="Q1818" i="34" a="1"/>
  <c r="Q1818" i="34"/>
  <c r="P570" i="34"/>
  <c r="P571" i="34"/>
  <c r="P569" i="34"/>
  <c r="P1818" i="34" a="1"/>
  <c r="P1818" i="34"/>
  <c r="O570" i="34"/>
  <c r="O571" i="34"/>
  <c r="O569" i="34"/>
  <c r="O1818" i="34" a="1"/>
  <c r="O1818" i="34"/>
  <c r="N570" i="34"/>
  <c r="N571" i="34"/>
  <c r="N569" i="34"/>
  <c r="N1818" i="34" a="1"/>
  <c r="N1818" i="34"/>
  <c r="M570" i="34"/>
  <c r="M571" i="34"/>
  <c r="M569" i="34"/>
  <c r="M1818" i="34" a="1"/>
  <c r="M1818" i="34"/>
  <c r="L570" i="34"/>
  <c r="L571" i="34"/>
  <c r="L569" i="34"/>
  <c r="L1818" i="34" a="1"/>
  <c r="L1818" i="34"/>
  <c r="K570" i="34"/>
  <c r="K571" i="34"/>
  <c r="K569" i="34"/>
  <c r="K1818" i="34" a="1"/>
  <c r="K1818" i="34"/>
  <c r="J570" i="34"/>
  <c r="J571" i="34"/>
  <c r="J569" i="34"/>
  <c r="J1818" i="34" a="1"/>
  <c r="J1818" i="34"/>
  <c r="I1818" i="34" a="1"/>
  <c r="I1818" i="34"/>
  <c r="G1817" i="34"/>
  <c r="E1817" i="34"/>
  <c r="Q1817" i="34" a="1"/>
  <c r="Q1817" i="34"/>
  <c r="P562" i="34"/>
  <c r="P563" i="34"/>
  <c r="P561" i="34"/>
  <c r="P1817" i="34" a="1"/>
  <c r="P1817" i="34"/>
  <c r="O562" i="34"/>
  <c r="O563" i="34"/>
  <c r="O561" i="34"/>
  <c r="O1817" i="34" a="1"/>
  <c r="O1817" i="34"/>
  <c r="N562" i="34"/>
  <c r="N563" i="34"/>
  <c r="N561" i="34"/>
  <c r="N1817" i="34" a="1"/>
  <c r="N1817" i="34"/>
  <c r="M562" i="34"/>
  <c r="M563" i="34"/>
  <c r="M561" i="34"/>
  <c r="M1817" i="34" a="1"/>
  <c r="M1817" i="34"/>
  <c r="L562" i="34"/>
  <c r="L563" i="34"/>
  <c r="L561" i="34"/>
  <c r="L1817" i="34" a="1"/>
  <c r="L1817" i="34"/>
  <c r="K562" i="34"/>
  <c r="K563" i="34"/>
  <c r="K561" i="34"/>
  <c r="K1817" i="34" a="1"/>
  <c r="K1817" i="34"/>
  <c r="J562" i="34"/>
  <c r="J563" i="34"/>
  <c r="J561" i="34"/>
  <c r="J1817" i="34" a="1"/>
  <c r="J1817" i="34"/>
  <c r="I1817" i="34" a="1"/>
  <c r="I1817" i="34"/>
  <c r="G1816" i="34"/>
  <c r="E1816" i="34"/>
  <c r="Q1816" i="34" a="1"/>
  <c r="Q1816" i="34"/>
  <c r="P554" i="34"/>
  <c r="P555" i="34"/>
  <c r="P553" i="34"/>
  <c r="P1816" i="34" a="1"/>
  <c r="P1816" i="34"/>
  <c r="O554" i="34"/>
  <c r="O555" i="34"/>
  <c r="O553" i="34"/>
  <c r="O1816" i="34" a="1"/>
  <c r="O1816" i="34"/>
  <c r="N554" i="34"/>
  <c r="N555" i="34"/>
  <c r="N553" i="34"/>
  <c r="N1816" i="34" a="1"/>
  <c r="N1816" i="34"/>
  <c r="M554" i="34"/>
  <c r="M555" i="34"/>
  <c r="M553" i="34"/>
  <c r="M1816" i="34" a="1"/>
  <c r="M1816" i="34"/>
  <c r="L554" i="34"/>
  <c r="L555" i="34"/>
  <c r="L553" i="34"/>
  <c r="L1816" i="34" a="1"/>
  <c r="L1816" i="34"/>
  <c r="K554" i="34"/>
  <c r="K555" i="34"/>
  <c r="K553" i="34"/>
  <c r="K1816" i="34" a="1"/>
  <c r="K1816" i="34"/>
  <c r="J554" i="34"/>
  <c r="J555" i="34"/>
  <c r="J553" i="34"/>
  <c r="J1816" i="34" a="1"/>
  <c r="J1816" i="34"/>
  <c r="I1816" i="34" a="1"/>
  <c r="I1816" i="34"/>
  <c r="G1815" i="34"/>
  <c r="E1815" i="34"/>
  <c r="Q1815" i="34" a="1"/>
  <c r="Q1815" i="34"/>
  <c r="P546" i="34"/>
  <c r="P547" i="34"/>
  <c r="P545" i="34"/>
  <c r="P1815" i="34" a="1"/>
  <c r="P1815" i="34"/>
  <c r="O546" i="34"/>
  <c r="O547" i="34"/>
  <c r="O545" i="34"/>
  <c r="O1815" i="34" a="1"/>
  <c r="O1815" i="34"/>
  <c r="N546" i="34"/>
  <c r="N547" i="34"/>
  <c r="N545" i="34"/>
  <c r="N1815" i="34" a="1"/>
  <c r="N1815" i="34"/>
  <c r="M546" i="34"/>
  <c r="M547" i="34"/>
  <c r="M545" i="34"/>
  <c r="M1815" i="34" a="1"/>
  <c r="M1815" i="34"/>
  <c r="L546" i="34"/>
  <c r="L547" i="34"/>
  <c r="L545" i="34"/>
  <c r="L1815" i="34" a="1"/>
  <c r="L1815" i="34"/>
  <c r="K546" i="34"/>
  <c r="K547" i="34"/>
  <c r="K545" i="34"/>
  <c r="K1815" i="34" a="1"/>
  <c r="K1815" i="34"/>
  <c r="J546" i="34"/>
  <c r="J547" i="34"/>
  <c r="J545" i="34"/>
  <c r="J1815" i="34" a="1"/>
  <c r="J1815" i="34"/>
  <c r="I1815" i="34" a="1"/>
  <c r="I1815" i="34"/>
  <c r="G1814" i="34"/>
  <c r="E1814" i="34"/>
  <c r="Q1814" i="34" a="1"/>
  <c r="Q1814" i="34"/>
  <c r="P542" i="34"/>
  <c r="P543" i="34"/>
  <c r="P541" i="34"/>
  <c r="P1814" i="34" a="1"/>
  <c r="P1814" i="34"/>
  <c r="O542" i="34"/>
  <c r="O543" i="34"/>
  <c r="O541" i="34"/>
  <c r="O1814" i="34" a="1"/>
  <c r="O1814" i="34"/>
  <c r="N542" i="34"/>
  <c r="N543" i="34"/>
  <c r="N541" i="34"/>
  <c r="N1814" i="34" a="1"/>
  <c r="N1814" i="34"/>
  <c r="M542" i="34"/>
  <c r="M543" i="34"/>
  <c r="M541" i="34"/>
  <c r="M1814" i="34" a="1"/>
  <c r="M1814" i="34"/>
  <c r="L542" i="34"/>
  <c r="L543" i="34"/>
  <c r="L541" i="34"/>
  <c r="L1814" i="34" a="1"/>
  <c r="L1814" i="34"/>
  <c r="K542" i="34"/>
  <c r="K543" i="34"/>
  <c r="K541" i="34"/>
  <c r="K1814" i="34" a="1"/>
  <c r="K1814" i="34"/>
  <c r="J542" i="34"/>
  <c r="J543" i="34"/>
  <c r="J541" i="34"/>
  <c r="J1814" i="34" a="1"/>
  <c r="J1814" i="34"/>
  <c r="I1814" i="34" a="1"/>
  <c r="I1814" i="34"/>
  <c r="G1813" i="34"/>
  <c r="E1813" i="34"/>
  <c r="Q1813" i="34" a="1"/>
  <c r="Q1813" i="34"/>
  <c r="P534" i="34"/>
  <c r="P535" i="34"/>
  <c r="P533" i="34"/>
  <c r="P1813" i="34" a="1"/>
  <c r="P1813" i="34"/>
  <c r="O534" i="34"/>
  <c r="O535" i="34"/>
  <c r="O533" i="34"/>
  <c r="O1813" i="34" a="1"/>
  <c r="O1813" i="34"/>
  <c r="N534" i="34"/>
  <c r="N535" i="34"/>
  <c r="N533" i="34"/>
  <c r="N1813" i="34" a="1"/>
  <c r="N1813" i="34"/>
  <c r="M534" i="34"/>
  <c r="M535" i="34"/>
  <c r="M533" i="34"/>
  <c r="M1813" i="34" a="1"/>
  <c r="M1813" i="34"/>
  <c r="L534" i="34"/>
  <c r="L535" i="34"/>
  <c r="L533" i="34"/>
  <c r="L1813" i="34" a="1"/>
  <c r="L1813" i="34"/>
  <c r="K534" i="34"/>
  <c r="K535" i="34"/>
  <c r="K533" i="34"/>
  <c r="K1813" i="34" a="1"/>
  <c r="K1813" i="34"/>
  <c r="J534" i="34"/>
  <c r="J535" i="34"/>
  <c r="J533" i="34"/>
  <c r="J1813" i="34" a="1"/>
  <c r="J1813" i="34"/>
  <c r="I1813" i="34" a="1"/>
  <c r="I1813" i="34"/>
  <c r="G1812" i="34"/>
  <c r="E1812" i="34"/>
  <c r="Q1812" i="34" a="1"/>
  <c r="Q1812" i="34"/>
  <c r="P530" i="34"/>
  <c r="P531" i="34"/>
  <c r="P529" i="34"/>
  <c r="P1812" i="34" a="1"/>
  <c r="P1812" i="34"/>
  <c r="O530" i="34"/>
  <c r="O531" i="34"/>
  <c r="O529" i="34"/>
  <c r="O1812" i="34" a="1"/>
  <c r="O1812" i="34"/>
  <c r="N530" i="34"/>
  <c r="N531" i="34"/>
  <c r="N529" i="34"/>
  <c r="N1812" i="34" a="1"/>
  <c r="N1812" i="34"/>
  <c r="M530" i="34"/>
  <c r="M531" i="34"/>
  <c r="M529" i="34"/>
  <c r="M1812" i="34" a="1"/>
  <c r="M1812" i="34"/>
  <c r="L530" i="34"/>
  <c r="L531" i="34"/>
  <c r="L529" i="34"/>
  <c r="L1812" i="34" a="1"/>
  <c r="L1812" i="34"/>
  <c r="K530" i="34"/>
  <c r="K531" i="34"/>
  <c r="K529" i="34"/>
  <c r="K1812" i="34" a="1"/>
  <c r="K1812" i="34"/>
  <c r="J530" i="34"/>
  <c r="J531" i="34"/>
  <c r="J529" i="34"/>
  <c r="J1812" i="34" a="1"/>
  <c r="J1812" i="34"/>
  <c r="I1812" i="34" a="1"/>
  <c r="I1812" i="34"/>
  <c r="X1811" i="34"/>
  <c r="V1811" i="34"/>
  <c r="U1811" i="34"/>
  <c r="T1811" i="34"/>
  <c r="X1754" i="34"/>
  <c r="V1754" i="34"/>
  <c r="U1754" i="34"/>
  <c r="T1754" i="34"/>
  <c r="F1167" i="34"/>
  <c r="G1167" i="34"/>
  <c r="H1167" i="34"/>
  <c r="F1166" i="34"/>
  <c r="G1166" i="34"/>
  <c r="H1166" i="34"/>
  <c r="F1165" i="34"/>
  <c r="G1165" i="34"/>
  <c r="H1165" i="34"/>
  <c r="F1164" i="34"/>
  <c r="G1164" i="34"/>
  <c r="H1164" i="34"/>
  <c r="F1163" i="34"/>
  <c r="G1163" i="34"/>
  <c r="H1163" i="34"/>
  <c r="X1657" i="34"/>
  <c r="V1657" i="34"/>
  <c r="U1657" i="34"/>
  <c r="T1657" i="34"/>
  <c r="Q1655" i="34"/>
  <c r="X1637" i="34"/>
  <c r="V1637" i="34"/>
  <c r="U1637" i="34"/>
  <c r="T1637" i="34"/>
  <c r="Q1635" i="34"/>
  <c r="G1633" i="34"/>
  <c r="E1633" i="34"/>
  <c r="Q1633" i="34" a="1"/>
  <c r="Q1633" i="34"/>
  <c r="P281" i="34"/>
  <c r="P282" i="34"/>
  <c r="P280" i="34"/>
  <c r="P1633" i="34" a="1"/>
  <c r="P1633" i="34"/>
  <c r="O281" i="34"/>
  <c r="O282" i="34"/>
  <c r="O280" i="34"/>
  <c r="O1633" i="34" a="1"/>
  <c r="O1633" i="34"/>
  <c r="N281" i="34"/>
  <c r="N282" i="34"/>
  <c r="N280" i="34"/>
  <c r="N1633" i="34" a="1"/>
  <c r="N1633" i="34"/>
  <c r="M281" i="34"/>
  <c r="M282" i="34"/>
  <c r="M280" i="34"/>
  <c r="M1633" i="34" a="1"/>
  <c r="M1633" i="34"/>
  <c r="L281" i="34"/>
  <c r="L282" i="34"/>
  <c r="L280" i="34"/>
  <c r="L1633" i="34" a="1"/>
  <c r="L1633" i="34"/>
  <c r="K281" i="34"/>
  <c r="K282" i="34"/>
  <c r="K280" i="34"/>
  <c r="K1633" i="34" a="1"/>
  <c r="K1633" i="34"/>
  <c r="J281" i="34"/>
  <c r="J282" i="34"/>
  <c r="J280" i="34"/>
  <c r="J1633" i="34" a="1"/>
  <c r="J1633" i="34"/>
  <c r="I1633" i="34" a="1"/>
  <c r="I1633" i="34"/>
  <c r="G1632" i="34"/>
  <c r="E1632" i="34"/>
  <c r="Q1632" i="34" a="1"/>
  <c r="Q1632" i="34"/>
  <c r="P277" i="34"/>
  <c r="P278" i="34"/>
  <c r="P276" i="34"/>
  <c r="P1632" i="34" a="1"/>
  <c r="P1632" i="34"/>
  <c r="O277" i="34"/>
  <c r="O278" i="34"/>
  <c r="O276" i="34"/>
  <c r="O1632" i="34" a="1"/>
  <c r="O1632" i="34"/>
  <c r="N277" i="34"/>
  <c r="N278" i="34"/>
  <c r="N276" i="34"/>
  <c r="N1632" i="34" a="1"/>
  <c r="N1632" i="34"/>
  <c r="M277" i="34"/>
  <c r="M278" i="34"/>
  <c r="M276" i="34"/>
  <c r="M1632" i="34" a="1"/>
  <c r="M1632" i="34"/>
  <c r="L277" i="34"/>
  <c r="L278" i="34"/>
  <c r="L276" i="34"/>
  <c r="L1632" i="34" a="1"/>
  <c r="L1632" i="34"/>
  <c r="K277" i="34"/>
  <c r="K278" i="34"/>
  <c r="K276" i="34"/>
  <c r="K1632" i="34" a="1"/>
  <c r="K1632" i="34"/>
  <c r="J277" i="34"/>
  <c r="J278" i="34"/>
  <c r="J276" i="34"/>
  <c r="J1632" i="34" a="1"/>
  <c r="J1632" i="34"/>
  <c r="I1632" i="34" a="1"/>
  <c r="I1632" i="34"/>
  <c r="G1631" i="34"/>
  <c r="E1631" i="34"/>
  <c r="Q1631" i="34" a="1"/>
  <c r="Q1631" i="34"/>
  <c r="P273" i="34"/>
  <c r="P274" i="34"/>
  <c r="P272" i="34"/>
  <c r="P1631" i="34" a="1"/>
  <c r="P1631" i="34"/>
  <c r="O273" i="34"/>
  <c r="O274" i="34"/>
  <c r="O272" i="34"/>
  <c r="O1631" i="34" a="1"/>
  <c r="O1631" i="34"/>
  <c r="N273" i="34"/>
  <c r="N274" i="34"/>
  <c r="N272" i="34"/>
  <c r="N1631" i="34" a="1"/>
  <c r="N1631" i="34"/>
  <c r="M273" i="34"/>
  <c r="M274" i="34"/>
  <c r="M272" i="34"/>
  <c r="M1631" i="34" a="1"/>
  <c r="M1631" i="34"/>
  <c r="L273" i="34"/>
  <c r="L274" i="34"/>
  <c r="L272" i="34"/>
  <c r="L1631" i="34" a="1"/>
  <c r="L1631" i="34"/>
  <c r="K273" i="34"/>
  <c r="K274" i="34"/>
  <c r="K272" i="34"/>
  <c r="K1631" i="34" a="1"/>
  <c r="K1631" i="34"/>
  <c r="J273" i="34"/>
  <c r="J274" i="34"/>
  <c r="J272" i="34"/>
  <c r="J1631" i="34" a="1"/>
  <c r="J1631" i="34"/>
  <c r="I1631" i="34" a="1"/>
  <c r="I1631" i="34"/>
  <c r="X1628" i="34"/>
  <c r="X1629" i="34"/>
  <c r="X1630" i="34"/>
  <c r="G1630" i="34"/>
  <c r="E1630" i="34"/>
  <c r="Q1630" i="34" a="1"/>
  <c r="Q1630" i="34"/>
  <c r="P269" i="34"/>
  <c r="P270" i="34"/>
  <c r="P268" i="34"/>
  <c r="P1630" i="34" a="1"/>
  <c r="P1630" i="34"/>
  <c r="O269" i="34"/>
  <c r="O270" i="34"/>
  <c r="O268" i="34"/>
  <c r="O1630" i="34" a="1"/>
  <c r="O1630" i="34"/>
  <c r="N269" i="34"/>
  <c r="N270" i="34"/>
  <c r="N268" i="34"/>
  <c r="N1630" i="34" a="1"/>
  <c r="N1630" i="34"/>
  <c r="M269" i="34"/>
  <c r="M270" i="34"/>
  <c r="M268" i="34"/>
  <c r="M1630" i="34" a="1"/>
  <c r="M1630" i="34"/>
  <c r="L269" i="34"/>
  <c r="L270" i="34"/>
  <c r="L268" i="34"/>
  <c r="L1630" i="34" a="1"/>
  <c r="L1630" i="34"/>
  <c r="K269" i="34"/>
  <c r="K270" i="34"/>
  <c r="K268" i="34"/>
  <c r="K1630" i="34" a="1"/>
  <c r="K1630" i="34"/>
  <c r="J269" i="34"/>
  <c r="J270" i="34"/>
  <c r="J268" i="34"/>
  <c r="J1630" i="34" a="1"/>
  <c r="J1630" i="34"/>
  <c r="I1630" i="34" a="1"/>
  <c r="I1630" i="34"/>
  <c r="G1629" i="34"/>
  <c r="E1629" i="34"/>
  <c r="Q1629" i="34" a="1"/>
  <c r="Q1629" i="34"/>
  <c r="P265" i="34"/>
  <c r="P266" i="34"/>
  <c r="P264" i="34"/>
  <c r="P1629" i="34" a="1"/>
  <c r="P1629" i="34"/>
  <c r="O265" i="34"/>
  <c r="O266" i="34"/>
  <c r="O264" i="34"/>
  <c r="O1629" i="34" a="1"/>
  <c r="O1629" i="34"/>
  <c r="N265" i="34"/>
  <c r="N266" i="34"/>
  <c r="N264" i="34"/>
  <c r="N1629" i="34" a="1"/>
  <c r="N1629" i="34"/>
  <c r="M265" i="34"/>
  <c r="M266" i="34"/>
  <c r="M264" i="34"/>
  <c r="M1629" i="34" a="1"/>
  <c r="M1629" i="34"/>
  <c r="L265" i="34"/>
  <c r="L266" i="34"/>
  <c r="L264" i="34"/>
  <c r="L1629" i="34" a="1"/>
  <c r="L1629" i="34"/>
  <c r="K265" i="34"/>
  <c r="K266" i="34"/>
  <c r="K264" i="34"/>
  <c r="K1629" i="34" a="1"/>
  <c r="K1629" i="34"/>
  <c r="J265" i="34"/>
  <c r="J266" i="34"/>
  <c r="J264" i="34"/>
  <c r="J1629" i="34" a="1"/>
  <c r="J1629" i="34"/>
  <c r="I1629" i="34" a="1"/>
  <c r="I1629" i="34"/>
  <c r="G1628" i="34"/>
  <c r="E1628" i="34"/>
  <c r="Q1628" i="34" a="1"/>
  <c r="Q1628" i="34"/>
  <c r="P261" i="34"/>
  <c r="P262" i="34"/>
  <c r="P260" i="34"/>
  <c r="P1628" i="34" a="1"/>
  <c r="P1628" i="34"/>
  <c r="O261" i="34"/>
  <c r="O262" i="34"/>
  <c r="O260" i="34"/>
  <c r="O1628" i="34" a="1"/>
  <c r="O1628" i="34"/>
  <c r="N261" i="34"/>
  <c r="N262" i="34"/>
  <c r="N260" i="34"/>
  <c r="N1628" i="34" a="1"/>
  <c r="N1628" i="34"/>
  <c r="M261" i="34"/>
  <c r="M262" i="34"/>
  <c r="M260" i="34"/>
  <c r="M1628" i="34" a="1"/>
  <c r="M1628" i="34"/>
  <c r="L261" i="34"/>
  <c r="L262" i="34"/>
  <c r="L260" i="34"/>
  <c r="L1628" i="34" a="1"/>
  <c r="L1628" i="34"/>
  <c r="K261" i="34"/>
  <c r="K262" i="34"/>
  <c r="K260" i="34"/>
  <c r="K1628" i="34" a="1"/>
  <c r="K1628" i="34"/>
  <c r="J261" i="34"/>
  <c r="J262" i="34"/>
  <c r="J260" i="34"/>
  <c r="J1628" i="34" a="1"/>
  <c r="J1628" i="34"/>
  <c r="I1628" i="34" a="1"/>
  <c r="I1628" i="34"/>
  <c r="X1627" i="34"/>
  <c r="V1627" i="34"/>
  <c r="U1627" i="34"/>
  <c r="T1627" i="34"/>
  <c r="G1277" i="34"/>
  <c r="G1263" i="34"/>
  <c r="G1264" i="34"/>
  <c r="G1265" i="34"/>
  <c r="G1266" i="34"/>
  <c r="G1267" i="34"/>
  <c r="G1268" i="34"/>
  <c r="G1269" i="34"/>
  <c r="G1270" i="34"/>
  <c r="G1271" i="34"/>
  <c r="G1272" i="34"/>
  <c r="G1273" i="34"/>
  <c r="G1274" i="34"/>
  <c r="G1275" i="34"/>
  <c r="G1276" i="34"/>
  <c r="F1277" i="34"/>
  <c r="F1263" i="34"/>
  <c r="F1264" i="34"/>
  <c r="F1265" i="34"/>
  <c r="F1266" i="34"/>
  <c r="F1267" i="34"/>
  <c r="F1268" i="34"/>
  <c r="F1269" i="34"/>
  <c r="F1270" i="34"/>
  <c r="F1271" i="34"/>
  <c r="F1272" i="34"/>
  <c r="F1273" i="34"/>
  <c r="F1274" i="34"/>
  <c r="F1275" i="34"/>
  <c r="F1276" i="34"/>
  <c r="E1277" i="34"/>
  <c r="E1263" i="34"/>
  <c r="E1264" i="34"/>
  <c r="E1265" i="34"/>
  <c r="E1266" i="34"/>
  <c r="E1267" i="34"/>
  <c r="E1268" i="34"/>
  <c r="E1269" i="34"/>
  <c r="E1270" i="34"/>
  <c r="E1271" i="34"/>
  <c r="E1272" i="34"/>
  <c r="E1273" i="34"/>
  <c r="E1274" i="34"/>
  <c r="E1275" i="34"/>
  <c r="E1276" i="34"/>
  <c r="X1572" i="34"/>
  <c r="V1572" i="34"/>
  <c r="U1572" i="34"/>
  <c r="T1572" i="34"/>
  <c r="X1514" i="34"/>
  <c r="V1514" i="34"/>
  <c r="U1514" i="34"/>
  <c r="T1514" i="34"/>
  <c r="X1456" i="34"/>
  <c r="V1456" i="34"/>
  <c r="U1456" i="34"/>
  <c r="T1456" i="34"/>
  <c r="F1245" i="34"/>
  <c r="G1245" i="34"/>
  <c r="H1245" i="34"/>
  <c r="F1244" i="34"/>
  <c r="G1244" i="34"/>
  <c r="H1244" i="34"/>
  <c r="F1243" i="34"/>
  <c r="F1240" i="34"/>
  <c r="G1240" i="34"/>
  <c r="G1243" i="34"/>
  <c r="H1243" i="34"/>
  <c r="F1242" i="34"/>
  <c r="G1242" i="34"/>
  <c r="H1242" i="34"/>
  <c r="F1241" i="34"/>
  <c r="G1241" i="34"/>
  <c r="H1241" i="34"/>
  <c r="H1240" i="34"/>
  <c r="F1239" i="34"/>
  <c r="G1239" i="34"/>
  <c r="E1155" i="34"/>
  <c r="H1239" i="34"/>
  <c r="E1305" i="34"/>
  <c r="Q1305" i="34" a="1"/>
  <c r="Q1305" i="34"/>
  <c r="L1131" i="34"/>
  <c r="E1326" i="34"/>
  <c r="Q1326" i="34" a="1"/>
  <c r="Q1326" i="34"/>
  <c r="E1327" i="34"/>
  <c r="Q1327" i="34" a="1"/>
  <c r="Q1327" i="34"/>
  <c r="E1328" i="34"/>
  <c r="Q1328" i="34" a="1"/>
  <c r="Q1328" i="34"/>
  <c r="Q1350" i="34"/>
  <c r="Q1444" i="34"/>
  <c r="P167" i="34"/>
  <c r="P168" i="34"/>
  <c r="P166" i="34"/>
  <c r="P1305" i="34" a="1"/>
  <c r="P1305" i="34"/>
  <c r="P233" i="34"/>
  <c r="P230" i="34"/>
  <c r="P1326" i="34" a="1"/>
  <c r="P1326" i="34"/>
  <c r="P237" i="34"/>
  <c r="P234" i="34"/>
  <c r="P1327" i="34" a="1"/>
  <c r="P1327" i="34"/>
  <c r="P241" i="34"/>
  <c r="P238" i="34"/>
  <c r="P1328" i="34" a="1"/>
  <c r="P1328" i="34"/>
  <c r="P1350" i="34"/>
  <c r="P1444" i="34"/>
  <c r="O167" i="34"/>
  <c r="O168" i="34"/>
  <c r="O166" i="34"/>
  <c r="O1305" i="34" a="1"/>
  <c r="O1305" i="34"/>
  <c r="O233" i="34"/>
  <c r="O230" i="34"/>
  <c r="O1326" i="34" a="1"/>
  <c r="O1326" i="34"/>
  <c r="O237" i="34"/>
  <c r="O234" i="34"/>
  <c r="O1327" i="34" a="1"/>
  <c r="O1327" i="34"/>
  <c r="O241" i="34"/>
  <c r="O238" i="34"/>
  <c r="O1328" i="34" a="1"/>
  <c r="O1328" i="34"/>
  <c r="O1350" i="34"/>
  <c r="O1444" i="34"/>
  <c r="N167" i="34"/>
  <c r="N168" i="34"/>
  <c r="N166" i="34"/>
  <c r="N1305" i="34" a="1"/>
  <c r="N1305" i="34"/>
  <c r="N233" i="34"/>
  <c r="N230" i="34"/>
  <c r="N1326" i="34" a="1"/>
  <c r="N1326" i="34"/>
  <c r="N237" i="34"/>
  <c r="N234" i="34"/>
  <c r="N1327" i="34" a="1"/>
  <c r="N1327" i="34"/>
  <c r="N241" i="34"/>
  <c r="N238" i="34"/>
  <c r="N1328" i="34" a="1"/>
  <c r="N1328" i="34"/>
  <c r="N1350" i="34"/>
  <c r="N1444" i="34"/>
  <c r="M167" i="34"/>
  <c r="M168" i="34"/>
  <c r="M166" i="34"/>
  <c r="M1305" i="34" a="1"/>
  <c r="M1305" i="34"/>
  <c r="M233" i="34"/>
  <c r="M230" i="34"/>
  <c r="M1326" i="34" a="1"/>
  <c r="M1326" i="34"/>
  <c r="M237" i="34"/>
  <c r="M234" i="34"/>
  <c r="M1327" i="34" a="1"/>
  <c r="M1327" i="34"/>
  <c r="M241" i="34"/>
  <c r="M238" i="34"/>
  <c r="M1328" i="34" a="1"/>
  <c r="M1328" i="34"/>
  <c r="M1350" i="34"/>
  <c r="M1444" i="34"/>
  <c r="L167" i="34"/>
  <c r="L168" i="34"/>
  <c r="L166" i="34"/>
  <c r="L1305" i="34" a="1"/>
  <c r="L1305" i="34"/>
  <c r="L233" i="34"/>
  <c r="L230" i="34"/>
  <c r="L1326" i="34" a="1"/>
  <c r="L1326" i="34"/>
  <c r="L237" i="34"/>
  <c r="L234" i="34"/>
  <c r="L1327" i="34" a="1"/>
  <c r="L1327" i="34"/>
  <c r="L241" i="34"/>
  <c r="L238" i="34"/>
  <c r="L1328" i="34" a="1"/>
  <c r="L1328" i="34"/>
  <c r="L1350" i="34"/>
  <c r="L1444" i="34"/>
  <c r="K167" i="34"/>
  <c r="K168" i="34"/>
  <c r="K166" i="34"/>
  <c r="K1305" i="34" a="1"/>
  <c r="K1305" i="34"/>
  <c r="K233" i="34"/>
  <c r="K230" i="34"/>
  <c r="K1326" i="34" a="1"/>
  <c r="K1326" i="34"/>
  <c r="K237" i="34"/>
  <c r="K234" i="34"/>
  <c r="K1327" i="34" a="1"/>
  <c r="K1327" i="34"/>
  <c r="K241" i="34"/>
  <c r="K238" i="34"/>
  <c r="K1328" i="34" a="1"/>
  <c r="K1328" i="34"/>
  <c r="K1350" i="34"/>
  <c r="K1444" i="34"/>
  <c r="J167" i="34"/>
  <c r="J168" i="34"/>
  <c r="J166" i="34"/>
  <c r="J1305" i="34" a="1"/>
  <c r="J1305" i="34"/>
  <c r="J233" i="34"/>
  <c r="J230" i="34"/>
  <c r="J1326" i="34" a="1"/>
  <c r="J1326" i="34"/>
  <c r="J237" i="34"/>
  <c r="J234" i="34"/>
  <c r="J1327" i="34" a="1"/>
  <c r="J1327" i="34"/>
  <c r="J241" i="34"/>
  <c r="J238" i="34"/>
  <c r="J1328" i="34" a="1"/>
  <c r="J1328" i="34"/>
  <c r="J1350" i="34"/>
  <c r="J1444" i="34"/>
  <c r="I1305" i="34" a="1"/>
  <c r="I1305" i="34"/>
  <c r="I1326" i="34" a="1"/>
  <c r="I1326" i="34"/>
  <c r="I1327" i="34" a="1"/>
  <c r="I1327" i="34"/>
  <c r="I1328" i="34" a="1"/>
  <c r="I1328" i="34"/>
  <c r="I1350" i="34"/>
  <c r="I1444" i="34"/>
  <c r="F1238" i="34"/>
  <c r="G1238" i="34"/>
  <c r="H1238" i="34"/>
  <c r="Q1443" i="34"/>
  <c r="P1443" i="34"/>
  <c r="O1443" i="34"/>
  <c r="N1443" i="34"/>
  <c r="M1443" i="34"/>
  <c r="L1443" i="34"/>
  <c r="K1443" i="34"/>
  <c r="J1443" i="34"/>
  <c r="I1443" i="34"/>
  <c r="F1237" i="34"/>
  <c r="G1237" i="34"/>
  <c r="H1237" i="34"/>
  <c r="Q1442" i="34"/>
  <c r="P1442" i="34"/>
  <c r="O1442" i="34"/>
  <c r="N1442" i="34"/>
  <c r="M1442" i="34"/>
  <c r="L1442" i="34"/>
  <c r="K1442" i="34"/>
  <c r="J1442" i="34"/>
  <c r="I1442" i="34"/>
  <c r="F1236" i="34"/>
  <c r="G1236" i="34"/>
  <c r="H1236" i="34"/>
  <c r="Q1441" i="34"/>
  <c r="P1441" i="34"/>
  <c r="O1441" i="34"/>
  <c r="N1441" i="34"/>
  <c r="M1441" i="34"/>
  <c r="L1441" i="34"/>
  <c r="K1441" i="34"/>
  <c r="J1441" i="34"/>
  <c r="I1441" i="34"/>
  <c r="F1235" i="34"/>
  <c r="G1235" i="34"/>
  <c r="H1235" i="34"/>
  <c r="Q1440" i="34"/>
  <c r="P1440" i="34"/>
  <c r="O1440" i="34"/>
  <c r="N1440" i="34"/>
  <c r="M1440" i="34"/>
  <c r="L1440" i="34"/>
  <c r="K1440" i="34"/>
  <c r="J1440" i="34"/>
  <c r="I1440" i="34"/>
  <c r="F1234" i="34"/>
  <c r="G1234" i="34"/>
  <c r="H1234" i="34"/>
  <c r="Q1439" i="34"/>
  <c r="P1439" i="34"/>
  <c r="O1439" i="34"/>
  <c r="N1439" i="34"/>
  <c r="M1439" i="34"/>
  <c r="L1439" i="34"/>
  <c r="K1439" i="34"/>
  <c r="J1439" i="34"/>
  <c r="I1439" i="34"/>
  <c r="F1233" i="34"/>
  <c r="G1233" i="34"/>
  <c r="E1154" i="34"/>
  <c r="H1233" i="34"/>
  <c r="L1127" i="34"/>
  <c r="E1304" i="34"/>
  <c r="Q1304" i="34" a="1"/>
  <c r="Q1304" i="34"/>
  <c r="E1323" i="34"/>
  <c r="I1323" i="34" a="1"/>
  <c r="I1323" i="34"/>
  <c r="E1324" i="34"/>
  <c r="I1324" i="34" a="1"/>
  <c r="I1324" i="34"/>
  <c r="E1325" i="34"/>
  <c r="I1325" i="34" a="1"/>
  <c r="I1325" i="34"/>
  <c r="Q1349" i="34"/>
  <c r="Q1438" i="34"/>
  <c r="P1304" i="34" a="1"/>
  <c r="P1304" i="34"/>
  <c r="P1349" i="34"/>
  <c r="P1438" i="34"/>
  <c r="O1304" i="34" a="1"/>
  <c r="O1304" i="34"/>
  <c r="O1349" i="34"/>
  <c r="O1438" i="34"/>
  <c r="N1304" i="34" a="1"/>
  <c r="N1304" i="34"/>
  <c r="N1349" i="34"/>
  <c r="N1438" i="34"/>
  <c r="M1304" i="34" a="1"/>
  <c r="M1304" i="34"/>
  <c r="M1349" i="34"/>
  <c r="M1438" i="34"/>
  <c r="L1304" i="34" a="1"/>
  <c r="L1304" i="34"/>
  <c r="L1349" i="34"/>
  <c r="L1438" i="34"/>
  <c r="K1304" i="34" a="1"/>
  <c r="K1304" i="34"/>
  <c r="K1349" i="34"/>
  <c r="K1438" i="34"/>
  <c r="J1304" i="34" a="1"/>
  <c r="J1304" i="34"/>
  <c r="J1349" i="34"/>
  <c r="J1438" i="34"/>
  <c r="I1304" i="34" a="1"/>
  <c r="I1304" i="34"/>
  <c r="I1349" i="34"/>
  <c r="I1438" i="34"/>
  <c r="F1232" i="34"/>
  <c r="G1232" i="34"/>
  <c r="H1232" i="34"/>
  <c r="Q1437" i="34"/>
  <c r="P1437" i="34"/>
  <c r="O1437" i="34"/>
  <c r="N1437" i="34"/>
  <c r="M1437" i="34"/>
  <c r="L1437" i="34"/>
  <c r="K1437" i="34"/>
  <c r="J1437" i="34"/>
  <c r="I1437" i="34"/>
  <c r="F1231" i="34"/>
  <c r="G1231" i="34"/>
  <c r="H1231" i="34"/>
  <c r="Q1436" i="34"/>
  <c r="P1436" i="34"/>
  <c r="O1436" i="34"/>
  <c r="N1436" i="34"/>
  <c r="M1436" i="34"/>
  <c r="L1436" i="34"/>
  <c r="K1436" i="34"/>
  <c r="J1436" i="34"/>
  <c r="I1436" i="34"/>
  <c r="F1230" i="34"/>
  <c r="G1230" i="34"/>
  <c r="H1230" i="34"/>
  <c r="Q1435" i="34"/>
  <c r="P1435" i="34"/>
  <c r="O1435" i="34"/>
  <c r="N1435" i="34"/>
  <c r="M1435" i="34"/>
  <c r="L1435" i="34"/>
  <c r="K1435" i="34"/>
  <c r="J1435" i="34"/>
  <c r="I1435" i="34"/>
  <c r="F1229" i="34"/>
  <c r="G1229" i="34"/>
  <c r="H1229" i="34"/>
  <c r="Q1434" i="34"/>
  <c r="P1434" i="34"/>
  <c r="O1434" i="34"/>
  <c r="N1434" i="34"/>
  <c r="M1434" i="34"/>
  <c r="L1434" i="34"/>
  <c r="K1434" i="34"/>
  <c r="J1434" i="34"/>
  <c r="I1434" i="34"/>
  <c r="F1228" i="34"/>
  <c r="G1228" i="34"/>
  <c r="H1228" i="34"/>
  <c r="Q1433" i="34"/>
  <c r="P1433" i="34"/>
  <c r="O1433" i="34"/>
  <c r="N1433" i="34"/>
  <c r="M1433" i="34"/>
  <c r="L1433" i="34"/>
  <c r="K1433" i="34"/>
  <c r="J1433" i="34"/>
  <c r="I1433" i="34"/>
  <c r="F1227" i="34"/>
  <c r="G1227" i="34"/>
  <c r="E1153" i="34"/>
  <c r="H1227" i="34"/>
  <c r="Q1348" i="34"/>
  <c r="Q1432" i="34"/>
  <c r="P1348" i="34"/>
  <c r="P1432" i="34"/>
  <c r="O1348" i="34"/>
  <c r="O1432" i="34"/>
  <c r="N1348" i="34"/>
  <c r="N1432" i="34"/>
  <c r="M1348" i="34"/>
  <c r="M1432" i="34"/>
  <c r="L1348" i="34"/>
  <c r="L1432" i="34"/>
  <c r="K1348" i="34"/>
  <c r="K1432" i="34"/>
  <c r="J1348" i="34"/>
  <c r="J1432" i="34"/>
  <c r="I1348" i="34"/>
  <c r="I1432" i="34"/>
  <c r="F1226" i="34"/>
  <c r="G1226" i="34"/>
  <c r="H1226" i="34"/>
  <c r="Q1431" i="34"/>
  <c r="P1431" i="34"/>
  <c r="O1431" i="34"/>
  <c r="N1431" i="34"/>
  <c r="M1431" i="34"/>
  <c r="L1431" i="34"/>
  <c r="K1431" i="34"/>
  <c r="J1431" i="34"/>
  <c r="I1431" i="34"/>
  <c r="F1225" i="34"/>
  <c r="F1222" i="34"/>
  <c r="G1222" i="34"/>
  <c r="G1225" i="34"/>
  <c r="H1225" i="34"/>
  <c r="Q1430" i="34"/>
  <c r="P1430" i="34"/>
  <c r="O1430" i="34"/>
  <c r="N1430" i="34"/>
  <c r="M1430" i="34"/>
  <c r="L1430" i="34"/>
  <c r="K1430" i="34"/>
  <c r="J1430" i="34"/>
  <c r="I1430" i="34"/>
  <c r="F1224" i="34"/>
  <c r="G1224" i="34"/>
  <c r="H1224" i="34"/>
  <c r="Q1429" i="34"/>
  <c r="P1429" i="34"/>
  <c r="O1429" i="34"/>
  <c r="N1429" i="34"/>
  <c r="M1429" i="34"/>
  <c r="L1429" i="34"/>
  <c r="K1429" i="34"/>
  <c r="J1429" i="34"/>
  <c r="I1429" i="34"/>
  <c r="F1223" i="34"/>
  <c r="G1223" i="34"/>
  <c r="H1223" i="34"/>
  <c r="Q1428" i="34"/>
  <c r="P1428" i="34"/>
  <c r="O1428" i="34"/>
  <c r="N1428" i="34"/>
  <c r="M1428" i="34"/>
  <c r="L1428" i="34"/>
  <c r="K1428" i="34"/>
  <c r="J1428" i="34"/>
  <c r="I1428" i="34"/>
  <c r="H1222" i="34"/>
  <c r="Q1427" i="34"/>
  <c r="P1427" i="34"/>
  <c r="O1427" i="34"/>
  <c r="N1427" i="34"/>
  <c r="M1427" i="34"/>
  <c r="L1427" i="34"/>
  <c r="K1427" i="34"/>
  <c r="J1427" i="34"/>
  <c r="I1427" i="34"/>
  <c r="F1221" i="34"/>
  <c r="G1221" i="34"/>
  <c r="E1152" i="34"/>
  <c r="H1221" i="34"/>
  <c r="Q1347" i="34"/>
  <c r="Q1426" i="34"/>
  <c r="P1347" i="34"/>
  <c r="P1426" i="34"/>
  <c r="O1347" i="34"/>
  <c r="O1426" i="34"/>
  <c r="N1347" i="34"/>
  <c r="N1426" i="34"/>
  <c r="M1347" i="34"/>
  <c r="M1426" i="34"/>
  <c r="L1347" i="34"/>
  <c r="L1426" i="34"/>
  <c r="K1347" i="34"/>
  <c r="K1426" i="34"/>
  <c r="J1347" i="34"/>
  <c r="J1426" i="34"/>
  <c r="I1347" i="34"/>
  <c r="I1426" i="34"/>
  <c r="F1220" i="34"/>
  <c r="G1220" i="34"/>
  <c r="H1220" i="34"/>
  <c r="Q1425" i="34"/>
  <c r="P1425" i="34"/>
  <c r="O1425" i="34"/>
  <c r="N1425" i="34"/>
  <c r="M1425" i="34"/>
  <c r="L1425" i="34"/>
  <c r="K1425" i="34"/>
  <c r="J1425" i="34"/>
  <c r="I1425" i="34"/>
  <c r="F1219" i="34"/>
  <c r="F1216" i="34"/>
  <c r="G1216" i="34"/>
  <c r="G1219" i="34"/>
  <c r="H1219" i="34"/>
  <c r="Q1424" i="34"/>
  <c r="P1424" i="34"/>
  <c r="O1424" i="34"/>
  <c r="N1424" i="34"/>
  <c r="M1424" i="34"/>
  <c r="L1424" i="34"/>
  <c r="K1424" i="34"/>
  <c r="J1424" i="34"/>
  <c r="I1424" i="34"/>
  <c r="F1218" i="34"/>
  <c r="G1218" i="34"/>
  <c r="H1218" i="34"/>
  <c r="Q1423" i="34"/>
  <c r="P1423" i="34"/>
  <c r="O1423" i="34"/>
  <c r="N1423" i="34"/>
  <c r="M1423" i="34"/>
  <c r="L1423" i="34"/>
  <c r="K1423" i="34"/>
  <c r="J1423" i="34"/>
  <c r="I1423" i="34"/>
  <c r="F1217" i="34"/>
  <c r="G1217" i="34"/>
  <c r="H1217" i="34"/>
  <c r="Q1422" i="34"/>
  <c r="P1422" i="34"/>
  <c r="O1422" i="34"/>
  <c r="N1422" i="34"/>
  <c r="M1422" i="34"/>
  <c r="L1422" i="34"/>
  <c r="K1422" i="34"/>
  <c r="J1422" i="34"/>
  <c r="I1422" i="34"/>
  <c r="H1216" i="34"/>
  <c r="Q1421" i="34"/>
  <c r="P1421" i="34"/>
  <c r="O1421" i="34"/>
  <c r="N1421" i="34"/>
  <c r="M1421" i="34"/>
  <c r="L1421" i="34"/>
  <c r="K1421" i="34"/>
  <c r="J1421" i="34"/>
  <c r="I1421" i="34"/>
  <c r="F1215" i="34"/>
  <c r="G1215" i="34"/>
  <c r="H1215" i="34"/>
  <c r="L1124" i="34"/>
  <c r="E1303" i="34"/>
  <c r="Q1303" i="34" a="1"/>
  <c r="Q1303" i="34"/>
  <c r="E1320" i="34"/>
  <c r="I1320" i="34" a="1"/>
  <c r="I1320" i="34"/>
  <c r="E1321" i="34"/>
  <c r="I1321" i="34" a="1"/>
  <c r="I1321" i="34"/>
  <c r="E1322" i="34"/>
  <c r="I1322" i="34" a="1"/>
  <c r="I1322" i="34"/>
  <c r="Q1346" i="34"/>
  <c r="Q1420" i="34"/>
  <c r="P1303" i="34" a="1"/>
  <c r="P1303" i="34"/>
  <c r="P1346" i="34"/>
  <c r="P1420" i="34"/>
  <c r="O1303" i="34" a="1"/>
  <c r="O1303" i="34"/>
  <c r="O1346" i="34"/>
  <c r="O1420" i="34"/>
  <c r="N1303" i="34" a="1"/>
  <c r="N1303" i="34"/>
  <c r="N1346" i="34"/>
  <c r="N1420" i="34"/>
  <c r="M1303" i="34" a="1"/>
  <c r="M1303" i="34"/>
  <c r="M1346" i="34"/>
  <c r="M1420" i="34"/>
  <c r="L1303" i="34" a="1"/>
  <c r="L1303" i="34"/>
  <c r="L1346" i="34"/>
  <c r="L1420" i="34"/>
  <c r="K1303" i="34" a="1"/>
  <c r="K1303" i="34"/>
  <c r="K1346" i="34"/>
  <c r="K1420" i="34"/>
  <c r="J1303" i="34" a="1"/>
  <c r="J1303" i="34"/>
  <c r="J1346" i="34"/>
  <c r="J1420" i="34"/>
  <c r="I1303" i="34" a="1"/>
  <c r="I1303" i="34"/>
  <c r="I1346" i="34"/>
  <c r="I1420" i="34"/>
  <c r="F1214" i="34"/>
  <c r="G1214" i="34"/>
  <c r="H1214" i="34"/>
  <c r="Q1419" i="34"/>
  <c r="P1419" i="34"/>
  <c r="O1419" i="34"/>
  <c r="N1419" i="34"/>
  <c r="M1419" i="34"/>
  <c r="L1419" i="34"/>
  <c r="K1419" i="34"/>
  <c r="J1419" i="34"/>
  <c r="I1419" i="34"/>
  <c r="F1213" i="34"/>
  <c r="F1210" i="34"/>
  <c r="G1210" i="34"/>
  <c r="G1213" i="34"/>
  <c r="H1213" i="34"/>
  <c r="Q1418" i="34"/>
  <c r="P1418" i="34"/>
  <c r="O1418" i="34"/>
  <c r="N1418" i="34"/>
  <c r="M1418" i="34"/>
  <c r="L1418" i="34"/>
  <c r="K1418" i="34"/>
  <c r="J1418" i="34"/>
  <c r="I1418" i="34"/>
  <c r="F1212" i="34"/>
  <c r="G1212" i="34"/>
  <c r="H1212" i="34"/>
  <c r="Q1417" i="34"/>
  <c r="P1417" i="34"/>
  <c r="O1417" i="34"/>
  <c r="N1417" i="34"/>
  <c r="M1417" i="34"/>
  <c r="L1417" i="34"/>
  <c r="K1417" i="34"/>
  <c r="J1417" i="34"/>
  <c r="I1417" i="34"/>
  <c r="F1211" i="34"/>
  <c r="G1211" i="34"/>
  <c r="H1211" i="34"/>
  <c r="Q1416" i="34"/>
  <c r="P1416" i="34"/>
  <c r="O1416" i="34"/>
  <c r="N1416" i="34"/>
  <c r="M1416" i="34"/>
  <c r="L1416" i="34"/>
  <c r="K1416" i="34"/>
  <c r="J1416" i="34"/>
  <c r="I1416" i="34"/>
  <c r="H1210" i="34"/>
  <c r="Q1415" i="34"/>
  <c r="P1415" i="34"/>
  <c r="O1415" i="34"/>
  <c r="N1415" i="34"/>
  <c r="M1415" i="34"/>
  <c r="L1415" i="34"/>
  <c r="K1415" i="34"/>
  <c r="J1415" i="34"/>
  <c r="I1415" i="34"/>
  <c r="F1209" i="34"/>
  <c r="G1209" i="34"/>
  <c r="H1209" i="34"/>
  <c r="L1123" i="34"/>
  <c r="Q1345" i="34"/>
  <c r="Q1414" i="34"/>
  <c r="P1345" i="34"/>
  <c r="P1414" i="34"/>
  <c r="O1345" i="34"/>
  <c r="O1414" i="34"/>
  <c r="N1345" i="34"/>
  <c r="N1414" i="34"/>
  <c r="M1345" i="34"/>
  <c r="M1414" i="34"/>
  <c r="L1345" i="34"/>
  <c r="L1414" i="34"/>
  <c r="K1345" i="34"/>
  <c r="K1414" i="34"/>
  <c r="J1345" i="34"/>
  <c r="J1414" i="34"/>
  <c r="I1345" i="34"/>
  <c r="I1414" i="34"/>
  <c r="F1208" i="34"/>
  <c r="G1208" i="34"/>
  <c r="H1208" i="34"/>
  <c r="Q1413" i="34"/>
  <c r="P1413" i="34"/>
  <c r="O1413" i="34"/>
  <c r="N1413" i="34"/>
  <c r="M1413" i="34"/>
  <c r="L1413" i="34"/>
  <c r="K1413" i="34"/>
  <c r="J1413" i="34"/>
  <c r="I1413" i="34"/>
  <c r="F1207" i="34"/>
  <c r="F1204" i="34"/>
  <c r="G1204" i="34"/>
  <c r="G1207" i="34"/>
  <c r="H1207" i="34"/>
  <c r="Q1412" i="34"/>
  <c r="P1412" i="34"/>
  <c r="O1412" i="34"/>
  <c r="N1412" i="34"/>
  <c r="M1412" i="34"/>
  <c r="L1412" i="34"/>
  <c r="K1412" i="34"/>
  <c r="J1412" i="34"/>
  <c r="I1412" i="34"/>
  <c r="F1206" i="34"/>
  <c r="G1206" i="34"/>
  <c r="H1206" i="34"/>
  <c r="Q1411" i="34"/>
  <c r="P1411" i="34"/>
  <c r="O1411" i="34"/>
  <c r="N1411" i="34"/>
  <c r="M1411" i="34"/>
  <c r="L1411" i="34"/>
  <c r="K1411" i="34"/>
  <c r="J1411" i="34"/>
  <c r="I1411" i="34"/>
  <c r="F1205" i="34"/>
  <c r="G1205" i="34"/>
  <c r="H1205" i="34"/>
  <c r="Q1410" i="34"/>
  <c r="P1410" i="34"/>
  <c r="O1410" i="34"/>
  <c r="N1410" i="34"/>
  <c r="M1410" i="34"/>
  <c r="L1410" i="34"/>
  <c r="K1410" i="34"/>
  <c r="J1410" i="34"/>
  <c r="I1410" i="34"/>
  <c r="H1204" i="34"/>
  <c r="Q1409" i="34"/>
  <c r="P1409" i="34"/>
  <c r="O1409" i="34"/>
  <c r="N1409" i="34"/>
  <c r="M1409" i="34"/>
  <c r="L1409" i="34"/>
  <c r="K1409" i="34"/>
  <c r="J1409" i="34"/>
  <c r="I1409" i="34"/>
  <c r="F1203" i="34"/>
  <c r="G1203" i="34"/>
  <c r="E1149" i="34"/>
  <c r="H1203" i="34"/>
  <c r="L1122" i="34"/>
  <c r="Q1344" i="34"/>
  <c r="Q1408" i="34"/>
  <c r="P1344" i="34"/>
  <c r="P1408" i="34"/>
  <c r="O1344" i="34"/>
  <c r="O1408" i="34"/>
  <c r="N1344" i="34"/>
  <c r="N1408" i="34"/>
  <c r="M1344" i="34"/>
  <c r="M1408" i="34"/>
  <c r="L1344" i="34"/>
  <c r="L1408" i="34"/>
  <c r="K1344" i="34"/>
  <c r="K1408" i="34"/>
  <c r="J1344" i="34"/>
  <c r="J1408" i="34"/>
  <c r="I1344" i="34"/>
  <c r="I1408" i="34"/>
  <c r="F1202" i="34"/>
  <c r="G1202" i="34"/>
  <c r="H1202" i="34"/>
  <c r="Q1407" i="34"/>
  <c r="P1407" i="34"/>
  <c r="O1407" i="34"/>
  <c r="N1407" i="34"/>
  <c r="M1407" i="34"/>
  <c r="L1407" i="34"/>
  <c r="K1407" i="34"/>
  <c r="J1407" i="34"/>
  <c r="I1407" i="34"/>
  <c r="F1201" i="34"/>
  <c r="F1198" i="34"/>
  <c r="G1198" i="34"/>
  <c r="G1201" i="34"/>
  <c r="H1201" i="34"/>
  <c r="Q1406" i="34"/>
  <c r="P1406" i="34"/>
  <c r="O1406" i="34"/>
  <c r="N1406" i="34"/>
  <c r="M1406" i="34"/>
  <c r="L1406" i="34"/>
  <c r="K1406" i="34"/>
  <c r="J1406" i="34"/>
  <c r="I1406" i="34"/>
  <c r="F1200" i="34"/>
  <c r="G1200" i="34"/>
  <c r="H1200" i="34"/>
  <c r="Q1405" i="34"/>
  <c r="P1405" i="34"/>
  <c r="O1405" i="34"/>
  <c r="N1405" i="34"/>
  <c r="M1405" i="34"/>
  <c r="L1405" i="34"/>
  <c r="K1405" i="34"/>
  <c r="J1405" i="34"/>
  <c r="I1405" i="34"/>
  <c r="F1199" i="34"/>
  <c r="G1199" i="34"/>
  <c r="H1199" i="34"/>
  <c r="Q1404" i="34"/>
  <c r="P1404" i="34"/>
  <c r="O1404" i="34"/>
  <c r="N1404" i="34"/>
  <c r="M1404" i="34"/>
  <c r="L1404" i="34"/>
  <c r="K1404" i="34"/>
  <c r="J1404" i="34"/>
  <c r="I1404" i="34"/>
  <c r="H1198" i="34"/>
  <c r="Q1403" i="34"/>
  <c r="P1403" i="34"/>
  <c r="O1403" i="34"/>
  <c r="N1403" i="34"/>
  <c r="M1403" i="34"/>
  <c r="L1403" i="34"/>
  <c r="K1403" i="34"/>
  <c r="J1403" i="34"/>
  <c r="I1403" i="34"/>
  <c r="F1197" i="34"/>
  <c r="G1197" i="34"/>
  <c r="E1148" i="34"/>
  <c r="H1197" i="34"/>
  <c r="L1121" i="34"/>
  <c r="Q1343" i="34"/>
  <c r="Q1402" i="34"/>
  <c r="P1343" i="34"/>
  <c r="P1402" i="34"/>
  <c r="O1343" i="34"/>
  <c r="O1402" i="34"/>
  <c r="N1343" i="34"/>
  <c r="N1402" i="34"/>
  <c r="M1343" i="34"/>
  <c r="M1402" i="34"/>
  <c r="L1343" i="34"/>
  <c r="L1402" i="34"/>
  <c r="K1343" i="34"/>
  <c r="K1402" i="34"/>
  <c r="J1343" i="34"/>
  <c r="J1402" i="34"/>
  <c r="I1343" i="34"/>
  <c r="I1402" i="34"/>
  <c r="F1196" i="34"/>
  <c r="G1196" i="34"/>
  <c r="H1196" i="34"/>
  <c r="Q1401" i="34"/>
  <c r="P1401" i="34"/>
  <c r="O1401" i="34"/>
  <c r="N1401" i="34"/>
  <c r="M1401" i="34"/>
  <c r="L1401" i="34"/>
  <c r="K1401" i="34"/>
  <c r="J1401" i="34"/>
  <c r="I1401" i="34"/>
  <c r="F1195" i="34"/>
  <c r="F1192" i="34"/>
  <c r="G1192" i="34"/>
  <c r="G1195" i="34"/>
  <c r="H1195" i="34"/>
  <c r="Q1400" i="34"/>
  <c r="P1400" i="34"/>
  <c r="O1400" i="34"/>
  <c r="N1400" i="34"/>
  <c r="M1400" i="34"/>
  <c r="L1400" i="34"/>
  <c r="K1400" i="34"/>
  <c r="J1400" i="34"/>
  <c r="I1400" i="34"/>
  <c r="F1194" i="34"/>
  <c r="G1194" i="34"/>
  <c r="H1194" i="34"/>
  <c r="Q1399" i="34"/>
  <c r="P1399" i="34"/>
  <c r="O1399" i="34"/>
  <c r="N1399" i="34"/>
  <c r="M1399" i="34"/>
  <c r="L1399" i="34"/>
  <c r="K1399" i="34"/>
  <c r="J1399" i="34"/>
  <c r="I1399" i="34"/>
  <c r="F1193" i="34"/>
  <c r="G1193" i="34"/>
  <c r="H1193" i="34"/>
  <c r="Q1398" i="34"/>
  <c r="P1398" i="34"/>
  <c r="O1398" i="34"/>
  <c r="N1398" i="34"/>
  <c r="M1398" i="34"/>
  <c r="L1398" i="34"/>
  <c r="K1398" i="34"/>
  <c r="J1398" i="34"/>
  <c r="I1398" i="34"/>
  <c r="H1192" i="34"/>
  <c r="Q1397" i="34"/>
  <c r="P1397" i="34"/>
  <c r="O1397" i="34"/>
  <c r="N1397" i="34"/>
  <c r="M1397" i="34"/>
  <c r="L1397" i="34"/>
  <c r="K1397" i="34"/>
  <c r="J1397" i="34"/>
  <c r="I1397" i="34"/>
  <c r="F1191" i="34"/>
  <c r="G1191" i="34"/>
  <c r="E1147" i="34"/>
  <c r="H1191" i="34"/>
  <c r="F1190" i="34"/>
  <c r="G1190" i="34"/>
  <c r="H1190" i="34"/>
  <c r="F1189" i="34"/>
  <c r="F1186" i="34"/>
  <c r="G1186" i="34"/>
  <c r="G1189" i="34"/>
  <c r="H1189" i="34"/>
  <c r="F1188" i="34"/>
  <c r="G1188" i="34"/>
  <c r="H1188" i="34"/>
  <c r="F1187" i="34"/>
  <c r="G1187" i="34"/>
  <c r="H1187" i="34"/>
  <c r="H1186" i="34"/>
  <c r="F1185" i="34"/>
  <c r="G1185" i="34"/>
  <c r="E1146" i="34"/>
  <c r="H1185" i="34"/>
  <c r="F1184" i="34"/>
  <c r="G1184" i="34"/>
  <c r="H1184" i="34"/>
  <c r="F1183" i="34"/>
  <c r="F1180" i="34"/>
  <c r="G1180" i="34"/>
  <c r="G1183" i="34"/>
  <c r="H1183" i="34"/>
  <c r="F1182" i="34"/>
  <c r="G1182" i="34"/>
  <c r="H1182" i="34"/>
  <c r="F1181" i="34"/>
  <c r="G1181" i="34"/>
  <c r="H1181" i="34"/>
  <c r="H1180" i="34"/>
  <c r="F1179" i="34"/>
  <c r="G1179" i="34"/>
  <c r="E1145" i="34"/>
  <c r="H1179" i="34"/>
  <c r="F1178" i="34"/>
  <c r="G1178" i="34"/>
  <c r="H1178" i="34"/>
  <c r="F1177" i="34"/>
  <c r="F1174" i="34"/>
  <c r="G1174" i="34"/>
  <c r="G1177" i="34"/>
  <c r="H1177" i="34"/>
  <c r="F1176" i="34"/>
  <c r="G1176" i="34"/>
  <c r="H1176" i="34"/>
  <c r="F1175" i="34"/>
  <c r="G1175" i="34"/>
  <c r="H1175" i="34"/>
  <c r="H1174" i="34"/>
  <c r="F1173" i="34"/>
  <c r="G1173" i="34"/>
  <c r="E1144" i="34"/>
  <c r="H1173" i="34"/>
  <c r="F1172" i="34"/>
  <c r="G1172" i="34"/>
  <c r="H1172" i="34"/>
  <c r="F1171" i="34"/>
  <c r="F1168" i="34"/>
  <c r="G1168" i="34"/>
  <c r="G1171" i="34"/>
  <c r="H1171" i="34"/>
  <c r="F1170" i="34"/>
  <c r="G1170" i="34"/>
  <c r="H1170" i="34"/>
  <c r="F1169" i="34"/>
  <c r="G1169" i="34"/>
  <c r="H1169" i="34"/>
  <c r="H1168" i="34"/>
  <c r="W1367" i="34"/>
  <c r="W1368" i="34"/>
  <c r="W1369" i="34"/>
  <c r="X1366" i="34"/>
  <c r="V1366" i="34"/>
  <c r="U1366" i="34"/>
  <c r="T1366" i="34"/>
  <c r="Q1364" i="34"/>
  <c r="Q1361" i="34"/>
  <c r="P1361" i="34"/>
  <c r="O1361" i="34"/>
  <c r="N1361" i="34"/>
  <c r="M1361" i="34"/>
  <c r="L1361" i="34"/>
  <c r="K1361" i="34"/>
  <c r="J1361" i="34"/>
  <c r="I1361" i="34"/>
  <c r="Q1360" i="34"/>
  <c r="P1360" i="34"/>
  <c r="O1360" i="34"/>
  <c r="N1360" i="34"/>
  <c r="M1360" i="34"/>
  <c r="L1360" i="34"/>
  <c r="K1360" i="34"/>
  <c r="J1360" i="34"/>
  <c r="I1360" i="34"/>
  <c r="Q1359" i="34"/>
  <c r="P1359" i="34"/>
  <c r="O1359" i="34"/>
  <c r="N1359" i="34"/>
  <c r="M1359" i="34"/>
  <c r="L1359" i="34"/>
  <c r="K1359" i="34"/>
  <c r="J1359" i="34"/>
  <c r="I1359" i="34"/>
  <c r="X1356" i="34"/>
  <c r="V1356" i="34"/>
  <c r="U1356" i="34"/>
  <c r="T1356" i="34"/>
  <c r="X1336" i="34"/>
  <c r="V1336" i="34"/>
  <c r="U1336" i="34"/>
  <c r="T1336" i="34"/>
  <c r="Q1334" i="34"/>
  <c r="E1331" i="34"/>
  <c r="Q1331" i="34" a="1"/>
  <c r="Q1331" i="34"/>
  <c r="P253" i="34"/>
  <c r="P250" i="34"/>
  <c r="P1331" i="34" a="1"/>
  <c r="P1331" i="34"/>
  <c r="O253" i="34"/>
  <c r="O250" i="34"/>
  <c r="O1331" i="34" a="1"/>
  <c r="O1331" i="34"/>
  <c r="N253" i="34"/>
  <c r="N250" i="34"/>
  <c r="N1331" i="34" a="1"/>
  <c r="N1331" i="34"/>
  <c r="M253" i="34"/>
  <c r="M250" i="34"/>
  <c r="M1331" i="34" a="1"/>
  <c r="M1331" i="34"/>
  <c r="L253" i="34"/>
  <c r="L250" i="34"/>
  <c r="L1331" i="34" a="1"/>
  <c r="L1331" i="34"/>
  <c r="K253" i="34"/>
  <c r="K250" i="34"/>
  <c r="K1331" i="34" a="1"/>
  <c r="K1331" i="34"/>
  <c r="J253" i="34"/>
  <c r="J250" i="34"/>
  <c r="J1331" i="34" a="1"/>
  <c r="J1331" i="34"/>
  <c r="I1331" i="34" a="1"/>
  <c r="I1331" i="34"/>
  <c r="E1330" i="34"/>
  <c r="Q1330" i="34" a="1"/>
  <c r="Q1330" i="34"/>
  <c r="P249" i="34"/>
  <c r="P246" i="34"/>
  <c r="P1330" i="34" a="1"/>
  <c r="P1330" i="34"/>
  <c r="O249" i="34"/>
  <c r="O246" i="34"/>
  <c r="O1330" i="34" a="1"/>
  <c r="O1330" i="34"/>
  <c r="N249" i="34"/>
  <c r="N246" i="34"/>
  <c r="N1330" i="34" a="1"/>
  <c r="N1330" i="34"/>
  <c r="M249" i="34"/>
  <c r="M246" i="34"/>
  <c r="M1330" i="34" a="1"/>
  <c r="M1330" i="34"/>
  <c r="L249" i="34"/>
  <c r="L246" i="34"/>
  <c r="L1330" i="34" a="1"/>
  <c r="L1330" i="34"/>
  <c r="K249" i="34"/>
  <c r="K246" i="34"/>
  <c r="K1330" i="34" a="1"/>
  <c r="K1330" i="34"/>
  <c r="J249" i="34"/>
  <c r="J246" i="34"/>
  <c r="J1330" i="34" a="1"/>
  <c r="J1330" i="34"/>
  <c r="I1330" i="34" a="1"/>
  <c r="I1330" i="34"/>
  <c r="E1329" i="34"/>
  <c r="Q1329" i="34" a="1"/>
  <c r="Q1329" i="34"/>
  <c r="P245" i="34"/>
  <c r="P242" i="34"/>
  <c r="P1329" i="34" a="1"/>
  <c r="P1329" i="34"/>
  <c r="O245" i="34"/>
  <c r="O242" i="34"/>
  <c r="O1329" i="34" a="1"/>
  <c r="O1329" i="34"/>
  <c r="N245" i="34"/>
  <c r="N242" i="34"/>
  <c r="N1329" i="34" a="1"/>
  <c r="N1329" i="34"/>
  <c r="M245" i="34"/>
  <c r="M242" i="34"/>
  <c r="M1329" i="34" a="1"/>
  <c r="M1329" i="34"/>
  <c r="L245" i="34"/>
  <c r="L242" i="34"/>
  <c r="L1329" i="34" a="1"/>
  <c r="L1329" i="34"/>
  <c r="K245" i="34"/>
  <c r="K242" i="34"/>
  <c r="K1329" i="34" a="1"/>
  <c r="K1329" i="34"/>
  <c r="J245" i="34"/>
  <c r="J242" i="34"/>
  <c r="J1329" i="34" a="1"/>
  <c r="J1329" i="34"/>
  <c r="I1329" i="34" a="1"/>
  <c r="I1329" i="34"/>
  <c r="Q1325" i="34" a="1"/>
  <c r="Q1325" i="34"/>
  <c r="P229" i="34"/>
  <c r="P226" i="34"/>
  <c r="P1325" i="34" a="1"/>
  <c r="P1325" i="34"/>
  <c r="O229" i="34"/>
  <c r="O226" i="34"/>
  <c r="O1325" i="34" a="1"/>
  <c r="O1325" i="34"/>
  <c r="N229" i="34"/>
  <c r="N226" i="34"/>
  <c r="N1325" i="34" a="1"/>
  <c r="N1325" i="34"/>
  <c r="M229" i="34"/>
  <c r="M226" i="34"/>
  <c r="M1325" i="34" a="1"/>
  <c r="M1325" i="34"/>
  <c r="L229" i="34"/>
  <c r="L226" i="34"/>
  <c r="L1325" i="34" a="1"/>
  <c r="L1325" i="34"/>
  <c r="K229" i="34"/>
  <c r="K226" i="34"/>
  <c r="K1325" i="34" a="1"/>
  <c r="K1325" i="34"/>
  <c r="J229" i="34"/>
  <c r="J226" i="34"/>
  <c r="J1325" i="34" a="1"/>
  <c r="J1325" i="34"/>
  <c r="Q1324" i="34" a="1"/>
  <c r="Q1324" i="34"/>
  <c r="P225" i="34"/>
  <c r="P222" i="34"/>
  <c r="P1324" i="34" a="1"/>
  <c r="P1324" i="34"/>
  <c r="O225" i="34"/>
  <c r="O222" i="34"/>
  <c r="O1324" i="34" a="1"/>
  <c r="O1324" i="34"/>
  <c r="N225" i="34"/>
  <c r="N222" i="34"/>
  <c r="N1324" i="34" a="1"/>
  <c r="N1324" i="34"/>
  <c r="M225" i="34"/>
  <c r="M222" i="34"/>
  <c r="M1324" i="34" a="1"/>
  <c r="M1324" i="34"/>
  <c r="L225" i="34"/>
  <c r="L222" i="34"/>
  <c r="L1324" i="34" a="1"/>
  <c r="L1324" i="34"/>
  <c r="K225" i="34"/>
  <c r="K222" i="34"/>
  <c r="K1324" i="34" a="1"/>
  <c r="K1324" i="34"/>
  <c r="J225" i="34"/>
  <c r="J222" i="34"/>
  <c r="J1324" i="34" a="1"/>
  <c r="J1324" i="34"/>
  <c r="Q1323" i="34" a="1"/>
  <c r="Q1323" i="34"/>
  <c r="P221" i="34"/>
  <c r="P218" i="34"/>
  <c r="P1323" i="34" a="1"/>
  <c r="P1323" i="34"/>
  <c r="O221" i="34"/>
  <c r="O218" i="34"/>
  <c r="O1323" i="34" a="1"/>
  <c r="O1323" i="34"/>
  <c r="N221" i="34"/>
  <c r="N218" i="34"/>
  <c r="N1323" i="34" a="1"/>
  <c r="N1323" i="34"/>
  <c r="M221" i="34"/>
  <c r="M218" i="34"/>
  <c r="M1323" i="34" a="1"/>
  <c r="M1323" i="34"/>
  <c r="L221" i="34"/>
  <c r="L218" i="34"/>
  <c r="L1323" i="34" a="1"/>
  <c r="L1323" i="34"/>
  <c r="K221" i="34"/>
  <c r="K218" i="34"/>
  <c r="K1323" i="34" a="1"/>
  <c r="K1323" i="34"/>
  <c r="J221" i="34"/>
  <c r="J218" i="34"/>
  <c r="J1323" i="34" a="1"/>
  <c r="J1323" i="34"/>
  <c r="Q1322" i="34" a="1"/>
  <c r="Q1322" i="34"/>
  <c r="P217" i="34"/>
  <c r="P214" i="34"/>
  <c r="P1322" i="34" a="1"/>
  <c r="P1322" i="34"/>
  <c r="O217" i="34"/>
  <c r="O214" i="34"/>
  <c r="O1322" i="34" a="1"/>
  <c r="O1322" i="34"/>
  <c r="N217" i="34"/>
  <c r="N214" i="34"/>
  <c r="N1322" i="34" a="1"/>
  <c r="N1322" i="34"/>
  <c r="M217" i="34"/>
  <c r="M214" i="34"/>
  <c r="M1322" i="34" a="1"/>
  <c r="M1322" i="34"/>
  <c r="L217" i="34"/>
  <c r="L214" i="34"/>
  <c r="L1322" i="34" a="1"/>
  <c r="L1322" i="34"/>
  <c r="K217" i="34"/>
  <c r="K214" i="34"/>
  <c r="K1322" i="34" a="1"/>
  <c r="K1322" i="34"/>
  <c r="J217" i="34"/>
  <c r="J214" i="34"/>
  <c r="J1322" i="34" a="1"/>
  <c r="J1322" i="34"/>
  <c r="Q1321" i="34" a="1"/>
  <c r="Q1321" i="34"/>
  <c r="P213" i="34"/>
  <c r="P210" i="34"/>
  <c r="P1321" i="34" a="1"/>
  <c r="P1321" i="34"/>
  <c r="O213" i="34"/>
  <c r="O210" i="34"/>
  <c r="O1321" i="34" a="1"/>
  <c r="O1321" i="34"/>
  <c r="N213" i="34"/>
  <c r="N210" i="34"/>
  <c r="N1321" i="34" a="1"/>
  <c r="N1321" i="34"/>
  <c r="M213" i="34"/>
  <c r="M210" i="34"/>
  <c r="M1321" i="34" a="1"/>
  <c r="M1321" i="34"/>
  <c r="L213" i="34"/>
  <c r="L210" i="34"/>
  <c r="L1321" i="34" a="1"/>
  <c r="L1321" i="34"/>
  <c r="K213" i="34"/>
  <c r="K210" i="34"/>
  <c r="K1321" i="34" a="1"/>
  <c r="K1321" i="34"/>
  <c r="J213" i="34"/>
  <c r="J210" i="34"/>
  <c r="J1321" i="34" a="1"/>
  <c r="J1321" i="34"/>
  <c r="Q1320" i="34" a="1"/>
  <c r="Q1320" i="34"/>
  <c r="P209" i="34"/>
  <c r="P206" i="34"/>
  <c r="P1320" i="34" a="1"/>
  <c r="P1320" i="34"/>
  <c r="O209" i="34"/>
  <c r="O206" i="34"/>
  <c r="O1320" i="34" a="1"/>
  <c r="O1320" i="34"/>
  <c r="N209" i="34"/>
  <c r="N206" i="34"/>
  <c r="N1320" i="34" a="1"/>
  <c r="N1320" i="34"/>
  <c r="M209" i="34"/>
  <c r="M206" i="34"/>
  <c r="M1320" i="34" a="1"/>
  <c r="M1320" i="34"/>
  <c r="L209" i="34"/>
  <c r="L206" i="34"/>
  <c r="L1320" i="34" a="1"/>
  <c r="L1320" i="34"/>
  <c r="K209" i="34"/>
  <c r="K206" i="34"/>
  <c r="K1320" i="34" a="1"/>
  <c r="K1320" i="34"/>
  <c r="J209" i="34"/>
  <c r="J206" i="34"/>
  <c r="J1320" i="34" a="1"/>
  <c r="J1320" i="34"/>
  <c r="E1319" i="34"/>
  <c r="Q1319" i="34" a="1"/>
  <c r="Q1319" i="34"/>
  <c r="P205" i="34"/>
  <c r="P202" i="34"/>
  <c r="P1319" i="34" a="1"/>
  <c r="P1319" i="34"/>
  <c r="O205" i="34"/>
  <c r="O202" i="34"/>
  <c r="O1319" i="34" a="1"/>
  <c r="O1319" i="34"/>
  <c r="N205" i="34"/>
  <c r="N202" i="34"/>
  <c r="N1319" i="34" a="1"/>
  <c r="N1319" i="34"/>
  <c r="M205" i="34"/>
  <c r="M202" i="34"/>
  <c r="M1319" i="34" a="1"/>
  <c r="M1319" i="34"/>
  <c r="L205" i="34"/>
  <c r="L202" i="34"/>
  <c r="L1319" i="34" a="1"/>
  <c r="L1319" i="34"/>
  <c r="K205" i="34"/>
  <c r="K202" i="34"/>
  <c r="K1319" i="34" a="1"/>
  <c r="K1319" i="34"/>
  <c r="J205" i="34"/>
  <c r="J202" i="34"/>
  <c r="J1319" i="34" a="1"/>
  <c r="J1319" i="34"/>
  <c r="I1319" i="34" a="1"/>
  <c r="I1319" i="34"/>
  <c r="E1318" i="34"/>
  <c r="Q1318" i="34" a="1"/>
  <c r="Q1318" i="34"/>
  <c r="P201" i="34"/>
  <c r="P198" i="34"/>
  <c r="P1318" i="34" a="1"/>
  <c r="P1318" i="34"/>
  <c r="O201" i="34"/>
  <c r="O198" i="34"/>
  <c r="O1318" i="34" a="1"/>
  <c r="O1318" i="34"/>
  <c r="N201" i="34"/>
  <c r="N198" i="34"/>
  <c r="N1318" i="34" a="1"/>
  <c r="N1318" i="34"/>
  <c r="M201" i="34"/>
  <c r="M198" i="34"/>
  <c r="M1318" i="34" a="1"/>
  <c r="M1318" i="34"/>
  <c r="L201" i="34"/>
  <c r="L198" i="34"/>
  <c r="L1318" i="34" a="1"/>
  <c r="L1318" i="34"/>
  <c r="K201" i="34"/>
  <c r="K198" i="34"/>
  <c r="K1318" i="34" a="1"/>
  <c r="K1318" i="34"/>
  <c r="J201" i="34"/>
  <c r="J198" i="34"/>
  <c r="J1318" i="34" a="1"/>
  <c r="J1318" i="34"/>
  <c r="I1318" i="34" a="1"/>
  <c r="I1318" i="34"/>
  <c r="E1317" i="34"/>
  <c r="Q1317" i="34" a="1"/>
  <c r="Q1317" i="34"/>
  <c r="P197" i="34"/>
  <c r="P194" i="34"/>
  <c r="P1317" i="34" a="1"/>
  <c r="P1317" i="34"/>
  <c r="O197" i="34"/>
  <c r="O194" i="34"/>
  <c r="O1317" i="34" a="1"/>
  <c r="O1317" i="34"/>
  <c r="N197" i="34"/>
  <c r="N194" i="34"/>
  <c r="N1317" i="34" a="1"/>
  <c r="N1317" i="34"/>
  <c r="M197" i="34"/>
  <c r="M194" i="34"/>
  <c r="M1317" i="34" a="1"/>
  <c r="M1317" i="34"/>
  <c r="L197" i="34"/>
  <c r="L194" i="34"/>
  <c r="L1317" i="34" a="1"/>
  <c r="L1317" i="34"/>
  <c r="K197" i="34"/>
  <c r="K194" i="34"/>
  <c r="K1317" i="34" a="1"/>
  <c r="K1317" i="34"/>
  <c r="J197" i="34"/>
  <c r="J194" i="34"/>
  <c r="J1317" i="34" a="1"/>
  <c r="J1317" i="34"/>
  <c r="I1317" i="34" a="1"/>
  <c r="I1317" i="34"/>
  <c r="E1316" i="34"/>
  <c r="Q1316" i="34" a="1"/>
  <c r="Q1316" i="34"/>
  <c r="P193" i="34"/>
  <c r="P190" i="34"/>
  <c r="P1316" i="34" a="1"/>
  <c r="P1316" i="34"/>
  <c r="O193" i="34"/>
  <c r="O190" i="34"/>
  <c r="O1316" i="34" a="1"/>
  <c r="O1316" i="34"/>
  <c r="N193" i="34"/>
  <c r="N190" i="34"/>
  <c r="N1316" i="34" a="1"/>
  <c r="N1316" i="34"/>
  <c r="M193" i="34"/>
  <c r="M190" i="34"/>
  <c r="M1316" i="34" a="1"/>
  <c r="M1316" i="34"/>
  <c r="L193" i="34"/>
  <c r="L190" i="34"/>
  <c r="L1316" i="34" a="1"/>
  <c r="L1316" i="34"/>
  <c r="K193" i="34"/>
  <c r="K190" i="34"/>
  <c r="K1316" i="34" a="1"/>
  <c r="K1316" i="34"/>
  <c r="J193" i="34"/>
  <c r="J190" i="34"/>
  <c r="J1316" i="34" a="1"/>
  <c r="J1316" i="34"/>
  <c r="I1316" i="34" a="1"/>
  <c r="I1316" i="34"/>
  <c r="E1315" i="34"/>
  <c r="Q1315" i="34" a="1"/>
  <c r="Q1315" i="34"/>
  <c r="P189" i="34"/>
  <c r="P186" i="34"/>
  <c r="P1315" i="34" a="1"/>
  <c r="P1315" i="34"/>
  <c r="O189" i="34"/>
  <c r="O186" i="34"/>
  <c r="O1315" i="34" a="1"/>
  <c r="O1315" i="34"/>
  <c r="N189" i="34"/>
  <c r="N186" i="34"/>
  <c r="N1315" i="34" a="1"/>
  <c r="N1315" i="34"/>
  <c r="M189" i="34"/>
  <c r="M186" i="34"/>
  <c r="M1315" i="34" a="1"/>
  <c r="M1315" i="34"/>
  <c r="L189" i="34"/>
  <c r="L186" i="34"/>
  <c r="L1315" i="34" a="1"/>
  <c r="L1315" i="34"/>
  <c r="K189" i="34"/>
  <c r="K186" i="34"/>
  <c r="K1315" i="34" a="1"/>
  <c r="K1315" i="34"/>
  <c r="J189" i="34"/>
  <c r="J186" i="34"/>
  <c r="J1315" i="34" a="1"/>
  <c r="J1315" i="34"/>
  <c r="I1315" i="34" a="1"/>
  <c r="I1315" i="34"/>
  <c r="E1314" i="34"/>
  <c r="Z185" i="34"/>
  <c r="Y185" i="34"/>
  <c r="Q185" i="34"/>
  <c r="Z182" i="34"/>
  <c r="Y182" i="34"/>
  <c r="Q182" i="34"/>
  <c r="Q1314" i="34" a="1"/>
  <c r="Q1314" i="34"/>
  <c r="P185" i="34"/>
  <c r="P182" i="34"/>
  <c r="P1314" i="34" a="1"/>
  <c r="P1314" i="34"/>
  <c r="O185" i="34"/>
  <c r="O182" i="34"/>
  <c r="O1314" i="34" a="1"/>
  <c r="O1314" i="34"/>
  <c r="N185" i="34"/>
  <c r="N182" i="34"/>
  <c r="N1314" i="34" a="1"/>
  <c r="N1314" i="34"/>
  <c r="M185" i="34"/>
  <c r="M182" i="34"/>
  <c r="M1314" i="34" a="1"/>
  <c r="M1314" i="34"/>
  <c r="L185" i="34"/>
  <c r="L182" i="34"/>
  <c r="L1314" i="34" a="1"/>
  <c r="L1314" i="34"/>
  <c r="K185" i="34"/>
  <c r="K182" i="34"/>
  <c r="K1314" i="34" a="1"/>
  <c r="K1314" i="34"/>
  <c r="J185" i="34"/>
  <c r="J182" i="34"/>
  <c r="J1314" i="34" a="1"/>
  <c r="J1314" i="34"/>
  <c r="I1314" i="34" a="1"/>
  <c r="I1314" i="34"/>
  <c r="X1313" i="34"/>
  <c r="V1313" i="34"/>
  <c r="U1313" i="34"/>
  <c r="T1313" i="34"/>
  <c r="E1308" i="34"/>
  <c r="Q1308" i="34" a="1"/>
  <c r="Q1308" i="34"/>
  <c r="P175" i="34"/>
  <c r="P176" i="34"/>
  <c r="P174" i="34"/>
  <c r="P1308" i="34" a="1"/>
  <c r="P1308" i="34"/>
  <c r="O175" i="34"/>
  <c r="O176" i="34"/>
  <c r="O174" i="34"/>
  <c r="O1308" i="34" a="1"/>
  <c r="O1308" i="34"/>
  <c r="N175" i="34"/>
  <c r="N176" i="34"/>
  <c r="N174" i="34"/>
  <c r="N1308" i="34" a="1"/>
  <c r="N1308" i="34"/>
  <c r="M175" i="34"/>
  <c r="M176" i="34"/>
  <c r="M174" i="34"/>
  <c r="M1308" i="34" a="1"/>
  <c r="M1308" i="34"/>
  <c r="L175" i="34"/>
  <c r="L176" i="34"/>
  <c r="L174" i="34"/>
  <c r="L1308" i="34" a="1"/>
  <c r="L1308" i="34"/>
  <c r="K175" i="34"/>
  <c r="K176" i="34"/>
  <c r="K174" i="34"/>
  <c r="K1308" i="34" a="1"/>
  <c r="K1308" i="34"/>
  <c r="J175" i="34"/>
  <c r="J176" i="34"/>
  <c r="J174" i="34"/>
  <c r="J1308" i="34" a="1"/>
  <c r="J1308" i="34"/>
  <c r="I1308" i="34" a="1"/>
  <c r="I1308" i="34"/>
  <c r="E1307" i="34"/>
  <c r="Q1307" i="34" a="1"/>
  <c r="Q1307" i="34"/>
  <c r="I171" i="34"/>
  <c r="P171" i="34"/>
  <c r="I172" i="34"/>
  <c r="P172" i="34"/>
  <c r="P170" i="34"/>
  <c r="P1307" i="34" a="1"/>
  <c r="P1307" i="34"/>
  <c r="O171" i="34"/>
  <c r="O172" i="34"/>
  <c r="O170" i="34"/>
  <c r="O1307" i="34" a="1"/>
  <c r="O1307" i="34"/>
  <c r="N171" i="34"/>
  <c r="N172" i="34"/>
  <c r="N170" i="34"/>
  <c r="N1307" i="34" a="1"/>
  <c r="N1307" i="34"/>
  <c r="M171" i="34"/>
  <c r="M172" i="34"/>
  <c r="M170" i="34"/>
  <c r="M1307" i="34" a="1"/>
  <c r="M1307" i="34"/>
  <c r="L171" i="34"/>
  <c r="L172" i="34"/>
  <c r="L170" i="34"/>
  <c r="L1307" i="34" a="1"/>
  <c r="L1307" i="34"/>
  <c r="K171" i="34"/>
  <c r="K172" i="34"/>
  <c r="K170" i="34"/>
  <c r="K1307" i="34" a="1"/>
  <c r="K1307" i="34"/>
  <c r="J171" i="34"/>
  <c r="J172" i="34"/>
  <c r="J170" i="34"/>
  <c r="J1307" i="34" a="1"/>
  <c r="J1307" i="34"/>
  <c r="I1307" i="34" a="1"/>
  <c r="I1307" i="34"/>
  <c r="E1306" i="34"/>
  <c r="Q1306" i="34" a="1"/>
  <c r="Q1306" i="34"/>
  <c r="P1306" i="34" a="1"/>
  <c r="P1306" i="34"/>
  <c r="O1306" i="34" a="1"/>
  <c r="O1306" i="34"/>
  <c r="N1306" i="34" a="1"/>
  <c r="N1306" i="34"/>
  <c r="M1306" i="34" a="1"/>
  <c r="M1306" i="34"/>
  <c r="L1306" i="34" a="1"/>
  <c r="L1306" i="34"/>
  <c r="K1306" i="34" a="1"/>
  <c r="K1306" i="34"/>
  <c r="J1306" i="34" a="1"/>
  <c r="J1306" i="34"/>
  <c r="I1306" i="34" a="1"/>
  <c r="I1306" i="34"/>
  <c r="E1302" i="34"/>
  <c r="Q1302" i="34" a="1"/>
  <c r="Q1302" i="34"/>
  <c r="P1302" i="34" a="1"/>
  <c r="P1302" i="34"/>
  <c r="O1302" i="34" a="1"/>
  <c r="O1302" i="34"/>
  <c r="N1302" i="34" a="1"/>
  <c r="N1302" i="34"/>
  <c r="M1302" i="34" a="1"/>
  <c r="M1302" i="34"/>
  <c r="L1302" i="34" a="1"/>
  <c r="L1302" i="34"/>
  <c r="K1302" i="34" a="1"/>
  <c r="K1302" i="34"/>
  <c r="J1302" i="34" a="1"/>
  <c r="J1302" i="34"/>
  <c r="I1302" i="34" a="1"/>
  <c r="I1302" i="34"/>
  <c r="E1301" i="34"/>
  <c r="Q1301" i="34" a="1"/>
  <c r="Q1301" i="34"/>
  <c r="P143" i="34"/>
  <c r="P144" i="34"/>
  <c r="P142" i="34"/>
  <c r="P1301" i="34" a="1"/>
  <c r="P1301" i="34"/>
  <c r="O143" i="34"/>
  <c r="O144" i="34"/>
  <c r="O142" i="34"/>
  <c r="O1301" i="34" a="1"/>
  <c r="O1301" i="34"/>
  <c r="N143" i="34"/>
  <c r="N144" i="34"/>
  <c r="N142" i="34"/>
  <c r="N1301" i="34" a="1"/>
  <c r="N1301" i="34"/>
  <c r="M143" i="34"/>
  <c r="M144" i="34"/>
  <c r="M142" i="34"/>
  <c r="M1301" i="34" a="1"/>
  <c r="M1301" i="34"/>
  <c r="L143" i="34"/>
  <c r="L144" i="34"/>
  <c r="L142" i="34"/>
  <c r="L1301" i="34" a="1"/>
  <c r="L1301" i="34"/>
  <c r="K143" i="34"/>
  <c r="K144" i="34"/>
  <c r="K142" i="34"/>
  <c r="K1301" i="34" a="1"/>
  <c r="K1301" i="34"/>
  <c r="J143" i="34"/>
  <c r="J144" i="34"/>
  <c r="J142" i="34"/>
  <c r="J1301" i="34" a="1"/>
  <c r="J1301" i="34"/>
  <c r="I1301" i="34" a="1"/>
  <c r="I1301" i="34"/>
  <c r="E1300" i="34"/>
  <c r="Q1300" i="34" a="1"/>
  <c r="Q1300" i="34"/>
  <c r="P151" i="34"/>
  <c r="P152" i="34"/>
  <c r="P150" i="34"/>
  <c r="P1300" i="34" a="1"/>
  <c r="P1300" i="34"/>
  <c r="O151" i="34"/>
  <c r="O152" i="34"/>
  <c r="O150" i="34"/>
  <c r="O1300" i="34" a="1"/>
  <c r="O1300" i="34"/>
  <c r="N151" i="34"/>
  <c r="N152" i="34"/>
  <c r="N150" i="34"/>
  <c r="N1300" i="34" a="1"/>
  <c r="N1300" i="34"/>
  <c r="M151" i="34"/>
  <c r="M152" i="34"/>
  <c r="M150" i="34"/>
  <c r="M1300" i="34" a="1"/>
  <c r="M1300" i="34"/>
  <c r="L151" i="34"/>
  <c r="L152" i="34"/>
  <c r="L150" i="34"/>
  <c r="L1300" i="34" a="1"/>
  <c r="L1300" i="34"/>
  <c r="K151" i="34"/>
  <c r="K152" i="34"/>
  <c r="K150" i="34"/>
  <c r="K1300" i="34" a="1"/>
  <c r="K1300" i="34"/>
  <c r="J151" i="34"/>
  <c r="J152" i="34"/>
  <c r="J150" i="34"/>
  <c r="J1300" i="34" a="1"/>
  <c r="J1300" i="34"/>
  <c r="I1300" i="34" a="1"/>
  <c r="I1300" i="34"/>
  <c r="E1299" i="34"/>
  <c r="Q1299" i="34" a="1"/>
  <c r="Q1299" i="34"/>
  <c r="P147" i="34"/>
  <c r="P148" i="34"/>
  <c r="P146" i="34"/>
  <c r="P1299" i="34" a="1"/>
  <c r="P1299" i="34"/>
  <c r="O147" i="34"/>
  <c r="O148" i="34"/>
  <c r="O146" i="34"/>
  <c r="O1299" i="34" a="1"/>
  <c r="O1299" i="34"/>
  <c r="N147" i="34"/>
  <c r="N148" i="34"/>
  <c r="N146" i="34"/>
  <c r="N1299" i="34" a="1"/>
  <c r="N1299" i="34"/>
  <c r="M147" i="34"/>
  <c r="M148" i="34"/>
  <c r="M146" i="34"/>
  <c r="M1299" i="34" a="1"/>
  <c r="M1299" i="34"/>
  <c r="L147" i="34"/>
  <c r="L148" i="34"/>
  <c r="L146" i="34"/>
  <c r="L1299" i="34" a="1"/>
  <c r="L1299" i="34"/>
  <c r="K147" i="34"/>
  <c r="K148" i="34"/>
  <c r="K146" i="34"/>
  <c r="K1299" i="34" a="1"/>
  <c r="K1299" i="34"/>
  <c r="J147" i="34"/>
  <c r="J148" i="34"/>
  <c r="J146" i="34"/>
  <c r="J1299" i="34" a="1"/>
  <c r="J1299" i="34"/>
  <c r="I1299" i="34" a="1"/>
  <c r="I1299" i="34"/>
  <c r="E1298" i="34"/>
  <c r="Q1298" i="34" a="1"/>
  <c r="Q1298" i="34"/>
  <c r="P163" i="34"/>
  <c r="P164" i="34"/>
  <c r="P162" i="34"/>
  <c r="P1298" i="34" a="1"/>
  <c r="P1298" i="34"/>
  <c r="O163" i="34"/>
  <c r="O164" i="34"/>
  <c r="O162" i="34"/>
  <c r="O1298" i="34" a="1"/>
  <c r="O1298" i="34"/>
  <c r="N163" i="34"/>
  <c r="N164" i="34"/>
  <c r="N162" i="34"/>
  <c r="N1298" i="34" a="1"/>
  <c r="N1298" i="34"/>
  <c r="M163" i="34"/>
  <c r="M164" i="34"/>
  <c r="M162" i="34"/>
  <c r="M1298" i="34" a="1"/>
  <c r="M1298" i="34"/>
  <c r="L163" i="34"/>
  <c r="L164" i="34"/>
  <c r="L162" i="34"/>
  <c r="L1298" i="34" a="1"/>
  <c r="L1298" i="34"/>
  <c r="K163" i="34"/>
  <c r="K164" i="34"/>
  <c r="K162" i="34"/>
  <c r="K1298" i="34" a="1"/>
  <c r="K1298" i="34"/>
  <c r="J163" i="34"/>
  <c r="J164" i="34"/>
  <c r="J162" i="34"/>
  <c r="J1298" i="34" a="1"/>
  <c r="J1298" i="34"/>
  <c r="I1298" i="34" a="1"/>
  <c r="I1298" i="34"/>
  <c r="E1297" i="34"/>
  <c r="Q1297" i="34" a="1"/>
  <c r="Q1297" i="34"/>
  <c r="P159" i="34"/>
  <c r="P160" i="34"/>
  <c r="P158" i="34"/>
  <c r="P1297" i="34" a="1"/>
  <c r="P1297" i="34"/>
  <c r="O159" i="34"/>
  <c r="O160" i="34"/>
  <c r="O158" i="34"/>
  <c r="O1297" i="34" a="1"/>
  <c r="O1297" i="34"/>
  <c r="N159" i="34"/>
  <c r="N160" i="34"/>
  <c r="N158" i="34"/>
  <c r="N1297" i="34" a="1"/>
  <c r="N1297" i="34"/>
  <c r="M159" i="34"/>
  <c r="M160" i="34"/>
  <c r="M158" i="34"/>
  <c r="M1297" i="34" a="1"/>
  <c r="M1297" i="34"/>
  <c r="L159" i="34"/>
  <c r="L160" i="34"/>
  <c r="L158" i="34"/>
  <c r="L1297" i="34" a="1"/>
  <c r="L1297" i="34"/>
  <c r="K159" i="34"/>
  <c r="K160" i="34"/>
  <c r="K158" i="34"/>
  <c r="K1297" i="34" a="1"/>
  <c r="K1297" i="34"/>
  <c r="J159" i="34"/>
  <c r="J160" i="34"/>
  <c r="J158" i="34"/>
  <c r="J1297" i="34" a="1"/>
  <c r="J1297" i="34"/>
  <c r="I1297" i="34" a="1"/>
  <c r="I1297" i="34"/>
  <c r="E1296" i="34"/>
  <c r="Q1296" i="34" a="1"/>
  <c r="Q1296" i="34"/>
  <c r="P155" i="34"/>
  <c r="P156" i="34"/>
  <c r="P154" i="34"/>
  <c r="P1296" i="34" a="1"/>
  <c r="P1296" i="34"/>
  <c r="O155" i="34"/>
  <c r="O156" i="34"/>
  <c r="O154" i="34"/>
  <c r="O1296" i="34" a="1"/>
  <c r="O1296" i="34"/>
  <c r="N155" i="34"/>
  <c r="N156" i="34"/>
  <c r="N154" i="34"/>
  <c r="N1296" i="34" a="1"/>
  <c r="N1296" i="34"/>
  <c r="M155" i="34"/>
  <c r="M156" i="34"/>
  <c r="M154" i="34"/>
  <c r="M1296" i="34" a="1"/>
  <c r="M1296" i="34"/>
  <c r="L155" i="34"/>
  <c r="L156" i="34"/>
  <c r="L154" i="34"/>
  <c r="L1296" i="34" a="1"/>
  <c r="L1296" i="34"/>
  <c r="K155" i="34"/>
  <c r="K156" i="34"/>
  <c r="K154" i="34"/>
  <c r="K1296" i="34" a="1"/>
  <c r="K1296" i="34"/>
  <c r="J155" i="34"/>
  <c r="J156" i="34"/>
  <c r="J154" i="34"/>
  <c r="J1296" i="34" a="1"/>
  <c r="J1296" i="34"/>
  <c r="I1296" i="34" a="1"/>
  <c r="I1296" i="34"/>
  <c r="E1295" i="34"/>
  <c r="Q1295" i="34" a="1"/>
  <c r="Q1295" i="34"/>
  <c r="P139" i="34"/>
  <c r="P140" i="34"/>
  <c r="P138" i="34"/>
  <c r="P1295" i="34" a="1"/>
  <c r="P1295" i="34"/>
  <c r="O139" i="34"/>
  <c r="O140" i="34"/>
  <c r="O138" i="34"/>
  <c r="O1295" i="34" a="1"/>
  <c r="O1295" i="34"/>
  <c r="N139" i="34"/>
  <c r="N140" i="34"/>
  <c r="N138" i="34"/>
  <c r="N1295" i="34" a="1"/>
  <c r="N1295" i="34"/>
  <c r="M139" i="34"/>
  <c r="M140" i="34"/>
  <c r="M138" i="34"/>
  <c r="M1295" i="34" a="1"/>
  <c r="M1295" i="34"/>
  <c r="L139" i="34"/>
  <c r="L140" i="34"/>
  <c r="L138" i="34"/>
  <c r="L1295" i="34" a="1"/>
  <c r="L1295" i="34"/>
  <c r="K139" i="34"/>
  <c r="K140" i="34"/>
  <c r="K138" i="34"/>
  <c r="K1295" i="34" a="1"/>
  <c r="K1295" i="34"/>
  <c r="J139" i="34"/>
  <c r="J140" i="34"/>
  <c r="J138" i="34"/>
  <c r="J1295" i="34" a="1"/>
  <c r="J1295" i="34"/>
  <c r="I1295" i="34" a="1"/>
  <c r="I1295" i="34"/>
  <c r="E1294" i="34"/>
  <c r="Q1294" i="34" a="1"/>
  <c r="Q1294" i="34"/>
  <c r="P131" i="34"/>
  <c r="P132" i="34"/>
  <c r="P130" i="34"/>
  <c r="P1294" i="34" a="1"/>
  <c r="P1294" i="34"/>
  <c r="O131" i="34"/>
  <c r="O132" i="34"/>
  <c r="O130" i="34"/>
  <c r="O1294" i="34" a="1"/>
  <c r="O1294" i="34"/>
  <c r="N131" i="34"/>
  <c r="N132" i="34"/>
  <c r="N130" i="34"/>
  <c r="N1294" i="34" a="1"/>
  <c r="N1294" i="34"/>
  <c r="M131" i="34"/>
  <c r="M132" i="34"/>
  <c r="M130" i="34"/>
  <c r="M1294" i="34" a="1"/>
  <c r="M1294" i="34"/>
  <c r="L131" i="34"/>
  <c r="L132" i="34"/>
  <c r="L130" i="34"/>
  <c r="L1294" i="34" a="1"/>
  <c r="L1294" i="34"/>
  <c r="K131" i="34"/>
  <c r="K132" i="34"/>
  <c r="K130" i="34"/>
  <c r="K1294" i="34" a="1"/>
  <c r="K1294" i="34"/>
  <c r="J131" i="34"/>
  <c r="J132" i="34"/>
  <c r="J130" i="34"/>
  <c r="J1294" i="34" a="1"/>
  <c r="J1294" i="34"/>
  <c r="I1294" i="34" a="1"/>
  <c r="I1294" i="34"/>
  <c r="E1293" i="34"/>
  <c r="Q1293" i="34" a="1"/>
  <c r="Q1293" i="34"/>
  <c r="P1293" i="34" a="1"/>
  <c r="P1293" i="34"/>
  <c r="O1293" i="34" a="1"/>
  <c r="O1293" i="34"/>
  <c r="N1293" i="34" a="1"/>
  <c r="N1293" i="34"/>
  <c r="M1293" i="34" a="1"/>
  <c r="M1293" i="34"/>
  <c r="L1293" i="34" a="1"/>
  <c r="L1293" i="34"/>
  <c r="K1293" i="34" a="1"/>
  <c r="K1293" i="34"/>
  <c r="J1293" i="34" a="1"/>
  <c r="J1293" i="34"/>
  <c r="I1293" i="34" a="1"/>
  <c r="I1293" i="34"/>
  <c r="E1292" i="34"/>
  <c r="Q1292" i="34" a="1"/>
  <c r="Q1292" i="34"/>
  <c r="P123" i="34"/>
  <c r="P124" i="34"/>
  <c r="P122" i="34"/>
  <c r="P1292" i="34" a="1"/>
  <c r="P1292" i="34"/>
  <c r="O123" i="34"/>
  <c r="O124" i="34"/>
  <c r="O122" i="34"/>
  <c r="O1292" i="34" a="1"/>
  <c r="O1292" i="34"/>
  <c r="N123" i="34"/>
  <c r="N124" i="34"/>
  <c r="N122" i="34"/>
  <c r="N1292" i="34" a="1"/>
  <c r="N1292" i="34"/>
  <c r="M123" i="34"/>
  <c r="M124" i="34"/>
  <c r="M122" i="34"/>
  <c r="M1292" i="34" a="1"/>
  <c r="M1292" i="34"/>
  <c r="L123" i="34"/>
  <c r="L124" i="34"/>
  <c r="L122" i="34"/>
  <c r="L1292" i="34" a="1"/>
  <c r="L1292" i="34"/>
  <c r="K123" i="34"/>
  <c r="K124" i="34"/>
  <c r="K122" i="34"/>
  <c r="K1292" i="34" a="1"/>
  <c r="K1292" i="34"/>
  <c r="J123" i="34"/>
  <c r="J124" i="34"/>
  <c r="J122" i="34"/>
  <c r="J1292" i="34" a="1"/>
  <c r="J1292" i="34"/>
  <c r="I1292" i="34" a="1"/>
  <c r="I1292" i="34"/>
  <c r="E1291" i="34"/>
  <c r="Q1291" i="34" a="1"/>
  <c r="Q1291" i="34"/>
  <c r="P1291" i="34" a="1"/>
  <c r="P1291" i="34"/>
  <c r="O1291" i="34" a="1"/>
  <c r="O1291" i="34"/>
  <c r="N1291" i="34" a="1"/>
  <c r="N1291" i="34"/>
  <c r="M1291" i="34" a="1"/>
  <c r="M1291" i="34"/>
  <c r="L1291" i="34" a="1"/>
  <c r="L1291" i="34"/>
  <c r="K1291" i="34" a="1"/>
  <c r="K1291" i="34"/>
  <c r="J1291" i="34" a="1"/>
  <c r="J1291" i="34"/>
  <c r="I1291" i="34" a="1"/>
  <c r="I1291" i="34"/>
  <c r="E1290" i="34"/>
  <c r="Q1290" i="34" a="1"/>
  <c r="Q1290" i="34"/>
  <c r="P1290" i="34" a="1"/>
  <c r="P1290" i="34"/>
  <c r="O1290" i="34" a="1"/>
  <c r="O1290" i="34"/>
  <c r="N1290" i="34" a="1"/>
  <c r="N1290" i="34"/>
  <c r="M1290" i="34" a="1"/>
  <c r="M1290" i="34"/>
  <c r="L1290" i="34" a="1"/>
  <c r="L1290" i="34"/>
  <c r="K1290" i="34" a="1"/>
  <c r="K1290" i="34"/>
  <c r="J1290" i="34" a="1"/>
  <c r="J1290" i="34"/>
  <c r="I1290" i="34" a="1"/>
  <c r="I1290" i="34"/>
  <c r="E1289" i="34"/>
  <c r="Q1289" i="34" a="1"/>
  <c r="Q1289" i="34"/>
  <c r="P1289" i="34" a="1"/>
  <c r="P1289" i="34"/>
  <c r="O1289" i="34" a="1"/>
  <c r="O1289" i="34"/>
  <c r="N1289" i="34" a="1"/>
  <c r="N1289" i="34"/>
  <c r="M1289" i="34" a="1"/>
  <c r="M1289" i="34"/>
  <c r="L1289" i="34" a="1"/>
  <c r="L1289" i="34"/>
  <c r="K1289" i="34" a="1"/>
  <c r="K1289" i="34"/>
  <c r="J1289" i="34" a="1"/>
  <c r="J1289" i="34"/>
  <c r="I1289" i="34" a="1"/>
  <c r="I1289" i="34"/>
  <c r="E1288" i="34"/>
  <c r="Q1288" i="34" a="1"/>
  <c r="Q1288" i="34"/>
  <c r="P1288" i="34" a="1"/>
  <c r="P1288" i="34"/>
  <c r="O1288" i="34" a="1"/>
  <c r="O1288" i="34"/>
  <c r="N1288" i="34" a="1"/>
  <c r="N1288" i="34"/>
  <c r="M1288" i="34" a="1"/>
  <c r="M1288" i="34"/>
  <c r="L1288" i="34" a="1"/>
  <c r="L1288" i="34"/>
  <c r="K1288" i="34" a="1"/>
  <c r="K1288" i="34"/>
  <c r="J1288" i="34" a="1"/>
  <c r="J1288" i="34"/>
  <c r="I1288" i="34" a="1"/>
  <c r="I1288" i="34"/>
  <c r="E1287" i="34"/>
  <c r="Q1287" i="34" a="1"/>
  <c r="Q1287" i="34"/>
  <c r="P1287" i="34" a="1"/>
  <c r="P1287" i="34"/>
  <c r="O1287" i="34" a="1"/>
  <c r="O1287" i="34"/>
  <c r="N1287" i="34" a="1"/>
  <c r="N1287" i="34"/>
  <c r="M1287" i="34" a="1"/>
  <c r="M1287" i="34"/>
  <c r="L1287" i="34" a="1"/>
  <c r="L1287" i="34"/>
  <c r="K1287" i="34" a="1"/>
  <c r="K1287" i="34"/>
  <c r="J1287" i="34" a="1"/>
  <c r="J1287" i="34"/>
  <c r="I1287" i="34" a="1"/>
  <c r="I1287" i="34"/>
  <c r="E1286" i="34"/>
  <c r="Q1286" i="34" a="1"/>
  <c r="Q1286" i="34"/>
  <c r="P1286" i="34" a="1"/>
  <c r="P1286" i="34"/>
  <c r="O1286" i="34" a="1"/>
  <c r="O1286" i="34"/>
  <c r="N1286" i="34" a="1"/>
  <c r="N1286" i="34"/>
  <c r="M1286" i="34" a="1"/>
  <c r="M1286" i="34"/>
  <c r="L1286" i="34" a="1"/>
  <c r="L1286" i="34"/>
  <c r="K1286" i="34" a="1"/>
  <c r="K1286" i="34"/>
  <c r="J1286" i="34" a="1"/>
  <c r="J1286" i="34"/>
  <c r="I1286" i="34" a="1"/>
  <c r="I1286" i="34"/>
  <c r="E1285" i="34"/>
  <c r="Q1285" i="34" a="1"/>
  <c r="Q1285" i="34"/>
  <c r="P1285" i="34" a="1"/>
  <c r="P1285" i="34"/>
  <c r="O1285" i="34" a="1"/>
  <c r="O1285" i="34"/>
  <c r="N1285" i="34" a="1"/>
  <c r="N1285" i="34"/>
  <c r="M1285" i="34" a="1"/>
  <c r="M1285" i="34"/>
  <c r="L1285" i="34" a="1"/>
  <c r="L1285" i="34"/>
  <c r="K1285" i="34" a="1"/>
  <c r="K1285" i="34"/>
  <c r="J1285" i="34" a="1"/>
  <c r="J1285" i="34"/>
  <c r="I1285" i="34" a="1"/>
  <c r="I1285" i="34"/>
  <c r="E1284" i="34"/>
  <c r="Q1284" i="34" a="1"/>
  <c r="Q1284" i="34"/>
  <c r="P135" i="34"/>
  <c r="P136" i="34"/>
  <c r="P134" i="34"/>
  <c r="P1284" i="34" a="1"/>
  <c r="P1284" i="34"/>
  <c r="O135" i="34"/>
  <c r="O136" i="34"/>
  <c r="O134" i="34"/>
  <c r="O1284" i="34" a="1"/>
  <c r="O1284" i="34"/>
  <c r="N135" i="34"/>
  <c r="N136" i="34"/>
  <c r="N134" i="34"/>
  <c r="N1284" i="34" a="1"/>
  <c r="N1284" i="34"/>
  <c r="M135" i="34"/>
  <c r="M136" i="34"/>
  <c r="M134" i="34"/>
  <c r="M1284" i="34" a="1"/>
  <c r="M1284" i="34"/>
  <c r="L135" i="34"/>
  <c r="L136" i="34"/>
  <c r="L134" i="34"/>
  <c r="L1284" i="34" a="1"/>
  <c r="L1284" i="34"/>
  <c r="K135" i="34"/>
  <c r="K136" i="34"/>
  <c r="K134" i="34"/>
  <c r="K1284" i="34" a="1"/>
  <c r="K1284" i="34"/>
  <c r="J135" i="34"/>
  <c r="J136" i="34"/>
  <c r="J134" i="34"/>
  <c r="J1284" i="34" a="1"/>
  <c r="J1284" i="34"/>
  <c r="I1284" i="34" a="1"/>
  <c r="I1284" i="34"/>
  <c r="E1283" i="34"/>
  <c r="Q1283" i="34" a="1"/>
  <c r="Q1283" i="34"/>
  <c r="P127" i="34"/>
  <c r="P128" i="34"/>
  <c r="P126" i="34"/>
  <c r="P1283" i="34" a="1"/>
  <c r="P1283" i="34"/>
  <c r="O127" i="34"/>
  <c r="O128" i="34"/>
  <c r="O126" i="34"/>
  <c r="O1283" i="34" a="1"/>
  <c r="O1283" i="34"/>
  <c r="N127" i="34"/>
  <c r="N128" i="34"/>
  <c r="N126" i="34"/>
  <c r="N1283" i="34" a="1"/>
  <c r="N1283" i="34"/>
  <c r="M127" i="34"/>
  <c r="M128" i="34"/>
  <c r="M126" i="34"/>
  <c r="M1283" i="34" a="1"/>
  <c r="M1283" i="34"/>
  <c r="L127" i="34"/>
  <c r="L128" i="34"/>
  <c r="L126" i="34"/>
  <c r="L1283" i="34" a="1"/>
  <c r="L1283" i="34"/>
  <c r="K127" i="34"/>
  <c r="K128" i="34"/>
  <c r="K126" i="34"/>
  <c r="K1283" i="34" a="1"/>
  <c r="K1283" i="34"/>
  <c r="J127" i="34"/>
  <c r="J128" i="34"/>
  <c r="J126" i="34"/>
  <c r="J1283" i="34" a="1"/>
  <c r="J1283" i="34"/>
  <c r="I1283" i="34" a="1"/>
  <c r="I1283" i="34"/>
  <c r="E1282" i="34"/>
  <c r="Q1282" i="34" a="1"/>
  <c r="Q1282" i="34"/>
  <c r="P1282" i="34" a="1"/>
  <c r="P1282" i="34"/>
  <c r="O1282" i="34" a="1"/>
  <c r="O1282" i="34"/>
  <c r="N1282" i="34" a="1"/>
  <c r="N1282" i="34"/>
  <c r="M1282" i="34" a="1"/>
  <c r="M1282" i="34"/>
  <c r="L1282" i="34" a="1"/>
  <c r="L1282" i="34"/>
  <c r="K1282" i="34" a="1"/>
  <c r="K1282" i="34"/>
  <c r="J1282" i="34" a="1"/>
  <c r="J1282" i="34"/>
  <c r="I1282" i="34" a="1"/>
  <c r="I1282" i="34"/>
  <c r="X1281" i="34"/>
  <c r="V1281" i="34"/>
  <c r="U1281" i="34"/>
  <c r="T1281" i="34"/>
  <c r="O1261" i="34"/>
  <c r="N1261" i="34"/>
  <c r="M1261" i="34"/>
  <c r="K1261" i="34"/>
  <c r="J1261" i="34"/>
  <c r="I1261" i="34"/>
  <c r="G1261" i="34"/>
  <c r="F1261" i="34"/>
  <c r="E1261" i="34"/>
  <c r="K1250" i="34"/>
  <c r="J1250" i="34"/>
  <c r="I1250" i="34"/>
  <c r="G1250" i="34"/>
  <c r="F1250" i="34"/>
  <c r="E1250" i="34"/>
  <c r="G1246" i="34"/>
  <c r="E1157" i="34"/>
  <c r="H1246" i="34"/>
  <c r="F1246" i="34"/>
  <c r="I1162" i="34"/>
  <c r="H1160" i="34"/>
  <c r="G1160" i="34"/>
  <c r="F1160" i="34"/>
  <c r="X1159" i="34"/>
  <c r="V1159" i="34"/>
  <c r="U1159" i="34"/>
  <c r="T1159" i="34"/>
  <c r="F1153" i="34"/>
  <c r="F1146" i="34"/>
  <c r="F1143" i="34"/>
  <c r="E1142" i="34"/>
  <c r="X1139" i="34"/>
  <c r="V1139" i="34"/>
  <c r="U1139" i="34"/>
  <c r="T1139" i="34"/>
  <c r="L1096" i="34"/>
  <c r="L1097" i="34"/>
  <c r="L1098" i="34"/>
  <c r="L1099" i="34"/>
  <c r="L1100" i="34"/>
  <c r="L1101" i="34"/>
  <c r="L1102" i="34"/>
  <c r="L1103" i="34"/>
  <c r="L1104" i="34"/>
  <c r="L1106" i="34"/>
  <c r="L1105" i="34"/>
  <c r="L1108" i="34"/>
  <c r="L1109" i="34"/>
  <c r="L1110" i="34"/>
  <c r="L1111" i="34"/>
  <c r="L1112" i="34"/>
  <c r="L1113" i="34"/>
  <c r="L1114" i="34"/>
  <c r="L1115" i="34"/>
  <c r="L1116" i="34"/>
  <c r="L1117" i="34"/>
  <c r="L1119" i="34"/>
  <c r="L1118" i="34"/>
  <c r="L1125" i="34"/>
  <c r="L1129" i="34"/>
  <c r="L1130" i="34"/>
  <c r="L1136" i="34"/>
  <c r="K1102" i="34"/>
  <c r="G1102" i="34"/>
  <c r="H1102" i="34"/>
  <c r="G1108" i="34"/>
  <c r="G1129" i="34"/>
  <c r="K1129" i="34"/>
  <c r="H1129" i="34"/>
  <c r="K1117" i="34"/>
  <c r="G1117" i="34"/>
  <c r="H1117" i="34"/>
  <c r="K1116" i="34"/>
  <c r="G1116" i="34"/>
  <c r="H1116" i="34"/>
  <c r="K1115" i="34"/>
  <c r="G1115" i="34"/>
  <c r="H1115" i="34"/>
  <c r="K1113" i="34"/>
  <c r="K1114" i="34"/>
  <c r="G1114" i="34"/>
  <c r="H1114" i="34"/>
  <c r="G1113" i="34"/>
  <c r="H1113" i="34"/>
  <c r="K1112" i="34"/>
  <c r="G1112" i="34"/>
  <c r="H1112" i="34"/>
  <c r="K1111" i="34"/>
  <c r="G1111" i="34"/>
  <c r="H1111" i="34"/>
  <c r="K1110" i="34"/>
  <c r="G1110" i="34"/>
  <c r="H1110" i="34"/>
  <c r="K1109" i="34"/>
  <c r="G1109" i="34"/>
  <c r="H1109" i="34"/>
  <c r="K1108" i="34"/>
  <c r="H1108" i="34"/>
  <c r="K1104" i="34"/>
  <c r="G1104" i="34"/>
  <c r="H1104" i="34"/>
  <c r="K1103" i="34"/>
  <c r="G1103" i="34"/>
  <c r="H1103" i="34"/>
  <c r="K1101" i="34"/>
  <c r="G1101" i="34"/>
  <c r="H1101" i="34"/>
  <c r="K1100" i="34"/>
  <c r="G1100" i="34"/>
  <c r="H1100" i="34"/>
  <c r="K1099" i="34"/>
  <c r="G1099" i="34"/>
  <c r="H1099" i="34"/>
  <c r="K1098" i="34"/>
  <c r="G1098" i="34"/>
  <c r="H1098" i="34"/>
  <c r="K1097" i="34"/>
  <c r="G1097" i="34"/>
  <c r="H1097" i="34"/>
  <c r="K1096" i="34"/>
  <c r="G1096" i="34"/>
  <c r="H1096" i="34"/>
  <c r="L1095" i="34"/>
  <c r="K1095" i="34"/>
  <c r="X1093" i="34"/>
  <c r="V1093" i="34"/>
  <c r="U1093" i="34"/>
  <c r="T1093" i="34"/>
  <c r="F1047" i="34"/>
  <c r="F1046" i="34"/>
  <c r="X1043" i="34"/>
  <c r="V1043" i="34"/>
  <c r="U1043" i="34"/>
  <c r="T1043" i="34"/>
  <c r="X1041" i="34"/>
  <c r="V1041" i="34"/>
  <c r="U1041" i="34"/>
  <c r="T1041" i="34"/>
  <c r="E1036" i="34"/>
  <c r="D1036" i="34"/>
  <c r="Q1032" i="34"/>
  <c r="P1032" i="34"/>
  <c r="O1032" i="34"/>
  <c r="N1032" i="34"/>
  <c r="M1032" i="34"/>
  <c r="Q1028" i="34"/>
  <c r="P1028" i="34"/>
  <c r="O1028" i="34"/>
  <c r="N1028" i="34"/>
  <c r="M1028" i="34"/>
  <c r="Q1024" i="34"/>
  <c r="P1024" i="34"/>
  <c r="O1024" i="34"/>
  <c r="N1024" i="34"/>
  <c r="M1024" i="34"/>
  <c r="Q1020" i="34"/>
  <c r="P1020" i="34"/>
  <c r="O1020" i="34"/>
  <c r="N1020" i="34"/>
  <c r="M1020" i="34"/>
  <c r="Q1016" i="34"/>
  <c r="P1016" i="34"/>
  <c r="O1016" i="34"/>
  <c r="N1016" i="34"/>
  <c r="M1016" i="34"/>
  <c r="Q1012" i="34"/>
  <c r="P1012" i="34"/>
  <c r="O1012" i="34"/>
  <c r="N1012" i="34"/>
  <c r="M1012" i="34"/>
  <c r="Q1007" i="34"/>
  <c r="Q1008" i="34"/>
  <c r="P1008" i="34"/>
  <c r="O1008" i="34"/>
  <c r="N1008" i="34"/>
  <c r="M1008" i="34"/>
  <c r="P1007" i="34"/>
  <c r="O1007" i="34"/>
  <c r="N1007" i="34"/>
  <c r="M1007" i="34"/>
  <c r="P1006" i="34"/>
  <c r="O1006" i="34"/>
  <c r="N1006" i="34"/>
  <c r="M1006" i="34"/>
  <c r="P1005" i="34"/>
  <c r="O1005" i="34"/>
  <c r="N1005" i="34"/>
  <c r="M1005" i="34"/>
  <c r="Q1003" i="34"/>
  <c r="Q1004" i="34"/>
  <c r="P1004" i="34"/>
  <c r="O1004" i="34"/>
  <c r="N1004" i="34"/>
  <c r="M1004" i="34"/>
  <c r="P1003" i="34"/>
  <c r="O1003" i="34"/>
  <c r="N1003" i="34"/>
  <c r="M1003" i="34"/>
  <c r="P1002" i="34"/>
  <c r="O1002" i="34"/>
  <c r="N1002" i="34"/>
  <c r="M1002" i="34"/>
  <c r="P1001" i="34"/>
  <c r="O1001" i="34"/>
  <c r="N1001" i="34"/>
  <c r="M1001" i="34"/>
  <c r="Q999" i="34"/>
  <c r="Q1000" i="34"/>
  <c r="P1000" i="34"/>
  <c r="O1000" i="34"/>
  <c r="N1000" i="34"/>
  <c r="M1000" i="34"/>
  <c r="P999" i="34"/>
  <c r="O999" i="34"/>
  <c r="N999" i="34"/>
  <c r="M999" i="34"/>
  <c r="P998" i="34"/>
  <c r="O998" i="34"/>
  <c r="N998" i="34"/>
  <c r="M998" i="34"/>
  <c r="P997" i="34"/>
  <c r="O997" i="34"/>
  <c r="N997" i="34"/>
  <c r="M997" i="34"/>
  <c r="Q996" i="34"/>
  <c r="P996" i="34"/>
  <c r="O996" i="34"/>
  <c r="N996" i="34"/>
  <c r="M996" i="34"/>
  <c r="Q992" i="34"/>
  <c r="P992" i="34"/>
  <c r="O992" i="34"/>
  <c r="N992" i="34"/>
  <c r="M992" i="34"/>
  <c r="Q988" i="34"/>
  <c r="P988" i="34"/>
  <c r="O988" i="34"/>
  <c r="N988" i="34"/>
  <c r="M988" i="34"/>
  <c r="Q984" i="34"/>
  <c r="P984" i="34"/>
  <c r="O984" i="34"/>
  <c r="N984" i="34"/>
  <c r="M984" i="34"/>
  <c r="X980" i="34"/>
  <c r="V980" i="34"/>
  <c r="U980" i="34"/>
  <c r="T980" i="34"/>
  <c r="P976" i="34"/>
  <c r="O976" i="34"/>
  <c r="N976" i="34"/>
  <c r="M976" i="34"/>
  <c r="L976" i="34"/>
  <c r="K976" i="34"/>
  <c r="J976" i="34"/>
  <c r="P975" i="34"/>
  <c r="O975" i="34"/>
  <c r="N975" i="34"/>
  <c r="M975" i="34"/>
  <c r="L975" i="34"/>
  <c r="K975" i="34"/>
  <c r="J975" i="34"/>
  <c r="P974" i="34"/>
  <c r="O974" i="34"/>
  <c r="N974" i="34"/>
  <c r="M974" i="34"/>
  <c r="L974" i="34"/>
  <c r="K974" i="34"/>
  <c r="J974" i="34"/>
  <c r="P973" i="34"/>
  <c r="O973" i="34"/>
  <c r="N973" i="34"/>
  <c r="M973" i="34"/>
  <c r="L973" i="34"/>
  <c r="K973" i="34"/>
  <c r="J973" i="34"/>
  <c r="P972" i="34"/>
  <c r="O972" i="34"/>
  <c r="N972" i="34"/>
  <c r="M972" i="34"/>
  <c r="L972" i="34"/>
  <c r="K972" i="34"/>
  <c r="J972" i="34"/>
  <c r="P971" i="34"/>
  <c r="O971" i="34"/>
  <c r="N971" i="34"/>
  <c r="M971" i="34"/>
  <c r="L971" i="34"/>
  <c r="K971" i="34"/>
  <c r="J971" i="34"/>
  <c r="P970" i="34"/>
  <c r="O970" i="34"/>
  <c r="N970" i="34"/>
  <c r="M970" i="34"/>
  <c r="L970" i="34"/>
  <c r="K970" i="34"/>
  <c r="J970" i="34"/>
  <c r="P969" i="34"/>
  <c r="O969" i="34"/>
  <c r="N969" i="34"/>
  <c r="M969" i="34"/>
  <c r="L969" i="34"/>
  <c r="K969" i="34"/>
  <c r="J969" i="34"/>
  <c r="P968" i="34"/>
  <c r="O968" i="34"/>
  <c r="N968" i="34"/>
  <c r="M968" i="34"/>
  <c r="L968" i="34"/>
  <c r="K968" i="34"/>
  <c r="J968" i="34"/>
  <c r="P967" i="34"/>
  <c r="O967" i="34"/>
  <c r="N967" i="34"/>
  <c r="M967" i="34"/>
  <c r="L967" i="34"/>
  <c r="K967" i="34"/>
  <c r="J967" i="34"/>
  <c r="P966" i="34"/>
  <c r="O966" i="34"/>
  <c r="N966" i="34"/>
  <c r="M966" i="34"/>
  <c r="L966" i="34"/>
  <c r="K966" i="34"/>
  <c r="J966" i="34"/>
  <c r="P965" i="34"/>
  <c r="O965" i="34"/>
  <c r="N965" i="34"/>
  <c r="M965" i="34"/>
  <c r="L965" i="34"/>
  <c r="K965" i="34"/>
  <c r="J965" i="34"/>
  <c r="P964" i="34"/>
  <c r="O964" i="34"/>
  <c r="N964" i="34"/>
  <c r="M964" i="34"/>
  <c r="L964" i="34"/>
  <c r="K964" i="34"/>
  <c r="J964" i="34"/>
  <c r="P963" i="34"/>
  <c r="O963" i="34"/>
  <c r="N963" i="34"/>
  <c r="M963" i="34"/>
  <c r="L963" i="34"/>
  <c r="K963" i="34"/>
  <c r="J963" i="34"/>
  <c r="P962" i="34"/>
  <c r="O962" i="34"/>
  <c r="N962" i="34"/>
  <c r="M962" i="34"/>
  <c r="L962" i="34"/>
  <c r="K962" i="34"/>
  <c r="J962" i="34"/>
  <c r="P961" i="34"/>
  <c r="O961" i="34"/>
  <c r="N961" i="34"/>
  <c r="M961" i="34"/>
  <c r="L961" i="34"/>
  <c r="K961" i="34"/>
  <c r="J961" i="34"/>
  <c r="P960" i="34"/>
  <c r="O960" i="34"/>
  <c r="N960" i="34"/>
  <c r="M960" i="34"/>
  <c r="L960" i="34"/>
  <c r="K960" i="34"/>
  <c r="J960" i="34"/>
  <c r="P959" i="34"/>
  <c r="O959" i="34"/>
  <c r="N959" i="34"/>
  <c r="M959" i="34"/>
  <c r="L959" i="34"/>
  <c r="K959" i="34"/>
  <c r="J959" i="34"/>
  <c r="P958" i="34"/>
  <c r="O958" i="34"/>
  <c r="N958" i="34"/>
  <c r="M958" i="34"/>
  <c r="L958" i="34"/>
  <c r="K958" i="34"/>
  <c r="J958" i="34"/>
  <c r="P957" i="34"/>
  <c r="O957" i="34"/>
  <c r="N957" i="34"/>
  <c r="M957" i="34"/>
  <c r="L957" i="34"/>
  <c r="K957" i="34"/>
  <c r="J957" i="34"/>
  <c r="P956" i="34"/>
  <c r="O956" i="34"/>
  <c r="N956" i="34"/>
  <c r="M956" i="34"/>
  <c r="L956" i="34"/>
  <c r="K956" i="34"/>
  <c r="J956" i="34"/>
  <c r="P955" i="34"/>
  <c r="O955" i="34"/>
  <c r="N955" i="34"/>
  <c r="M955" i="34"/>
  <c r="L955" i="34"/>
  <c r="K955" i="34"/>
  <c r="J955" i="34"/>
  <c r="P954" i="34"/>
  <c r="O954" i="34"/>
  <c r="N954" i="34"/>
  <c r="M954" i="34"/>
  <c r="L954" i="34"/>
  <c r="K954" i="34"/>
  <c r="J954" i="34"/>
  <c r="P953" i="34"/>
  <c r="O953" i="34"/>
  <c r="N953" i="34"/>
  <c r="M953" i="34"/>
  <c r="L953" i="34"/>
  <c r="K953" i="34"/>
  <c r="J953" i="34"/>
  <c r="P952" i="34"/>
  <c r="O952" i="34"/>
  <c r="N952" i="34"/>
  <c r="M952" i="34"/>
  <c r="L952" i="34"/>
  <c r="K952" i="34"/>
  <c r="J952" i="34"/>
  <c r="P951" i="34"/>
  <c r="O951" i="34"/>
  <c r="N951" i="34"/>
  <c r="M951" i="34"/>
  <c r="L951" i="34"/>
  <c r="K951" i="34"/>
  <c r="J951" i="34"/>
  <c r="P950" i="34"/>
  <c r="O950" i="34"/>
  <c r="N950" i="34"/>
  <c r="M950" i="34"/>
  <c r="L950" i="34"/>
  <c r="K950" i="34"/>
  <c r="J950" i="34"/>
  <c r="P949" i="34"/>
  <c r="O949" i="34"/>
  <c r="N949" i="34"/>
  <c r="M949" i="34"/>
  <c r="L949" i="34"/>
  <c r="K949" i="34"/>
  <c r="J949" i="34"/>
  <c r="P948" i="34"/>
  <c r="O948" i="34"/>
  <c r="N948" i="34"/>
  <c r="M948" i="34"/>
  <c r="L948" i="34"/>
  <c r="K948" i="34"/>
  <c r="J948" i="34"/>
  <c r="P947" i="34"/>
  <c r="O947" i="34"/>
  <c r="N947" i="34"/>
  <c r="M947" i="34"/>
  <c r="L947" i="34"/>
  <c r="K947" i="34"/>
  <c r="J947" i="34"/>
  <c r="P946" i="34"/>
  <c r="O946" i="34"/>
  <c r="N946" i="34"/>
  <c r="M946" i="34"/>
  <c r="L946" i="34"/>
  <c r="K946" i="34"/>
  <c r="J946" i="34"/>
  <c r="P945" i="34"/>
  <c r="O945" i="34"/>
  <c r="N945" i="34"/>
  <c r="M945" i="34"/>
  <c r="L945" i="34"/>
  <c r="K945" i="34"/>
  <c r="J945" i="34"/>
  <c r="P944" i="34"/>
  <c r="O944" i="34"/>
  <c r="N944" i="34"/>
  <c r="M944" i="34"/>
  <c r="L944" i="34"/>
  <c r="K944" i="34"/>
  <c r="J944" i="34"/>
  <c r="P943" i="34"/>
  <c r="O943" i="34"/>
  <c r="N943" i="34"/>
  <c r="M943" i="34"/>
  <c r="L943" i="34"/>
  <c r="K943" i="34"/>
  <c r="J943" i="34"/>
  <c r="P942" i="34"/>
  <c r="O942" i="34"/>
  <c r="N942" i="34"/>
  <c r="M942" i="34"/>
  <c r="L942" i="34"/>
  <c r="K942" i="34"/>
  <c r="J942" i="34"/>
  <c r="P941" i="34"/>
  <c r="O941" i="34"/>
  <c r="N941" i="34"/>
  <c r="M941" i="34"/>
  <c r="L941" i="34"/>
  <c r="K941" i="34"/>
  <c r="J941" i="34"/>
  <c r="P940" i="34"/>
  <c r="O940" i="34"/>
  <c r="N940" i="34"/>
  <c r="M940" i="34"/>
  <c r="L940" i="34"/>
  <c r="K940" i="34"/>
  <c r="J940" i="34"/>
  <c r="P939" i="34"/>
  <c r="O939" i="34"/>
  <c r="N939" i="34"/>
  <c r="M939" i="34"/>
  <c r="L939" i="34"/>
  <c r="K939" i="34"/>
  <c r="J939" i="34"/>
  <c r="P938" i="34"/>
  <c r="O938" i="34"/>
  <c r="N938" i="34"/>
  <c r="M938" i="34"/>
  <c r="L938" i="34"/>
  <c r="K938" i="34"/>
  <c r="J938" i="34"/>
  <c r="P937" i="34"/>
  <c r="O937" i="34"/>
  <c r="N937" i="34"/>
  <c r="M937" i="34"/>
  <c r="L937" i="34"/>
  <c r="K937" i="34"/>
  <c r="J937" i="34"/>
  <c r="P936" i="34"/>
  <c r="O936" i="34"/>
  <c r="N936" i="34"/>
  <c r="M936" i="34"/>
  <c r="L936" i="34"/>
  <c r="K936" i="34"/>
  <c r="J936" i="34"/>
  <c r="P935" i="34"/>
  <c r="O935" i="34"/>
  <c r="N935" i="34"/>
  <c r="M935" i="34"/>
  <c r="L935" i="34"/>
  <c r="K935" i="34"/>
  <c r="J935" i="34"/>
  <c r="P934" i="34"/>
  <c r="O934" i="34"/>
  <c r="N934" i="34"/>
  <c r="M934" i="34"/>
  <c r="L934" i="34"/>
  <c r="K934" i="34"/>
  <c r="J934" i="34"/>
  <c r="P933" i="34"/>
  <c r="O933" i="34"/>
  <c r="N933" i="34"/>
  <c r="M933" i="34"/>
  <c r="L933" i="34"/>
  <c r="K933" i="34"/>
  <c r="J933" i="34"/>
  <c r="P932" i="34"/>
  <c r="O932" i="34"/>
  <c r="N932" i="34"/>
  <c r="M932" i="34"/>
  <c r="L932" i="34"/>
  <c r="K932" i="34"/>
  <c r="J932" i="34"/>
  <c r="P931" i="34"/>
  <c r="O931" i="34"/>
  <c r="N931" i="34"/>
  <c r="M931" i="34"/>
  <c r="L931" i="34"/>
  <c r="K931" i="34"/>
  <c r="J931" i="34"/>
  <c r="P930" i="34"/>
  <c r="O930" i="34"/>
  <c r="N930" i="34"/>
  <c r="M930" i="34"/>
  <c r="L930" i="34"/>
  <c r="K930" i="34"/>
  <c r="J930" i="34"/>
  <c r="P929" i="34"/>
  <c r="O929" i="34"/>
  <c r="N929" i="34"/>
  <c r="M929" i="34"/>
  <c r="L929" i="34"/>
  <c r="K929" i="34"/>
  <c r="J929" i="34"/>
  <c r="P928" i="34"/>
  <c r="O928" i="34"/>
  <c r="N928" i="34"/>
  <c r="M928" i="34"/>
  <c r="L928" i="34"/>
  <c r="K928" i="34"/>
  <c r="J928" i="34"/>
  <c r="P927" i="34"/>
  <c r="O927" i="34"/>
  <c r="N927" i="34"/>
  <c r="M927" i="34"/>
  <c r="L927" i="34"/>
  <c r="K927" i="34"/>
  <c r="J927" i="34"/>
  <c r="P926" i="34"/>
  <c r="O926" i="34"/>
  <c r="N926" i="34"/>
  <c r="M926" i="34"/>
  <c r="L926" i="34"/>
  <c r="K926" i="34"/>
  <c r="J926" i="34"/>
  <c r="P925" i="34"/>
  <c r="O925" i="34"/>
  <c r="N925" i="34"/>
  <c r="M925" i="34"/>
  <c r="L925" i="34"/>
  <c r="K925" i="34"/>
  <c r="J925" i="34"/>
  <c r="P924" i="34"/>
  <c r="O924" i="34"/>
  <c r="N924" i="34"/>
  <c r="M924" i="34"/>
  <c r="L924" i="34"/>
  <c r="K924" i="34"/>
  <c r="J924" i="34"/>
  <c r="P923" i="34"/>
  <c r="O923" i="34"/>
  <c r="N923" i="34"/>
  <c r="M923" i="34"/>
  <c r="L923" i="34"/>
  <c r="K923" i="34"/>
  <c r="J923" i="34"/>
  <c r="P922" i="34"/>
  <c r="O922" i="34"/>
  <c r="N922" i="34"/>
  <c r="M922" i="34"/>
  <c r="L922" i="34"/>
  <c r="K922" i="34"/>
  <c r="J922" i="34"/>
  <c r="P921" i="34"/>
  <c r="O921" i="34"/>
  <c r="N921" i="34"/>
  <c r="M921" i="34"/>
  <c r="L921" i="34"/>
  <c r="K921" i="34"/>
  <c r="J921" i="34"/>
  <c r="P920" i="34"/>
  <c r="O920" i="34"/>
  <c r="N920" i="34"/>
  <c r="M920" i="34"/>
  <c r="L920" i="34"/>
  <c r="K920" i="34"/>
  <c r="J920" i="34"/>
  <c r="P919" i="34"/>
  <c r="O919" i="34"/>
  <c r="N919" i="34"/>
  <c r="M919" i="34"/>
  <c r="L919" i="34"/>
  <c r="K919" i="34"/>
  <c r="J919" i="34"/>
  <c r="P918" i="34"/>
  <c r="O918" i="34"/>
  <c r="N918" i="34"/>
  <c r="M918" i="34"/>
  <c r="L918" i="34"/>
  <c r="K918" i="34"/>
  <c r="J918" i="34"/>
  <c r="P917" i="34"/>
  <c r="O917" i="34"/>
  <c r="N917" i="34"/>
  <c r="M917" i="34"/>
  <c r="L917" i="34"/>
  <c r="K917" i="34"/>
  <c r="J917" i="34"/>
  <c r="P916" i="34"/>
  <c r="O916" i="34"/>
  <c r="N916" i="34"/>
  <c r="M916" i="34"/>
  <c r="L916" i="34"/>
  <c r="K916" i="34"/>
  <c r="J916" i="34"/>
  <c r="P915" i="34"/>
  <c r="O915" i="34"/>
  <c r="N915" i="34"/>
  <c r="M915" i="34"/>
  <c r="L915" i="34"/>
  <c r="K915" i="34"/>
  <c r="J915" i="34"/>
  <c r="P914" i="34"/>
  <c r="O914" i="34"/>
  <c r="N914" i="34"/>
  <c r="M914" i="34"/>
  <c r="L914" i="34"/>
  <c r="K914" i="34"/>
  <c r="J914" i="34"/>
  <c r="P913" i="34"/>
  <c r="O913" i="34"/>
  <c r="N913" i="34"/>
  <c r="M913" i="34"/>
  <c r="L913" i="34"/>
  <c r="K913" i="34"/>
  <c r="J913" i="34"/>
  <c r="P912" i="34"/>
  <c r="O912" i="34"/>
  <c r="N912" i="34"/>
  <c r="M912" i="34"/>
  <c r="L912" i="34"/>
  <c r="K912" i="34"/>
  <c r="J912" i="34"/>
  <c r="P911" i="34"/>
  <c r="O911" i="34"/>
  <c r="N911" i="34"/>
  <c r="M911" i="34"/>
  <c r="L911" i="34"/>
  <c r="K911" i="34"/>
  <c r="J911" i="34"/>
  <c r="P910" i="34"/>
  <c r="O910" i="34"/>
  <c r="N910" i="34"/>
  <c r="M910" i="34"/>
  <c r="L910" i="34"/>
  <c r="K910" i="34"/>
  <c r="J910" i="34"/>
  <c r="P909" i="34"/>
  <c r="O909" i="34"/>
  <c r="N909" i="34"/>
  <c r="M909" i="34"/>
  <c r="L909" i="34"/>
  <c r="K909" i="34"/>
  <c r="J909" i="34"/>
  <c r="P908" i="34"/>
  <c r="O908" i="34"/>
  <c r="N908" i="34"/>
  <c r="M908" i="34"/>
  <c r="L908" i="34"/>
  <c r="K908" i="34"/>
  <c r="J908" i="34"/>
  <c r="P907" i="34"/>
  <c r="O907" i="34"/>
  <c r="N907" i="34"/>
  <c r="M907" i="34"/>
  <c r="L907" i="34"/>
  <c r="K907" i="34"/>
  <c r="J907" i="34"/>
  <c r="P906" i="34"/>
  <c r="O906" i="34"/>
  <c r="N906" i="34"/>
  <c r="M906" i="34"/>
  <c r="L906" i="34"/>
  <c r="K906" i="34"/>
  <c r="J906" i="34"/>
  <c r="P905" i="34"/>
  <c r="O905" i="34"/>
  <c r="N905" i="34"/>
  <c r="M905" i="34"/>
  <c r="L905" i="34"/>
  <c r="K905" i="34"/>
  <c r="J905" i="34"/>
  <c r="P904" i="34"/>
  <c r="O904" i="34"/>
  <c r="N904" i="34"/>
  <c r="M904" i="34"/>
  <c r="L904" i="34"/>
  <c r="K904" i="34"/>
  <c r="J904" i="34"/>
  <c r="P903" i="34"/>
  <c r="O903" i="34"/>
  <c r="N903" i="34"/>
  <c r="M903" i="34"/>
  <c r="L903" i="34"/>
  <c r="K903" i="34"/>
  <c r="J903" i="34"/>
  <c r="P902" i="34"/>
  <c r="O902" i="34"/>
  <c r="N902" i="34"/>
  <c r="M902" i="34"/>
  <c r="L902" i="34"/>
  <c r="K902" i="34"/>
  <c r="J902" i="34"/>
  <c r="P901" i="34"/>
  <c r="O901" i="34"/>
  <c r="N901" i="34"/>
  <c r="M901" i="34"/>
  <c r="L901" i="34"/>
  <c r="K901" i="34"/>
  <c r="J901" i="34"/>
  <c r="P900" i="34"/>
  <c r="O900" i="34"/>
  <c r="N900" i="34"/>
  <c r="M900" i="34"/>
  <c r="L900" i="34"/>
  <c r="K900" i="34"/>
  <c r="J900" i="34"/>
  <c r="P899" i="34"/>
  <c r="O899" i="34"/>
  <c r="N899" i="34"/>
  <c r="M899" i="34"/>
  <c r="L899" i="34"/>
  <c r="K899" i="34"/>
  <c r="J899" i="34"/>
  <c r="P898" i="34"/>
  <c r="O898" i="34"/>
  <c r="N898" i="34"/>
  <c r="M898" i="34"/>
  <c r="L898" i="34"/>
  <c r="K898" i="34"/>
  <c r="J898" i="34"/>
  <c r="P897" i="34"/>
  <c r="O897" i="34"/>
  <c r="N897" i="34"/>
  <c r="M897" i="34"/>
  <c r="L897" i="34"/>
  <c r="K897" i="34"/>
  <c r="J897" i="34"/>
  <c r="P896" i="34"/>
  <c r="O896" i="34"/>
  <c r="N896" i="34"/>
  <c r="M896" i="34"/>
  <c r="L896" i="34"/>
  <c r="K896" i="34"/>
  <c r="J896" i="34"/>
  <c r="P895" i="34"/>
  <c r="O895" i="34"/>
  <c r="N895" i="34"/>
  <c r="M895" i="34"/>
  <c r="L895" i="34"/>
  <c r="K895" i="34"/>
  <c r="J895" i="34"/>
  <c r="P894" i="34"/>
  <c r="O894" i="34"/>
  <c r="N894" i="34"/>
  <c r="M894" i="34"/>
  <c r="L894" i="34"/>
  <c r="K894" i="34"/>
  <c r="J894" i="34"/>
  <c r="P893" i="34"/>
  <c r="O893" i="34"/>
  <c r="N893" i="34"/>
  <c r="M893" i="34"/>
  <c r="L893" i="34"/>
  <c r="K893" i="34"/>
  <c r="J893" i="34"/>
  <c r="P892" i="34"/>
  <c r="O892" i="34"/>
  <c r="N892" i="34"/>
  <c r="M892" i="34"/>
  <c r="L892" i="34"/>
  <c r="K892" i="34"/>
  <c r="J892" i="34"/>
  <c r="P891" i="34"/>
  <c r="O891" i="34"/>
  <c r="N891" i="34"/>
  <c r="M891" i="34"/>
  <c r="L891" i="34"/>
  <c r="K891" i="34"/>
  <c r="J891" i="34"/>
  <c r="P890" i="34"/>
  <c r="O890" i="34"/>
  <c r="N890" i="34"/>
  <c r="M890" i="34"/>
  <c r="L890" i="34"/>
  <c r="K890" i="34"/>
  <c r="J890" i="34"/>
  <c r="P889" i="34"/>
  <c r="O889" i="34"/>
  <c r="N889" i="34"/>
  <c r="M889" i="34"/>
  <c r="L889" i="34"/>
  <c r="K889" i="34"/>
  <c r="J889" i="34"/>
  <c r="P888" i="34"/>
  <c r="O888" i="34"/>
  <c r="N888" i="34"/>
  <c r="M888" i="34"/>
  <c r="L888" i="34"/>
  <c r="K888" i="34"/>
  <c r="J888" i="34"/>
  <c r="P887" i="34"/>
  <c r="O887" i="34"/>
  <c r="N887" i="34"/>
  <c r="M887" i="34"/>
  <c r="L887" i="34"/>
  <c r="K887" i="34"/>
  <c r="J887" i="34"/>
  <c r="P886" i="34"/>
  <c r="O886" i="34"/>
  <c r="N886" i="34"/>
  <c r="M886" i="34"/>
  <c r="L886" i="34"/>
  <c r="K886" i="34"/>
  <c r="J886" i="34"/>
  <c r="P885" i="34"/>
  <c r="O885" i="34"/>
  <c r="N885" i="34"/>
  <c r="M885" i="34"/>
  <c r="L885" i="34"/>
  <c r="K885" i="34"/>
  <c r="J885" i="34"/>
  <c r="P884" i="34"/>
  <c r="O884" i="34"/>
  <c r="N884" i="34"/>
  <c r="M884" i="34"/>
  <c r="L884" i="34"/>
  <c r="K884" i="34"/>
  <c r="J884" i="34"/>
  <c r="P883" i="34"/>
  <c r="O883" i="34"/>
  <c r="N883" i="34"/>
  <c r="M883" i="34"/>
  <c r="L883" i="34"/>
  <c r="K883" i="34"/>
  <c r="J883" i="34"/>
  <c r="P882" i="34"/>
  <c r="O882" i="34"/>
  <c r="N882" i="34"/>
  <c r="M882" i="34"/>
  <c r="L882" i="34"/>
  <c r="K882" i="34"/>
  <c r="J882" i="34"/>
  <c r="P881" i="34"/>
  <c r="O881" i="34"/>
  <c r="N881" i="34"/>
  <c r="M881" i="34"/>
  <c r="L881" i="34"/>
  <c r="K881" i="34"/>
  <c r="J881" i="34"/>
  <c r="P880" i="34"/>
  <c r="O880" i="34"/>
  <c r="N880" i="34"/>
  <c r="M880" i="34"/>
  <c r="L880" i="34"/>
  <c r="K880" i="34"/>
  <c r="J880" i="34"/>
  <c r="P879" i="34"/>
  <c r="O879" i="34"/>
  <c r="N879" i="34"/>
  <c r="M879" i="34"/>
  <c r="L879" i="34"/>
  <c r="K879" i="34"/>
  <c r="J879" i="34"/>
  <c r="P878" i="34"/>
  <c r="O878" i="34"/>
  <c r="N878" i="34"/>
  <c r="M878" i="34"/>
  <c r="L878" i="34"/>
  <c r="K878" i="34"/>
  <c r="J878" i="34"/>
  <c r="P877" i="34"/>
  <c r="O877" i="34"/>
  <c r="N877" i="34"/>
  <c r="M877" i="34"/>
  <c r="L877" i="34"/>
  <c r="K877" i="34"/>
  <c r="J877" i="34"/>
  <c r="P876" i="34"/>
  <c r="O876" i="34"/>
  <c r="N876" i="34"/>
  <c r="M876" i="34"/>
  <c r="L876" i="34"/>
  <c r="K876" i="34"/>
  <c r="J876" i="34"/>
  <c r="P875" i="34"/>
  <c r="O875" i="34"/>
  <c r="N875" i="34"/>
  <c r="M875" i="34"/>
  <c r="L875" i="34"/>
  <c r="K875" i="34"/>
  <c r="J875" i="34"/>
  <c r="P874" i="34"/>
  <c r="O874" i="34"/>
  <c r="N874" i="34"/>
  <c r="M874" i="34"/>
  <c r="L874" i="34"/>
  <c r="K874" i="34"/>
  <c r="J874" i="34"/>
  <c r="P873" i="34"/>
  <c r="O873" i="34"/>
  <c r="N873" i="34"/>
  <c r="M873" i="34"/>
  <c r="L873" i="34"/>
  <c r="K873" i="34"/>
  <c r="J873" i="34"/>
  <c r="P872" i="34"/>
  <c r="O872" i="34"/>
  <c r="N872" i="34"/>
  <c r="M872" i="34"/>
  <c r="L872" i="34"/>
  <c r="K872" i="34"/>
  <c r="J872" i="34"/>
  <c r="P871" i="34"/>
  <c r="O871" i="34"/>
  <c r="N871" i="34"/>
  <c r="M871" i="34"/>
  <c r="L871" i="34"/>
  <c r="K871" i="34"/>
  <c r="J871" i="34"/>
  <c r="P870" i="34"/>
  <c r="O870" i="34"/>
  <c r="N870" i="34"/>
  <c r="M870" i="34"/>
  <c r="L870" i="34"/>
  <c r="K870" i="34"/>
  <c r="J870" i="34"/>
  <c r="P869" i="34"/>
  <c r="O869" i="34"/>
  <c r="N869" i="34"/>
  <c r="M869" i="34"/>
  <c r="L869" i="34"/>
  <c r="K869" i="34"/>
  <c r="J869" i="34"/>
  <c r="P868" i="34"/>
  <c r="O868" i="34"/>
  <c r="N868" i="34"/>
  <c r="M868" i="34"/>
  <c r="L868" i="34"/>
  <c r="K868" i="34"/>
  <c r="J868" i="34"/>
  <c r="P867" i="34"/>
  <c r="O867" i="34"/>
  <c r="N867" i="34"/>
  <c r="M867" i="34"/>
  <c r="L867" i="34"/>
  <c r="K867" i="34"/>
  <c r="J867" i="34"/>
  <c r="P866" i="34"/>
  <c r="O866" i="34"/>
  <c r="N866" i="34"/>
  <c r="M866" i="34"/>
  <c r="L866" i="34"/>
  <c r="K866" i="34"/>
  <c r="J866" i="34"/>
  <c r="P865" i="34"/>
  <c r="O865" i="34"/>
  <c r="N865" i="34"/>
  <c r="M865" i="34"/>
  <c r="L865" i="34"/>
  <c r="K865" i="34"/>
  <c r="J865" i="34"/>
  <c r="P864" i="34"/>
  <c r="O864" i="34"/>
  <c r="N864" i="34"/>
  <c r="M864" i="34"/>
  <c r="L864" i="34"/>
  <c r="K864" i="34"/>
  <c r="J864" i="34"/>
  <c r="P863" i="34"/>
  <c r="O863" i="34"/>
  <c r="N863" i="34"/>
  <c r="M863" i="34"/>
  <c r="L863" i="34"/>
  <c r="K863" i="34"/>
  <c r="J863" i="34"/>
  <c r="P862" i="34"/>
  <c r="O862" i="34"/>
  <c r="N862" i="34"/>
  <c r="M862" i="34"/>
  <c r="L862" i="34"/>
  <c r="K862" i="34"/>
  <c r="J862" i="34"/>
  <c r="P861" i="34"/>
  <c r="O861" i="34"/>
  <c r="N861" i="34"/>
  <c r="M861" i="34"/>
  <c r="L861" i="34"/>
  <c r="K861" i="34"/>
  <c r="J861" i="34"/>
  <c r="P860" i="34"/>
  <c r="O860" i="34"/>
  <c r="N860" i="34"/>
  <c r="M860" i="34"/>
  <c r="L860" i="34"/>
  <c r="K860" i="34"/>
  <c r="J860" i="34"/>
  <c r="P859" i="34"/>
  <c r="O859" i="34"/>
  <c r="N859" i="34"/>
  <c r="M859" i="34"/>
  <c r="L859" i="34"/>
  <c r="K859" i="34"/>
  <c r="J859" i="34"/>
  <c r="P858" i="34"/>
  <c r="O858" i="34"/>
  <c r="N858" i="34"/>
  <c r="M858" i="34"/>
  <c r="L858" i="34"/>
  <c r="K858" i="34"/>
  <c r="J858" i="34"/>
  <c r="P857" i="34"/>
  <c r="O857" i="34"/>
  <c r="N857" i="34"/>
  <c r="M857" i="34"/>
  <c r="L857" i="34"/>
  <c r="K857" i="34"/>
  <c r="J857" i="34"/>
  <c r="P856" i="34"/>
  <c r="O856" i="34"/>
  <c r="N856" i="34"/>
  <c r="M856" i="34"/>
  <c r="L856" i="34"/>
  <c r="K856" i="34"/>
  <c r="J856" i="34"/>
  <c r="P855" i="34"/>
  <c r="O855" i="34"/>
  <c r="N855" i="34"/>
  <c r="M855" i="34"/>
  <c r="L855" i="34"/>
  <c r="K855" i="34"/>
  <c r="J855" i="34"/>
  <c r="P854" i="34"/>
  <c r="O854" i="34"/>
  <c r="N854" i="34"/>
  <c r="M854" i="34"/>
  <c r="L854" i="34"/>
  <c r="K854" i="34"/>
  <c r="J854" i="34"/>
  <c r="P853" i="34"/>
  <c r="O853" i="34"/>
  <c r="N853" i="34"/>
  <c r="M853" i="34"/>
  <c r="L853" i="34"/>
  <c r="K853" i="34"/>
  <c r="J853" i="34"/>
  <c r="P852" i="34"/>
  <c r="O852" i="34"/>
  <c r="N852" i="34"/>
  <c r="M852" i="34"/>
  <c r="L852" i="34"/>
  <c r="K852" i="34"/>
  <c r="J852" i="34"/>
  <c r="P851" i="34"/>
  <c r="O851" i="34"/>
  <c r="N851" i="34"/>
  <c r="M851" i="34"/>
  <c r="L851" i="34"/>
  <c r="K851" i="34"/>
  <c r="J851" i="34"/>
  <c r="P850" i="34"/>
  <c r="O850" i="34"/>
  <c r="N850" i="34"/>
  <c r="M850" i="34"/>
  <c r="L850" i="34"/>
  <c r="K850" i="34"/>
  <c r="J850" i="34"/>
  <c r="P849" i="34"/>
  <c r="O849" i="34"/>
  <c r="N849" i="34"/>
  <c r="M849" i="34"/>
  <c r="L849" i="34"/>
  <c r="K849" i="34"/>
  <c r="J849" i="34"/>
  <c r="P848" i="34"/>
  <c r="O848" i="34"/>
  <c r="N848" i="34"/>
  <c r="M848" i="34"/>
  <c r="L848" i="34"/>
  <c r="K848" i="34"/>
  <c r="J848" i="34"/>
  <c r="P847" i="34"/>
  <c r="O847" i="34"/>
  <c r="N847" i="34"/>
  <c r="M847" i="34"/>
  <c r="L847" i="34"/>
  <c r="K847" i="34"/>
  <c r="J847" i="34"/>
  <c r="P846" i="34"/>
  <c r="O846" i="34"/>
  <c r="N846" i="34"/>
  <c r="M846" i="34"/>
  <c r="L846" i="34"/>
  <c r="K846" i="34"/>
  <c r="J846" i="34"/>
  <c r="P845" i="34"/>
  <c r="O845" i="34"/>
  <c r="N845" i="34"/>
  <c r="M845" i="34"/>
  <c r="L845" i="34"/>
  <c r="K845" i="34"/>
  <c r="J845" i="34"/>
  <c r="P844" i="34"/>
  <c r="O844" i="34"/>
  <c r="N844" i="34"/>
  <c r="M844" i="34"/>
  <c r="L844" i="34"/>
  <c r="K844" i="34"/>
  <c r="J844" i="34"/>
  <c r="P843" i="34"/>
  <c r="O843" i="34"/>
  <c r="N843" i="34"/>
  <c r="M843" i="34"/>
  <c r="L843" i="34"/>
  <c r="K843" i="34"/>
  <c r="J843" i="34"/>
  <c r="P842" i="34"/>
  <c r="O842" i="34"/>
  <c r="N842" i="34"/>
  <c r="M842" i="34"/>
  <c r="L842" i="34"/>
  <c r="K842" i="34"/>
  <c r="J842" i="34"/>
  <c r="P841" i="34"/>
  <c r="O841" i="34"/>
  <c r="N841" i="34"/>
  <c r="M841" i="34"/>
  <c r="L841" i="34"/>
  <c r="K841" i="34"/>
  <c r="J841" i="34"/>
  <c r="P840" i="34"/>
  <c r="O840" i="34"/>
  <c r="N840" i="34"/>
  <c r="M840" i="34"/>
  <c r="L840" i="34"/>
  <c r="K840" i="34"/>
  <c r="J840" i="34"/>
  <c r="P839" i="34"/>
  <c r="O839" i="34"/>
  <c r="N839" i="34"/>
  <c r="M839" i="34"/>
  <c r="L839" i="34"/>
  <c r="K839" i="34"/>
  <c r="J839" i="34"/>
  <c r="P838" i="34"/>
  <c r="O838" i="34"/>
  <c r="N838" i="34"/>
  <c r="M838" i="34"/>
  <c r="L838" i="34"/>
  <c r="K838" i="34"/>
  <c r="J838" i="34"/>
  <c r="P837" i="34"/>
  <c r="O837" i="34"/>
  <c r="N837" i="34"/>
  <c r="M837" i="34"/>
  <c r="L837" i="34"/>
  <c r="K837" i="34"/>
  <c r="J837" i="34"/>
  <c r="P836" i="34"/>
  <c r="O836" i="34"/>
  <c r="N836" i="34"/>
  <c r="M836" i="34"/>
  <c r="L836" i="34"/>
  <c r="K836" i="34"/>
  <c r="J836" i="34"/>
  <c r="P835" i="34"/>
  <c r="O835" i="34"/>
  <c r="N835" i="34"/>
  <c r="M835" i="34"/>
  <c r="L835" i="34"/>
  <c r="K835" i="34"/>
  <c r="J835" i="34"/>
  <c r="P834" i="34"/>
  <c r="O834" i="34"/>
  <c r="N834" i="34"/>
  <c r="M834" i="34"/>
  <c r="L834" i="34"/>
  <c r="K834" i="34"/>
  <c r="J834" i="34"/>
  <c r="P833" i="34"/>
  <c r="O833" i="34"/>
  <c r="N833" i="34"/>
  <c r="M833" i="34"/>
  <c r="L833" i="34"/>
  <c r="K833" i="34"/>
  <c r="J833" i="34"/>
  <c r="P832" i="34"/>
  <c r="O832" i="34"/>
  <c r="N832" i="34"/>
  <c r="M832" i="34"/>
  <c r="L832" i="34"/>
  <c r="K832" i="34"/>
  <c r="J832" i="34"/>
  <c r="P831" i="34"/>
  <c r="O831" i="34"/>
  <c r="N831" i="34"/>
  <c r="M831" i="34"/>
  <c r="L831" i="34"/>
  <c r="K831" i="34"/>
  <c r="J831" i="34"/>
  <c r="P830" i="34"/>
  <c r="O830" i="34"/>
  <c r="N830" i="34"/>
  <c r="M830" i="34"/>
  <c r="L830" i="34"/>
  <c r="K830" i="34"/>
  <c r="J830" i="34"/>
  <c r="P829" i="34"/>
  <c r="O829" i="34"/>
  <c r="N829" i="34"/>
  <c r="M829" i="34"/>
  <c r="L829" i="34"/>
  <c r="K829" i="34"/>
  <c r="J829" i="34"/>
  <c r="P828" i="34"/>
  <c r="O828" i="34"/>
  <c r="N828" i="34"/>
  <c r="M828" i="34"/>
  <c r="L828" i="34"/>
  <c r="K828" i="34"/>
  <c r="J828" i="34"/>
  <c r="P827" i="34"/>
  <c r="O827" i="34"/>
  <c r="N827" i="34"/>
  <c r="M827" i="34"/>
  <c r="L827" i="34"/>
  <c r="K827" i="34"/>
  <c r="J827" i="34"/>
  <c r="P826" i="34"/>
  <c r="O826" i="34"/>
  <c r="N826" i="34"/>
  <c r="M826" i="34"/>
  <c r="L826" i="34"/>
  <c r="K826" i="34"/>
  <c r="J826" i="34"/>
  <c r="P825" i="34"/>
  <c r="O825" i="34"/>
  <c r="N825" i="34"/>
  <c r="M825" i="34"/>
  <c r="L825" i="34"/>
  <c r="K825" i="34"/>
  <c r="J825" i="34"/>
  <c r="P824" i="34"/>
  <c r="O824" i="34"/>
  <c r="N824" i="34"/>
  <c r="M824" i="34"/>
  <c r="L824" i="34"/>
  <c r="K824" i="34"/>
  <c r="J824" i="34"/>
  <c r="P823" i="34"/>
  <c r="O823" i="34"/>
  <c r="N823" i="34"/>
  <c r="M823" i="34"/>
  <c r="L823" i="34"/>
  <c r="K823" i="34"/>
  <c r="J823" i="34"/>
  <c r="P822" i="34"/>
  <c r="O822" i="34"/>
  <c r="N822" i="34"/>
  <c r="M822" i="34"/>
  <c r="L822" i="34"/>
  <c r="K822" i="34"/>
  <c r="J822" i="34"/>
  <c r="P821" i="34"/>
  <c r="O821" i="34"/>
  <c r="N821" i="34"/>
  <c r="M821" i="34"/>
  <c r="L821" i="34"/>
  <c r="K821" i="34"/>
  <c r="J821" i="34"/>
  <c r="P820" i="34"/>
  <c r="O820" i="34"/>
  <c r="N820" i="34"/>
  <c r="M820" i="34"/>
  <c r="L820" i="34"/>
  <c r="K820" i="34"/>
  <c r="J820" i="34"/>
  <c r="P819" i="34"/>
  <c r="O819" i="34"/>
  <c r="N819" i="34"/>
  <c r="M819" i="34"/>
  <c r="L819" i="34"/>
  <c r="K819" i="34"/>
  <c r="J819" i="34"/>
  <c r="P818" i="34"/>
  <c r="O818" i="34"/>
  <c r="N818" i="34"/>
  <c r="M818" i="34"/>
  <c r="L818" i="34"/>
  <c r="K818" i="34"/>
  <c r="J818" i="34"/>
  <c r="P817" i="34"/>
  <c r="O817" i="34"/>
  <c r="N817" i="34"/>
  <c r="M817" i="34"/>
  <c r="L817" i="34"/>
  <c r="K817" i="34"/>
  <c r="J817" i="34"/>
  <c r="P816" i="34"/>
  <c r="O816" i="34"/>
  <c r="N816" i="34"/>
  <c r="M816" i="34"/>
  <c r="L816" i="34"/>
  <c r="K816" i="34"/>
  <c r="J816" i="34"/>
  <c r="P815" i="34"/>
  <c r="O815" i="34"/>
  <c r="N815" i="34"/>
  <c r="M815" i="34"/>
  <c r="L815" i="34"/>
  <c r="K815" i="34"/>
  <c r="J815" i="34"/>
  <c r="P814" i="34"/>
  <c r="O814" i="34"/>
  <c r="N814" i="34"/>
  <c r="M814" i="34"/>
  <c r="L814" i="34"/>
  <c r="K814" i="34"/>
  <c r="J814" i="34"/>
  <c r="P813" i="34"/>
  <c r="O813" i="34"/>
  <c r="N813" i="34"/>
  <c r="M813" i="34"/>
  <c r="L813" i="34"/>
  <c r="K813" i="34"/>
  <c r="J813" i="34"/>
  <c r="P812" i="34"/>
  <c r="O812" i="34"/>
  <c r="N812" i="34"/>
  <c r="M812" i="34"/>
  <c r="L812" i="34"/>
  <c r="K812" i="34"/>
  <c r="J812" i="34"/>
  <c r="P811" i="34"/>
  <c r="O811" i="34"/>
  <c r="N811" i="34"/>
  <c r="M811" i="34"/>
  <c r="L811" i="34"/>
  <c r="K811" i="34"/>
  <c r="J811" i="34"/>
  <c r="P810" i="34"/>
  <c r="O810" i="34"/>
  <c r="N810" i="34"/>
  <c r="M810" i="34"/>
  <c r="L810" i="34"/>
  <c r="K810" i="34"/>
  <c r="J810" i="34"/>
  <c r="P809" i="34"/>
  <c r="O809" i="34"/>
  <c r="N809" i="34"/>
  <c r="M809" i="34"/>
  <c r="L809" i="34"/>
  <c r="K809" i="34"/>
  <c r="J809" i="34"/>
  <c r="P808" i="34"/>
  <c r="O808" i="34"/>
  <c r="N808" i="34"/>
  <c r="M808" i="34"/>
  <c r="L808" i="34"/>
  <c r="K808" i="34"/>
  <c r="J808" i="34"/>
  <c r="P807" i="34"/>
  <c r="O807" i="34"/>
  <c r="N807" i="34"/>
  <c r="M807" i="34"/>
  <c r="L807" i="34"/>
  <c r="K807" i="34"/>
  <c r="J807" i="34"/>
  <c r="P806" i="34"/>
  <c r="O806" i="34"/>
  <c r="N806" i="34"/>
  <c r="M806" i="34"/>
  <c r="L806" i="34"/>
  <c r="K806" i="34"/>
  <c r="J806" i="34"/>
  <c r="P805" i="34"/>
  <c r="O805" i="34"/>
  <c r="N805" i="34"/>
  <c r="M805" i="34"/>
  <c r="L805" i="34"/>
  <c r="K805" i="34"/>
  <c r="J805" i="34"/>
  <c r="P804" i="34"/>
  <c r="O804" i="34"/>
  <c r="N804" i="34"/>
  <c r="M804" i="34"/>
  <c r="L804" i="34"/>
  <c r="K804" i="34"/>
  <c r="J804" i="34"/>
  <c r="P803" i="34"/>
  <c r="O803" i="34"/>
  <c r="N803" i="34"/>
  <c r="M803" i="34"/>
  <c r="L803" i="34"/>
  <c r="K803" i="34"/>
  <c r="J803" i="34"/>
  <c r="P802" i="34"/>
  <c r="O802" i="34"/>
  <c r="N802" i="34"/>
  <c r="M802" i="34"/>
  <c r="L802" i="34"/>
  <c r="K802" i="34"/>
  <c r="J802" i="34"/>
  <c r="P801" i="34"/>
  <c r="O801" i="34"/>
  <c r="N801" i="34"/>
  <c r="M801" i="34"/>
  <c r="L801" i="34"/>
  <c r="K801" i="34"/>
  <c r="J801" i="34"/>
  <c r="P800" i="34"/>
  <c r="O800" i="34"/>
  <c r="N800" i="34"/>
  <c r="M800" i="34"/>
  <c r="L800" i="34"/>
  <c r="K800" i="34"/>
  <c r="J800" i="34"/>
  <c r="P799" i="34"/>
  <c r="O799" i="34"/>
  <c r="N799" i="34"/>
  <c r="M799" i="34"/>
  <c r="L799" i="34"/>
  <c r="K799" i="34"/>
  <c r="J799" i="34"/>
  <c r="P798" i="34"/>
  <c r="O798" i="34"/>
  <c r="N798" i="34"/>
  <c r="M798" i="34"/>
  <c r="L798" i="34"/>
  <c r="K798" i="34"/>
  <c r="J798" i="34"/>
  <c r="P797" i="34"/>
  <c r="O797" i="34"/>
  <c r="N797" i="34"/>
  <c r="M797" i="34"/>
  <c r="L797" i="34"/>
  <c r="K797" i="34"/>
  <c r="J797" i="34"/>
  <c r="P796" i="34"/>
  <c r="O796" i="34"/>
  <c r="N796" i="34"/>
  <c r="M796" i="34"/>
  <c r="L796" i="34"/>
  <c r="K796" i="34"/>
  <c r="J796" i="34"/>
  <c r="P795" i="34"/>
  <c r="O795" i="34"/>
  <c r="N795" i="34"/>
  <c r="M795" i="34"/>
  <c r="L795" i="34"/>
  <c r="K795" i="34"/>
  <c r="J795" i="34"/>
  <c r="P794" i="34"/>
  <c r="O794" i="34"/>
  <c r="N794" i="34"/>
  <c r="M794" i="34"/>
  <c r="L794" i="34"/>
  <c r="K794" i="34"/>
  <c r="J794" i="34"/>
  <c r="P793" i="34"/>
  <c r="O793" i="34"/>
  <c r="N793" i="34"/>
  <c r="M793" i="34"/>
  <c r="L793" i="34"/>
  <c r="K793" i="34"/>
  <c r="J793" i="34"/>
  <c r="P792" i="34"/>
  <c r="O792" i="34"/>
  <c r="N792" i="34"/>
  <c r="M792" i="34"/>
  <c r="L792" i="34"/>
  <c r="K792" i="34"/>
  <c r="J792" i="34"/>
  <c r="P791" i="34"/>
  <c r="O791" i="34"/>
  <c r="N791" i="34"/>
  <c r="M791" i="34"/>
  <c r="L791" i="34"/>
  <c r="K791" i="34"/>
  <c r="J791" i="34"/>
  <c r="P790" i="34"/>
  <c r="O790" i="34"/>
  <c r="N790" i="34"/>
  <c r="M790" i="34"/>
  <c r="L790" i="34"/>
  <c r="K790" i="34"/>
  <c r="J790" i="34"/>
  <c r="P789" i="34"/>
  <c r="O789" i="34"/>
  <c r="N789" i="34"/>
  <c r="M789" i="34"/>
  <c r="L789" i="34"/>
  <c r="K789" i="34"/>
  <c r="J789" i="34"/>
  <c r="P788" i="34"/>
  <c r="O788" i="34"/>
  <c r="N788" i="34"/>
  <c r="M788" i="34"/>
  <c r="L788" i="34"/>
  <c r="K788" i="34"/>
  <c r="J788" i="34"/>
  <c r="P787" i="34"/>
  <c r="O787" i="34"/>
  <c r="N787" i="34"/>
  <c r="M787" i="34"/>
  <c r="L787" i="34"/>
  <c r="K787" i="34"/>
  <c r="J787" i="34"/>
  <c r="P786" i="34"/>
  <c r="O786" i="34"/>
  <c r="N786" i="34"/>
  <c r="M786" i="34"/>
  <c r="L786" i="34"/>
  <c r="K786" i="34"/>
  <c r="J786" i="34"/>
  <c r="P785" i="34"/>
  <c r="O785" i="34"/>
  <c r="N785" i="34"/>
  <c r="M785" i="34"/>
  <c r="L785" i="34"/>
  <c r="K785" i="34"/>
  <c r="J785" i="34"/>
  <c r="P784" i="34"/>
  <c r="O784" i="34"/>
  <c r="N784" i="34"/>
  <c r="M784" i="34"/>
  <c r="L784" i="34"/>
  <c r="K784" i="34"/>
  <c r="J784" i="34"/>
  <c r="P780" i="34"/>
  <c r="O780" i="34"/>
  <c r="N780" i="34"/>
  <c r="M780" i="34"/>
  <c r="L780" i="34"/>
  <c r="K780" i="34"/>
  <c r="J780" i="34"/>
  <c r="P776" i="34"/>
  <c r="O776" i="34"/>
  <c r="N776" i="34"/>
  <c r="M776" i="34"/>
  <c r="L776" i="34"/>
  <c r="K776" i="34"/>
  <c r="J776" i="34"/>
  <c r="P772" i="34"/>
  <c r="O772" i="34"/>
  <c r="N772" i="34"/>
  <c r="M772" i="34"/>
  <c r="L772" i="34"/>
  <c r="K772" i="34"/>
  <c r="J772" i="34"/>
  <c r="P768" i="34"/>
  <c r="O768" i="34"/>
  <c r="N768" i="34"/>
  <c r="M768" i="34"/>
  <c r="L768" i="34"/>
  <c r="K768" i="34"/>
  <c r="J768" i="34"/>
  <c r="I752" i="34"/>
  <c r="I756" i="34"/>
  <c r="I760" i="34"/>
  <c r="I764" i="34"/>
  <c r="P764" i="34"/>
  <c r="O764" i="34"/>
  <c r="N764" i="34"/>
  <c r="M764" i="34"/>
  <c r="L764" i="34"/>
  <c r="K764" i="34"/>
  <c r="J764" i="34"/>
  <c r="P760" i="34"/>
  <c r="O760" i="34"/>
  <c r="N760" i="34"/>
  <c r="M760" i="34"/>
  <c r="L760" i="34"/>
  <c r="K760" i="34"/>
  <c r="J760" i="34"/>
  <c r="P756" i="34"/>
  <c r="O756" i="34"/>
  <c r="N756" i="34"/>
  <c r="M756" i="34"/>
  <c r="L756" i="34"/>
  <c r="K756" i="34"/>
  <c r="J756" i="34"/>
  <c r="P752" i="34"/>
  <c r="O752" i="34"/>
  <c r="N752" i="34"/>
  <c r="M752" i="34"/>
  <c r="L752" i="34"/>
  <c r="K752" i="34"/>
  <c r="J752" i="34"/>
  <c r="P748" i="34"/>
  <c r="O748" i="34"/>
  <c r="N748" i="34"/>
  <c r="M748" i="34"/>
  <c r="L748" i="34"/>
  <c r="K748" i="34"/>
  <c r="J748" i="34"/>
  <c r="P744" i="34"/>
  <c r="O744" i="34"/>
  <c r="N744" i="34"/>
  <c r="M744" i="34"/>
  <c r="L744" i="34"/>
  <c r="K744" i="34"/>
  <c r="J744" i="34"/>
  <c r="P740" i="34"/>
  <c r="O740" i="34"/>
  <c r="N740" i="34"/>
  <c r="M740" i="34"/>
  <c r="L740" i="34"/>
  <c r="K740" i="34"/>
  <c r="J740" i="34"/>
  <c r="P736" i="34"/>
  <c r="O736" i="34"/>
  <c r="N736" i="34"/>
  <c r="M736" i="34"/>
  <c r="L736" i="34"/>
  <c r="K736" i="34"/>
  <c r="J736" i="34"/>
  <c r="P732" i="34"/>
  <c r="O732" i="34"/>
  <c r="N732" i="34"/>
  <c r="M732" i="34"/>
  <c r="L732" i="34"/>
  <c r="K732" i="34"/>
  <c r="J732" i="34"/>
  <c r="P728" i="34"/>
  <c r="O728" i="34"/>
  <c r="N728" i="34"/>
  <c r="M728" i="34"/>
  <c r="L728" i="34"/>
  <c r="K728" i="34"/>
  <c r="J728" i="34"/>
  <c r="I712" i="34"/>
  <c r="I716" i="34"/>
  <c r="I720" i="34"/>
  <c r="I724" i="34"/>
  <c r="P724" i="34"/>
  <c r="O724" i="34"/>
  <c r="N724" i="34"/>
  <c r="M724" i="34"/>
  <c r="L724" i="34"/>
  <c r="K724" i="34"/>
  <c r="J724" i="34"/>
  <c r="I711" i="34"/>
  <c r="I715" i="34"/>
  <c r="I719" i="34"/>
  <c r="I723" i="34"/>
  <c r="P723" i="34"/>
  <c r="O723" i="34"/>
  <c r="N723" i="34"/>
  <c r="M723" i="34"/>
  <c r="L723" i="34"/>
  <c r="K723" i="34"/>
  <c r="J723" i="34"/>
  <c r="I710" i="34"/>
  <c r="I714" i="34"/>
  <c r="I718" i="34"/>
  <c r="I722" i="34"/>
  <c r="P722" i="34"/>
  <c r="O722" i="34"/>
  <c r="N722" i="34"/>
  <c r="M722" i="34"/>
  <c r="L722" i="34"/>
  <c r="K722" i="34"/>
  <c r="J722" i="34"/>
  <c r="I709" i="34"/>
  <c r="I713" i="34"/>
  <c r="I717" i="34"/>
  <c r="I721" i="34"/>
  <c r="P721" i="34"/>
  <c r="O721" i="34"/>
  <c r="N721" i="34"/>
  <c r="M721" i="34"/>
  <c r="L721" i="34"/>
  <c r="K721" i="34"/>
  <c r="J721" i="34"/>
  <c r="P720" i="34"/>
  <c r="O720" i="34"/>
  <c r="N720" i="34"/>
  <c r="M720" i="34"/>
  <c r="L720" i="34"/>
  <c r="K720" i="34"/>
  <c r="J720" i="34"/>
  <c r="P719" i="34"/>
  <c r="O719" i="34"/>
  <c r="N719" i="34"/>
  <c r="M719" i="34"/>
  <c r="L719" i="34"/>
  <c r="K719" i="34"/>
  <c r="J719" i="34"/>
  <c r="P718" i="34"/>
  <c r="O718" i="34"/>
  <c r="N718" i="34"/>
  <c r="M718" i="34"/>
  <c r="L718" i="34"/>
  <c r="K718" i="34"/>
  <c r="J718" i="34"/>
  <c r="P717" i="34"/>
  <c r="O717" i="34"/>
  <c r="N717" i="34"/>
  <c r="M717" i="34"/>
  <c r="L717" i="34"/>
  <c r="K717" i="34"/>
  <c r="J717" i="34"/>
  <c r="P716" i="34"/>
  <c r="O716" i="34"/>
  <c r="N716" i="34"/>
  <c r="M716" i="34"/>
  <c r="L716" i="34"/>
  <c r="K716" i="34"/>
  <c r="J716" i="34"/>
  <c r="P715" i="34"/>
  <c r="O715" i="34"/>
  <c r="N715" i="34"/>
  <c r="M715" i="34"/>
  <c r="L715" i="34"/>
  <c r="K715" i="34"/>
  <c r="J715" i="34"/>
  <c r="P714" i="34"/>
  <c r="O714" i="34"/>
  <c r="N714" i="34"/>
  <c r="M714" i="34"/>
  <c r="L714" i="34"/>
  <c r="K714" i="34"/>
  <c r="J714" i="34"/>
  <c r="P713" i="34"/>
  <c r="O713" i="34"/>
  <c r="N713" i="34"/>
  <c r="M713" i="34"/>
  <c r="L713" i="34"/>
  <c r="K713" i="34"/>
  <c r="J713" i="34"/>
  <c r="P712" i="34"/>
  <c r="O712" i="34"/>
  <c r="N712" i="34"/>
  <c r="M712" i="34"/>
  <c r="L712" i="34"/>
  <c r="K712" i="34"/>
  <c r="J712" i="34"/>
  <c r="P711" i="34"/>
  <c r="O711" i="34"/>
  <c r="N711" i="34"/>
  <c r="M711" i="34"/>
  <c r="L711" i="34"/>
  <c r="K711" i="34"/>
  <c r="J711" i="34"/>
  <c r="P710" i="34"/>
  <c r="O710" i="34"/>
  <c r="N710" i="34"/>
  <c r="M710" i="34"/>
  <c r="L710" i="34"/>
  <c r="K710" i="34"/>
  <c r="J710" i="34"/>
  <c r="P709" i="34"/>
  <c r="O709" i="34"/>
  <c r="N709" i="34"/>
  <c r="M709" i="34"/>
  <c r="L709" i="34"/>
  <c r="K709" i="34"/>
  <c r="J709" i="34"/>
  <c r="P708" i="34"/>
  <c r="O708" i="34"/>
  <c r="N708" i="34"/>
  <c r="M708" i="34"/>
  <c r="L708" i="34"/>
  <c r="K708" i="34"/>
  <c r="J708" i="34"/>
  <c r="P707" i="34"/>
  <c r="O707" i="34"/>
  <c r="N707" i="34"/>
  <c r="M707" i="34"/>
  <c r="L707" i="34"/>
  <c r="K707" i="34"/>
  <c r="J707" i="34"/>
  <c r="P706" i="34"/>
  <c r="O706" i="34"/>
  <c r="N706" i="34"/>
  <c r="M706" i="34"/>
  <c r="L706" i="34"/>
  <c r="K706" i="34"/>
  <c r="J706" i="34"/>
  <c r="P705" i="34"/>
  <c r="O705" i="34"/>
  <c r="N705" i="34"/>
  <c r="M705" i="34"/>
  <c r="L705" i="34"/>
  <c r="K705" i="34"/>
  <c r="J705" i="34"/>
  <c r="I692" i="34"/>
  <c r="I696" i="34"/>
  <c r="I700" i="34"/>
  <c r="I704" i="34"/>
  <c r="P704" i="34"/>
  <c r="O704" i="34"/>
  <c r="N704" i="34"/>
  <c r="M704" i="34"/>
  <c r="L704" i="34"/>
  <c r="K704" i="34"/>
  <c r="J704" i="34"/>
  <c r="P700" i="34"/>
  <c r="O700" i="34"/>
  <c r="N700" i="34"/>
  <c r="M700" i="34"/>
  <c r="L700" i="34"/>
  <c r="K700" i="34"/>
  <c r="J700" i="34"/>
  <c r="P696" i="34"/>
  <c r="O696" i="34"/>
  <c r="N696" i="34"/>
  <c r="M696" i="34"/>
  <c r="L696" i="34"/>
  <c r="K696" i="34"/>
  <c r="J696" i="34"/>
  <c r="P692" i="34"/>
  <c r="O692" i="34"/>
  <c r="N692" i="34"/>
  <c r="M692" i="34"/>
  <c r="L692" i="34"/>
  <c r="K692" i="34"/>
  <c r="J692" i="34"/>
  <c r="P688" i="34"/>
  <c r="O688" i="34"/>
  <c r="N688" i="34"/>
  <c r="M688" i="34"/>
  <c r="L688" i="34"/>
  <c r="K688" i="34"/>
  <c r="J688" i="34"/>
  <c r="X684" i="34"/>
  <c r="V684" i="34"/>
  <c r="U684" i="34"/>
  <c r="T684" i="34"/>
  <c r="P680" i="34"/>
  <c r="O680" i="34"/>
  <c r="N680" i="34"/>
  <c r="M680" i="34"/>
  <c r="L680" i="34"/>
  <c r="K680" i="34"/>
  <c r="J680" i="34"/>
  <c r="P676" i="34"/>
  <c r="O676" i="34"/>
  <c r="N676" i="34"/>
  <c r="M676" i="34"/>
  <c r="L676" i="34"/>
  <c r="K676" i="34"/>
  <c r="J676" i="34"/>
  <c r="P672" i="34"/>
  <c r="O672" i="34"/>
  <c r="N672" i="34"/>
  <c r="M672" i="34"/>
  <c r="L672" i="34"/>
  <c r="K672" i="34"/>
  <c r="J672" i="34"/>
  <c r="P671" i="34"/>
  <c r="O671" i="34"/>
  <c r="N671" i="34"/>
  <c r="M671" i="34"/>
  <c r="L671" i="34"/>
  <c r="K671" i="34"/>
  <c r="J671" i="34"/>
  <c r="P670" i="34"/>
  <c r="O670" i="34"/>
  <c r="N670" i="34"/>
  <c r="M670" i="34"/>
  <c r="L670" i="34"/>
  <c r="K670" i="34"/>
  <c r="J670" i="34"/>
  <c r="P669" i="34"/>
  <c r="O669" i="34"/>
  <c r="N669" i="34"/>
  <c r="M669" i="34"/>
  <c r="L669" i="34"/>
  <c r="K669" i="34"/>
  <c r="J669" i="34"/>
  <c r="P668" i="34"/>
  <c r="O668" i="34"/>
  <c r="N668" i="34"/>
  <c r="M668" i="34"/>
  <c r="L668" i="34"/>
  <c r="K668" i="34"/>
  <c r="J668" i="34"/>
  <c r="P664" i="34"/>
  <c r="O664" i="34"/>
  <c r="N664" i="34"/>
  <c r="M664" i="34"/>
  <c r="L664" i="34"/>
  <c r="K664" i="34"/>
  <c r="J664" i="34"/>
  <c r="P660" i="34"/>
  <c r="O660" i="34"/>
  <c r="N660" i="34"/>
  <c r="M660" i="34"/>
  <c r="L660" i="34"/>
  <c r="K660" i="34"/>
  <c r="J660" i="34"/>
  <c r="P656" i="34"/>
  <c r="O656" i="34"/>
  <c r="N656" i="34"/>
  <c r="M656" i="34"/>
  <c r="L656" i="34"/>
  <c r="K656" i="34"/>
  <c r="J656" i="34"/>
  <c r="P652" i="34"/>
  <c r="O652" i="34"/>
  <c r="N652" i="34"/>
  <c r="M652" i="34"/>
  <c r="L652" i="34"/>
  <c r="K652" i="34"/>
  <c r="J652" i="34"/>
  <c r="P648" i="34"/>
  <c r="O648" i="34"/>
  <c r="N648" i="34"/>
  <c r="M648" i="34"/>
  <c r="L648" i="34"/>
  <c r="K648" i="34"/>
  <c r="J648" i="34"/>
  <c r="P647" i="34"/>
  <c r="O647" i="34"/>
  <c r="N647" i="34"/>
  <c r="M647" i="34"/>
  <c r="L647" i="34"/>
  <c r="K647" i="34"/>
  <c r="J647" i="34"/>
  <c r="P646" i="34"/>
  <c r="O646" i="34"/>
  <c r="N646" i="34"/>
  <c r="M646" i="34"/>
  <c r="L646" i="34"/>
  <c r="K646" i="34"/>
  <c r="J646" i="34"/>
  <c r="P645" i="34"/>
  <c r="O645" i="34"/>
  <c r="N645" i="34"/>
  <c r="M645" i="34"/>
  <c r="L645" i="34"/>
  <c r="K645" i="34"/>
  <c r="J645" i="34"/>
  <c r="P644" i="34"/>
  <c r="O644" i="34"/>
  <c r="N644" i="34"/>
  <c r="M644" i="34"/>
  <c r="L644" i="34"/>
  <c r="K644" i="34"/>
  <c r="J644" i="34"/>
  <c r="P640" i="34"/>
  <c r="O640" i="34"/>
  <c r="N640" i="34"/>
  <c r="M640" i="34"/>
  <c r="L640" i="34"/>
  <c r="K640" i="34"/>
  <c r="J640" i="34"/>
  <c r="P639" i="34"/>
  <c r="O639" i="34"/>
  <c r="N639" i="34"/>
  <c r="M639" i="34"/>
  <c r="L639" i="34"/>
  <c r="K639" i="34"/>
  <c r="J639" i="34"/>
  <c r="P638" i="34"/>
  <c r="O638" i="34"/>
  <c r="N638" i="34"/>
  <c r="M638" i="34"/>
  <c r="L638" i="34"/>
  <c r="K638" i="34"/>
  <c r="J638" i="34"/>
  <c r="P637" i="34"/>
  <c r="O637" i="34"/>
  <c r="N637" i="34"/>
  <c r="M637" i="34"/>
  <c r="L637" i="34"/>
  <c r="K637" i="34"/>
  <c r="J637" i="34"/>
  <c r="P636" i="34"/>
  <c r="O636" i="34"/>
  <c r="N636" i="34"/>
  <c r="M636" i="34"/>
  <c r="L636" i="34"/>
  <c r="K636" i="34"/>
  <c r="J636" i="34"/>
  <c r="P632" i="34"/>
  <c r="O632" i="34"/>
  <c r="N632" i="34"/>
  <c r="M632" i="34"/>
  <c r="L632" i="34"/>
  <c r="K632" i="34"/>
  <c r="J632" i="34"/>
  <c r="P620" i="34"/>
  <c r="O620" i="34"/>
  <c r="N620" i="34"/>
  <c r="M620" i="34"/>
  <c r="L620" i="34"/>
  <c r="K620" i="34"/>
  <c r="J620" i="34"/>
  <c r="P612" i="34"/>
  <c r="O612" i="34"/>
  <c r="N612" i="34"/>
  <c r="M612" i="34"/>
  <c r="L612" i="34"/>
  <c r="K612" i="34"/>
  <c r="J612" i="34"/>
  <c r="P604" i="34"/>
  <c r="O604" i="34"/>
  <c r="N604" i="34"/>
  <c r="M604" i="34"/>
  <c r="L604" i="34"/>
  <c r="K604" i="34"/>
  <c r="J604" i="34"/>
  <c r="P596" i="34"/>
  <c r="O596" i="34"/>
  <c r="N596" i="34"/>
  <c r="M596" i="34"/>
  <c r="L596" i="34"/>
  <c r="K596" i="34"/>
  <c r="J596" i="34"/>
  <c r="P588" i="34"/>
  <c r="O588" i="34"/>
  <c r="N588" i="34"/>
  <c r="M588" i="34"/>
  <c r="L588" i="34"/>
  <c r="K588" i="34"/>
  <c r="J588" i="34"/>
  <c r="P580" i="34"/>
  <c r="O580" i="34"/>
  <c r="N580" i="34"/>
  <c r="M580" i="34"/>
  <c r="L580" i="34"/>
  <c r="K580" i="34"/>
  <c r="J580" i="34"/>
  <c r="P572" i="34"/>
  <c r="O572" i="34"/>
  <c r="N572" i="34"/>
  <c r="M572" i="34"/>
  <c r="L572" i="34"/>
  <c r="K572" i="34"/>
  <c r="J572" i="34"/>
  <c r="P564" i="34"/>
  <c r="O564" i="34"/>
  <c r="N564" i="34"/>
  <c r="M564" i="34"/>
  <c r="L564" i="34"/>
  <c r="K564" i="34"/>
  <c r="J564" i="34"/>
  <c r="P556" i="34"/>
  <c r="O556" i="34"/>
  <c r="N556" i="34"/>
  <c r="M556" i="34"/>
  <c r="L556" i="34"/>
  <c r="K556" i="34"/>
  <c r="J556" i="34"/>
  <c r="P548" i="34"/>
  <c r="O548" i="34"/>
  <c r="N548" i="34"/>
  <c r="M548" i="34"/>
  <c r="L548" i="34"/>
  <c r="K548" i="34"/>
  <c r="J548" i="34"/>
  <c r="P544" i="34"/>
  <c r="O544" i="34"/>
  <c r="N544" i="34"/>
  <c r="M544" i="34"/>
  <c r="L544" i="34"/>
  <c r="K544" i="34"/>
  <c r="J544" i="34"/>
  <c r="P536" i="34"/>
  <c r="O536" i="34"/>
  <c r="N536" i="34"/>
  <c r="M536" i="34"/>
  <c r="L536" i="34"/>
  <c r="K536" i="34"/>
  <c r="J536" i="34"/>
  <c r="P532" i="34"/>
  <c r="O532" i="34"/>
  <c r="N532" i="34"/>
  <c r="M532" i="34"/>
  <c r="L532" i="34"/>
  <c r="K532" i="34"/>
  <c r="J532" i="34"/>
  <c r="X528" i="34"/>
  <c r="V528" i="34"/>
  <c r="U528" i="34"/>
  <c r="T528" i="34"/>
  <c r="P523" i="34"/>
  <c r="O523" i="34"/>
  <c r="N523" i="34"/>
  <c r="M523" i="34"/>
  <c r="L523" i="34"/>
  <c r="K523" i="34"/>
  <c r="J523" i="34"/>
  <c r="P522" i="34"/>
  <c r="O522" i="34"/>
  <c r="N522" i="34"/>
  <c r="M522" i="34"/>
  <c r="L522" i="34"/>
  <c r="K522" i="34"/>
  <c r="J522" i="34"/>
  <c r="P521" i="34"/>
  <c r="O521" i="34"/>
  <c r="N521" i="34"/>
  <c r="M521" i="34"/>
  <c r="L521" i="34"/>
  <c r="K521" i="34"/>
  <c r="J521" i="34"/>
  <c r="P520" i="34"/>
  <c r="O520" i="34"/>
  <c r="N520" i="34"/>
  <c r="M520" i="34"/>
  <c r="L520" i="34"/>
  <c r="K520" i="34"/>
  <c r="J520" i="34"/>
  <c r="P519" i="34"/>
  <c r="O519" i="34"/>
  <c r="N519" i="34"/>
  <c r="M519" i="34"/>
  <c r="L519" i="34"/>
  <c r="K519" i="34"/>
  <c r="J519" i="34"/>
  <c r="P518" i="34"/>
  <c r="O518" i="34"/>
  <c r="N518" i="34"/>
  <c r="M518" i="34"/>
  <c r="L518" i="34"/>
  <c r="K518" i="34"/>
  <c r="J518" i="34"/>
  <c r="P517" i="34"/>
  <c r="O517" i="34"/>
  <c r="N517" i="34"/>
  <c r="M517" i="34"/>
  <c r="L517" i="34"/>
  <c r="K517" i="34"/>
  <c r="J517" i="34"/>
  <c r="P516" i="34"/>
  <c r="O516" i="34"/>
  <c r="N516" i="34"/>
  <c r="M516" i="34"/>
  <c r="L516" i="34"/>
  <c r="K516" i="34"/>
  <c r="J516" i="34"/>
  <c r="P515" i="34"/>
  <c r="O515" i="34"/>
  <c r="N515" i="34"/>
  <c r="M515" i="34"/>
  <c r="L515" i="34"/>
  <c r="K515" i="34"/>
  <c r="J515" i="34"/>
  <c r="P514" i="34"/>
  <c r="O514" i="34"/>
  <c r="N514" i="34"/>
  <c r="M514" i="34"/>
  <c r="L514" i="34"/>
  <c r="K514" i="34"/>
  <c r="J514" i="34"/>
  <c r="P513" i="34"/>
  <c r="O513" i="34"/>
  <c r="N513" i="34"/>
  <c r="M513" i="34"/>
  <c r="L513" i="34"/>
  <c r="K513" i="34"/>
  <c r="J513" i="34"/>
  <c r="P512" i="34"/>
  <c r="O512" i="34"/>
  <c r="N512" i="34"/>
  <c r="M512" i="34"/>
  <c r="L512" i="34"/>
  <c r="K512" i="34"/>
  <c r="J512" i="34"/>
  <c r="P511" i="34"/>
  <c r="O511" i="34"/>
  <c r="N511" i="34"/>
  <c r="M511" i="34"/>
  <c r="L511" i="34"/>
  <c r="K511" i="34"/>
  <c r="J511" i="34"/>
  <c r="P510" i="34"/>
  <c r="O510" i="34"/>
  <c r="N510" i="34"/>
  <c r="M510" i="34"/>
  <c r="L510" i="34"/>
  <c r="K510" i="34"/>
  <c r="J510" i="34"/>
  <c r="P509" i="34"/>
  <c r="O509" i="34"/>
  <c r="N509" i="34"/>
  <c r="M509" i="34"/>
  <c r="L509" i="34"/>
  <c r="K509" i="34"/>
  <c r="J509" i="34"/>
  <c r="P508" i="34"/>
  <c r="O508" i="34"/>
  <c r="N508" i="34"/>
  <c r="M508" i="34"/>
  <c r="L508" i="34"/>
  <c r="K508" i="34"/>
  <c r="J508" i="34"/>
  <c r="P507" i="34"/>
  <c r="O507" i="34"/>
  <c r="N507" i="34"/>
  <c r="M507" i="34"/>
  <c r="L507" i="34"/>
  <c r="K507" i="34"/>
  <c r="J507" i="34"/>
  <c r="P506" i="34"/>
  <c r="O506" i="34"/>
  <c r="N506" i="34"/>
  <c r="M506" i="34"/>
  <c r="L506" i="34"/>
  <c r="K506" i="34"/>
  <c r="J506" i="34"/>
  <c r="P505" i="34"/>
  <c r="O505" i="34"/>
  <c r="N505" i="34"/>
  <c r="M505" i="34"/>
  <c r="L505" i="34"/>
  <c r="K505" i="34"/>
  <c r="J505" i="34"/>
  <c r="P504" i="34"/>
  <c r="O504" i="34"/>
  <c r="N504" i="34"/>
  <c r="M504" i="34"/>
  <c r="L504" i="34"/>
  <c r="K504" i="34"/>
  <c r="J504" i="34"/>
  <c r="P503" i="34"/>
  <c r="O503" i="34"/>
  <c r="N503" i="34"/>
  <c r="M503" i="34"/>
  <c r="L503" i="34"/>
  <c r="K503" i="34"/>
  <c r="J503" i="34"/>
  <c r="P502" i="34"/>
  <c r="O502" i="34"/>
  <c r="N502" i="34"/>
  <c r="M502" i="34"/>
  <c r="L502" i="34"/>
  <c r="K502" i="34"/>
  <c r="J502" i="34"/>
  <c r="P501" i="34"/>
  <c r="O501" i="34"/>
  <c r="N501" i="34"/>
  <c r="M501" i="34"/>
  <c r="L501" i="34"/>
  <c r="K501" i="34"/>
  <c r="J501" i="34"/>
  <c r="P500" i="34"/>
  <c r="O500" i="34"/>
  <c r="N500" i="34"/>
  <c r="M500" i="34"/>
  <c r="L500" i="34"/>
  <c r="K500" i="34"/>
  <c r="J500" i="34"/>
  <c r="P499" i="34"/>
  <c r="O499" i="34"/>
  <c r="N499" i="34"/>
  <c r="M499" i="34"/>
  <c r="L499" i="34"/>
  <c r="K499" i="34"/>
  <c r="J499" i="34"/>
  <c r="P498" i="34"/>
  <c r="O498" i="34"/>
  <c r="N498" i="34"/>
  <c r="M498" i="34"/>
  <c r="L498" i="34"/>
  <c r="K498" i="34"/>
  <c r="J498" i="34"/>
  <c r="P497" i="34"/>
  <c r="O497" i="34"/>
  <c r="N497" i="34"/>
  <c r="M497" i="34"/>
  <c r="L497" i="34"/>
  <c r="K497" i="34"/>
  <c r="J497" i="34"/>
  <c r="P496" i="34"/>
  <c r="O496" i="34"/>
  <c r="N496" i="34"/>
  <c r="M496" i="34"/>
  <c r="L496" i="34"/>
  <c r="K496" i="34"/>
  <c r="J496" i="34"/>
  <c r="P495" i="34"/>
  <c r="O495" i="34"/>
  <c r="N495" i="34"/>
  <c r="M495" i="34"/>
  <c r="L495" i="34"/>
  <c r="K495" i="34"/>
  <c r="J495" i="34"/>
  <c r="P494" i="34"/>
  <c r="O494" i="34"/>
  <c r="N494" i="34"/>
  <c r="M494" i="34"/>
  <c r="L494" i="34"/>
  <c r="K494" i="34"/>
  <c r="J494" i="34"/>
  <c r="P493" i="34"/>
  <c r="O493" i="34"/>
  <c r="N493" i="34"/>
  <c r="M493" i="34"/>
  <c r="L493" i="34"/>
  <c r="K493" i="34"/>
  <c r="J493" i="34"/>
  <c r="P492" i="34"/>
  <c r="O492" i="34"/>
  <c r="N492" i="34"/>
  <c r="M492" i="34"/>
  <c r="L492" i="34"/>
  <c r="K492" i="34"/>
  <c r="J492" i="34"/>
  <c r="P491" i="34"/>
  <c r="O491" i="34"/>
  <c r="N491" i="34"/>
  <c r="M491" i="34"/>
  <c r="L491" i="34"/>
  <c r="K491" i="34"/>
  <c r="J491" i="34"/>
  <c r="P490" i="34"/>
  <c r="O490" i="34"/>
  <c r="N490" i="34"/>
  <c r="M490" i="34"/>
  <c r="L490" i="34"/>
  <c r="K490" i="34"/>
  <c r="J490" i="34"/>
  <c r="P489" i="34"/>
  <c r="O489" i="34"/>
  <c r="N489" i="34"/>
  <c r="M489" i="34"/>
  <c r="L489" i="34"/>
  <c r="K489" i="34"/>
  <c r="J489" i="34"/>
  <c r="P488" i="34"/>
  <c r="O488" i="34"/>
  <c r="N488" i="34"/>
  <c r="M488" i="34"/>
  <c r="L488" i="34"/>
  <c r="K488" i="34"/>
  <c r="J488" i="34"/>
  <c r="P487" i="34"/>
  <c r="O487" i="34"/>
  <c r="N487" i="34"/>
  <c r="M487" i="34"/>
  <c r="L487" i="34"/>
  <c r="K487" i="34"/>
  <c r="J487" i="34"/>
  <c r="P486" i="34"/>
  <c r="O486" i="34"/>
  <c r="N486" i="34"/>
  <c r="M486" i="34"/>
  <c r="L486" i="34"/>
  <c r="K486" i="34"/>
  <c r="J486" i="34"/>
  <c r="P485" i="34"/>
  <c r="O485" i="34"/>
  <c r="N485" i="34"/>
  <c r="M485" i="34"/>
  <c r="L485" i="34"/>
  <c r="K485" i="34"/>
  <c r="J485" i="34"/>
  <c r="P484" i="34"/>
  <c r="O484" i="34"/>
  <c r="N484" i="34"/>
  <c r="M484" i="34"/>
  <c r="L484" i="34"/>
  <c r="K484" i="34"/>
  <c r="J484" i="34"/>
  <c r="P483" i="34"/>
  <c r="O483" i="34"/>
  <c r="N483" i="34"/>
  <c r="M483" i="34"/>
  <c r="L483" i="34"/>
  <c r="K483" i="34"/>
  <c r="J483" i="34"/>
  <c r="P482" i="34"/>
  <c r="O482" i="34"/>
  <c r="N482" i="34"/>
  <c r="M482" i="34"/>
  <c r="L482" i="34"/>
  <c r="K482" i="34"/>
  <c r="J482" i="34"/>
  <c r="P481" i="34"/>
  <c r="O481" i="34"/>
  <c r="N481" i="34"/>
  <c r="M481" i="34"/>
  <c r="L481" i="34"/>
  <c r="K481" i="34"/>
  <c r="J481" i="34"/>
  <c r="P480" i="34"/>
  <c r="O480" i="34"/>
  <c r="N480" i="34"/>
  <c r="M480" i="34"/>
  <c r="L480" i="34"/>
  <c r="K480" i="34"/>
  <c r="J480" i="34"/>
  <c r="P479" i="34"/>
  <c r="O479" i="34"/>
  <c r="N479" i="34"/>
  <c r="M479" i="34"/>
  <c r="L479" i="34"/>
  <c r="K479" i="34"/>
  <c r="J479" i="34"/>
  <c r="P478" i="34"/>
  <c r="O478" i="34"/>
  <c r="N478" i="34"/>
  <c r="M478" i="34"/>
  <c r="L478" i="34"/>
  <c r="K478" i="34"/>
  <c r="J478" i="34"/>
  <c r="P477" i="34"/>
  <c r="O477" i="34"/>
  <c r="N477" i="34"/>
  <c r="M477" i="34"/>
  <c r="L477" i="34"/>
  <c r="K477" i="34"/>
  <c r="J477" i="34"/>
  <c r="P476" i="34"/>
  <c r="O476" i="34"/>
  <c r="N476" i="34"/>
  <c r="M476" i="34"/>
  <c r="L476" i="34"/>
  <c r="K476" i="34"/>
  <c r="J476" i="34"/>
  <c r="P475" i="34"/>
  <c r="O475" i="34"/>
  <c r="N475" i="34"/>
  <c r="M475" i="34"/>
  <c r="L475" i="34"/>
  <c r="K475" i="34"/>
  <c r="J475" i="34"/>
  <c r="P474" i="34"/>
  <c r="O474" i="34"/>
  <c r="N474" i="34"/>
  <c r="M474" i="34"/>
  <c r="L474" i="34"/>
  <c r="K474" i="34"/>
  <c r="J474" i="34"/>
  <c r="P473" i="34"/>
  <c r="O473" i="34"/>
  <c r="N473" i="34"/>
  <c r="M473" i="34"/>
  <c r="L473" i="34"/>
  <c r="K473" i="34"/>
  <c r="J473" i="34"/>
  <c r="P472" i="34"/>
  <c r="O472" i="34"/>
  <c r="N472" i="34"/>
  <c r="M472" i="34"/>
  <c r="L472" i="34"/>
  <c r="K472" i="34"/>
  <c r="J472" i="34"/>
  <c r="P471" i="34"/>
  <c r="O471" i="34"/>
  <c r="N471" i="34"/>
  <c r="M471" i="34"/>
  <c r="L471" i="34"/>
  <c r="K471" i="34"/>
  <c r="J471" i="34"/>
  <c r="P470" i="34"/>
  <c r="O470" i="34"/>
  <c r="N470" i="34"/>
  <c r="M470" i="34"/>
  <c r="L470" i="34"/>
  <c r="K470" i="34"/>
  <c r="J470" i="34"/>
  <c r="P469" i="34"/>
  <c r="O469" i="34"/>
  <c r="N469" i="34"/>
  <c r="M469" i="34"/>
  <c r="L469" i="34"/>
  <c r="K469" i="34"/>
  <c r="J469" i="34"/>
  <c r="P468" i="34"/>
  <c r="O468" i="34"/>
  <c r="N468" i="34"/>
  <c r="M468" i="34"/>
  <c r="L468" i="34"/>
  <c r="K468" i="34"/>
  <c r="J468" i="34"/>
  <c r="P467" i="34"/>
  <c r="O467" i="34"/>
  <c r="N467" i="34"/>
  <c r="M467" i="34"/>
  <c r="L467" i="34"/>
  <c r="K467" i="34"/>
  <c r="J467" i="34"/>
  <c r="P466" i="34"/>
  <c r="O466" i="34"/>
  <c r="N466" i="34"/>
  <c r="M466" i="34"/>
  <c r="L466" i="34"/>
  <c r="K466" i="34"/>
  <c r="J466" i="34"/>
  <c r="P465" i="34"/>
  <c r="O465" i="34"/>
  <c r="N465" i="34"/>
  <c r="M465" i="34"/>
  <c r="L465" i="34"/>
  <c r="K465" i="34"/>
  <c r="J465" i="34"/>
  <c r="P464" i="34"/>
  <c r="O464" i="34"/>
  <c r="N464" i="34"/>
  <c r="M464" i="34"/>
  <c r="L464" i="34"/>
  <c r="K464" i="34"/>
  <c r="J464" i="34"/>
  <c r="P463" i="34"/>
  <c r="O463" i="34"/>
  <c r="N463" i="34"/>
  <c r="M463" i="34"/>
  <c r="L463" i="34"/>
  <c r="K463" i="34"/>
  <c r="J463" i="34"/>
  <c r="P462" i="34"/>
  <c r="O462" i="34"/>
  <c r="N462" i="34"/>
  <c r="M462" i="34"/>
  <c r="L462" i="34"/>
  <c r="K462" i="34"/>
  <c r="J462" i="34"/>
  <c r="P461" i="34"/>
  <c r="O461" i="34"/>
  <c r="N461" i="34"/>
  <c r="M461" i="34"/>
  <c r="L461" i="34"/>
  <c r="K461" i="34"/>
  <c r="J461" i="34"/>
  <c r="P460" i="34"/>
  <c r="O460" i="34"/>
  <c r="N460" i="34"/>
  <c r="M460" i="34"/>
  <c r="L460" i="34"/>
  <c r="K460" i="34"/>
  <c r="J460" i="34"/>
  <c r="P459" i="34"/>
  <c r="O459" i="34"/>
  <c r="N459" i="34"/>
  <c r="M459" i="34"/>
  <c r="L459" i="34"/>
  <c r="K459" i="34"/>
  <c r="J459" i="34"/>
  <c r="P458" i="34"/>
  <c r="O458" i="34"/>
  <c r="N458" i="34"/>
  <c r="M458" i="34"/>
  <c r="L458" i="34"/>
  <c r="K458" i="34"/>
  <c r="J458" i="34"/>
  <c r="P457" i="34"/>
  <c r="O457" i="34"/>
  <c r="N457" i="34"/>
  <c r="M457" i="34"/>
  <c r="L457" i="34"/>
  <c r="K457" i="34"/>
  <c r="J457" i="34"/>
  <c r="P456" i="34"/>
  <c r="O456" i="34"/>
  <c r="N456" i="34"/>
  <c r="M456" i="34"/>
  <c r="L456" i="34"/>
  <c r="K456" i="34"/>
  <c r="J456" i="34"/>
  <c r="P455" i="34"/>
  <c r="O455" i="34"/>
  <c r="N455" i="34"/>
  <c r="M455" i="34"/>
  <c r="L455" i="34"/>
  <c r="K455" i="34"/>
  <c r="J455" i="34"/>
  <c r="P454" i="34"/>
  <c r="O454" i="34"/>
  <c r="N454" i="34"/>
  <c r="M454" i="34"/>
  <c r="L454" i="34"/>
  <c r="K454" i="34"/>
  <c r="J454" i="34"/>
  <c r="P453" i="34"/>
  <c r="O453" i="34"/>
  <c r="N453" i="34"/>
  <c r="M453" i="34"/>
  <c r="L453" i="34"/>
  <c r="K453" i="34"/>
  <c r="J453" i="34"/>
  <c r="P452" i="34"/>
  <c r="O452" i="34"/>
  <c r="N452" i="34"/>
  <c r="M452" i="34"/>
  <c r="L452" i="34"/>
  <c r="K452" i="34"/>
  <c r="J452" i="34"/>
  <c r="P451" i="34"/>
  <c r="O451" i="34"/>
  <c r="N451" i="34"/>
  <c r="M451" i="34"/>
  <c r="L451" i="34"/>
  <c r="K451" i="34"/>
  <c r="J451" i="34"/>
  <c r="P450" i="34"/>
  <c r="O450" i="34"/>
  <c r="N450" i="34"/>
  <c r="M450" i="34"/>
  <c r="L450" i="34"/>
  <c r="K450" i="34"/>
  <c r="J450" i="34"/>
  <c r="P449" i="34"/>
  <c r="O449" i="34"/>
  <c r="N449" i="34"/>
  <c r="M449" i="34"/>
  <c r="L449" i="34"/>
  <c r="K449" i="34"/>
  <c r="J449" i="34"/>
  <c r="P448" i="34"/>
  <c r="O448" i="34"/>
  <c r="N448" i="34"/>
  <c r="M448" i="34"/>
  <c r="L448" i="34"/>
  <c r="K448" i="34"/>
  <c r="J448" i="34"/>
  <c r="P447" i="34"/>
  <c r="O447" i="34"/>
  <c r="N447" i="34"/>
  <c r="M447" i="34"/>
  <c r="L447" i="34"/>
  <c r="K447" i="34"/>
  <c r="J447" i="34"/>
  <c r="P446" i="34"/>
  <c r="O446" i="34"/>
  <c r="N446" i="34"/>
  <c r="M446" i="34"/>
  <c r="L446" i="34"/>
  <c r="K446" i="34"/>
  <c r="J446" i="34"/>
  <c r="P445" i="34"/>
  <c r="O445" i="34"/>
  <c r="N445" i="34"/>
  <c r="M445" i="34"/>
  <c r="L445" i="34"/>
  <c r="K445" i="34"/>
  <c r="J445" i="34"/>
  <c r="P444" i="34"/>
  <c r="O444" i="34"/>
  <c r="N444" i="34"/>
  <c r="M444" i="34"/>
  <c r="L444" i="34"/>
  <c r="K444" i="34"/>
  <c r="J444" i="34"/>
  <c r="P443" i="34"/>
  <c r="O443" i="34"/>
  <c r="N443" i="34"/>
  <c r="M443" i="34"/>
  <c r="L443" i="34"/>
  <c r="K443" i="34"/>
  <c r="J443" i="34"/>
  <c r="P442" i="34"/>
  <c r="O442" i="34"/>
  <c r="N442" i="34"/>
  <c r="M442" i="34"/>
  <c r="L442" i="34"/>
  <c r="K442" i="34"/>
  <c r="J442" i="34"/>
  <c r="P441" i="34"/>
  <c r="O441" i="34"/>
  <c r="N441" i="34"/>
  <c r="M441" i="34"/>
  <c r="L441" i="34"/>
  <c r="K441" i="34"/>
  <c r="J441" i="34"/>
  <c r="P440" i="34"/>
  <c r="O440" i="34"/>
  <c r="N440" i="34"/>
  <c r="M440" i="34"/>
  <c r="L440" i="34"/>
  <c r="K440" i="34"/>
  <c r="J440" i="34"/>
  <c r="P439" i="34"/>
  <c r="O439" i="34"/>
  <c r="N439" i="34"/>
  <c r="M439" i="34"/>
  <c r="L439" i="34"/>
  <c r="K439" i="34"/>
  <c r="J439" i="34"/>
  <c r="P438" i="34"/>
  <c r="O438" i="34"/>
  <c r="N438" i="34"/>
  <c r="M438" i="34"/>
  <c r="L438" i="34"/>
  <c r="K438" i="34"/>
  <c r="J438" i="34"/>
  <c r="P437" i="34"/>
  <c r="O437" i="34"/>
  <c r="N437" i="34"/>
  <c r="M437" i="34"/>
  <c r="L437" i="34"/>
  <c r="K437" i="34"/>
  <c r="J437" i="34"/>
  <c r="P436" i="34"/>
  <c r="O436" i="34"/>
  <c r="N436" i="34"/>
  <c r="M436" i="34"/>
  <c r="L436" i="34"/>
  <c r="K436" i="34"/>
  <c r="J436" i="34"/>
  <c r="P435" i="34"/>
  <c r="O435" i="34"/>
  <c r="N435" i="34"/>
  <c r="M435" i="34"/>
  <c r="L435" i="34"/>
  <c r="K435" i="34"/>
  <c r="J435" i="34"/>
  <c r="P434" i="34"/>
  <c r="O434" i="34"/>
  <c r="N434" i="34"/>
  <c r="M434" i="34"/>
  <c r="L434" i="34"/>
  <c r="K434" i="34"/>
  <c r="J434" i="34"/>
  <c r="P433" i="34"/>
  <c r="O433" i="34"/>
  <c r="N433" i="34"/>
  <c r="M433" i="34"/>
  <c r="L433" i="34"/>
  <c r="K433" i="34"/>
  <c r="J433" i="34"/>
  <c r="P432" i="34"/>
  <c r="O432" i="34"/>
  <c r="N432" i="34"/>
  <c r="M432" i="34"/>
  <c r="L432" i="34"/>
  <c r="K432" i="34"/>
  <c r="J432" i="34"/>
  <c r="P431" i="34"/>
  <c r="O431" i="34"/>
  <c r="N431" i="34"/>
  <c r="M431" i="34"/>
  <c r="L431" i="34"/>
  <c r="K431" i="34"/>
  <c r="J431" i="34"/>
  <c r="P430" i="34"/>
  <c r="O430" i="34"/>
  <c r="N430" i="34"/>
  <c r="M430" i="34"/>
  <c r="L430" i="34"/>
  <c r="K430" i="34"/>
  <c r="J430" i="34"/>
  <c r="P429" i="34"/>
  <c r="O429" i="34"/>
  <c r="N429" i="34"/>
  <c r="M429" i="34"/>
  <c r="L429" i="34"/>
  <c r="K429" i="34"/>
  <c r="J429" i="34"/>
  <c r="P428" i="34"/>
  <c r="O428" i="34"/>
  <c r="N428" i="34"/>
  <c r="M428" i="34"/>
  <c r="L428" i="34"/>
  <c r="K428" i="34"/>
  <c r="J428" i="34"/>
  <c r="P427" i="34"/>
  <c r="O427" i="34"/>
  <c r="N427" i="34"/>
  <c r="M427" i="34"/>
  <c r="L427" i="34"/>
  <c r="K427" i="34"/>
  <c r="J427" i="34"/>
  <c r="P426" i="34"/>
  <c r="O426" i="34"/>
  <c r="N426" i="34"/>
  <c r="M426" i="34"/>
  <c r="L426" i="34"/>
  <c r="K426" i="34"/>
  <c r="J426" i="34"/>
  <c r="P425" i="34"/>
  <c r="O425" i="34"/>
  <c r="N425" i="34"/>
  <c r="M425" i="34"/>
  <c r="L425" i="34"/>
  <c r="K425" i="34"/>
  <c r="J425" i="34"/>
  <c r="P424" i="34"/>
  <c r="O424" i="34"/>
  <c r="N424" i="34"/>
  <c r="M424" i="34"/>
  <c r="L424" i="34"/>
  <c r="K424" i="34"/>
  <c r="J424" i="34"/>
  <c r="P423" i="34"/>
  <c r="O423" i="34"/>
  <c r="N423" i="34"/>
  <c r="M423" i="34"/>
  <c r="L423" i="34"/>
  <c r="K423" i="34"/>
  <c r="J423" i="34"/>
  <c r="P422" i="34"/>
  <c r="O422" i="34"/>
  <c r="N422" i="34"/>
  <c r="M422" i="34"/>
  <c r="L422" i="34"/>
  <c r="K422" i="34"/>
  <c r="J422" i="34"/>
  <c r="P421" i="34"/>
  <c r="O421" i="34"/>
  <c r="N421" i="34"/>
  <c r="M421" i="34"/>
  <c r="L421" i="34"/>
  <c r="K421" i="34"/>
  <c r="J421" i="34"/>
  <c r="P420" i="34"/>
  <c r="O420" i="34"/>
  <c r="N420" i="34"/>
  <c r="M420" i="34"/>
  <c r="L420" i="34"/>
  <c r="K420" i="34"/>
  <c r="J420" i="34"/>
  <c r="P419" i="34"/>
  <c r="O419" i="34"/>
  <c r="N419" i="34"/>
  <c r="M419" i="34"/>
  <c r="L419" i="34"/>
  <c r="K419" i="34"/>
  <c r="J419" i="34"/>
  <c r="P418" i="34"/>
  <c r="O418" i="34"/>
  <c r="N418" i="34"/>
  <c r="M418" i="34"/>
  <c r="L418" i="34"/>
  <c r="K418" i="34"/>
  <c r="J418" i="34"/>
  <c r="P417" i="34"/>
  <c r="O417" i="34"/>
  <c r="N417" i="34"/>
  <c r="M417" i="34"/>
  <c r="L417" i="34"/>
  <c r="K417" i="34"/>
  <c r="J417" i="34"/>
  <c r="P416" i="34"/>
  <c r="O416" i="34"/>
  <c r="N416" i="34"/>
  <c r="M416" i="34"/>
  <c r="L416" i="34"/>
  <c r="K416" i="34"/>
  <c r="J416" i="34"/>
  <c r="P415" i="34"/>
  <c r="O415" i="34"/>
  <c r="N415" i="34"/>
  <c r="M415" i="34"/>
  <c r="L415" i="34"/>
  <c r="K415" i="34"/>
  <c r="J415" i="34"/>
  <c r="P414" i="34"/>
  <c r="O414" i="34"/>
  <c r="N414" i="34"/>
  <c r="M414" i="34"/>
  <c r="L414" i="34"/>
  <c r="K414" i="34"/>
  <c r="J414" i="34"/>
  <c r="P413" i="34"/>
  <c r="O413" i="34"/>
  <c r="N413" i="34"/>
  <c r="M413" i="34"/>
  <c r="L413" i="34"/>
  <c r="K413" i="34"/>
  <c r="J413" i="34"/>
  <c r="P412" i="34"/>
  <c r="O412" i="34"/>
  <c r="N412" i="34"/>
  <c r="M412" i="34"/>
  <c r="L412" i="34"/>
  <c r="K412" i="34"/>
  <c r="J412" i="34"/>
  <c r="P411" i="34"/>
  <c r="O411" i="34"/>
  <c r="N411" i="34"/>
  <c r="M411" i="34"/>
  <c r="L411" i="34"/>
  <c r="K411" i="34"/>
  <c r="J411" i="34"/>
  <c r="P410" i="34"/>
  <c r="O410" i="34"/>
  <c r="N410" i="34"/>
  <c r="M410" i="34"/>
  <c r="L410" i="34"/>
  <c r="K410" i="34"/>
  <c r="J410" i="34"/>
  <c r="P409" i="34"/>
  <c r="O409" i="34"/>
  <c r="N409" i="34"/>
  <c r="M409" i="34"/>
  <c r="L409" i="34"/>
  <c r="K409" i="34"/>
  <c r="J409" i="34"/>
  <c r="P408" i="34"/>
  <c r="O408" i="34"/>
  <c r="N408" i="34"/>
  <c r="M408" i="34"/>
  <c r="L408" i="34"/>
  <c r="K408" i="34"/>
  <c r="J408" i="34"/>
  <c r="P407" i="34"/>
  <c r="O407" i="34"/>
  <c r="N407" i="34"/>
  <c r="M407" i="34"/>
  <c r="L407" i="34"/>
  <c r="K407" i="34"/>
  <c r="J407" i="34"/>
  <c r="P406" i="34"/>
  <c r="O406" i="34"/>
  <c r="N406" i="34"/>
  <c r="M406" i="34"/>
  <c r="L406" i="34"/>
  <c r="K406" i="34"/>
  <c r="J406" i="34"/>
  <c r="P405" i="34"/>
  <c r="O405" i="34"/>
  <c r="N405" i="34"/>
  <c r="M405" i="34"/>
  <c r="L405" i="34"/>
  <c r="K405" i="34"/>
  <c r="J405" i="34"/>
  <c r="P404" i="34"/>
  <c r="O404" i="34"/>
  <c r="N404" i="34"/>
  <c r="M404" i="34"/>
  <c r="L404" i="34"/>
  <c r="K404" i="34"/>
  <c r="J404" i="34"/>
  <c r="P403" i="34"/>
  <c r="O403" i="34"/>
  <c r="N403" i="34"/>
  <c r="M403" i="34"/>
  <c r="L403" i="34"/>
  <c r="K403" i="34"/>
  <c r="J403" i="34"/>
  <c r="P402" i="34"/>
  <c r="O402" i="34"/>
  <c r="N402" i="34"/>
  <c r="M402" i="34"/>
  <c r="L402" i="34"/>
  <c r="K402" i="34"/>
  <c r="J402" i="34"/>
  <c r="P401" i="34"/>
  <c r="O401" i="34"/>
  <c r="N401" i="34"/>
  <c r="M401" i="34"/>
  <c r="L401" i="34"/>
  <c r="K401" i="34"/>
  <c r="J401" i="34"/>
  <c r="P400" i="34"/>
  <c r="O400" i="34"/>
  <c r="N400" i="34"/>
  <c r="M400" i="34"/>
  <c r="L400" i="34"/>
  <c r="K400" i="34"/>
  <c r="J400" i="34"/>
  <c r="P399" i="34"/>
  <c r="O399" i="34"/>
  <c r="N399" i="34"/>
  <c r="M399" i="34"/>
  <c r="L399" i="34"/>
  <c r="K399" i="34"/>
  <c r="J399" i="34"/>
  <c r="P398" i="34"/>
  <c r="O398" i="34"/>
  <c r="N398" i="34"/>
  <c r="M398" i="34"/>
  <c r="L398" i="34"/>
  <c r="K398" i="34"/>
  <c r="J398" i="34"/>
  <c r="P397" i="34"/>
  <c r="O397" i="34"/>
  <c r="N397" i="34"/>
  <c r="M397" i="34"/>
  <c r="L397" i="34"/>
  <c r="K397" i="34"/>
  <c r="J397" i="34"/>
  <c r="P396" i="34"/>
  <c r="O396" i="34"/>
  <c r="N396" i="34"/>
  <c r="M396" i="34"/>
  <c r="L396" i="34"/>
  <c r="K396" i="34"/>
  <c r="J396" i="34"/>
  <c r="P395" i="34"/>
  <c r="O395" i="34"/>
  <c r="N395" i="34"/>
  <c r="M395" i="34"/>
  <c r="L395" i="34"/>
  <c r="K395" i="34"/>
  <c r="J395" i="34"/>
  <c r="P394" i="34"/>
  <c r="O394" i="34"/>
  <c r="N394" i="34"/>
  <c r="M394" i="34"/>
  <c r="L394" i="34"/>
  <c r="K394" i="34"/>
  <c r="J394" i="34"/>
  <c r="P393" i="34"/>
  <c r="O393" i="34"/>
  <c r="N393" i="34"/>
  <c r="M393" i="34"/>
  <c r="L393" i="34"/>
  <c r="K393" i="34"/>
  <c r="J393" i="34"/>
  <c r="P392" i="34"/>
  <c r="O392" i="34"/>
  <c r="N392" i="34"/>
  <c r="M392" i="34"/>
  <c r="L392" i="34"/>
  <c r="K392" i="34"/>
  <c r="J392" i="34"/>
  <c r="P391" i="34"/>
  <c r="O391" i="34"/>
  <c r="N391" i="34"/>
  <c r="M391" i="34"/>
  <c r="L391" i="34"/>
  <c r="K391" i="34"/>
  <c r="J391" i="34"/>
  <c r="P390" i="34"/>
  <c r="O390" i="34"/>
  <c r="N390" i="34"/>
  <c r="M390" i="34"/>
  <c r="L390" i="34"/>
  <c r="K390" i="34"/>
  <c r="J390" i="34"/>
  <c r="P389" i="34"/>
  <c r="O389" i="34"/>
  <c r="N389" i="34"/>
  <c r="M389" i="34"/>
  <c r="L389" i="34"/>
  <c r="K389" i="34"/>
  <c r="J389" i="34"/>
  <c r="P388" i="34"/>
  <c r="O388" i="34"/>
  <c r="N388" i="34"/>
  <c r="M388" i="34"/>
  <c r="L388" i="34"/>
  <c r="K388" i="34"/>
  <c r="J388" i="34"/>
  <c r="P387" i="34"/>
  <c r="O387" i="34"/>
  <c r="N387" i="34"/>
  <c r="M387" i="34"/>
  <c r="L387" i="34"/>
  <c r="K387" i="34"/>
  <c r="J387" i="34"/>
  <c r="P386" i="34"/>
  <c r="O386" i="34"/>
  <c r="N386" i="34"/>
  <c r="M386" i="34"/>
  <c r="L386" i="34"/>
  <c r="K386" i="34"/>
  <c r="J386" i="34"/>
  <c r="P385" i="34"/>
  <c r="O385" i="34"/>
  <c r="N385" i="34"/>
  <c r="M385" i="34"/>
  <c r="L385" i="34"/>
  <c r="K385" i="34"/>
  <c r="J385" i="34"/>
  <c r="P384" i="34"/>
  <c r="O384" i="34"/>
  <c r="N384" i="34"/>
  <c r="M384" i="34"/>
  <c r="L384" i="34"/>
  <c r="K384" i="34"/>
  <c r="J384" i="34"/>
  <c r="P383" i="34"/>
  <c r="O383" i="34"/>
  <c r="N383" i="34"/>
  <c r="M383" i="34"/>
  <c r="L383" i="34"/>
  <c r="K383" i="34"/>
  <c r="J383" i="34"/>
  <c r="P382" i="34"/>
  <c r="O382" i="34"/>
  <c r="N382" i="34"/>
  <c r="M382" i="34"/>
  <c r="L382" i="34"/>
  <c r="K382" i="34"/>
  <c r="J382" i="34"/>
  <c r="P381" i="34"/>
  <c r="O381" i="34"/>
  <c r="N381" i="34"/>
  <c r="M381" i="34"/>
  <c r="L381" i="34"/>
  <c r="K381" i="34"/>
  <c r="J381" i="34"/>
  <c r="P380" i="34"/>
  <c r="O380" i="34"/>
  <c r="N380" i="34"/>
  <c r="M380" i="34"/>
  <c r="L380" i="34"/>
  <c r="K380" i="34"/>
  <c r="J380" i="34"/>
  <c r="P379" i="34"/>
  <c r="O379" i="34"/>
  <c r="N379" i="34"/>
  <c r="M379" i="34"/>
  <c r="L379" i="34"/>
  <c r="K379" i="34"/>
  <c r="J379" i="34"/>
  <c r="P378" i="34"/>
  <c r="O378" i="34"/>
  <c r="N378" i="34"/>
  <c r="M378" i="34"/>
  <c r="L378" i="34"/>
  <c r="K378" i="34"/>
  <c r="J378" i="34"/>
  <c r="P377" i="34"/>
  <c r="O377" i="34"/>
  <c r="N377" i="34"/>
  <c r="M377" i="34"/>
  <c r="L377" i="34"/>
  <c r="K377" i="34"/>
  <c r="J377" i="34"/>
  <c r="P376" i="34"/>
  <c r="O376" i="34"/>
  <c r="N376" i="34"/>
  <c r="M376" i="34"/>
  <c r="L376" i="34"/>
  <c r="K376" i="34"/>
  <c r="J376" i="34"/>
  <c r="P375" i="34"/>
  <c r="O375" i="34"/>
  <c r="N375" i="34"/>
  <c r="M375" i="34"/>
  <c r="L375" i="34"/>
  <c r="K375" i="34"/>
  <c r="J375" i="34"/>
  <c r="P374" i="34"/>
  <c r="O374" i="34"/>
  <c r="N374" i="34"/>
  <c r="M374" i="34"/>
  <c r="L374" i="34"/>
  <c r="K374" i="34"/>
  <c r="J374" i="34"/>
  <c r="P373" i="34"/>
  <c r="O373" i="34"/>
  <c r="N373" i="34"/>
  <c r="M373" i="34"/>
  <c r="L373" i="34"/>
  <c r="K373" i="34"/>
  <c r="J373" i="34"/>
  <c r="P372" i="34"/>
  <c r="O372" i="34"/>
  <c r="N372" i="34"/>
  <c r="M372" i="34"/>
  <c r="L372" i="34"/>
  <c r="K372" i="34"/>
  <c r="J372" i="34"/>
  <c r="P371" i="34"/>
  <c r="O371" i="34"/>
  <c r="N371" i="34"/>
  <c r="M371" i="34"/>
  <c r="L371" i="34"/>
  <c r="K371" i="34"/>
  <c r="J371" i="34"/>
  <c r="P370" i="34"/>
  <c r="O370" i="34"/>
  <c r="N370" i="34"/>
  <c r="M370" i="34"/>
  <c r="L370" i="34"/>
  <c r="K370" i="34"/>
  <c r="J370" i="34"/>
  <c r="P369" i="34"/>
  <c r="O369" i="34"/>
  <c r="N369" i="34"/>
  <c r="M369" i="34"/>
  <c r="L369" i="34"/>
  <c r="K369" i="34"/>
  <c r="J369" i="34"/>
  <c r="P368" i="34"/>
  <c r="O368" i="34"/>
  <c r="N368" i="34"/>
  <c r="M368" i="34"/>
  <c r="L368" i="34"/>
  <c r="K368" i="34"/>
  <c r="J368" i="34"/>
  <c r="P367" i="34"/>
  <c r="O367" i="34"/>
  <c r="N367" i="34"/>
  <c r="M367" i="34"/>
  <c r="L367" i="34"/>
  <c r="K367" i="34"/>
  <c r="J367" i="34"/>
  <c r="P366" i="34"/>
  <c r="O366" i="34"/>
  <c r="N366" i="34"/>
  <c r="M366" i="34"/>
  <c r="L366" i="34"/>
  <c r="K366" i="34"/>
  <c r="J366" i="34"/>
  <c r="P365" i="34"/>
  <c r="O365" i="34"/>
  <c r="N365" i="34"/>
  <c r="M365" i="34"/>
  <c r="L365" i="34"/>
  <c r="K365" i="34"/>
  <c r="J365" i="34"/>
  <c r="P364" i="34"/>
  <c r="O364" i="34"/>
  <c r="N364" i="34"/>
  <c r="M364" i="34"/>
  <c r="L364" i="34"/>
  <c r="K364" i="34"/>
  <c r="J364" i="34"/>
  <c r="P363" i="34"/>
  <c r="O363" i="34"/>
  <c r="N363" i="34"/>
  <c r="M363" i="34"/>
  <c r="L363" i="34"/>
  <c r="K363" i="34"/>
  <c r="J363" i="34"/>
  <c r="P362" i="34"/>
  <c r="O362" i="34"/>
  <c r="N362" i="34"/>
  <c r="M362" i="34"/>
  <c r="L362" i="34"/>
  <c r="K362" i="34"/>
  <c r="J362" i="34"/>
  <c r="P361" i="34"/>
  <c r="O361" i="34"/>
  <c r="N361" i="34"/>
  <c r="M361" i="34"/>
  <c r="L361" i="34"/>
  <c r="K361" i="34"/>
  <c r="J361" i="34"/>
  <c r="P360" i="34"/>
  <c r="O360" i="34"/>
  <c r="N360" i="34"/>
  <c r="M360" i="34"/>
  <c r="L360" i="34"/>
  <c r="K360" i="34"/>
  <c r="J360" i="34"/>
  <c r="P359" i="34"/>
  <c r="O359" i="34"/>
  <c r="N359" i="34"/>
  <c r="M359" i="34"/>
  <c r="L359" i="34"/>
  <c r="K359" i="34"/>
  <c r="J359" i="34"/>
  <c r="P358" i="34"/>
  <c r="O358" i="34"/>
  <c r="N358" i="34"/>
  <c r="M358" i="34"/>
  <c r="L358" i="34"/>
  <c r="K358" i="34"/>
  <c r="J358" i="34"/>
  <c r="P357" i="34"/>
  <c r="O357" i="34"/>
  <c r="N357" i="34"/>
  <c r="M357" i="34"/>
  <c r="L357" i="34"/>
  <c r="K357" i="34"/>
  <c r="J357" i="34"/>
  <c r="P356" i="34"/>
  <c r="O356" i="34"/>
  <c r="N356" i="34"/>
  <c r="M356" i="34"/>
  <c r="L356" i="34"/>
  <c r="K356" i="34"/>
  <c r="J356" i="34"/>
  <c r="P355" i="34"/>
  <c r="O355" i="34"/>
  <c r="N355" i="34"/>
  <c r="M355" i="34"/>
  <c r="L355" i="34"/>
  <c r="K355" i="34"/>
  <c r="J355" i="34"/>
  <c r="P354" i="34"/>
  <c r="O354" i="34"/>
  <c r="N354" i="34"/>
  <c r="M354" i="34"/>
  <c r="L354" i="34"/>
  <c r="K354" i="34"/>
  <c r="J354" i="34"/>
  <c r="P353" i="34"/>
  <c r="O353" i="34"/>
  <c r="N353" i="34"/>
  <c r="M353" i="34"/>
  <c r="L353" i="34"/>
  <c r="K353" i="34"/>
  <c r="J353" i="34"/>
  <c r="P352" i="34"/>
  <c r="O352" i="34"/>
  <c r="N352" i="34"/>
  <c r="M352" i="34"/>
  <c r="L352" i="34"/>
  <c r="K352" i="34"/>
  <c r="J352" i="34"/>
  <c r="P351" i="34"/>
  <c r="O351" i="34"/>
  <c r="N351" i="34"/>
  <c r="M351" i="34"/>
  <c r="L351" i="34"/>
  <c r="K351" i="34"/>
  <c r="J351" i="34"/>
  <c r="P350" i="34"/>
  <c r="O350" i="34"/>
  <c r="N350" i="34"/>
  <c r="M350" i="34"/>
  <c r="L350" i="34"/>
  <c r="K350" i="34"/>
  <c r="J350" i="34"/>
  <c r="P349" i="34"/>
  <c r="O349" i="34"/>
  <c r="N349" i="34"/>
  <c r="M349" i="34"/>
  <c r="L349" i="34"/>
  <c r="K349" i="34"/>
  <c r="J349" i="34"/>
  <c r="P348" i="34"/>
  <c r="O348" i="34"/>
  <c r="N348" i="34"/>
  <c r="M348" i="34"/>
  <c r="L348" i="34"/>
  <c r="K348" i="34"/>
  <c r="J348" i="34"/>
  <c r="P347" i="34"/>
  <c r="O347" i="34"/>
  <c r="N347" i="34"/>
  <c r="M347" i="34"/>
  <c r="L347" i="34"/>
  <c r="K347" i="34"/>
  <c r="J347" i="34"/>
  <c r="P346" i="34"/>
  <c r="O346" i="34"/>
  <c r="N346" i="34"/>
  <c r="M346" i="34"/>
  <c r="L346" i="34"/>
  <c r="K346" i="34"/>
  <c r="J346" i="34"/>
  <c r="P345" i="34"/>
  <c r="O345" i="34"/>
  <c r="N345" i="34"/>
  <c r="M345" i="34"/>
  <c r="L345" i="34"/>
  <c r="K345" i="34"/>
  <c r="J345" i="34"/>
  <c r="P344" i="34"/>
  <c r="O344" i="34"/>
  <c r="N344" i="34"/>
  <c r="M344" i="34"/>
  <c r="L344" i="34"/>
  <c r="K344" i="34"/>
  <c r="J344" i="34"/>
  <c r="P343" i="34"/>
  <c r="O343" i="34"/>
  <c r="N343" i="34"/>
  <c r="M343" i="34"/>
  <c r="L343" i="34"/>
  <c r="K343" i="34"/>
  <c r="J343" i="34"/>
  <c r="P342" i="34"/>
  <c r="O342" i="34"/>
  <c r="N342" i="34"/>
  <c r="M342" i="34"/>
  <c r="L342" i="34"/>
  <c r="K342" i="34"/>
  <c r="J342" i="34"/>
  <c r="P341" i="34"/>
  <c r="O341" i="34"/>
  <c r="N341" i="34"/>
  <c r="M341" i="34"/>
  <c r="L341" i="34"/>
  <c r="K341" i="34"/>
  <c r="J341" i="34"/>
  <c r="P340" i="34"/>
  <c r="O340" i="34"/>
  <c r="N340" i="34"/>
  <c r="M340" i="34"/>
  <c r="L340" i="34"/>
  <c r="K340" i="34"/>
  <c r="J340" i="34"/>
  <c r="P339" i="34"/>
  <c r="O339" i="34"/>
  <c r="N339" i="34"/>
  <c r="M339" i="34"/>
  <c r="L339" i="34"/>
  <c r="K339" i="34"/>
  <c r="J339" i="34"/>
  <c r="P338" i="34"/>
  <c r="O338" i="34"/>
  <c r="N338" i="34"/>
  <c r="M338" i="34"/>
  <c r="L338" i="34"/>
  <c r="K338" i="34"/>
  <c r="J338" i="34"/>
  <c r="P337" i="34"/>
  <c r="O337" i="34"/>
  <c r="N337" i="34"/>
  <c r="M337" i="34"/>
  <c r="L337" i="34"/>
  <c r="K337" i="34"/>
  <c r="J337" i="34"/>
  <c r="P336" i="34"/>
  <c r="O336" i="34"/>
  <c r="N336" i="34"/>
  <c r="M336" i="34"/>
  <c r="L336" i="34"/>
  <c r="K336" i="34"/>
  <c r="J336" i="34"/>
  <c r="P335" i="34"/>
  <c r="O335" i="34"/>
  <c r="N335" i="34"/>
  <c r="M335" i="34"/>
  <c r="L335" i="34"/>
  <c r="K335" i="34"/>
  <c r="J335" i="34"/>
  <c r="P334" i="34"/>
  <c r="O334" i="34"/>
  <c r="N334" i="34"/>
  <c r="M334" i="34"/>
  <c r="L334" i="34"/>
  <c r="K334" i="34"/>
  <c r="J334" i="34"/>
  <c r="P333" i="34"/>
  <c r="O333" i="34"/>
  <c r="N333" i="34"/>
  <c r="M333" i="34"/>
  <c r="L333" i="34"/>
  <c r="K333" i="34"/>
  <c r="J333" i="34"/>
  <c r="P332" i="34"/>
  <c r="O332" i="34"/>
  <c r="N332" i="34"/>
  <c r="M332" i="34"/>
  <c r="L332" i="34"/>
  <c r="K332" i="34"/>
  <c r="J332" i="34"/>
  <c r="P331" i="34"/>
  <c r="O331" i="34"/>
  <c r="N331" i="34"/>
  <c r="M331" i="34"/>
  <c r="L331" i="34"/>
  <c r="K331" i="34"/>
  <c r="J331" i="34"/>
  <c r="P330" i="34"/>
  <c r="O330" i="34"/>
  <c r="N330" i="34"/>
  <c r="M330" i="34"/>
  <c r="L330" i="34"/>
  <c r="K330" i="34"/>
  <c r="J330" i="34"/>
  <c r="P329" i="34"/>
  <c r="O329" i="34"/>
  <c r="N329" i="34"/>
  <c r="M329" i="34"/>
  <c r="L329" i="34"/>
  <c r="K329" i="34"/>
  <c r="J329" i="34"/>
  <c r="P328" i="34"/>
  <c r="O328" i="34"/>
  <c r="N328" i="34"/>
  <c r="M328" i="34"/>
  <c r="L328" i="34"/>
  <c r="K328" i="34"/>
  <c r="J328" i="34"/>
  <c r="P327" i="34"/>
  <c r="O327" i="34"/>
  <c r="N327" i="34"/>
  <c r="M327" i="34"/>
  <c r="L327" i="34"/>
  <c r="K327" i="34"/>
  <c r="J327" i="34"/>
  <c r="P326" i="34"/>
  <c r="O326" i="34"/>
  <c r="N326" i="34"/>
  <c r="M326" i="34"/>
  <c r="L326" i="34"/>
  <c r="K326" i="34"/>
  <c r="J326" i="34"/>
  <c r="P325" i="34"/>
  <c r="O325" i="34"/>
  <c r="N325" i="34"/>
  <c r="M325" i="34"/>
  <c r="L325" i="34"/>
  <c r="K325" i="34"/>
  <c r="J325" i="34"/>
  <c r="P324" i="34"/>
  <c r="O324" i="34"/>
  <c r="N324" i="34"/>
  <c r="M324" i="34"/>
  <c r="L324" i="34"/>
  <c r="K324" i="34"/>
  <c r="J324" i="34"/>
  <c r="P323" i="34"/>
  <c r="O323" i="34"/>
  <c r="N323" i="34"/>
  <c r="M323" i="34"/>
  <c r="L323" i="34"/>
  <c r="K323" i="34"/>
  <c r="J323" i="34"/>
  <c r="P322" i="34"/>
  <c r="O322" i="34"/>
  <c r="N322" i="34"/>
  <c r="M322" i="34"/>
  <c r="L322" i="34"/>
  <c r="K322" i="34"/>
  <c r="J322" i="34"/>
  <c r="P321" i="34"/>
  <c r="O321" i="34"/>
  <c r="N321" i="34"/>
  <c r="M321" i="34"/>
  <c r="L321" i="34"/>
  <c r="K321" i="34"/>
  <c r="J321" i="34"/>
  <c r="P320" i="34"/>
  <c r="O320" i="34"/>
  <c r="N320" i="34"/>
  <c r="M320" i="34"/>
  <c r="L320" i="34"/>
  <c r="K320" i="34"/>
  <c r="J320" i="34"/>
  <c r="P319" i="34"/>
  <c r="O319" i="34"/>
  <c r="N319" i="34"/>
  <c r="M319" i="34"/>
  <c r="L319" i="34"/>
  <c r="K319" i="34"/>
  <c r="J319" i="34"/>
  <c r="P318" i="34"/>
  <c r="O318" i="34"/>
  <c r="N318" i="34"/>
  <c r="M318" i="34"/>
  <c r="L318" i="34"/>
  <c r="K318" i="34"/>
  <c r="J318" i="34"/>
  <c r="P317" i="34"/>
  <c r="O317" i="34"/>
  <c r="N317" i="34"/>
  <c r="M317" i="34"/>
  <c r="L317" i="34"/>
  <c r="K317" i="34"/>
  <c r="J317" i="34"/>
  <c r="P316" i="34"/>
  <c r="O316" i="34"/>
  <c r="N316" i="34"/>
  <c r="M316" i="34"/>
  <c r="L316" i="34"/>
  <c r="K316" i="34"/>
  <c r="J316" i="34"/>
  <c r="P315" i="34"/>
  <c r="O315" i="34"/>
  <c r="N315" i="34"/>
  <c r="M315" i="34"/>
  <c r="L315" i="34"/>
  <c r="K315" i="34"/>
  <c r="J315" i="34"/>
  <c r="P314" i="34"/>
  <c r="O314" i="34"/>
  <c r="N314" i="34"/>
  <c r="M314" i="34"/>
  <c r="L314" i="34"/>
  <c r="K314" i="34"/>
  <c r="J314" i="34"/>
  <c r="P313" i="34"/>
  <c r="O313" i="34"/>
  <c r="N313" i="34"/>
  <c r="M313" i="34"/>
  <c r="L313" i="34"/>
  <c r="K313" i="34"/>
  <c r="J313" i="34"/>
  <c r="P312" i="34"/>
  <c r="O312" i="34"/>
  <c r="N312" i="34"/>
  <c r="M312" i="34"/>
  <c r="L312" i="34"/>
  <c r="K312" i="34"/>
  <c r="J312" i="34"/>
  <c r="P311" i="34"/>
  <c r="O311" i="34"/>
  <c r="N311" i="34"/>
  <c r="M311" i="34"/>
  <c r="L311" i="34"/>
  <c r="K311" i="34"/>
  <c r="J311" i="34"/>
  <c r="P310" i="34"/>
  <c r="O310" i="34"/>
  <c r="N310" i="34"/>
  <c r="M310" i="34"/>
  <c r="L310" i="34"/>
  <c r="K310" i="34"/>
  <c r="J310" i="34"/>
  <c r="P309" i="34"/>
  <c r="O309" i="34"/>
  <c r="N309" i="34"/>
  <c r="M309" i="34"/>
  <c r="L309" i="34"/>
  <c r="K309" i="34"/>
  <c r="J309" i="34"/>
  <c r="P308" i="34"/>
  <c r="O308" i="34"/>
  <c r="N308" i="34"/>
  <c r="M308" i="34"/>
  <c r="L308" i="34"/>
  <c r="K308" i="34"/>
  <c r="J308" i="34"/>
  <c r="P307" i="34"/>
  <c r="O307" i="34"/>
  <c r="N307" i="34"/>
  <c r="M307" i="34"/>
  <c r="L307" i="34"/>
  <c r="K307" i="34"/>
  <c r="J307" i="34"/>
  <c r="P306" i="34"/>
  <c r="O306" i="34"/>
  <c r="N306" i="34"/>
  <c r="M306" i="34"/>
  <c r="L306" i="34"/>
  <c r="K306" i="34"/>
  <c r="J306" i="34"/>
  <c r="P305" i="34"/>
  <c r="O305" i="34"/>
  <c r="N305" i="34"/>
  <c r="M305" i="34"/>
  <c r="L305" i="34"/>
  <c r="K305" i="34"/>
  <c r="J305" i="34"/>
  <c r="P304" i="34"/>
  <c r="O304" i="34"/>
  <c r="N304" i="34"/>
  <c r="M304" i="34"/>
  <c r="L304" i="34"/>
  <c r="K304" i="34"/>
  <c r="J304" i="34"/>
  <c r="P303" i="34"/>
  <c r="O303" i="34"/>
  <c r="N303" i="34"/>
  <c r="M303" i="34"/>
  <c r="L303" i="34"/>
  <c r="K303" i="34"/>
  <c r="J303" i="34"/>
  <c r="P302" i="34"/>
  <c r="O302" i="34"/>
  <c r="N302" i="34"/>
  <c r="M302" i="34"/>
  <c r="L302" i="34"/>
  <c r="K302" i="34"/>
  <c r="J302" i="34"/>
  <c r="P301" i="34"/>
  <c r="O301" i="34"/>
  <c r="N301" i="34"/>
  <c r="M301" i="34"/>
  <c r="L301" i="34"/>
  <c r="K301" i="34"/>
  <c r="J301" i="34"/>
  <c r="P300" i="34"/>
  <c r="O300" i="34"/>
  <c r="N300" i="34"/>
  <c r="M300" i="34"/>
  <c r="L300" i="34"/>
  <c r="K300" i="34"/>
  <c r="J300" i="34"/>
  <c r="P299" i="34"/>
  <c r="O299" i="34"/>
  <c r="N299" i="34"/>
  <c r="M299" i="34"/>
  <c r="L299" i="34"/>
  <c r="K299" i="34"/>
  <c r="J299" i="34"/>
  <c r="P298" i="34"/>
  <c r="O298" i="34"/>
  <c r="N298" i="34"/>
  <c r="M298" i="34"/>
  <c r="L298" i="34"/>
  <c r="K298" i="34"/>
  <c r="J298" i="34"/>
  <c r="P297" i="34"/>
  <c r="O297" i="34"/>
  <c r="N297" i="34"/>
  <c r="M297" i="34"/>
  <c r="L297" i="34"/>
  <c r="K297" i="34"/>
  <c r="J297" i="34"/>
  <c r="P296" i="34"/>
  <c r="O296" i="34"/>
  <c r="N296" i="34"/>
  <c r="M296" i="34"/>
  <c r="L296" i="34"/>
  <c r="K296" i="34"/>
  <c r="J296" i="34"/>
  <c r="P295" i="34"/>
  <c r="O295" i="34"/>
  <c r="N295" i="34"/>
  <c r="M295" i="34"/>
  <c r="L295" i="34"/>
  <c r="K295" i="34"/>
  <c r="J295" i="34"/>
  <c r="P294" i="34"/>
  <c r="O294" i="34"/>
  <c r="N294" i="34"/>
  <c r="M294" i="34"/>
  <c r="L294" i="34"/>
  <c r="K294" i="34"/>
  <c r="J294" i="34"/>
  <c r="P293" i="34"/>
  <c r="O293" i="34"/>
  <c r="N293" i="34"/>
  <c r="M293" i="34"/>
  <c r="L293" i="34"/>
  <c r="K293" i="34"/>
  <c r="J293" i="34"/>
  <c r="P292" i="34"/>
  <c r="O292" i="34"/>
  <c r="N292" i="34"/>
  <c r="M292" i="34"/>
  <c r="L292" i="34"/>
  <c r="K292" i="34"/>
  <c r="J292" i="34"/>
  <c r="P291" i="34"/>
  <c r="O291" i="34"/>
  <c r="N291" i="34"/>
  <c r="M291" i="34"/>
  <c r="L291" i="34"/>
  <c r="K291" i="34"/>
  <c r="J291" i="34"/>
  <c r="P290" i="34"/>
  <c r="O290" i="34"/>
  <c r="N290" i="34"/>
  <c r="M290" i="34"/>
  <c r="L290" i="34"/>
  <c r="K290" i="34"/>
  <c r="J290" i="34"/>
  <c r="P289" i="34"/>
  <c r="O289" i="34"/>
  <c r="N289" i="34"/>
  <c r="M289" i="34"/>
  <c r="L289" i="34"/>
  <c r="K289" i="34"/>
  <c r="J289" i="34"/>
  <c r="P288" i="34"/>
  <c r="O288" i="34"/>
  <c r="N288" i="34"/>
  <c r="M288" i="34"/>
  <c r="L288" i="34"/>
  <c r="K288" i="34"/>
  <c r="J288" i="34"/>
  <c r="P287" i="34"/>
  <c r="O287" i="34"/>
  <c r="N287" i="34"/>
  <c r="M287" i="34"/>
  <c r="L287" i="34"/>
  <c r="K287" i="34"/>
  <c r="J287" i="34"/>
  <c r="P286" i="34"/>
  <c r="O286" i="34"/>
  <c r="N286" i="34"/>
  <c r="M286" i="34"/>
  <c r="L286" i="34"/>
  <c r="K286" i="34"/>
  <c r="J286" i="34"/>
  <c r="P285" i="34"/>
  <c r="O285" i="34"/>
  <c r="N285" i="34"/>
  <c r="M285" i="34"/>
  <c r="L285" i="34"/>
  <c r="K285" i="34"/>
  <c r="J285" i="34"/>
  <c r="P284" i="34"/>
  <c r="O284" i="34"/>
  <c r="N284" i="34"/>
  <c r="M284" i="34"/>
  <c r="L284" i="34"/>
  <c r="K284" i="34"/>
  <c r="J284" i="34"/>
  <c r="P283" i="34"/>
  <c r="O283" i="34"/>
  <c r="N283" i="34"/>
  <c r="M283" i="34"/>
  <c r="L283" i="34"/>
  <c r="K283" i="34"/>
  <c r="J283" i="34"/>
  <c r="P279" i="34"/>
  <c r="O279" i="34"/>
  <c r="N279" i="34"/>
  <c r="M279" i="34"/>
  <c r="L279" i="34"/>
  <c r="K279" i="34"/>
  <c r="J279" i="34"/>
  <c r="P275" i="34"/>
  <c r="O275" i="34"/>
  <c r="N275" i="34"/>
  <c r="M275" i="34"/>
  <c r="L275" i="34"/>
  <c r="K275" i="34"/>
  <c r="J275" i="34"/>
  <c r="P271" i="34"/>
  <c r="O271" i="34"/>
  <c r="N271" i="34"/>
  <c r="M271" i="34"/>
  <c r="L271" i="34"/>
  <c r="K271" i="34"/>
  <c r="J271" i="34"/>
  <c r="P267" i="34"/>
  <c r="O267" i="34"/>
  <c r="N267" i="34"/>
  <c r="M267" i="34"/>
  <c r="L267" i="34"/>
  <c r="K267" i="34"/>
  <c r="J267" i="34"/>
  <c r="P263" i="34"/>
  <c r="O263" i="34"/>
  <c r="N263" i="34"/>
  <c r="M263" i="34"/>
  <c r="L263" i="34"/>
  <c r="K263" i="34"/>
  <c r="J263" i="34"/>
  <c r="X259" i="34"/>
  <c r="V259" i="34"/>
  <c r="U259" i="34"/>
  <c r="T259" i="34"/>
  <c r="X255" i="34"/>
  <c r="V255" i="34"/>
  <c r="U255" i="34"/>
  <c r="T255" i="34"/>
  <c r="P252" i="34"/>
  <c r="O252" i="34"/>
  <c r="N252" i="34"/>
  <c r="M252" i="34"/>
  <c r="L252" i="34"/>
  <c r="K252" i="34"/>
  <c r="J252" i="34"/>
  <c r="P251" i="34"/>
  <c r="O251" i="34"/>
  <c r="N251" i="34"/>
  <c r="M251" i="34"/>
  <c r="L251" i="34"/>
  <c r="K251" i="34"/>
  <c r="J251" i="34"/>
  <c r="P248" i="34"/>
  <c r="O248" i="34"/>
  <c r="N248" i="34"/>
  <c r="M248" i="34"/>
  <c r="L248" i="34"/>
  <c r="K248" i="34"/>
  <c r="J248" i="34"/>
  <c r="P247" i="34"/>
  <c r="O247" i="34"/>
  <c r="N247" i="34"/>
  <c r="M247" i="34"/>
  <c r="L247" i="34"/>
  <c r="K247" i="34"/>
  <c r="J247" i="34"/>
  <c r="P244" i="34"/>
  <c r="O244" i="34"/>
  <c r="N244" i="34"/>
  <c r="M244" i="34"/>
  <c r="L244" i="34"/>
  <c r="K244" i="34"/>
  <c r="J244" i="34"/>
  <c r="P243" i="34"/>
  <c r="O243" i="34"/>
  <c r="N243" i="34"/>
  <c r="M243" i="34"/>
  <c r="L243" i="34"/>
  <c r="K243" i="34"/>
  <c r="J243" i="34"/>
  <c r="P240" i="34"/>
  <c r="O240" i="34"/>
  <c r="N240" i="34"/>
  <c r="M240" i="34"/>
  <c r="L240" i="34"/>
  <c r="K240" i="34"/>
  <c r="J240" i="34"/>
  <c r="P239" i="34"/>
  <c r="O239" i="34"/>
  <c r="N239" i="34"/>
  <c r="M239" i="34"/>
  <c r="L239" i="34"/>
  <c r="K239" i="34"/>
  <c r="J239" i="34"/>
  <c r="P236" i="34"/>
  <c r="O236" i="34"/>
  <c r="N236" i="34"/>
  <c r="M236" i="34"/>
  <c r="L236" i="34"/>
  <c r="K236" i="34"/>
  <c r="J236" i="34"/>
  <c r="P235" i="34"/>
  <c r="O235" i="34"/>
  <c r="N235" i="34"/>
  <c r="M235" i="34"/>
  <c r="L235" i="34"/>
  <c r="K235" i="34"/>
  <c r="J235" i="34"/>
  <c r="P232" i="34"/>
  <c r="O232" i="34"/>
  <c r="N232" i="34"/>
  <c r="M232" i="34"/>
  <c r="L232" i="34"/>
  <c r="K232" i="34"/>
  <c r="J232" i="34"/>
  <c r="P231" i="34"/>
  <c r="O231" i="34"/>
  <c r="N231" i="34"/>
  <c r="M231" i="34"/>
  <c r="L231" i="34"/>
  <c r="K231" i="34"/>
  <c r="J231" i="34"/>
  <c r="P228" i="34"/>
  <c r="O228" i="34"/>
  <c r="N228" i="34"/>
  <c r="M228" i="34"/>
  <c r="L228" i="34"/>
  <c r="K228" i="34"/>
  <c r="J228" i="34"/>
  <c r="P227" i="34"/>
  <c r="O227" i="34"/>
  <c r="N227" i="34"/>
  <c r="M227" i="34"/>
  <c r="L227" i="34"/>
  <c r="K227" i="34"/>
  <c r="J227" i="34"/>
  <c r="P224" i="34"/>
  <c r="O224" i="34"/>
  <c r="N224" i="34"/>
  <c r="M224" i="34"/>
  <c r="L224" i="34"/>
  <c r="K224" i="34"/>
  <c r="J224" i="34"/>
  <c r="P223" i="34"/>
  <c r="O223" i="34"/>
  <c r="N223" i="34"/>
  <c r="M223" i="34"/>
  <c r="L223" i="34"/>
  <c r="K223" i="34"/>
  <c r="J223" i="34"/>
  <c r="P220" i="34"/>
  <c r="O220" i="34"/>
  <c r="N220" i="34"/>
  <c r="M220" i="34"/>
  <c r="L220" i="34"/>
  <c r="K220" i="34"/>
  <c r="J220" i="34"/>
  <c r="P219" i="34"/>
  <c r="O219" i="34"/>
  <c r="N219" i="34"/>
  <c r="M219" i="34"/>
  <c r="L219" i="34"/>
  <c r="K219" i="34"/>
  <c r="J219" i="34"/>
  <c r="P216" i="34"/>
  <c r="O216" i="34"/>
  <c r="N216" i="34"/>
  <c r="M216" i="34"/>
  <c r="L216" i="34"/>
  <c r="K216" i="34"/>
  <c r="J216" i="34"/>
  <c r="P215" i="34"/>
  <c r="O215" i="34"/>
  <c r="N215" i="34"/>
  <c r="M215" i="34"/>
  <c r="L215" i="34"/>
  <c r="K215" i="34"/>
  <c r="J215" i="34"/>
  <c r="P212" i="34"/>
  <c r="O212" i="34"/>
  <c r="N212" i="34"/>
  <c r="M212" i="34"/>
  <c r="L212" i="34"/>
  <c r="K212" i="34"/>
  <c r="J212" i="34"/>
  <c r="P211" i="34"/>
  <c r="O211" i="34"/>
  <c r="N211" i="34"/>
  <c r="M211" i="34"/>
  <c r="L211" i="34"/>
  <c r="K211" i="34"/>
  <c r="J211" i="34"/>
  <c r="P208" i="34"/>
  <c r="O208" i="34"/>
  <c r="N208" i="34"/>
  <c r="M208" i="34"/>
  <c r="L208" i="34"/>
  <c r="K208" i="34"/>
  <c r="J208" i="34"/>
  <c r="P207" i="34"/>
  <c r="O207" i="34"/>
  <c r="N207" i="34"/>
  <c r="M207" i="34"/>
  <c r="L207" i="34"/>
  <c r="K207" i="34"/>
  <c r="J207" i="34"/>
  <c r="P204" i="34"/>
  <c r="O204" i="34"/>
  <c r="N204" i="34"/>
  <c r="M204" i="34"/>
  <c r="L204" i="34"/>
  <c r="K204" i="34"/>
  <c r="J204" i="34"/>
  <c r="P203" i="34"/>
  <c r="O203" i="34"/>
  <c r="N203" i="34"/>
  <c r="M203" i="34"/>
  <c r="L203" i="34"/>
  <c r="K203" i="34"/>
  <c r="J203" i="34"/>
  <c r="P200" i="34"/>
  <c r="O200" i="34"/>
  <c r="N200" i="34"/>
  <c r="M200" i="34"/>
  <c r="L200" i="34"/>
  <c r="K200" i="34"/>
  <c r="J200" i="34"/>
  <c r="P199" i="34"/>
  <c r="O199" i="34"/>
  <c r="N199" i="34"/>
  <c r="M199" i="34"/>
  <c r="L199" i="34"/>
  <c r="K199" i="34"/>
  <c r="J199" i="34"/>
  <c r="P196" i="34"/>
  <c r="O196" i="34"/>
  <c r="N196" i="34"/>
  <c r="M196" i="34"/>
  <c r="L196" i="34"/>
  <c r="K196" i="34"/>
  <c r="J196" i="34"/>
  <c r="P195" i="34"/>
  <c r="O195" i="34"/>
  <c r="N195" i="34"/>
  <c r="M195" i="34"/>
  <c r="L195" i="34"/>
  <c r="K195" i="34"/>
  <c r="J195" i="34"/>
  <c r="P192" i="34"/>
  <c r="O192" i="34"/>
  <c r="N192" i="34"/>
  <c r="M192" i="34"/>
  <c r="L192" i="34"/>
  <c r="K192" i="34"/>
  <c r="J192" i="34"/>
  <c r="P191" i="34"/>
  <c r="O191" i="34"/>
  <c r="N191" i="34"/>
  <c r="M191" i="34"/>
  <c r="L191" i="34"/>
  <c r="K191" i="34"/>
  <c r="J191" i="34"/>
  <c r="P188" i="34"/>
  <c r="O188" i="34"/>
  <c r="N188" i="34"/>
  <c r="M188" i="34"/>
  <c r="L188" i="34"/>
  <c r="K188" i="34"/>
  <c r="J188" i="34"/>
  <c r="P187" i="34"/>
  <c r="O187" i="34"/>
  <c r="N187" i="34"/>
  <c r="M187" i="34"/>
  <c r="L187" i="34"/>
  <c r="K187" i="34"/>
  <c r="J187" i="34"/>
  <c r="Z184" i="34"/>
  <c r="Y184" i="34"/>
  <c r="Q184" i="34"/>
  <c r="P184" i="34"/>
  <c r="O184" i="34"/>
  <c r="N184" i="34"/>
  <c r="M184" i="34"/>
  <c r="L184" i="34"/>
  <c r="K184" i="34"/>
  <c r="J184" i="34"/>
  <c r="Z183" i="34"/>
  <c r="Y183" i="34"/>
  <c r="Q183" i="34"/>
  <c r="P183" i="34"/>
  <c r="O183" i="34"/>
  <c r="N183" i="34"/>
  <c r="M183" i="34"/>
  <c r="L183" i="34"/>
  <c r="K183" i="34"/>
  <c r="J183" i="34"/>
  <c r="X181" i="34"/>
  <c r="V181" i="34"/>
  <c r="U181" i="34"/>
  <c r="T181" i="34"/>
  <c r="P177" i="34"/>
  <c r="O177" i="34"/>
  <c r="N177" i="34"/>
  <c r="M177" i="34"/>
  <c r="L177" i="34"/>
  <c r="K177" i="34"/>
  <c r="J177" i="34"/>
  <c r="I173" i="34"/>
  <c r="P173" i="34"/>
  <c r="O173" i="34"/>
  <c r="N173" i="34"/>
  <c r="M173" i="34"/>
  <c r="L173" i="34"/>
  <c r="K173" i="34"/>
  <c r="J173" i="34"/>
  <c r="P169" i="34"/>
  <c r="O169" i="34"/>
  <c r="N169" i="34"/>
  <c r="M169" i="34"/>
  <c r="L169" i="34"/>
  <c r="K169" i="34"/>
  <c r="J169" i="34"/>
  <c r="P165" i="34"/>
  <c r="O165" i="34"/>
  <c r="N165" i="34"/>
  <c r="M165" i="34"/>
  <c r="L165" i="34"/>
  <c r="K165" i="34"/>
  <c r="J165" i="34"/>
  <c r="P161" i="34"/>
  <c r="O161" i="34"/>
  <c r="N161" i="34"/>
  <c r="M161" i="34"/>
  <c r="L161" i="34"/>
  <c r="K161" i="34"/>
  <c r="J161" i="34"/>
  <c r="P157" i="34"/>
  <c r="O157" i="34"/>
  <c r="N157" i="34"/>
  <c r="M157" i="34"/>
  <c r="L157" i="34"/>
  <c r="K157" i="34"/>
  <c r="J157" i="34"/>
  <c r="P153" i="34"/>
  <c r="O153" i="34"/>
  <c r="N153" i="34"/>
  <c r="M153" i="34"/>
  <c r="L153" i="34"/>
  <c r="K153" i="34"/>
  <c r="J153" i="34"/>
  <c r="P149" i="34"/>
  <c r="O149" i="34"/>
  <c r="N149" i="34"/>
  <c r="M149" i="34"/>
  <c r="L149" i="34"/>
  <c r="K149" i="34"/>
  <c r="J149" i="34"/>
  <c r="P145" i="34"/>
  <c r="O145" i="34"/>
  <c r="N145" i="34"/>
  <c r="M145" i="34"/>
  <c r="L145" i="34"/>
  <c r="K145" i="34"/>
  <c r="J145" i="34"/>
  <c r="P141" i="34"/>
  <c r="O141" i="34"/>
  <c r="N141" i="34"/>
  <c r="M141" i="34"/>
  <c r="L141" i="34"/>
  <c r="K141" i="34"/>
  <c r="J141" i="34"/>
  <c r="P137" i="34"/>
  <c r="O137" i="34"/>
  <c r="N137" i="34"/>
  <c r="M137" i="34"/>
  <c r="L137" i="34"/>
  <c r="K137" i="34"/>
  <c r="J137" i="34"/>
  <c r="P133" i="34"/>
  <c r="O133" i="34"/>
  <c r="N133" i="34"/>
  <c r="M133" i="34"/>
  <c r="L133" i="34"/>
  <c r="K133" i="34"/>
  <c r="J133" i="34"/>
  <c r="P129" i="34"/>
  <c r="O129" i="34"/>
  <c r="N129" i="34"/>
  <c r="M129" i="34"/>
  <c r="L129" i="34"/>
  <c r="K129" i="34"/>
  <c r="J129" i="34"/>
  <c r="P125" i="34"/>
  <c r="O125" i="34"/>
  <c r="N125" i="34"/>
  <c r="M125" i="34"/>
  <c r="L125" i="34"/>
  <c r="K125" i="34"/>
  <c r="J125" i="34"/>
  <c r="X119" i="34"/>
  <c r="V119" i="34"/>
  <c r="U119" i="34"/>
  <c r="T119" i="34"/>
  <c r="X117" i="34"/>
  <c r="V117" i="34"/>
  <c r="U117" i="34"/>
  <c r="T117" i="34"/>
  <c r="X95" i="34"/>
  <c r="V95" i="34"/>
  <c r="U95" i="34"/>
  <c r="T95" i="34"/>
  <c r="X35" i="34"/>
  <c r="V35" i="34"/>
  <c r="U35" i="34"/>
  <c r="T35" i="34"/>
  <c r="X13" i="34"/>
  <c r="V13" i="34"/>
  <c r="U13" i="34"/>
  <c r="T13" i="34"/>
  <c r="X9" i="34"/>
  <c r="V9" i="34"/>
  <c r="U9" i="34"/>
  <c r="T9" i="34"/>
  <c r="E23" i="7"/>
  <c r="E8" i="7"/>
  <c r="F23" i="7"/>
  <c r="F8" i="7"/>
  <c r="P78" i="12"/>
  <c r="O78" i="12"/>
  <c r="N78" i="12"/>
  <c r="M78" i="12"/>
  <c r="L78" i="12"/>
  <c r="K78" i="12"/>
  <c r="J78" i="12"/>
  <c r="I78" i="12"/>
  <c r="H78" i="12"/>
  <c r="P77" i="12"/>
  <c r="O77" i="12"/>
  <c r="N77" i="12"/>
  <c r="M77" i="12"/>
  <c r="L77" i="12"/>
  <c r="K77" i="12"/>
  <c r="J77" i="12"/>
  <c r="I77" i="12"/>
  <c r="H77" i="12"/>
  <c r="P76" i="12"/>
  <c r="O76" i="12"/>
  <c r="N76" i="12"/>
  <c r="M76" i="12"/>
  <c r="L76" i="12"/>
  <c r="K76" i="12"/>
  <c r="J76" i="12"/>
  <c r="I76" i="12"/>
  <c r="H76" i="12"/>
  <c r="P75" i="12"/>
  <c r="O75" i="12"/>
  <c r="N75" i="12"/>
  <c r="M75" i="12"/>
  <c r="L75" i="12"/>
  <c r="K75" i="12"/>
  <c r="J75" i="12"/>
  <c r="I75" i="12"/>
  <c r="H75" i="12"/>
  <c r="P74" i="12"/>
  <c r="O74" i="12"/>
  <c r="N74" i="12"/>
  <c r="M74" i="12"/>
  <c r="L74" i="12"/>
  <c r="K74" i="12"/>
  <c r="J74" i="12"/>
  <c r="I74" i="12"/>
  <c r="H74" i="12"/>
  <c r="P73" i="12"/>
  <c r="O73" i="12"/>
  <c r="N73" i="12"/>
  <c r="M73" i="12"/>
  <c r="L73" i="12"/>
  <c r="K73" i="12"/>
  <c r="J73" i="12"/>
  <c r="I73" i="12"/>
  <c r="H73" i="12"/>
  <c r="P72" i="12"/>
  <c r="O72" i="12"/>
  <c r="N72" i="12"/>
  <c r="M72" i="12"/>
  <c r="L72" i="12"/>
  <c r="K72" i="12"/>
  <c r="J72" i="12"/>
  <c r="I72" i="12"/>
  <c r="H72" i="12"/>
  <c r="P71" i="12"/>
  <c r="O71" i="12"/>
  <c r="N71" i="12"/>
  <c r="M71" i="12"/>
  <c r="L71" i="12"/>
  <c r="K71" i="12"/>
  <c r="J71" i="12"/>
  <c r="I71" i="12"/>
  <c r="H71" i="12"/>
  <c r="P70" i="12"/>
  <c r="O70" i="12"/>
  <c r="N70" i="12"/>
  <c r="M70" i="12"/>
  <c r="L70" i="12"/>
  <c r="K70" i="12"/>
  <c r="J70" i="12"/>
  <c r="I70" i="12"/>
  <c r="H70" i="12"/>
  <c r="P35" i="12"/>
  <c r="O35" i="12"/>
  <c r="N35" i="12"/>
  <c r="M35" i="12"/>
  <c r="L35" i="12"/>
  <c r="K35" i="12"/>
  <c r="J35" i="12"/>
  <c r="I35" i="12"/>
  <c r="H35" i="12"/>
  <c r="P34" i="12"/>
  <c r="O34" i="12"/>
  <c r="N34" i="12"/>
  <c r="M34" i="12"/>
  <c r="L34" i="12"/>
  <c r="K34" i="12"/>
  <c r="J34" i="12"/>
  <c r="I34" i="12"/>
  <c r="H34" i="12"/>
  <c r="P33" i="12"/>
  <c r="O33" i="12"/>
  <c r="N33" i="12"/>
  <c r="M33" i="12"/>
  <c r="L33" i="12"/>
  <c r="K33" i="12"/>
  <c r="J33" i="12"/>
  <c r="I33" i="12"/>
  <c r="H33" i="12"/>
  <c r="H36" i="12"/>
  <c r="I36" i="12"/>
  <c r="J36" i="12"/>
  <c r="K36" i="12"/>
  <c r="L36" i="12"/>
  <c r="M36" i="12"/>
  <c r="N36" i="12"/>
  <c r="O36" i="12"/>
  <c r="P36" i="12"/>
  <c r="P79" i="12"/>
  <c r="O79" i="12"/>
  <c r="N79" i="12"/>
  <c r="M79" i="12"/>
  <c r="L79" i="12"/>
  <c r="K79" i="12"/>
  <c r="J79" i="12"/>
  <c r="I79" i="12"/>
  <c r="H79" i="12"/>
  <c r="E67" i="7"/>
  <c r="AB327" i="52"/>
  <c r="AA327" i="52"/>
  <c r="AB325" i="52"/>
  <c r="AR320" i="52"/>
  <c r="AB320" i="52"/>
  <c r="X276" i="52"/>
  <c r="X275" i="52"/>
  <c r="Z274" i="52"/>
  <c r="X274" i="52"/>
  <c r="Z273" i="52"/>
  <c r="X273" i="52"/>
  <c r="Z272" i="52"/>
  <c r="BI5" i="52"/>
  <c r="C2" i="52"/>
  <c r="M64" i="35"/>
  <c r="M56" i="35"/>
  <c r="M63" i="35"/>
  <c r="M55" i="35"/>
  <c r="M62" i="35"/>
  <c r="M54" i="35"/>
  <c r="M61" i="35"/>
  <c r="M53" i="35"/>
  <c r="M60" i="35"/>
  <c r="M52" i="35"/>
  <c r="M59" i="35"/>
  <c r="M51" i="35"/>
  <c r="M58" i="35"/>
  <c r="M50" i="35"/>
  <c r="E74" i="35"/>
  <c r="F34" i="7"/>
  <c r="E73" i="35"/>
  <c r="E72" i="35"/>
  <c r="E71" i="35"/>
  <c r="E70" i="35"/>
  <c r="E69" i="35"/>
  <c r="E68" i="35"/>
  <c r="E67" i="35"/>
  <c r="E66" i="35"/>
  <c r="E65" i="35"/>
  <c r="E64" i="35"/>
  <c r="E63" i="35"/>
  <c r="E62" i="35"/>
  <c r="E61" i="35"/>
  <c r="E60" i="35"/>
  <c r="E59" i="35"/>
  <c r="E58" i="35"/>
  <c r="E57" i="35"/>
  <c r="E56" i="35"/>
  <c r="E55" i="35"/>
  <c r="E54" i="35"/>
  <c r="E53" i="35"/>
  <c r="E52" i="35"/>
  <c r="E51" i="35"/>
  <c r="E50" i="35"/>
  <c r="E49" i="35"/>
  <c r="C16" i="12"/>
  <c r="C17" i="12"/>
  <c r="C26" i="12"/>
  <c r="R14" i="9"/>
  <c r="G23" i="6"/>
  <c r="N24" i="42"/>
  <c r="L24" i="42"/>
  <c r="J24" i="42"/>
  <c r="H24" i="42"/>
  <c r="N23" i="42"/>
  <c r="L23" i="42"/>
  <c r="J23" i="42"/>
  <c r="H23" i="42"/>
  <c r="E124" i="7"/>
  <c r="H57" i="35"/>
  <c r="K41" i="42"/>
  <c r="M41" i="42"/>
  <c r="I41" i="42"/>
  <c r="C10" i="12"/>
  <c r="C11" i="12"/>
  <c r="C12" i="12"/>
  <c r="C13" i="12"/>
  <c r="C19" i="12"/>
  <c r="C54" i="12"/>
  <c r="C61" i="12"/>
  <c r="C62" i="12"/>
  <c r="C63" i="12"/>
  <c r="C100" i="12"/>
  <c r="C20" i="12"/>
  <c r="C21" i="12"/>
  <c r="C24" i="12"/>
  <c r="E11" i="7"/>
  <c r="F11" i="7"/>
  <c r="F141" i="7"/>
  <c r="E146" i="7"/>
  <c r="E145" i="7"/>
  <c r="C99" i="12"/>
  <c r="E10" i="7"/>
  <c r="E53" i="7"/>
  <c r="F53" i="7"/>
  <c r="J25" i="35"/>
  <c r="H25" i="35"/>
  <c r="I25" i="35"/>
  <c r="K25" i="35"/>
  <c r="L25" i="35"/>
  <c r="M25" i="35"/>
  <c r="N25" i="35"/>
  <c r="O25" i="35"/>
  <c r="P25" i="35"/>
  <c r="B32" i="42"/>
  <c r="E155" i="7"/>
  <c r="F155" i="7"/>
  <c r="E156" i="7"/>
  <c r="F156" i="7"/>
  <c r="F152" i="7"/>
  <c r="AB16" i="9"/>
  <c r="Z16" i="9"/>
  <c r="Z15" i="9"/>
  <c r="AB8" i="9"/>
  <c r="Z17" i="9"/>
  <c r="Z18" i="9"/>
  <c r="AB15" i="9"/>
  <c r="AB12" i="9"/>
  <c r="Z12" i="9"/>
  <c r="Z9" i="9"/>
  <c r="AB9" i="9"/>
  <c r="Z10" i="9"/>
  <c r="B22" i="42"/>
  <c r="M18" i="35"/>
  <c r="O42" i="42"/>
  <c r="M42" i="42"/>
  <c r="K42" i="42"/>
  <c r="I42" i="42"/>
  <c r="O38" i="42"/>
  <c r="M38" i="42"/>
  <c r="K38" i="42"/>
  <c r="I38" i="42"/>
  <c r="O39" i="42"/>
  <c r="M39" i="42"/>
  <c r="K39" i="42"/>
  <c r="O40" i="42"/>
  <c r="M40" i="42"/>
  <c r="K40" i="42"/>
  <c r="I40" i="42"/>
  <c r="M37" i="42"/>
  <c r="O37" i="42"/>
  <c r="K37" i="42"/>
  <c r="I37" i="42"/>
  <c r="O36" i="42"/>
  <c r="M36" i="42"/>
  <c r="K36" i="42"/>
  <c r="I36" i="42"/>
  <c r="O35" i="42"/>
  <c r="K35" i="42"/>
  <c r="M35" i="42"/>
  <c r="I35" i="42"/>
  <c r="O33" i="42"/>
  <c r="M33" i="42"/>
  <c r="K33" i="42"/>
  <c r="I33" i="42"/>
  <c r="H49" i="35"/>
  <c r="H58" i="35"/>
  <c r="H50" i="35"/>
  <c r="H51" i="35"/>
  <c r="H52" i="35"/>
  <c r="H53" i="35"/>
  <c r="H54" i="35"/>
  <c r="H55" i="35"/>
  <c r="B33" i="42"/>
  <c r="B34" i="42"/>
  <c r="B35" i="42"/>
  <c r="G45" i="6"/>
  <c r="G46" i="6"/>
  <c r="B44" i="42"/>
  <c r="B45" i="42"/>
  <c r="E22" i="7"/>
  <c r="G44" i="6"/>
  <c r="G8" i="6"/>
  <c r="G9" i="6"/>
  <c r="G10" i="6"/>
  <c r="G11" i="6"/>
  <c r="G12" i="6"/>
  <c r="G13" i="6"/>
  <c r="G14" i="6"/>
  <c r="G15" i="6"/>
  <c r="G16" i="6"/>
  <c r="G17" i="6"/>
  <c r="G18" i="6"/>
  <c r="G19" i="6"/>
  <c r="G20" i="6"/>
  <c r="G21" i="6"/>
  <c r="G22" i="6"/>
  <c r="G34" i="6"/>
  <c r="G35" i="6"/>
  <c r="G36" i="6"/>
  <c r="G37" i="6"/>
  <c r="G38" i="6"/>
  <c r="G39" i="6"/>
  <c r="G40" i="6"/>
  <c r="G41" i="6"/>
  <c r="G42" i="6"/>
  <c r="G43" i="6"/>
  <c r="G7" i="6"/>
  <c r="B7" i="42"/>
  <c r="B8" i="42"/>
  <c r="B9" i="42"/>
  <c r="B10" i="42"/>
  <c r="B11" i="42"/>
  <c r="B12" i="42"/>
  <c r="B13" i="42"/>
  <c r="B14" i="42"/>
  <c r="B15" i="42"/>
  <c r="B16" i="42"/>
  <c r="B17" i="42"/>
  <c r="B18" i="42"/>
  <c r="B19" i="42"/>
  <c r="B20" i="42"/>
  <c r="B21" i="42"/>
  <c r="B23" i="42"/>
  <c r="B24" i="42"/>
  <c r="B25" i="42"/>
  <c r="B26" i="42"/>
  <c r="B27" i="42"/>
  <c r="B28" i="42"/>
  <c r="B29" i="42"/>
  <c r="B30" i="42"/>
  <c r="B31" i="42"/>
  <c r="B36" i="42"/>
  <c r="B37" i="42"/>
  <c r="B38" i="42"/>
  <c r="B39" i="42"/>
  <c r="B40" i="42"/>
  <c r="B41" i="42"/>
  <c r="B42" i="42"/>
  <c r="B43" i="42"/>
  <c r="B6" i="42"/>
  <c r="H56" i="35"/>
  <c r="H59" i="35"/>
  <c r="H60" i="35"/>
  <c r="H61" i="35"/>
  <c r="H62" i="35"/>
  <c r="H63" i="35"/>
  <c r="H64" i="35"/>
  <c r="H65" i="35"/>
  <c r="H66" i="35"/>
  <c r="H67" i="35"/>
  <c r="H68" i="35"/>
  <c r="H69" i="35"/>
  <c r="H70" i="35"/>
  <c r="H71" i="35"/>
  <c r="H72" i="35"/>
  <c r="H73" i="35"/>
  <c r="H74" i="35"/>
  <c r="C23" i="9"/>
  <c r="I9" i="9"/>
  <c r="C15" i="9"/>
  <c r="I8" i="9"/>
  <c r="C6" i="9"/>
  <c r="I7" i="9"/>
  <c r="G100" i="12"/>
  <c r="G99" i="12"/>
  <c r="D121" i="12"/>
  <c r="D114" i="12"/>
  <c r="D107" i="12"/>
  <c r="E24" i="7"/>
  <c r="G98" i="12"/>
  <c r="F28" i="7"/>
  <c r="E28" i="7"/>
  <c r="L4" i="9"/>
  <c r="F72" i="7"/>
  <c r="E77" i="7"/>
  <c r="E76" i="7"/>
  <c r="E81" i="7"/>
  <c r="E80" i="7"/>
  <c r="E87" i="7"/>
  <c r="E86" i="7"/>
  <c r="E92" i="7"/>
  <c r="E91" i="7"/>
  <c r="E97" i="7"/>
  <c r="E96" i="7"/>
  <c r="E102" i="7"/>
  <c r="E101" i="7"/>
  <c r="E100" i="7"/>
  <c r="E107" i="7"/>
  <c r="E106" i="7"/>
  <c r="E112" i="7"/>
  <c r="E117" i="7"/>
  <c r="Q76" i="35"/>
  <c r="C175" i="12"/>
  <c r="C176" i="12"/>
  <c r="C177" i="12"/>
  <c r="BB9" i="10"/>
  <c r="BB10" i="10"/>
  <c r="BB11" i="10"/>
  <c r="BB12" i="10"/>
  <c r="BB13" i="10"/>
  <c r="BB14" i="10"/>
  <c r="BB15" i="10"/>
  <c r="BB16" i="10"/>
  <c r="BB17" i="10"/>
  <c r="BC9" i="10"/>
  <c r="BC10" i="10"/>
  <c r="BC11" i="10"/>
  <c r="BC12" i="10"/>
  <c r="BC13" i="10"/>
  <c r="BC14" i="10"/>
  <c r="BC15" i="10"/>
  <c r="BC16" i="10"/>
  <c r="BC17" i="10"/>
  <c r="C87" i="12"/>
  <c r="C86" i="12"/>
  <c r="C136" i="12"/>
  <c r="C133" i="12"/>
  <c r="C132" i="12"/>
  <c r="C2" i="12"/>
  <c r="H167" i="12"/>
  <c r="I167" i="12"/>
  <c r="J167" i="12"/>
  <c r="K167" i="12"/>
  <c r="L167" i="12"/>
  <c r="M167" i="12"/>
  <c r="N167" i="12"/>
  <c r="F79" i="35"/>
  <c r="F80" i="35"/>
  <c r="F81" i="35"/>
  <c r="F82" i="35"/>
  <c r="F83" i="35"/>
  <c r="F84" i="35"/>
  <c r="F85" i="35"/>
  <c r="F86" i="35"/>
  <c r="F87" i="35"/>
  <c r="F88" i="35"/>
  <c r="F89" i="35"/>
  <c r="F90" i="35"/>
  <c r="F91" i="35"/>
  <c r="F92" i="35"/>
  <c r="F93" i="35"/>
  <c r="F94" i="35"/>
  <c r="F95" i="35"/>
  <c r="F96" i="35"/>
  <c r="F97" i="35"/>
  <c r="F98" i="35"/>
  <c r="F99" i="35"/>
  <c r="F100" i="35"/>
  <c r="F101" i="35"/>
  <c r="F102" i="35"/>
  <c r="F103" i="35"/>
  <c r="F104" i="35"/>
  <c r="F105" i="35"/>
  <c r="F106" i="35"/>
  <c r="F107" i="35"/>
  <c r="F108" i="35"/>
  <c r="F109" i="35"/>
  <c r="F110" i="35"/>
  <c r="F111" i="35"/>
  <c r="F112" i="35"/>
  <c r="F113" i="35"/>
  <c r="F114" i="35"/>
  <c r="F115" i="35"/>
  <c r="F116" i="35"/>
  <c r="F117" i="35"/>
  <c r="F118" i="35"/>
  <c r="F119" i="35"/>
  <c r="F120" i="35"/>
  <c r="F121" i="35"/>
  <c r="F122" i="35"/>
  <c r="F123" i="35"/>
  <c r="F124" i="35"/>
  <c r="F125" i="35"/>
  <c r="F126" i="35"/>
  <c r="F127" i="35"/>
  <c r="F128" i="35"/>
  <c r="F129" i="35"/>
  <c r="F130" i="35"/>
  <c r="F131" i="35"/>
  <c r="F132" i="35"/>
  <c r="F133" i="35"/>
  <c r="F134" i="35"/>
  <c r="F135" i="35"/>
  <c r="F136" i="35"/>
  <c r="F137" i="35"/>
  <c r="F138" i="35"/>
  <c r="F139" i="35"/>
  <c r="F140" i="35"/>
  <c r="F141" i="35"/>
  <c r="F142" i="35"/>
  <c r="F143" i="35"/>
  <c r="F144" i="35"/>
  <c r="F145" i="35"/>
  <c r="F146" i="35"/>
  <c r="F147" i="35"/>
  <c r="F148" i="35"/>
  <c r="F149" i="35"/>
  <c r="F150" i="35"/>
  <c r="F151" i="35"/>
  <c r="F152" i="35"/>
  <c r="F153" i="35"/>
  <c r="F154" i="35"/>
  <c r="F155" i="35"/>
  <c r="F156" i="35"/>
  <c r="F157" i="35"/>
  <c r="F158" i="35"/>
  <c r="F159" i="35"/>
  <c r="F160" i="35"/>
  <c r="F161" i="35"/>
  <c r="F162" i="35"/>
  <c r="F163" i="35"/>
  <c r="F164" i="35"/>
  <c r="F165" i="35"/>
  <c r="F166" i="35"/>
  <c r="F167" i="35"/>
  <c r="F168" i="35"/>
  <c r="F169" i="35"/>
  <c r="F170" i="35"/>
  <c r="F171" i="35"/>
  <c r="F172" i="35"/>
  <c r="F173" i="35"/>
  <c r="F174" i="35"/>
  <c r="F175" i="35"/>
  <c r="F176" i="35"/>
  <c r="F177" i="35"/>
  <c r="F178" i="35"/>
  <c r="F179" i="35"/>
  <c r="F180" i="35"/>
  <c r="F181" i="35"/>
  <c r="F182" i="35"/>
  <c r="F183" i="35"/>
  <c r="F184" i="35"/>
  <c r="F185" i="35"/>
  <c r="F186" i="35"/>
  <c r="F187" i="35"/>
  <c r="F188" i="35"/>
  <c r="F189" i="35"/>
  <c r="F190" i="35"/>
  <c r="F191" i="35"/>
  <c r="F192" i="35"/>
  <c r="F193" i="35"/>
  <c r="F194" i="35"/>
  <c r="F195" i="35"/>
  <c r="E59" i="7"/>
  <c r="C2" i="35"/>
  <c r="E60" i="7"/>
  <c r="F60" i="7"/>
  <c r="K6" i="4"/>
  <c r="J6" i="4"/>
  <c r="E57" i="7"/>
  <c r="F57" i="7"/>
  <c r="E58" i="7"/>
  <c r="E61" i="7"/>
  <c r="F61" i="7"/>
  <c r="C174" i="12"/>
  <c r="D131" i="12"/>
  <c r="D158" i="12"/>
  <c r="F68" i="7"/>
  <c r="F67" i="7"/>
  <c r="F66" i="7"/>
  <c r="B68" i="7"/>
  <c r="B67" i="7"/>
  <c r="B66" i="7"/>
  <c r="E17" i="7"/>
  <c r="F17" i="7"/>
  <c r="E20" i="7"/>
  <c r="G15" i="1"/>
  <c r="F25" i="1"/>
  <c r="F47" i="1"/>
  <c r="B2" i="7"/>
  <c r="F23" i="1"/>
  <c r="F26" i="1"/>
  <c r="F21" i="1"/>
  <c r="F37" i="1"/>
  <c r="B10" i="1"/>
  <c r="F49" i="1"/>
  <c r="F59" i="7"/>
  <c r="N90" i="12"/>
  <c r="M90" i="12"/>
  <c r="L90" i="12"/>
  <c r="J90" i="12"/>
  <c r="I90" i="12"/>
  <c r="H90" i="12"/>
  <c r="F54" i="7"/>
  <c r="F32" i="1"/>
  <c r="F27" i="1"/>
  <c r="F31" i="1"/>
  <c r="F20" i="1"/>
  <c r="F33" i="1"/>
  <c r="F19" i="1"/>
  <c r="B3" i="1"/>
  <c r="F15" i="1"/>
  <c r="F38" i="1"/>
  <c r="B11" i="1"/>
  <c r="F40" i="1"/>
  <c r="B7" i="1"/>
  <c r="F48" i="1"/>
  <c r="F41" i="1"/>
  <c r="B9" i="4"/>
  <c r="F43" i="1"/>
  <c r="B13" i="4"/>
  <c r="F17" i="1"/>
  <c r="B7" i="4"/>
  <c r="F46" i="1"/>
  <c r="B2" i="5"/>
  <c r="F24" i="1"/>
  <c r="F39" i="1"/>
  <c r="B2" i="1"/>
  <c r="K90" i="12"/>
  <c r="F16" i="1"/>
  <c r="F30" i="1"/>
  <c r="F22" i="1"/>
  <c r="F34" i="1"/>
  <c r="F24" i="7"/>
  <c r="F18" i="7"/>
  <c r="F22" i="7"/>
  <c r="D14" i="1"/>
  <c r="D9" i="35"/>
  <c r="C14" i="1"/>
  <c r="D10" i="35"/>
  <c r="F87" i="7"/>
  <c r="F102" i="7"/>
  <c r="F35" i="7"/>
  <c r="J18" i="35"/>
  <c r="I18" i="35"/>
  <c r="P18" i="35"/>
  <c r="N18" i="35"/>
  <c r="L18" i="35"/>
  <c r="K18" i="35"/>
  <c r="O18" i="35"/>
  <c r="F28" i="1"/>
  <c r="F29" i="1"/>
  <c r="F45" i="1"/>
  <c r="B2" i="4"/>
  <c r="F44" i="1"/>
  <c r="B15" i="4"/>
  <c r="F42" i="1"/>
  <c r="B11" i="4"/>
  <c r="F50" i="1"/>
  <c r="F35" i="1"/>
  <c r="B8" i="1"/>
  <c r="F36" i="1"/>
  <c r="B9" i="1"/>
  <c r="F18" i="1"/>
  <c r="F10" i="7"/>
  <c r="E75" i="7"/>
  <c r="F76" i="7"/>
  <c r="E79" i="7"/>
  <c r="E78" i="7"/>
  <c r="F78" i="7"/>
  <c r="F80" i="7"/>
  <c r="E144" i="7"/>
  <c r="E143" i="7"/>
  <c r="E142" i="7"/>
  <c r="F145" i="7"/>
  <c r="J32" i="42"/>
  <c r="J31" i="42"/>
  <c r="J29" i="42"/>
  <c r="J28" i="42"/>
  <c r="K28" i="42"/>
  <c r="J26" i="42"/>
  <c r="K26" i="42"/>
  <c r="J25" i="42"/>
  <c r="H32" i="42"/>
  <c r="H31" i="42"/>
  <c r="H30" i="42"/>
  <c r="H28" i="42"/>
  <c r="I28" i="42"/>
  <c r="H26" i="42"/>
  <c r="I26" i="42"/>
  <c r="H25" i="42"/>
  <c r="N32" i="42"/>
  <c r="N31" i="42"/>
  <c r="N30" i="42"/>
  <c r="N28" i="42"/>
  <c r="O28" i="42"/>
  <c r="N27" i="42"/>
  <c r="N26" i="42"/>
  <c r="O26" i="42"/>
  <c r="N25" i="42"/>
  <c r="L32" i="42"/>
  <c r="L31" i="42"/>
  <c r="L30" i="42"/>
  <c r="L28" i="42"/>
  <c r="M28" i="42"/>
  <c r="L27" i="42"/>
  <c r="L26" i="42"/>
  <c r="M26" i="42"/>
  <c r="L25" i="42"/>
  <c r="F25" i="7"/>
  <c r="F19" i="7"/>
  <c r="F20" i="7"/>
  <c r="F58" i="7"/>
  <c r="H17" i="4"/>
  <c r="H7" i="9"/>
  <c r="D61" i="12"/>
  <c r="D98" i="12"/>
  <c r="F69" i="35"/>
  <c r="G69" i="35"/>
  <c r="F79" i="7"/>
  <c r="E123" i="7"/>
  <c r="F124" i="7"/>
  <c r="F100" i="7"/>
  <c r="E99" i="7"/>
  <c r="F91" i="7"/>
  <c r="E90" i="7"/>
  <c r="F77" i="7"/>
  <c r="H15" i="4"/>
  <c r="F92" i="7"/>
  <c r="F97" i="7"/>
  <c r="F81" i="7"/>
  <c r="F101" i="7"/>
  <c r="F107" i="7"/>
  <c r="F82" i="7"/>
  <c r="E111" i="7"/>
  <c r="F112" i="7"/>
  <c r="E95" i="7"/>
  <c r="F96" i="7"/>
  <c r="F86" i="7"/>
  <c r="E85" i="7"/>
  <c r="E105" i="7"/>
  <c r="F106" i="7"/>
  <c r="E116" i="7"/>
  <c r="F117" i="7"/>
  <c r="D115" i="12"/>
  <c r="D117" i="12"/>
  <c r="D116" i="12"/>
  <c r="F146" i="7"/>
  <c r="C24" i="9"/>
  <c r="J9" i="9"/>
  <c r="E147" i="7"/>
  <c r="F147" i="7"/>
  <c r="C98" i="12"/>
  <c r="B14" i="1"/>
  <c r="E68" i="7"/>
  <c r="F144" i="7"/>
  <c r="E74" i="7"/>
  <c r="F75" i="7"/>
  <c r="H29" i="42"/>
  <c r="J27" i="42"/>
  <c r="H13" i="4"/>
  <c r="L29" i="42"/>
  <c r="F73" i="35"/>
  <c r="G73" i="35"/>
  <c r="N29" i="42"/>
  <c r="H27" i="42"/>
  <c r="J30" i="42"/>
  <c r="E24" i="42"/>
  <c r="G25" i="6"/>
  <c r="E23" i="42"/>
  <c r="F49" i="35"/>
  <c r="G49" i="35"/>
  <c r="F95" i="7"/>
  <c r="E94" i="7"/>
  <c r="D183" i="35"/>
  <c r="D104" i="35"/>
  <c r="D92" i="35"/>
  <c r="D89" i="35"/>
  <c r="D105" i="35"/>
  <c r="D121" i="35"/>
  <c r="D137" i="35"/>
  <c r="D153" i="35"/>
  <c r="D169" i="35"/>
  <c r="D185" i="35"/>
  <c r="D79" i="35"/>
  <c r="D98" i="35"/>
  <c r="D114" i="35"/>
  <c r="D130" i="35"/>
  <c r="D146" i="35"/>
  <c r="D162" i="35"/>
  <c r="D178" i="35"/>
  <c r="D194" i="35"/>
  <c r="D84" i="35"/>
  <c r="D131" i="35"/>
  <c r="D164" i="35"/>
  <c r="D95" i="35"/>
  <c r="D87" i="35"/>
  <c r="D175" i="35"/>
  <c r="D128" i="35"/>
  <c r="D91" i="35"/>
  <c r="D179" i="35"/>
  <c r="D132" i="35"/>
  <c r="D156" i="35"/>
  <c r="D168" i="35"/>
  <c r="D147" i="35"/>
  <c r="D195" i="35"/>
  <c r="D111" i="35"/>
  <c r="D184" i="35"/>
  <c r="D115" i="35"/>
  <c r="D160" i="35"/>
  <c r="D97" i="35"/>
  <c r="D113" i="35"/>
  <c r="D129" i="35"/>
  <c r="D145" i="35"/>
  <c r="D161" i="35"/>
  <c r="D177" i="35"/>
  <c r="D193" i="35"/>
  <c r="D90" i="35"/>
  <c r="D106" i="35"/>
  <c r="D122" i="35"/>
  <c r="D138" i="35"/>
  <c r="D154" i="35"/>
  <c r="D170" i="35"/>
  <c r="D186" i="35"/>
  <c r="D159" i="35"/>
  <c r="D108" i="35"/>
  <c r="D88" i="35"/>
  <c r="D119" i="35"/>
  <c r="D96" i="35"/>
  <c r="D176" i="35"/>
  <c r="D123" i="35"/>
  <c r="D100" i="35"/>
  <c r="D172" i="35"/>
  <c r="D155" i="35"/>
  <c r="D144" i="35"/>
  <c r="D192" i="35"/>
  <c r="D151" i="35"/>
  <c r="D163" i="35"/>
  <c r="D101" i="35"/>
  <c r="D133" i="35"/>
  <c r="D165" i="35"/>
  <c r="D81" i="35"/>
  <c r="D110" i="35"/>
  <c r="D142" i="35"/>
  <c r="D174" i="35"/>
  <c r="D187" i="35"/>
  <c r="D135" i="35"/>
  <c r="D80" i="35"/>
  <c r="D116" i="35"/>
  <c r="D167" i="35"/>
  <c r="D85" i="35"/>
  <c r="D117" i="35"/>
  <c r="D149" i="35"/>
  <c r="D181" i="35"/>
  <c r="D94" i="35"/>
  <c r="D126" i="35"/>
  <c r="D158" i="35"/>
  <c r="D190" i="35"/>
  <c r="D127" i="35"/>
  <c r="D180" i="35"/>
  <c r="D112" i="35"/>
  <c r="D139" i="35"/>
  <c r="D188" i="35"/>
  <c r="D93" i="35"/>
  <c r="D157" i="35"/>
  <c r="D102" i="35"/>
  <c r="D166" i="35"/>
  <c r="D140" i="35"/>
  <c r="D148" i="35"/>
  <c r="D171" i="35"/>
  <c r="D125" i="35"/>
  <c r="D189" i="35"/>
  <c r="D134" i="35"/>
  <c r="D82" i="35"/>
  <c r="D103" i="35"/>
  <c r="D143" i="35"/>
  <c r="D136" i="35"/>
  <c r="D173" i="35"/>
  <c r="D182" i="35"/>
  <c r="D109" i="35"/>
  <c r="D118" i="35"/>
  <c r="D99" i="35"/>
  <c r="D152" i="35"/>
  <c r="D150" i="35"/>
  <c r="D83" i="35"/>
  <c r="D191" i="35"/>
  <c r="D124" i="35"/>
  <c r="D141" i="35"/>
  <c r="D107" i="35"/>
  <c r="D120" i="35"/>
  <c r="D86" i="35"/>
  <c r="D62" i="12"/>
  <c r="D99" i="12"/>
  <c r="H8" i="9"/>
  <c r="F85" i="7"/>
  <c r="E84" i="7"/>
  <c r="G68" i="35"/>
  <c r="F68" i="35"/>
  <c r="E122" i="7"/>
  <c r="F122" i="7"/>
  <c r="F123" i="7"/>
  <c r="D58" i="12"/>
  <c r="D59" i="12"/>
  <c r="R13" i="9"/>
  <c r="D20" i="12"/>
  <c r="D136" i="12"/>
  <c r="D63" i="12"/>
  <c r="D100" i="12"/>
  <c r="H9" i="9"/>
  <c r="D46" i="12"/>
  <c r="D10" i="12"/>
  <c r="R11" i="9"/>
  <c r="D47" i="12"/>
  <c r="D21" i="12"/>
  <c r="D19" i="12"/>
  <c r="D24" i="12"/>
  <c r="D26" i="12"/>
  <c r="R8" i="9"/>
  <c r="R10" i="9"/>
  <c r="D50" i="12"/>
  <c r="D57" i="12"/>
  <c r="D51" i="12"/>
  <c r="D13" i="12"/>
  <c r="D12" i="12"/>
  <c r="D48" i="12"/>
  <c r="D87" i="12"/>
  <c r="D16" i="12"/>
  <c r="D17" i="12"/>
  <c r="D15" i="12"/>
  <c r="R7" i="9"/>
  <c r="D49" i="12"/>
  <c r="D175" i="12"/>
  <c r="D11" i="12"/>
  <c r="R12" i="9"/>
  <c r="D86" i="12"/>
  <c r="D132" i="12"/>
  <c r="R9" i="9"/>
  <c r="D54" i="12"/>
  <c r="D44" i="12"/>
  <c r="D176" i="12"/>
  <c r="D133" i="12"/>
  <c r="F74" i="35"/>
  <c r="G74" i="35"/>
  <c r="N141" i="35"/>
  <c r="Q140" i="35"/>
  <c r="K139" i="35"/>
  <c r="I139" i="35"/>
  <c r="L141" i="35"/>
  <c r="D123" i="12"/>
  <c r="H23" i="4"/>
  <c r="F116" i="7"/>
  <c r="E115" i="7"/>
  <c r="F105" i="7"/>
  <c r="E104" i="7"/>
  <c r="F111" i="7"/>
  <c r="E110" i="7"/>
  <c r="G67" i="35"/>
  <c r="F67" i="35"/>
  <c r="F70" i="35"/>
  <c r="G70" i="35"/>
  <c r="D177" i="12"/>
  <c r="G72" i="35"/>
  <c r="F72" i="35"/>
  <c r="D122" i="12"/>
  <c r="D124" i="12"/>
  <c r="F90" i="7"/>
  <c r="E89" i="7"/>
  <c r="F65" i="35"/>
  <c r="G65" i="35"/>
  <c r="E37" i="7"/>
  <c r="F37" i="7"/>
  <c r="F71" i="35"/>
  <c r="G71" i="35"/>
  <c r="F66" i="35"/>
  <c r="G66" i="35"/>
  <c r="F99" i="7"/>
  <c r="E98" i="7"/>
  <c r="F98" i="7"/>
  <c r="O141" i="35"/>
  <c r="Q141" i="35"/>
  <c r="N140" i="35"/>
  <c r="I141" i="35"/>
  <c r="K140" i="35"/>
  <c r="F143" i="7"/>
  <c r="F142" i="7"/>
  <c r="P140" i="35"/>
  <c r="J141" i="35"/>
  <c r="Q139" i="35"/>
  <c r="I140" i="35"/>
  <c r="L140" i="35"/>
  <c r="K141" i="35"/>
  <c r="J140" i="35"/>
  <c r="P141" i="35"/>
  <c r="L139" i="35"/>
  <c r="O140" i="35"/>
  <c r="E73" i="7"/>
  <c r="F73" i="7"/>
  <c r="F74" i="7"/>
  <c r="N139" i="35"/>
  <c r="O139" i="35"/>
  <c r="M141" i="35"/>
  <c r="M140" i="35"/>
  <c r="J139" i="35"/>
  <c r="P139" i="35"/>
  <c r="M139" i="35"/>
  <c r="F130" i="7"/>
  <c r="F137" i="7"/>
  <c r="D108" i="12"/>
  <c r="E132" i="7"/>
  <c r="F132" i="7"/>
  <c r="E31" i="42"/>
  <c r="G32" i="6"/>
  <c r="E32" i="42"/>
  <c r="G33" i="6"/>
  <c r="E30" i="42"/>
  <c r="G31" i="6"/>
  <c r="E28" i="42"/>
  <c r="G29" i="6"/>
  <c r="E29" i="42"/>
  <c r="G30" i="6"/>
  <c r="E26" i="42"/>
  <c r="E27" i="42"/>
  <c r="G28" i="6"/>
  <c r="E25" i="42"/>
  <c r="G26" i="6"/>
  <c r="G24" i="6"/>
  <c r="G27" i="6"/>
  <c r="E109" i="7"/>
  <c r="F110" i="7"/>
  <c r="F84" i="7"/>
  <c r="E83" i="7"/>
  <c r="F83" i="7"/>
  <c r="Q86" i="35"/>
  <c r="M86" i="35"/>
  <c r="J86" i="35"/>
  <c r="L86" i="35"/>
  <c r="K86" i="35"/>
  <c r="O86" i="35"/>
  <c r="I86" i="35"/>
  <c r="P86" i="35"/>
  <c r="N86" i="35"/>
  <c r="I99" i="35"/>
  <c r="M99" i="35"/>
  <c r="J99" i="35"/>
  <c r="P99" i="35"/>
  <c r="K99" i="35"/>
  <c r="N99" i="35"/>
  <c r="O99" i="35"/>
  <c r="Q99" i="35"/>
  <c r="L99" i="35"/>
  <c r="K189" i="35"/>
  <c r="N189" i="35"/>
  <c r="L189" i="35"/>
  <c r="M189" i="35"/>
  <c r="J189" i="35"/>
  <c r="Q189" i="35"/>
  <c r="I189" i="35"/>
  <c r="O189" i="35"/>
  <c r="P189" i="35"/>
  <c r="J188" i="35"/>
  <c r="K188" i="35"/>
  <c r="I188" i="35"/>
  <c r="L188" i="35"/>
  <c r="O188" i="35"/>
  <c r="M188" i="35"/>
  <c r="N188" i="35"/>
  <c r="Q188" i="35"/>
  <c r="P188" i="35"/>
  <c r="L181" i="35"/>
  <c r="P181" i="35"/>
  <c r="M181" i="35"/>
  <c r="O181" i="35"/>
  <c r="J181" i="35"/>
  <c r="K181" i="35"/>
  <c r="I181" i="35"/>
  <c r="Q181" i="35"/>
  <c r="N181" i="35"/>
  <c r="J101" i="35"/>
  <c r="Q101" i="35"/>
  <c r="L101" i="35"/>
  <c r="K101" i="35"/>
  <c r="O101" i="35"/>
  <c r="M101" i="35"/>
  <c r="N101" i="35"/>
  <c r="I101" i="35"/>
  <c r="P101" i="35"/>
  <c r="N192" i="35"/>
  <c r="O192" i="35"/>
  <c r="M192" i="35"/>
  <c r="Q192" i="35"/>
  <c r="P192" i="35"/>
  <c r="K192" i="35"/>
  <c r="I192" i="35"/>
  <c r="J192" i="35"/>
  <c r="L192" i="35"/>
  <c r="Q119" i="35"/>
  <c r="I119" i="35"/>
  <c r="K119" i="35"/>
  <c r="J119" i="35"/>
  <c r="O119" i="35"/>
  <c r="N119" i="35"/>
  <c r="P119" i="35"/>
  <c r="L119" i="35"/>
  <c r="M119" i="35"/>
  <c r="Q122" i="35"/>
  <c r="L122" i="35"/>
  <c r="P122" i="35"/>
  <c r="I122" i="35"/>
  <c r="M122" i="35"/>
  <c r="N122" i="35"/>
  <c r="O122" i="35"/>
  <c r="K122" i="35"/>
  <c r="J122" i="35"/>
  <c r="L177" i="35"/>
  <c r="Q177" i="35"/>
  <c r="M177" i="35"/>
  <c r="J177" i="35"/>
  <c r="I177" i="35"/>
  <c r="O177" i="35"/>
  <c r="N177" i="35"/>
  <c r="K177" i="35"/>
  <c r="P177" i="35"/>
  <c r="K111" i="35"/>
  <c r="P111" i="35"/>
  <c r="J111" i="35"/>
  <c r="O111" i="35"/>
  <c r="M111" i="35"/>
  <c r="Q111" i="35"/>
  <c r="L111" i="35"/>
  <c r="N111" i="35"/>
  <c r="I111" i="35"/>
  <c r="M179" i="35"/>
  <c r="P179" i="35"/>
  <c r="L179" i="35"/>
  <c r="Q179" i="35"/>
  <c r="I179" i="35"/>
  <c r="J179" i="35"/>
  <c r="K179" i="35"/>
  <c r="O179" i="35"/>
  <c r="N179" i="35"/>
  <c r="N84" i="35"/>
  <c r="J84" i="35"/>
  <c r="Q84" i="35"/>
  <c r="L84" i="35"/>
  <c r="M84" i="35"/>
  <c r="P84" i="35"/>
  <c r="K84" i="35"/>
  <c r="I84" i="35"/>
  <c r="O84" i="35"/>
  <c r="L79" i="35"/>
  <c r="M79" i="35"/>
  <c r="K79" i="35"/>
  <c r="J79" i="35"/>
  <c r="P79" i="35"/>
  <c r="I79" i="35"/>
  <c r="Q79" i="35"/>
  <c r="N79" i="35"/>
  <c r="O79" i="35"/>
  <c r="E66" i="7"/>
  <c r="F45" i="7"/>
  <c r="E38" i="7"/>
  <c r="F38" i="7"/>
  <c r="F46" i="7"/>
  <c r="F47" i="7"/>
  <c r="H19" i="4"/>
  <c r="E27" i="7"/>
  <c r="F27" i="7"/>
  <c r="N120" i="35"/>
  <c r="P120" i="35"/>
  <c r="J120" i="35"/>
  <c r="O120" i="35"/>
  <c r="L120" i="35"/>
  <c r="I120" i="35"/>
  <c r="Q120" i="35"/>
  <c r="M120" i="35"/>
  <c r="K120" i="35"/>
  <c r="Q191" i="35"/>
  <c r="N191" i="35"/>
  <c r="P191" i="35"/>
  <c r="I191" i="35"/>
  <c r="M191" i="35"/>
  <c r="K191" i="35"/>
  <c r="O191" i="35"/>
  <c r="L191" i="35"/>
  <c r="J191" i="35"/>
  <c r="P118" i="35"/>
  <c r="J118" i="35"/>
  <c r="N118" i="35"/>
  <c r="K118" i="35"/>
  <c r="O118" i="35"/>
  <c r="I118" i="35"/>
  <c r="L118" i="35"/>
  <c r="Q118" i="35"/>
  <c r="M118" i="35"/>
  <c r="M148" i="35"/>
  <c r="N148" i="35"/>
  <c r="O148" i="35"/>
  <c r="P148" i="35"/>
  <c r="K148" i="35"/>
  <c r="J148" i="35"/>
  <c r="Q148" i="35"/>
  <c r="L148" i="35"/>
  <c r="I148" i="35"/>
  <c r="M149" i="35"/>
  <c r="Q149" i="35"/>
  <c r="P149" i="35"/>
  <c r="I149" i="35"/>
  <c r="J149" i="35"/>
  <c r="O149" i="35"/>
  <c r="K149" i="35"/>
  <c r="N149" i="35"/>
  <c r="L149" i="35"/>
  <c r="Q81" i="35"/>
  <c r="L81" i="35"/>
  <c r="M81" i="35"/>
  <c r="J81" i="35"/>
  <c r="I81" i="35"/>
  <c r="K81" i="35"/>
  <c r="N81" i="35"/>
  <c r="P81" i="35"/>
  <c r="O81" i="35"/>
  <c r="Q144" i="35"/>
  <c r="M144" i="35"/>
  <c r="I144" i="35"/>
  <c r="P144" i="35"/>
  <c r="K144" i="35"/>
  <c r="O144" i="35"/>
  <c r="J144" i="35"/>
  <c r="L144" i="35"/>
  <c r="N144" i="35"/>
  <c r="L172" i="35"/>
  <c r="K172" i="35"/>
  <c r="M172" i="35"/>
  <c r="I172" i="35"/>
  <c r="P172" i="35"/>
  <c r="N172" i="35"/>
  <c r="Q172" i="35"/>
  <c r="O172" i="35"/>
  <c r="J172" i="35"/>
  <c r="M106" i="35"/>
  <c r="J106" i="35"/>
  <c r="I106" i="35"/>
  <c r="K106" i="35"/>
  <c r="P106" i="35"/>
  <c r="Q106" i="35"/>
  <c r="O106" i="35"/>
  <c r="N106" i="35"/>
  <c r="L106" i="35"/>
  <c r="Q161" i="35"/>
  <c r="O161" i="35"/>
  <c r="I161" i="35"/>
  <c r="M161" i="35"/>
  <c r="N161" i="35"/>
  <c r="L161" i="35"/>
  <c r="J161" i="35"/>
  <c r="K161" i="35"/>
  <c r="P161" i="35"/>
  <c r="L175" i="35"/>
  <c r="N175" i="35"/>
  <c r="K175" i="35"/>
  <c r="P175" i="35"/>
  <c r="Q175" i="35"/>
  <c r="I175" i="35"/>
  <c r="O175" i="35"/>
  <c r="M175" i="35"/>
  <c r="J175" i="35"/>
  <c r="O164" i="35"/>
  <c r="Q164" i="35"/>
  <c r="P164" i="35"/>
  <c r="L164" i="35"/>
  <c r="M164" i="35"/>
  <c r="N164" i="35"/>
  <c r="K164" i="35"/>
  <c r="J164" i="35"/>
  <c r="I164" i="35"/>
  <c r="K130" i="35"/>
  <c r="L130" i="35"/>
  <c r="Q130" i="35"/>
  <c r="M130" i="35"/>
  <c r="P130" i="35"/>
  <c r="O130" i="35"/>
  <c r="J130" i="35"/>
  <c r="I130" i="35"/>
  <c r="N130" i="35"/>
  <c r="Q185" i="35"/>
  <c r="I185" i="35"/>
  <c r="N185" i="35"/>
  <c r="P185" i="35"/>
  <c r="K185" i="35"/>
  <c r="J185" i="35"/>
  <c r="M185" i="35"/>
  <c r="O185" i="35"/>
  <c r="L185" i="35"/>
  <c r="K83" i="35"/>
  <c r="N83" i="35"/>
  <c r="M83" i="35"/>
  <c r="Q83" i="35"/>
  <c r="I83" i="35"/>
  <c r="J83" i="35"/>
  <c r="L83" i="35"/>
  <c r="P83" i="35"/>
  <c r="O83" i="35"/>
  <c r="P152" i="35"/>
  <c r="N152" i="35"/>
  <c r="L152" i="35"/>
  <c r="I152" i="35"/>
  <c r="Q152" i="35"/>
  <c r="K152" i="35"/>
  <c r="M152" i="35"/>
  <c r="O152" i="35"/>
  <c r="J152" i="35"/>
  <c r="P109" i="35"/>
  <c r="N109" i="35"/>
  <c r="J109" i="35"/>
  <c r="I109" i="35"/>
  <c r="Q109" i="35"/>
  <c r="M109" i="35"/>
  <c r="K109" i="35"/>
  <c r="L109" i="35"/>
  <c r="O109" i="35"/>
  <c r="M136" i="35"/>
  <c r="L136" i="35"/>
  <c r="I136" i="35"/>
  <c r="K136" i="35"/>
  <c r="P136" i="35"/>
  <c r="J136" i="35"/>
  <c r="N136" i="35"/>
  <c r="O136" i="35"/>
  <c r="Q136" i="35"/>
  <c r="N143" i="35"/>
  <c r="M143" i="35"/>
  <c r="I143" i="35"/>
  <c r="L143" i="35"/>
  <c r="Q143" i="35"/>
  <c r="K143" i="35"/>
  <c r="J143" i="35"/>
  <c r="O143" i="35"/>
  <c r="P143" i="35"/>
  <c r="N103" i="35"/>
  <c r="O103" i="35"/>
  <c r="P103" i="35"/>
  <c r="L103" i="35"/>
  <c r="Q103" i="35"/>
  <c r="I103" i="35"/>
  <c r="J103" i="35"/>
  <c r="M103" i="35"/>
  <c r="K103" i="35"/>
  <c r="I82" i="35"/>
  <c r="K82" i="35"/>
  <c r="P82" i="35"/>
  <c r="M82" i="35"/>
  <c r="L82" i="35"/>
  <c r="N82" i="35"/>
  <c r="J82" i="35"/>
  <c r="Q82" i="35"/>
  <c r="O82" i="35"/>
  <c r="P171" i="35"/>
  <c r="K171" i="35"/>
  <c r="M171" i="35"/>
  <c r="L171" i="35"/>
  <c r="O171" i="35"/>
  <c r="J171" i="35"/>
  <c r="N171" i="35"/>
  <c r="I171" i="35"/>
  <c r="Q171" i="35"/>
  <c r="P166" i="35"/>
  <c r="N166" i="35"/>
  <c r="O166" i="35"/>
  <c r="J166" i="35"/>
  <c r="K166" i="35"/>
  <c r="I166" i="35"/>
  <c r="Q166" i="35"/>
  <c r="L166" i="35"/>
  <c r="M166" i="35"/>
  <c r="L126" i="35"/>
  <c r="K126" i="35"/>
  <c r="J126" i="35"/>
  <c r="N126" i="35"/>
  <c r="M126" i="35"/>
  <c r="I126" i="35"/>
  <c r="O126" i="35"/>
  <c r="Q126" i="35"/>
  <c r="P126" i="35"/>
  <c r="I117" i="35"/>
  <c r="K117" i="35"/>
  <c r="L117" i="35"/>
  <c r="O117" i="35"/>
  <c r="M117" i="35"/>
  <c r="N117" i="35"/>
  <c r="P117" i="35"/>
  <c r="Q117" i="35"/>
  <c r="J117" i="35"/>
  <c r="P116" i="35"/>
  <c r="J116" i="35"/>
  <c r="M116" i="35"/>
  <c r="Q116" i="35"/>
  <c r="I116" i="35"/>
  <c r="K116" i="35"/>
  <c r="L116" i="35"/>
  <c r="O116" i="35"/>
  <c r="N116" i="35"/>
  <c r="M187" i="35"/>
  <c r="Q187" i="35"/>
  <c r="J187" i="35"/>
  <c r="L187" i="35"/>
  <c r="O187" i="35"/>
  <c r="K187" i="35"/>
  <c r="P187" i="35"/>
  <c r="I187" i="35"/>
  <c r="N187" i="35"/>
  <c r="I174" i="35"/>
  <c r="Q174" i="35"/>
  <c r="M174" i="35"/>
  <c r="K174" i="35"/>
  <c r="O174" i="35"/>
  <c r="P174" i="35"/>
  <c r="L174" i="35"/>
  <c r="J174" i="35"/>
  <c r="N174" i="35"/>
  <c r="M165" i="35"/>
  <c r="N165" i="35"/>
  <c r="Q165" i="35"/>
  <c r="P165" i="35"/>
  <c r="L165" i="35"/>
  <c r="I165" i="35"/>
  <c r="O165" i="35"/>
  <c r="J165" i="35"/>
  <c r="K165" i="35"/>
  <c r="N163" i="35"/>
  <c r="J163" i="35"/>
  <c r="P163" i="35"/>
  <c r="K163" i="35"/>
  <c r="Q163" i="35"/>
  <c r="O163" i="35"/>
  <c r="M163" i="35"/>
  <c r="L163" i="35"/>
  <c r="I163" i="35"/>
  <c r="K100" i="35"/>
  <c r="Q100" i="35"/>
  <c r="J100" i="35"/>
  <c r="M100" i="35"/>
  <c r="N100" i="35"/>
  <c r="I100" i="35"/>
  <c r="P100" i="35"/>
  <c r="L100" i="35"/>
  <c r="O100" i="35"/>
  <c r="K176" i="35"/>
  <c r="P176" i="35"/>
  <c r="I176" i="35"/>
  <c r="M176" i="35"/>
  <c r="N176" i="35"/>
  <c r="Q176" i="35"/>
  <c r="L176" i="35"/>
  <c r="J176" i="35"/>
  <c r="O176" i="35"/>
  <c r="J108" i="35"/>
  <c r="N108" i="35"/>
  <c r="Q108" i="35"/>
  <c r="P108" i="35"/>
  <c r="K108" i="35"/>
  <c r="L108" i="35"/>
  <c r="I108" i="35"/>
  <c r="M108" i="35"/>
  <c r="O108" i="35"/>
  <c r="J154" i="35"/>
  <c r="M154" i="35"/>
  <c r="N154" i="35"/>
  <c r="P154" i="35"/>
  <c r="I154" i="35"/>
  <c r="K154" i="35"/>
  <c r="Q154" i="35"/>
  <c r="L154" i="35"/>
  <c r="O154" i="35"/>
  <c r="I90" i="35"/>
  <c r="M90" i="35"/>
  <c r="L90" i="35"/>
  <c r="Q90" i="35"/>
  <c r="N90" i="35"/>
  <c r="J90" i="35"/>
  <c r="K90" i="35"/>
  <c r="O90" i="35"/>
  <c r="P90" i="35"/>
  <c r="P145" i="35"/>
  <c r="M145" i="35"/>
  <c r="K145" i="35"/>
  <c r="Q145" i="35"/>
  <c r="L145" i="35"/>
  <c r="O145" i="35"/>
  <c r="J145" i="35"/>
  <c r="N145" i="35"/>
  <c r="I145" i="35"/>
  <c r="M115" i="35"/>
  <c r="Q115" i="35"/>
  <c r="N115" i="35"/>
  <c r="O115" i="35"/>
  <c r="J115" i="35"/>
  <c r="K115" i="35"/>
  <c r="P115" i="35"/>
  <c r="L115" i="35"/>
  <c r="I115" i="35"/>
  <c r="I168" i="35"/>
  <c r="O168" i="35"/>
  <c r="K168" i="35"/>
  <c r="N168" i="35"/>
  <c r="J168" i="35"/>
  <c r="P168" i="35"/>
  <c r="Q168" i="35"/>
  <c r="M168" i="35"/>
  <c r="L168" i="35"/>
  <c r="N87" i="35"/>
  <c r="O87" i="35"/>
  <c r="Q87" i="35"/>
  <c r="M87" i="35"/>
  <c r="J87" i="35"/>
  <c r="I87" i="35"/>
  <c r="P87" i="35"/>
  <c r="K87" i="35"/>
  <c r="L87" i="35"/>
  <c r="K178" i="35"/>
  <c r="I178" i="35"/>
  <c r="N178" i="35"/>
  <c r="M178" i="35"/>
  <c r="Q178" i="35"/>
  <c r="O178" i="35"/>
  <c r="L178" i="35"/>
  <c r="J178" i="35"/>
  <c r="P178" i="35"/>
  <c r="P114" i="35"/>
  <c r="M114" i="35"/>
  <c r="Q114" i="35"/>
  <c r="J114" i="35"/>
  <c r="I114" i="35"/>
  <c r="N114" i="35"/>
  <c r="L114" i="35"/>
  <c r="O114" i="35"/>
  <c r="K114" i="35"/>
  <c r="J169" i="35"/>
  <c r="O169" i="35"/>
  <c r="Q169" i="35"/>
  <c r="M169" i="35"/>
  <c r="N169" i="35"/>
  <c r="L169" i="35"/>
  <c r="K169" i="35"/>
  <c r="I169" i="35"/>
  <c r="P169" i="35"/>
  <c r="N105" i="35"/>
  <c r="I105" i="35"/>
  <c r="Q105" i="35"/>
  <c r="K105" i="35"/>
  <c r="L105" i="35"/>
  <c r="M105" i="35"/>
  <c r="J105" i="35"/>
  <c r="O105" i="35"/>
  <c r="P105" i="35"/>
  <c r="O92" i="35"/>
  <c r="M92" i="35"/>
  <c r="K92" i="35"/>
  <c r="Q92" i="35"/>
  <c r="I92" i="35"/>
  <c r="J92" i="35"/>
  <c r="L92" i="35"/>
  <c r="N92" i="35"/>
  <c r="P92" i="35"/>
  <c r="M183" i="35"/>
  <c r="I183" i="35"/>
  <c r="P183" i="35"/>
  <c r="N183" i="35"/>
  <c r="Q183" i="35"/>
  <c r="L183" i="35"/>
  <c r="J183" i="35"/>
  <c r="K183" i="35"/>
  <c r="O183" i="35"/>
  <c r="F64" i="35"/>
  <c r="G64" i="35"/>
  <c r="F54" i="35"/>
  <c r="G54" i="35"/>
  <c r="F51" i="35"/>
  <c r="G51" i="35"/>
  <c r="K124" i="35"/>
  <c r="P124" i="35"/>
  <c r="N124" i="35"/>
  <c r="L124" i="35"/>
  <c r="J124" i="35"/>
  <c r="I124" i="35"/>
  <c r="O124" i="35"/>
  <c r="M124" i="35"/>
  <c r="Q124" i="35"/>
  <c r="P182" i="35"/>
  <c r="N182" i="35"/>
  <c r="L182" i="35"/>
  <c r="I182" i="35"/>
  <c r="J182" i="35"/>
  <c r="Q182" i="35"/>
  <c r="O182" i="35"/>
  <c r="K182" i="35"/>
  <c r="M182" i="35"/>
  <c r="N157" i="35"/>
  <c r="P157" i="35"/>
  <c r="L157" i="35"/>
  <c r="J157" i="35"/>
  <c r="I157" i="35"/>
  <c r="Q157" i="35"/>
  <c r="K157" i="35"/>
  <c r="M157" i="35"/>
  <c r="O157" i="35"/>
  <c r="K190" i="35"/>
  <c r="Q190" i="35"/>
  <c r="J190" i="35"/>
  <c r="M190" i="35"/>
  <c r="L190" i="35"/>
  <c r="I190" i="35"/>
  <c r="P190" i="35"/>
  <c r="N190" i="35"/>
  <c r="O190" i="35"/>
  <c r="I80" i="35"/>
  <c r="K80" i="35"/>
  <c r="N80" i="35"/>
  <c r="J80" i="35"/>
  <c r="L80" i="35"/>
  <c r="P80" i="35"/>
  <c r="O80" i="35"/>
  <c r="Q80" i="35"/>
  <c r="M80" i="35"/>
  <c r="O110" i="35"/>
  <c r="Q110" i="35"/>
  <c r="M110" i="35"/>
  <c r="N110" i="35"/>
  <c r="L110" i="35"/>
  <c r="J110" i="35"/>
  <c r="K110" i="35"/>
  <c r="I110" i="35"/>
  <c r="P110" i="35"/>
  <c r="N186" i="35"/>
  <c r="I186" i="35"/>
  <c r="P186" i="35"/>
  <c r="L186" i="35"/>
  <c r="J186" i="35"/>
  <c r="M186" i="35"/>
  <c r="K186" i="35"/>
  <c r="O186" i="35"/>
  <c r="Q186" i="35"/>
  <c r="Q113" i="35"/>
  <c r="K113" i="35"/>
  <c r="L113" i="35"/>
  <c r="J113" i="35"/>
  <c r="P113" i="35"/>
  <c r="N113" i="35"/>
  <c r="O113" i="35"/>
  <c r="I113" i="35"/>
  <c r="M113" i="35"/>
  <c r="K195" i="35"/>
  <c r="Q195" i="35"/>
  <c r="N195" i="35"/>
  <c r="M195" i="35"/>
  <c r="I195" i="35"/>
  <c r="P195" i="35"/>
  <c r="O195" i="35"/>
  <c r="L195" i="35"/>
  <c r="J195" i="35"/>
  <c r="O128" i="35"/>
  <c r="N128" i="35"/>
  <c r="P128" i="35"/>
  <c r="I128" i="35"/>
  <c r="K128" i="35"/>
  <c r="Q128" i="35"/>
  <c r="J128" i="35"/>
  <c r="L128" i="35"/>
  <c r="M128" i="35"/>
  <c r="J95" i="35"/>
  <c r="N95" i="35"/>
  <c r="K95" i="35"/>
  <c r="O95" i="35"/>
  <c r="P95" i="35"/>
  <c r="L95" i="35"/>
  <c r="Q95" i="35"/>
  <c r="I95" i="35"/>
  <c r="M95" i="35"/>
  <c r="J146" i="35"/>
  <c r="K146" i="35"/>
  <c r="L146" i="35"/>
  <c r="Q146" i="35"/>
  <c r="O146" i="35"/>
  <c r="P146" i="35"/>
  <c r="N146" i="35"/>
  <c r="I146" i="35"/>
  <c r="M146" i="35"/>
  <c r="J137" i="35"/>
  <c r="L137" i="35"/>
  <c r="P137" i="35"/>
  <c r="Q137" i="35"/>
  <c r="N137" i="35"/>
  <c r="M137" i="35"/>
  <c r="K137" i="35"/>
  <c r="O137" i="35"/>
  <c r="I137" i="35"/>
  <c r="I104" i="35"/>
  <c r="N104" i="35"/>
  <c r="J104" i="35"/>
  <c r="O104" i="35"/>
  <c r="Q104" i="35"/>
  <c r="K104" i="35"/>
  <c r="P104" i="35"/>
  <c r="L104" i="35"/>
  <c r="M104" i="35"/>
  <c r="F94" i="7"/>
  <c r="E93" i="7"/>
  <c r="F93" i="7"/>
  <c r="F60" i="35"/>
  <c r="G60" i="35"/>
  <c r="F50" i="35"/>
  <c r="G50" i="35"/>
  <c r="F59" i="35"/>
  <c r="G59" i="35"/>
  <c r="F57" i="35"/>
  <c r="G57" i="35"/>
  <c r="E103" i="7"/>
  <c r="F103" i="7"/>
  <c r="F104" i="7"/>
  <c r="O173" i="35"/>
  <c r="N173" i="35"/>
  <c r="K173" i="35"/>
  <c r="M173" i="35"/>
  <c r="I173" i="35"/>
  <c r="J173" i="35"/>
  <c r="P173" i="35"/>
  <c r="Q173" i="35"/>
  <c r="L173" i="35"/>
  <c r="M125" i="35"/>
  <c r="L125" i="35"/>
  <c r="K125" i="35"/>
  <c r="Q125" i="35"/>
  <c r="O125" i="35"/>
  <c r="I125" i="35"/>
  <c r="P125" i="35"/>
  <c r="N125" i="35"/>
  <c r="J125" i="35"/>
  <c r="K93" i="35"/>
  <c r="I93" i="35"/>
  <c r="O93" i="35"/>
  <c r="N93" i="35"/>
  <c r="J93" i="35"/>
  <c r="Q93" i="35"/>
  <c r="M93" i="35"/>
  <c r="L93" i="35"/>
  <c r="P93" i="35"/>
  <c r="N180" i="35"/>
  <c r="P180" i="35"/>
  <c r="I180" i="35"/>
  <c r="Q180" i="35"/>
  <c r="M180" i="35"/>
  <c r="J180" i="35"/>
  <c r="L180" i="35"/>
  <c r="K180" i="35"/>
  <c r="O180" i="35"/>
  <c r="O158" i="35"/>
  <c r="P158" i="35"/>
  <c r="N158" i="35"/>
  <c r="L158" i="35"/>
  <c r="I158" i="35"/>
  <c r="Q158" i="35"/>
  <c r="J158" i="35"/>
  <c r="K158" i="35"/>
  <c r="M158" i="35"/>
  <c r="L135" i="35"/>
  <c r="Q135" i="35"/>
  <c r="M135" i="35"/>
  <c r="I135" i="35"/>
  <c r="P135" i="35"/>
  <c r="K135" i="35"/>
  <c r="O135" i="35"/>
  <c r="N135" i="35"/>
  <c r="J135" i="35"/>
  <c r="K155" i="35"/>
  <c r="N155" i="35"/>
  <c r="Q155" i="35"/>
  <c r="L155" i="35"/>
  <c r="P155" i="35"/>
  <c r="I155" i="35"/>
  <c r="M155" i="35"/>
  <c r="O155" i="35"/>
  <c r="J155" i="35"/>
  <c r="K170" i="35"/>
  <c r="Q170" i="35"/>
  <c r="L170" i="35"/>
  <c r="P170" i="35"/>
  <c r="N170" i="35"/>
  <c r="O170" i="35"/>
  <c r="M170" i="35"/>
  <c r="J170" i="35"/>
  <c r="I170" i="35"/>
  <c r="I97" i="35"/>
  <c r="P97" i="35"/>
  <c r="N97" i="35"/>
  <c r="O97" i="35"/>
  <c r="M97" i="35"/>
  <c r="Q97" i="35"/>
  <c r="L97" i="35"/>
  <c r="K97" i="35"/>
  <c r="J97" i="35"/>
  <c r="J160" i="35"/>
  <c r="O160" i="35"/>
  <c r="N160" i="35"/>
  <c r="Q160" i="35"/>
  <c r="M160" i="35"/>
  <c r="I160" i="35"/>
  <c r="P160" i="35"/>
  <c r="K160" i="35"/>
  <c r="L160" i="35"/>
  <c r="M147" i="35"/>
  <c r="N147" i="35"/>
  <c r="Q147" i="35"/>
  <c r="L147" i="35"/>
  <c r="O147" i="35"/>
  <c r="K147" i="35"/>
  <c r="J147" i="35"/>
  <c r="P147" i="35"/>
  <c r="I147" i="35"/>
  <c r="M91" i="35"/>
  <c r="P91" i="35"/>
  <c r="J91" i="35"/>
  <c r="N91" i="35"/>
  <c r="Q91" i="35"/>
  <c r="O91" i="35"/>
  <c r="I91" i="35"/>
  <c r="K91" i="35"/>
  <c r="L91" i="35"/>
  <c r="N194" i="35"/>
  <c r="M194" i="35"/>
  <c r="O194" i="35"/>
  <c r="P194" i="35"/>
  <c r="I194" i="35"/>
  <c r="Q194" i="35"/>
  <c r="J194" i="35"/>
  <c r="L194" i="35"/>
  <c r="K194" i="35"/>
  <c r="M121" i="35"/>
  <c r="L121" i="35"/>
  <c r="K121" i="35"/>
  <c r="J121" i="35"/>
  <c r="N121" i="35"/>
  <c r="Q121" i="35"/>
  <c r="O121" i="35"/>
  <c r="I121" i="35"/>
  <c r="P121" i="35"/>
  <c r="G56" i="35"/>
  <c r="F56" i="35"/>
  <c r="G62" i="35"/>
  <c r="F62" i="35"/>
  <c r="F55" i="35"/>
  <c r="G55" i="35"/>
  <c r="G53" i="35"/>
  <c r="F53" i="35"/>
  <c r="F44" i="7"/>
  <c r="F89" i="7"/>
  <c r="E88" i="7"/>
  <c r="F88" i="7"/>
  <c r="F115" i="7"/>
  <c r="E114" i="7"/>
  <c r="K107" i="35"/>
  <c r="P107" i="35"/>
  <c r="L107" i="35"/>
  <c r="N107" i="35"/>
  <c r="M107" i="35"/>
  <c r="J107" i="35"/>
  <c r="Q107" i="35"/>
  <c r="I107" i="35"/>
  <c r="O107" i="35"/>
  <c r="Q150" i="35"/>
  <c r="O150" i="35"/>
  <c r="K150" i="35"/>
  <c r="J150" i="35"/>
  <c r="L150" i="35"/>
  <c r="P150" i="35"/>
  <c r="N150" i="35"/>
  <c r="I150" i="35"/>
  <c r="M150" i="35"/>
  <c r="J134" i="35"/>
  <c r="L134" i="35"/>
  <c r="N134" i="35"/>
  <c r="Q134" i="35"/>
  <c r="O134" i="35"/>
  <c r="P134" i="35"/>
  <c r="I134" i="35"/>
  <c r="K134" i="35"/>
  <c r="M134" i="35"/>
  <c r="M102" i="35"/>
  <c r="I102" i="35"/>
  <c r="K102" i="35"/>
  <c r="Q102" i="35"/>
  <c r="O102" i="35"/>
  <c r="J102" i="35"/>
  <c r="L102" i="35"/>
  <c r="P102" i="35"/>
  <c r="N102" i="35"/>
  <c r="P112" i="35"/>
  <c r="I112" i="35"/>
  <c r="J112" i="35"/>
  <c r="O112" i="35"/>
  <c r="L112" i="35"/>
  <c r="N112" i="35"/>
  <c r="K112" i="35"/>
  <c r="M112" i="35"/>
  <c r="Q112" i="35"/>
  <c r="P127" i="35"/>
  <c r="L127" i="35"/>
  <c r="J127" i="35"/>
  <c r="M127" i="35"/>
  <c r="N127" i="35"/>
  <c r="I127" i="35"/>
  <c r="K127" i="35"/>
  <c r="Q127" i="35"/>
  <c r="O127" i="35"/>
  <c r="J94" i="35"/>
  <c r="L94" i="35"/>
  <c r="N94" i="35"/>
  <c r="I94" i="35"/>
  <c r="P94" i="35"/>
  <c r="K94" i="35"/>
  <c r="O94" i="35"/>
  <c r="Q94" i="35"/>
  <c r="M94" i="35"/>
  <c r="N85" i="35"/>
  <c r="J85" i="35"/>
  <c r="K85" i="35"/>
  <c r="M85" i="35"/>
  <c r="Q85" i="35"/>
  <c r="L85" i="35"/>
  <c r="O85" i="35"/>
  <c r="P85" i="35"/>
  <c r="I85" i="35"/>
  <c r="J167" i="35"/>
  <c r="M167" i="35"/>
  <c r="P167" i="35"/>
  <c r="L167" i="35"/>
  <c r="O167" i="35"/>
  <c r="K167" i="35"/>
  <c r="N167" i="35"/>
  <c r="I167" i="35"/>
  <c r="Q167" i="35"/>
  <c r="O142" i="35"/>
  <c r="M142" i="35"/>
  <c r="P142" i="35"/>
  <c r="I142" i="35"/>
  <c r="Q142" i="35"/>
  <c r="K142" i="35"/>
  <c r="J142" i="35"/>
  <c r="L142" i="35"/>
  <c r="N142" i="35"/>
  <c r="Q133" i="35"/>
  <c r="O133" i="35"/>
  <c r="K133" i="35"/>
  <c r="J133" i="35"/>
  <c r="P133" i="35"/>
  <c r="I133" i="35"/>
  <c r="N133" i="35"/>
  <c r="L133" i="35"/>
  <c r="M133" i="35"/>
  <c r="O151" i="35"/>
  <c r="J151" i="35"/>
  <c r="Q151" i="35"/>
  <c r="N151" i="35"/>
  <c r="L151" i="35"/>
  <c r="P151" i="35"/>
  <c r="K151" i="35"/>
  <c r="M151" i="35"/>
  <c r="I151" i="35"/>
  <c r="J123" i="35"/>
  <c r="P123" i="35"/>
  <c r="Q123" i="35"/>
  <c r="M123" i="35"/>
  <c r="K123" i="35"/>
  <c r="O123" i="35"/>
  <c r="L123" i="35"/>
  <c r="I123" i="35"/>
  <c r="N123" i="35"/>
  <c r="I96" i="35"/>
  <c r="O96" i="35"/>
  <c r="N96" i="35"/>
  <c r="K96" i="35"/>
  <c r="Q96" i="35"/>
  <c r="P96" i="35"/>
  <c r="M96" i="35"/>
  <c r="L96" i="35"/>
  <c r="J96" i="35"/>
  <c r="O88" i="35"/>
  <c r="N88" i="35"/>
  <c r="Q88" i="35"/>
  <c r="M88" i="35"/>
  <c r="K88" i="35"/>
  <c r="I88" i="35"/>
  <c r="L88" i="35"/>
  <c r="P88" i="35"/>
  <c r="J88" i="35"/>
  <c r="J159" i="35"/>
  <c r="O159" i="35"/>
  <c r="P159" i="35"/>
  <c r="L159" i="35"/>
  <c r="K159" i="35"/>
  <c r="I159" i="35"/>
  <c r="N159" i="35"/>
  <c r="M159" i="35"/>
  <c r="Q159" i="35"/>
  <c r="M138" i="35"/>
  <c r="N138" i="35"/>
  <c r="P138" i="35"/>
  <c r="I138" i="35"/>
  <c r="K138" i="35"/>
  <c r="Q138" i="35"/>
  <c r="O138" i="35"/>
  <c r="L138" i="35"/>
  <c r="J138" i="35"/>
  <c r="O193" i="35"/>
  <c r="L193" i="35"/>
  <c r="K193" i="35"/>
  <c r="J193" i="35"/>
  <c r="M193" i="35"/>
  <c r="N193" i="35"/>
  <c r="I193" i="35"/>
  <c r="P193" i="35"/>
  <c r="Q193" i="35"/>
  <c r="O129" i="35"/>
  <c r="M129" i="35"/>
  <c r="J129" i="35"/>
  <c r="K129" i="35"/>
  <c r="L129" i="35"/>
  <c r="P129" i="35"/>
  <c r="I129" i="35"/>
  <c r="N129" i="35"/>
  <c r="Q129" i="35"/>
  <c r="Q184" i="35"/>
  <c r="J184" i="35"/>
  <c r="K184" i="35"/>
  <c r="M184" i="35"/>
  <c r="O184" i="35"/>
  <c r="P184" i="35"/>
  <c r="I184" i="35"/>
  <c r="L184" i="35"/>
  <c r="N184" i="35"/>
  <c r="K156" i="35"/>
  <c r="M156" i="35"/>
  <c r="P156" i="35"/>
  <c r="N156" i="35"/>
  <c r="J156" i="35"/>
  <c r="Q156" i="35"/>
  <c r="I156" i="35"/>
  <c r="L156" i="35"/>
  <c r="O156" i="35"/>
  <c r="Q132" i="35"/>
  <c r="N132" i="35"/>
  <c r="J132" i="35"/>
  <c r="O132" i="35"/>
  <c r="L132" i="35"/>
  <c r="P132" i="35"/>
  <c r="I132" i="35"/>
  <c r="K132" i="35"/>
  <c r="M132" i="35"/>
  <c r="Q131" i="35"/>
  <c r="P131" i="35"/>
  <c r="K131" i="35"/>
  <c r="N131" i="35"/>
  <c r="O131" i="35"/>
  <c r="M131" i="35"/>
  <c r="L131" i="35"/>
  <c r="I131" i="35"/>
  <c r="J131" i="35"/>
  <c r="Q162" i="35"/>
  <c r="K162" i="35"/>
  <c r="M162" i="35"/>
  <c r="L162" i="35"/>
  <c r="I162" i="35"/>
  <c r="N162" i="35"/>
  <c r="O162" i="35"/>
  <c r="J162" i="35"/>
  <c r="P162" i="35"/>
  <c r="O98" i="35"/>
  <c r="N98" i="35"/>
  <c r="I98" i="35"/>
  <c r="J98" i="35"/>
  <c r="M98" i="35"/>
  <c r="L98" i="35"/>
  <c r="Q98" i="35"/>
  <c r="P98" i="35"/>
  <c r="K98" i="35"/>
  <c r="K153" i="35"/>
  <c r="P153" i="35"/>
  <c r="M153" i="35"/>
  <c r="I153" i="35"/>
  <c r="L153" i="35"/>
  <c r="O153" i="35"/>
  <c r="Q153" i="35"/>
  <c r="J153" i="35"/>
  <c r="N153" i="35"/>
  <c r="I89" i="35"/>
  <c r="L89" i="35"/>
  <c r="J89" i="35"/>
  <c r="N89" i="35"/>
  <c r="P89" i="35"/>
  <c r="K89" i="35"/>
  <c r="M89" i="35"/>
  <c r="Q89" i="35"/>
  <c r="O89" i="35"/>
  <c r="F52" i="35"/>
  <c r="G52" i="35"/>
  <c r="F58" i="35"/>
  <c r="G58" i="35"/>
  <c r="F63" i="35"/>
  <c r="G63" i="35"/>
  <c r="F61" i="35"/>
  <c r="G61" i="35"/>
  <c r="J8" i="9"/>
  <c r="C9" i="9"/>
  <c r="J7" i="9"/>
  <c r="H21" i="4"/>
  <c r="D109" i="12"/>
  <c r="D110" i="12"/>
  <c r="M74" i="35"/>
  <c r="M70" i="35"/>
  <c r="M66" i="35"/>
  <c r="M73" i="35"/>
  <c r="M69" i="35"/>
  <c r="M65" i="35"/>
  <c r="M49" i="35"/>
  <c r="M72" i="35"/>
  <c r="M68" i="35"/>
  <c r="M71" i="35"/>
  <c r="M67" i="35"/>
  <c r="F114" i="7"/>
  <c r="E113" i="7"/>
  <c r="F113" i="7"/>
  <c r="E108" i="7"/>
  <c r="F108" i="7"/>
  <c r="F109" i="7"/>
  <c r="R10" i="12"/>
  <c r="R11" i="12"/>
  <c r="R12" i="12"/>
  <c r="R13" i="12"/>
  <c r="R17" i="12"/>
  <c r="R20" i="12"/>
  <c r="R24" i="12"/>
  <c r="R26" i="12"/>
  <c r="R70" i="12"/>
  <c r="R73" i="12"/>
  <c r="AL163" i="52"/>
  <c r="AL164" i="52"/>
  <c r="AA165" i="52"/>
  <c r="AL165" i="52"/>
  <c r="AA167" i="52"/>
  <c r="AL167" i="52"/>
  <c r="AL168" i="52"/>
  <c r="AL169" i="52"/>
  <c r="AL170" i="52"/>
  <c r="AA171" i="52"/>
  <c r="AL171" i="52"/>
  <c r="AA173" i="52"/>
  <c r="AL173" i="52"/>
  <c r="AL174" i="52"/>
  <c r="AL175" i="52"/>
  <c r="AL176" i="52"/>
  <c r="AA177" i="52"/>
  <c r="AL177" i="52"/>
  <c r="AL183" i="52"/>
  <c r="AL184" i="52"/>
  <c r="AA185" i="52"/>
  <c r="AL185" i="52"/>
  <c r="AA187" i="52"/>
  <c r="AL187" i="52"/>
  <c r="AL188" i="52"/>
  <c r="AL189" i="52"/>
  <c r="AL190" i="52"/>
  <c r="AA191" i="52"/>
  <c r="AL191" i="52"/>
  <c r="AA193" i="52"/>
  <c r="AL193" i="52"/>
  <c r="AL194" i="52"/>
  <c r="AL195" i="52"/>
  <c r="AL196" i="52"/>
  <c r="AA197" i="52"/>
  <c r="AL197" i="52"/>
  <c r="AL203" i="52"/>
  <c r="AL204" i="52"/>
  <c r="AA205" i="52"/>
  <c r="AL205" i="52"/>
  <c r="AA207" i="52"/>
  <c r="AL207" i="52"/>
  <c r="AL208" i="52"/>
  <c r="AL209" i="52"/>
  <c r="AL210" i="52"/>
  <c r="AA211" i="52"/>
  <c r="AL211" i="52"/>
  <c r="AA213" i="52"/>
  <c r="AL213" i="52"/>
  <c r="AL214" i="52"/>
  <c r="AL215" i="52"/>
  <c r="AL216" i="52"/>
  <c r="AA217" i="52"/>
  <c r="AL217" i="52"/>
  <c r="AA219" i="52"/>
  <c r="AL219" i="52"/>
  <c r="AL220" i="52"/>
  <c r="AL221" i="52"/>
  <c r="AL222" i="52"/>
  <c r="AA223" i="52"/>
  <c r="AL223" i="52"/>
  <c r="AL229" i="52"/>
  <c r="AL230" i="52"/>
  <c r="AA231" i="52"/>
  <c r="AL231" i="52"/>
  <c r="AA233" i="52"/>
  <c r="AL233" i="52"/>
  <c r="AL234" i="52"/>
  <c r="AL235" i="52"/>
  <c r="AL236" i="52"/>
  <c r="AA237" i="52"/>
  <c r="AL237" i="52"/>
  <c r="AA239" i="52"/>
  <c r="AL239" i="52"/>
  <c r="AL240" i="52"/>
  <c r="AL241" i="52"/>
  <c r="AL242" i="52"/>
  <c r="AA243" i="52"/>
  <c r="AL243" i="52"/>
  <c r="AL249" i="52"/>
  <c r="AL250" i="52"/>
  <c r="AA251" i="52"/>
  <c r="AL251" i="52"/>
  <c r="AL257" i="52"/>
  <c r="AL258" i="52"/>
  <c r="AA259" i="52"/>
  <c r="AL259" i="52"/>
  <c r="R33" i="12"/>
  <c r="I1338" i="34"/>
  <c r="J1338" i="34"/>
  <c r="K1338" i="34"/>
  <c r="L1338" i="34"/>
  <c r="M1338" i="34"/>
  <c r="N1338" i="34"/>
  <c r="O1338" i="34"/>
  <c r="P1338" i="34"/>
  <c r="Q1338" i="34"/>
  <c r="I1337" i="34"/>
  <c r="I1339" i="34"/>
  <c r="I1341" i="34"/>
  <c r="I1340" i="34"/>
  <c r="I1342" i="34"/>
  <c r="I1351" i="34"/>
  <c r="I1352" i="34"/>
  <c r="J1337" i="34"/>
  <c r="J1339" i="34"/>
  <c r="J1341" i="34"/>
  <c r="J1340" i="34"/>
  <c r="J1342" i="34"/>
  <c r="J1351" i="34"/>
  <c r="J1352" i="34"/>
  <c r="K1337" i="34"/>
  <c r="K1339" i="34"/>
  <c r="K1341" i="34"/>
  <c r="K1340" i="34"/>
  <c r="K1342" i="34"/>
  <c r="K1351" i="34"/>
  <c r="K1352" i="34"/>
  <c r="L1337" i="34"/>
  <c r="L1339" i="34"/>
  <c r="L1341" i="34"/>
  <c r="L1340" i="34"/>
  <c r="L1342" i="34"/>
  <c r="L1351" i="34"/>
  <c r="L1352" i="34"/>
  <c r="M1337" i="34"/>
  <c r="M1339" i="34"/>
  <c r="M1341" i="34"/>
  <c r="M1340" i="34"/>
  <c r="M1342" i="34"/>
  <c r="M1351" i="34"/>
  <c r="M1352" i="34"/>
  <c r="N1337" i="34"/>
  <c r="N1339" i="34"/>
  <c r="N1341" i="34"/>
  <c r="N1340" i="34"/>
  <c r="N1342" i="34"/>
  <c r="N1351" i="34"/>
  <c r="N1352" i="34"/>
  <c r="O1337" i="34"/>
  <c r="O1339" i="34"/>
  <c r="O1341" i="34"/>
  <c r="O1340" i="34"/>
  <c r="O1342" i="34"/>
  <c r="O1351" i="34"/>
  <c r="O1352" i="34"/>
  <c r="P1337" i="34"/>
  <c r="P1339" i="34"/>
  <c r="P1341" i="34"/>
  <c r="P1340" i="34"/>
  <c r="P1342" i="34"/>
  <c r="P1351" i="34"/>
  <c r="P1352" i="34"/>
  <c r="Q1337" i="34"/>
  <c r="Q1339" i="34"/>
  <c r="Q1341" i="34"/>
  <c r="Q1340" i="34"/>
  <c r="Q1342" i="34"/>
  <c r="Q1351" i="34"/>
  <c r="Q1352" i="34"/>
  <c r="I1357" i="34"/>
  <c r="J1357" i="34"/>
  <c r="K1357" i="34"/>
  <c r="L1357" i="34"/>
  <c r="M1357" i="34"/>
  <c r="N1357" i="34"/>
  <c r="O1357" i="34"/>
  <c r="P1357" i="34"/>
  <c r="Q1357" i="34"/>
  <c r="I1358" i="34"/>
  <c r="J1358" i="34"/>
  <c r="K1358" i="34"/>
  <c r="L1358" i="34"/>
  <c r="M1358" i="34"/>
  <c r="N1358" i="34"/>
  <c r="O1358" i="34"/>
  <c r="P1358" i="34"/>
  <c r="Q1358" i="34"/>
  <c r="I1362" i="34"/>
  <c r="J1362" i="34"/>
  <c r="K1362" i="34"/>
  <c r="L1362" i="34"/>
  <c r="M1362" i="34"/>
  <c r="N1362" i="34"/>
  <c r="O1362" i="34"/>
  <c r="P1362" i="34"/>
  <c r="Q1362" i="34"/>
  <c r="I1373" i="34"/>
  <c r="J1373" i="34"/>
  <c r="K1373" i="34"/>
  <c r="L1373" i="34"/>
  <c r="M1373" i="34"/>
  <c r="N1373" i="34"/>
  <c r="O1373" i="34"/>
  <c r="P1373" i="34"/>
  <c r="Q1373" i="34"/>
  <c r="I1374" i="34"/>
  <c r="J1374" i="34"/>
  <c r="K1374" i="34"/>
  <c r="L1374" i="34"/>
  <c r="M1374" i="34"/>
  <c r="N1374" i="34"/>
  <c r="O1374" i="34"/>
  <c r="P1374" i="34"/>
  <c r="Q1374" i="34"/>
  <c r="I1375" i="34"/>
  <c r="J1375" i="34"/>
  <c r="K1375" i="34"/>
  <c r="L1375" i="34"/>
  <c r="M1375" i="34"/>
  <c r="N1375" i="34"/>
  <c r="O1375" i="34"/>
  <c r="P1375" i="34"/>
  <c r="Q1375" i="34"/>
  <c r="I1376" i="34"/>
  <c r="J1376" i="34"/>
  <c r="K1376" i="34"/>
  <c r="L1376" i="34"/>
  <c r="M1376" i="34"/>
  <c r="N1376" i="34"/>
  <c r="O1376" i="34"/>
  <c r="P1376" i="34"/>
  <c r="Q1376" i="34"/>
  <c r="I1377" i="34"/>
  <c r="J1377" i="34"/>
  <c r="K1377" i="34"/>
  <c r="L1377" i="34"/>
  <c r="M1377" i="34"/>
  <c r="N1377" i="34"/>
  <c r="O1377" i="34"/>
  <c r="P1377" i="34"/>
  <c r="Q1377" i="34"/>
  <c r="I1378" i="34"/>
  <c r="J1378" i="34"/>
  <c r="K1378" i="34"/>
  <c r="L1378" i="34"/>
  <c r="M1378" i="34"/>
  <c r="N1378" i="34"/>
  <c r="O1378" i="34"/>
  <c r="P1378" i="34"/>
  <c r="Q1378" i="34"/>
  <c r="I1379" i="34"/>
  <c r="J1379" i="34"/>
  <c r="K1379" i="34"/>
  <c r="L1379" i="34"/>
  <c r="M1379" i="34"/>
  <c r="N1379" i="34"/>
  <c r="O1379" i="34"/>
  <c r="P1379" i="34"/>
  <c r="Q1379" i="34"/>
  <c r="I1380" i="34"/>
  <c r="J1380" i="34"/>
  <c r="K1380" i="34"/>
  <c r="L1380" i="34"/>
  <c r="M1380" i="34"/>
  <c r="N1380" i="34"/>
  <c r="O1380" i="34"/>
  <c r="P1380" i="34"/>
  <c r="Q1380" i="34"/>
  <c r="I1381" i="34"/>
  <c r="J1381" i="34"/>
  <c r="K1381" i="34"/>
  <c r="L1381" i="34"/>
  <c r="M1381" i="34"/>
  <c r="N1381" i="34"/>
  <c r="O1381" i="34"/>
  <c r="P1381" i="34"/>
  <c r="Q1381" i="34"/>
  <c r="I1382" i="34"/>
  <c r="J1382" i="34"/>
  <c r="K1382" i="34"/>
  <c r="L1382" i="34"/>
  <c r="M1382" i="34"/>
  <c r="N1382" i="34"/>
  <c r="O1382" i="34"/>
  <c r="P1382" i="34"/>
  <c r="Q1382" i="34"/>
  <c r="I1383" i="34"/>
  <c r="J1383" i="34"/>
  <c r="K1383" i="34"/>
  <c r="L1383" i="34"/>
  <c r="M1383" i="34"/>
  <c r="N1383" i="34"/>
  <c r="O1383" i="34"/>
  <c r="P1383" i="34"/>
  <c r="Q1383" i="34"/>
  <c r="I1384" i="34"/>
  <c r="J1384" i="34"/>
  <c r="K1384" i="34"/>
  <c r="L1384" i="34"/>
  <c r="M1384" i="34"/>
  <c r="N1384" i="34"/>
  <c r="O1384" i="34"/>
  <c r="P1384" i="34"/>
  <c r="Q1384" i="34"/>
  <c r="I1385" i="34"/>
  <c r="J1385" i="34"/>
  <c r="K1385" i="34"/>
  <c r="L1385" i="34"/>
  <c r="M1385" i="34"/>
  <c r="N1385" i="34"/>
  <c r="O1385" i="34"/>
  <c r="P1385" i="34"/>
  <c r="Q1385" i="34"/>
  <c r="I1386" i="34"/>
  <c r="J1386" i="34"/>
  <c r="K1386" i="34"/>
  <c r="L1386" i="34"/>
  <c r="M1386" i="34"/>
  <c r="N1386" i="34"/>
  <c r="O1386" i="34"/>
  <c r="P1386" i="34"/>
  <c r="Q1386" i="34"/>
  <c r="I1387" i="34"/>
  <c r="J1387" i="34"/>
  <c r="K1387" i="34"/>
  <c r="L1387" i="34"/>
  <c r="M1387" i="34"/>
  <c r="N1387" i="34"/>
  <c r="O1387" i="34"/>
  <c r="P1387" i="34"/>
  <c r="Q1387" i="34"/>
  <c r="I1388" i="34"/>
  <c r="J1388" i="34"/>
  <c r="K1388" i="34"/>
  <c r="L1388" i="34"/>
  <c r="M1388" i="34"/>
  <c r="N1388" i="34"/>
  <c r="O1388" i="34"/>
  <c r="P1388" i="34"/>
  <c r="Q1388" i="34"/>
  <c r="I1389" i="34"/>
  <c r="J1389" i="34"/>
  <c r="K1389" i="34"/>
  <c r="L1389" i="34"/>
  <c r="M1389" i="34"/>
  <c r="N1389" i="34"/>
  <c r="O1389" i="34"/>
  <c r="P1389" i="34"/>
  <c r="Q1389" i="34"/>
  <c r="I1390" i="34"/>
  <c r="J1390" i="34"/>
  <c r="K1390" i="34"/>
  <c r="L1390" i="34"/>
  <c r="M1390" i="34"/>
  <c r="N1390" i="34"/>
  <c r="O1390" i="34"/>
  <c r="P1390" i="34"/>
  <c r="Q1390" i="34"/>
  <c r="I1391" i="34"/>
  <c r="J1391" i="34"/>
  <c r="K1391" i="34"/>
  <c r="L1391" i="34"/>
  <c r="M1391" i="34"/>
  <c r="N1391" i="34"/>
  <c r="O1391" i="34"/>
  <c r="P1391" i="34"/>
  <c r="Q1391" i="34"/>
  <c r="I1392" i="34"/>
  <c r="J1392" i="34"/>
  <c r="K1392" i="34"/>
  <c r="L1392" i="34"/>
  <c r="M1392" i="34"/>
  <c r="N1392" i="34"/>
  <c r="O1392" i="34"/>
  <c r="P1392" i="34"/>
  <c r="Q1392" i="34"/>
  <c r="I1393" i="34"/>
  <c r="J1393" i="34"/>
  <c r="K1393" i="34"/>
  <c r="L1393" i="34"/>
  <c r="M1393" i="34"/>
  <c r="N1393" i="34"/>
  <c r="O1393" i="34"/>
  <c r="P1393" i="34"/>
  <c r="Q1393" i="34"/>
  <c r="I1394" i="34"/>
  <c r="J1394" i="34"/>
  <c r="K1394" i="34"/>
  <c r="L1394" i="34"/>
  <c r="M1394" i="34"/>
  <c r="N1394" i="34"/>
  <c r="O1394" i="34"/>
  <c r="P1394" i="34"/>
  <c r="Q1394" i="34"/>
  <c r="I1395" i="34"/>
  <c r="J1395" i="34"/>
  <c r="K1395" i="34"/>
  <c r="L1395" i="34"/>
  <c r="M1395" i="34"/>
  <c r="N1395" i="34"/>
  <c r="O1395" i="34"/>
  <c r="P1395" i="34"/>
  <c r="Q1395" i="34"/>
  <c r="I1396" i="34"/>
  <c r="J1396" i="34"/>
  <c r="K1396" i="34"/>
  <c r="L1396" i="34"/>
  <c r="M1396" i="34"/>
  <c r="N1396" i="34"/>
  <c r="O1396" i="34"/>
  <c r="P1396" i="34"/>
  <c r="Q1396" i="34"/>
  <c r="I1445" i="34"/>
  <c r="J1445" i="34"/>
  <c r="K1445" i="34"/>
  <c r="L1445" i="34"/>
  <c r="M1445" i="34"/>
  <c r="N1445" i="34"/>
  <c r="O1445" i="34"/>
  <c r="P1445" i="34"/>
  <c r="Q1445" i="34"/>
  <c r="I1446" i="34"/>
  <c r="J1446" i="34"/>
  <c r="K1446" i="34"/>
  <c r="L1446" i="34"/>
  <c r="M1446" i="34"/>
  <c r="N1446" i="34"/>
  <c r="O1446" i="34"/>
  <c r="P1446" i="34"/>
  <c r="Q1446" i="34"/>
  <c r="I1447" i="34"/>
  <c r="J1447" i="34"/>
  <c r="K1447" i="34"/>
  <c r="L1447" i="34"/>
  <c r="M1447" i="34"/>
  <c r="N1447" i="34"/>
  <c r="O1447" i="34"/>
  <c r="P1447" i="34"/>
  <c r="Q1447" i="34"/>
  <c r="I1448" i="34"/>
  <c r="J1448" i="34"/>
  <c r="K1448" i="34"/>
  <c r="L1448" i="34"/>
  <c r="M1448" i="34"/>
  <c r="N1448" i="34"/>
  <c r="O1448" i="34"/>
  <c r="P1448" i="34"/>
  <c r="Q1448" i="34"/>
  <c r="I1449" i="34"/>
  <c r="J1449" i="34"/>
  <c r="K1449" i="34"/>
  <c r="L1449" i="34"/>
  <c r="M1449" i="34"/>
  <c r="N1449" i="34"/>
  <c r="O1449" i="34"/>
  <c r="P1449" i="34"/>
  <c r="Q1449" i="34"/>
  <c r="I1450" i="34"/>
  <c r="J1450" i="34"/>
  <c r="K1450" i="34"/>
  <c r="L1450" i="34"/>
  <c r="M1450" i="34"/>
  <c r="N1450" i="34"/>
  <c r="O1450" i="34"/>
  <c r="P1450" i="34"/>
  <c r="Q1450" i="34"/>
  <c r="I1367" i="34"/>
  <c r="I1368" i="34"/>
  <c r="I1369" i="34"/>
  <c r="I1370" i="34"/>
  <c r="I1371" i="34"/>
  <c r="I1372" i="34"/>
  <c r="I1451" i="34"/>
  <c r="J1367" i="34"/>
  <c r="J1368" i="34"/>
  <c r="J1369" i="34"/>
  <c r="J1370" i="34"/>
  <c r="J1371" i="34"/>
  <c r="J1372" i="34"/>
  <c r="J1451" i="34"/>
  <c r="K1367" i="34"/>
  <c r="K1368" i="34"/>
  <c r="K1369" i="34"/>
  <c r="K1370" i="34"/>
  <c r="K1371" i="34"/>
  <c r="K1372" i="34"/>
  <c r="K1451" i="34"/>
  <c r="L1367" i="34"/>
  <c r="L1368" i="34"/>
  <c r="L1369" i="34"/>
  <c r="L1370" i="34"/>
  <c r="L1371" i="34"/>
  <c r="L1372" i="34"/>
  <c r="L1451" i="34"/>
  <c r="M1367" i="34"/>
  <c r="M1368" i="34"/>
  <c r="M1369" i="34"/>
  <c r="M1370" i="34"/>
  <c r="M1371" i="34"/>
  <c r="M1372" i="34"/>
  <c r="M1451" i="34"/>
  <c r="N1367" i="34"/>
  <c r="N1368" i="34"/>
  <c r="N1369" i="34"/>
  <c r="N1370" i="34"/>
  <c r="N1371" i="34"/>
  <c r="N1372" i="34"/>
  <c r="N1451" i="34"/>
  <c r="O1367" i="34"/>
  <c r="O1368" i="34"/>
  <c r="O1369" i="34"/>
  <c r="O1370" i="34"/>
  <c r="O1371" i="34"/>
  <c r="O1372" i="34"/>
  <c r="O1451" i="34"/>
  <c r="P1367" i="34"/>
  <c r="P1368" i="34"/>
  <c r="P1369" i="34"/>
  <c r="P1370" i="34"/>
  <c r="P1371" i="34"/>
  <c r="P1372" i="34"/>
  <c r="P1451" i="34"/>
  <c r="Q1367" i="34"/>
  <c r="Q1368" i="34"/>
  <c r="Q1369" i="34"/>
  <c r="Q1370" i="34"/>
  <c r="Q1371" i="34"/>
  <c r="Q1372" i="34"/>
  <c r="Q1451" i="34"/>
  <c r="I1458" i="34"/>
  <c r="J1458" i="34"/>
  <c r="K1458" i="34"/>
  <c r="L1458" i="34"/>
  <c r="M1458" i="34"/>
  <c r="N1458" i="34"/>
  <c r="O1458" i="34"/>
  <c r="P1458" i="34"/>
  <c r="Q1458" i="34"/>
  <c r="I1459" i="34"/>
  <c r="J1459" i="34"/>
  <c r="K1459" i="34"/>
  <c r="L1459" i="34"/>
  <c r="M1459" i="34"/>
  <c r="N1459" i="34"/>
  <c r="O1459" i="34"/>
  <c r="P1459" i="34"/>
  <c r="Q1459" i="34"/>
  <c r="I1460" i="34"/>
  <c r="J1460" i="34"/>
  <c r="K1460" i="34"/>
  <c r="L1460" i="34"/>
  <c r="M1460" i="34"/>
  <c r="N1460" i="34"/>
  <c r="O1460" i="34"/>
  <c r="P1460" i="34"/>
  <c r="Q1460" i="34"/>
  <c r="I1461" i="34"/>
  <c r="J1461" i="34"/>
  <c r="K1461" i="34"/>
  <c r="L1461" i="34"/>
  <c r="M1461" i="34"/>
  <c r="N1461" i="34"/>
  <c r="O1461" i="34"/>
  <c r="P1461" i="34"/>
  <c r="Q1461" i="34"/>
  <c r="I1462" i="34"/>
  <c r="J1462" i="34"/>
  <c r="K1462" i="34"/>
  <c r="L1462" i="34"/>
  <c r="M1462" i="34"/>
  <c r="N1462" i="34"/>
  <c r="O1462" i="34"/>
  <c r="P1462" i="34"/>
  <c r="Q1462" i="34"/>
  <c r="I1463" i="34"/>
  <c r="J1463" i="34"/>
  <c r="K1463" i="34"/>
  <c r="L1463" i="34"/>
  <c r="M1463" i="34"/>
  <c r="N1463" i="34"/>
  <c r="O1463" i="34"/>
  <c r="P1463" i="34"/>
  <c r="Q1463" i="34"/>
  <c r="I1464" i="34"/>
  <c r="J1464" i="34"/>
  <c r="K1464" i="34"/>
  <c r="L1464" i="34"/>
  <c r="M1464" i="34"/>
  <c r="N1464" i="34"/>
  <c r="O1464" i="34"/>
  <c r="P1464" i="34"/>
  <c r="Q1464" i="34"/>
  <c r="I1465" i="34"/>
  <c r="J1465" i="34"/>
  <c r="K1465" i="34"/>
  <c r="L1465" i="34"/>
  <c r="M1465" i="34"/>
  <c r="N1465" i="34"/>
  <c r="O1465" i="34"/>
  <c r="P1465" i="34"/>
  <c r="Q1465" i="34"/>
  <c r="I1466" i="34"/>
  <c r="J1466" i="34"/>
  <c r="K1466" i="34"/>
  <c r="L1466" i="34"/>
  <c r="M1466" i="34"/>
  <c r="N1466" i="34"/>
  <c r="O1466" i="34"/>
  <c r="P1466" i="34"/>
  <c r="Q1466" i="34"/>
  <c r="I1467" i="34"/>
  <c r="J1467" i="34"/>
  <c r="K1467" i="34"/>
  <c r="L1467" i="34"/>
  <c r="M1467" i="34"/>
  <c r="N1467" i="34"/>
  <c r="O1467" i="34"/>
  <c r="P1467" i="34"/>
  <c r="Q1467" i="34"/>
  <c r="I1468" i="34"/>
  <c r="J1468" i="34"/>
  <c r="K1468" i="34"/>
  <c r="L1468" i="34"/>
  <c r="M1468" i="34"/>
  <c r="N1468" i="34"/>
  <c r="O1468" i="34"/>
  <c r="P1468" i="34"/>
  <c r="Q1468" i="34"/>
  <c r="I1469" i="34"/>
  <c r="J1469" i="34"/>
  <c r="K1469" i="34"/>
  <c r="L1469" i="34"/>
  <c r="M1469" i="34"/>
  <c r="N1469" i="34"/>
  <c r="O1469" i="34"/>
  <c r="P1469" i="34"/>
  <c r="Q1469" i="34"/>
  <c r="I1470" i="34"/>
  <c r="J1470" i="34"/>
  <c r="K1470" i="34"/>
  <c r="L1470" i="34"/>
  <c r="M1470" i="34"/>
  <c r="N1470" i="34"/>
  <c r="O1470" i="34"/>
  <c r="P1470" i="34"/>
  <c r="Q1470" i="34"/>
  <c r="I1457" i="34"/>
  <c r="I1471" i="34"/>
  <c r="J1457" i="34"/>
  <c r="J1471" i="34"/>
  <c r="K1457" i="34"/>
  <c r="K1471" i="34"/>
  <c r="L1457" i="34"/>
  <c r="L1471" i="34"/>
  <c r="M1457" i="34"/>
  <c r="M1471" i="34"/>
  <c r="N1457" i="34"/>
  <c r="N1471" i="34"/>
  <c r="O1457" i="34"/>
  <c r="O1471" i="34"/>
  <c r="P1457" i="34"/>
  <c r="P1471" i="34"/>
  <c r="Q1457" i="34"/>
  <c r="Q1471" i="34"/>
  <c r="I1477" i="34"/>
  <c r="J1477" i="34"/>
  <c r="K1477" i="34"/>
  <c r="L1477" i="34"/>
  <c r="M1477" i="34"/>
  <c r="N1477" i="34"/>
  <c r="O1477" i="34"/>
  <c r="P1477" i="34"/>
  <c r="Q1477" i="34"/>
  <c r="I1478" i="34"/>
  <c r="J1478" i="34"/>
  <c r="K1478" i="34"/>
  <c r="L1478" i="34"/>
  <c r="M1478" i="34"/>
  <c r="N1478" i="34"/>
  <c r="O1478" i="34"/>
  <c r="P1478" i="34"/>
  <c r="Q1478" i="34"/>
  <c r="I1479" i="34"/>
  <c r="J1479" i="34"/>
  <c r="K1479" i="34"/>
  <c r="L1479" i="34"/>
  <c r="M1479" i="34"/>
  <c r="N1479" i="34"/>
  <c r="O1479" i="34"/>
  <c r="P1479" i="34"/>
  <c r="Q1479" i="34"/>
  <c r="I1480" i="34"/>
  <c r="J1480" i="34"/>
  <c r="K1480" i="34"/>
  <c r="L1480" i="34"/>
  <c r="M1480" i="34"/>
  <c r="N1480" i="34"/>
  <c r="O1480" i="34"/>
  <c r="P1480" i="34"/>
  <c r="Q1480" i="34"/>
  <c r="I1481" i="34"/>
  <c r="J1481" i="34"/>
  <c r="K1481" i="34"/>
  <c r="L1481" i="34"/>
  <c r="M1481" i="34"/>
  <c r="N1481" i="34"/>
  <c r="O1481" i="34"/>
  <c r="P1481" i="34"/>
  <c r="Q1481" i="34"/>
  <c r="I1482" i="34"/>
  <c r="J1482" i="34"/>
  <c r="K1482" i="34"/>
  <c r="L1482" i="34"/>
  <c r="M1482" i="34"/>
  <c r="N1482" i="34"/>
  <c r="O1482" i="34"/>
  <c r="P1482" i="34"/>
  <c r="Q1482" i="34"/>
  <c r="I1483" i="34"/>
  <c r="J1483" i="34"/>
  <c r="K1483" i="34"/>
  <c r="L1483" i="34"/>
  <c r="M1483" i="34"/>
  <c r="N1483" i="34"/>
  <c r="O1483" i="34"/>
  <c r="P1483" i="34"/>
  <c r="Q1483" i="34"/>
  <c r="I1484" i="34"/>
  <c r="J1484" i="34"/>
  <c r="K1484" i="34"/>
  <c r="L1484" i="34"/>
  <c r="M1484" i="34"/>
  <c r="N1484" i="34"/>
  <c r="O1484" i="34"/>
  <c r="P1484" i="34"/>
  <c r="Q1484" i="34"/>
  <c r="I1485" i="34"/>
  <c r="J1485" i="34"/>
  <c r="K1485" i="34"/>
  <c r="L1485" i="34"/>
  <c r="M1485" i="34"/>
  <c r="N1485" i="34"/>
  <c r="O1485" i="34"/>
  <c r="P1485" i="34"/>
  <c r="Q1485" i="34"/>
  <c r="I1486" i="34"/>
  <c r="J1486" i="34"/>
  <c r="K1486" i="34"/>
  <c r="L1486" i="34"/>
  <c r="M1486" i="34"/>
  <c r="N1486" i="34"/>
  <c r="O1486" i="34"/>
  <c r="P1486" i="34"/>
  <c r="Q1486" i="34"/>
  <c r="I1487" i="34"/>
  <c r="J1487" i="34"/>
  <c r="K1487" i="34"/>
  <c r="L1487" i="34"/>
  <c r="M1487" i="34"/>
  <c r="N1487" i="34"/>
  <c r="O1487" i="34"/>
  <c r="P1487" i="34"/>
  <c r="Q1487" i="34"/>
  <c r="I1488" i="34"/>
  <c r="J1488" i="34"/>
  <c r="K1488" i="34"/>
  <c r="L1488" i="34"/>
  <c r="M1488" i="34"/>
  <c r="N1488" i="34"/>
  <c r="O1488" i="34"/>
  <c r="P1488" i="34"/>
  <c r="Q1488" i="34"/>
  <c r="I1489" i="34"/>
  <c r="J1489" i="34"/>
  <c r="K1489" i="34"/>
  <c r="L1489" i="34"/>
  <c r="M1489" i="34"/>
  <c r="N1489" i="34"/>
  <c r="O1489" i="34"/>
  <c r="P1489" i="34"/>
  <c r="Q1489" i="34"/>
  <c r="I1476" i="34"/>
  <c r="I1490" i="34"/>
  <c r="J1476" i="34"/>
  <c r="J1490" i="34"/>
  <c r="K1476" i="34"/>
  <c r="K1490" i="34"/>
  <c r="L1476" i="34"/>
  <c r="L1490" i="34"/>
  <c r="M1476" i="34"/>
  <c r="M1490" i="34"/>
  <c r="N1476" i="34"/>
  <c r="N1490" i="34"/>
  <c r="O1476" i="34"/>
  <c r="O1490" i="34"/>
  <c r="P1476" i="34"/>
  <c r="P1490" i="34"/>
  <c r="Q1476" i="34"/>
  <c r="Q1490" i="34"/>
  <c r="I1496" i="34"/>
  <c r="J1496" i="34"/>
  <c r="K1496" i="34"/>
  <c r="L1496" i="34"/>
  <c r="M1496" i="34"/>
  <c r="N1496" i="34"/>
  <c r="O1496" i="34"/>
  <c r="P1496" i="34"/>
  <c r="Q1496" i="34"/>
  <c r="I1497" i="34"/>
  <c r="J1497" i="34"/>
  <c r="K1497" i="34"/>
  <c r="L1497" i="34"/>
  <c r="M1497" i="34"/>
  <c r="N1497" i="34"/>
  <c r="O1497" i="34"/>
  <c r="P1497" i="34"/>
  <c r="Q1497" i="34"/>
  <c r="I1498" i="34"/>
  <c r="J1498" i="34"/>
  <c r="K1498" i="34"/>
  <c r="L1498" i="34"/>
  <c r="M1498" i="34"/>
  <c r="N1498" i="34"/>
  <c r="O1498" i="34"/>
  <c r="P1498" i="34"/>
  <c r="Q1498" i="34"/>
  <c r="I1499" i="34"/>
  <c r="J1499" i="34"/>
  <c r="K1499" i="34"/>
  <c r="L1499" i="34"/>
  <c r="M1499" i="34"/>
  <c r="N1499" i="34"/>
  <c r="O1499" i="34"/>
  <c r="P1499" i="34"/>
  <c r="Q1499" i="34"/>
  <c r="I1500" i="34"/>
  <c r="J1500" i="34"/>
  <c r="K1500" i="34"/>
  <c r="L1500" i="34"/>
  <c r="M1500" i="34"/>
  <c r="N1500" i="34"/>
  <c r="O1500" i="34"/>
  <c r="P1500" i="34"/>
  <c r="Q1500" i="34"/>
  <c r="I1501" i="34"/>
  <c r="J1501" i="34"/>
  <c r="K1501" i="34"/>
  <c r="L1501" i="34"/>
  <c r="M1501" i="34"/>
  <c r="N1501" i="34"/>
  <c r="O1501" i="34"/>
  <c r="P1501" i="34"/>
  <c r="Q1501" i="34"/>
  <c r="I1502" i="34"/>
  <c r="J1502" i="34"/>
  <c r="K1502" i="34"/>
  <c r="L1502" i="34"/>
  <c r="M1502" i="34"/>
  <c r="N1502" i="34"/>
  <c r="O1502" i="34"/>
  <c r="P1502" i="34"/>
  <c r="Q1502" i="34"/>
  <c r="I1503" i="34"/>
  <c r="J1503" i="34"/>
  <c r="K1503" i="34"/>
  <c r="L1503" i="34"/>
  <c r="M1503" i="34"/>
  <c r="N1503" i="34"/>
  <c r="O1503" i="34"/>
  <c r="P1503" i="34"/>
  <c r="Q1503" i="34"/>
  <c r="I1504" i="34"/>
  <c r="J1504" i="34"/>
  <c r="K1504" i="34"/>
  <c r="L1504" i="34"/>
  <c r="M1504" i="34"/>
  <c r="N1504" i="34"/>
  <c r="O1504" i="34"/>
  <c r="P1504" i="34"/>
  <c r="Q1504" i="34"/>
  <c r="I1505" i="34"/>
  <c r="J1505" i="34"/>
  <c r="K1505" i="34"/>
  <c r="L1505" i="34"/>
  <c r="M1505" i="34"/>
  <c r="N1505" i="34"/>
  <c r="O1505" i="34"/>
  <c r="P1505" i="34"/>
  <c r="Q1505" i="34"/>
  <c r="I1506" i="34"/>
  <c r="J1506" i="34"/>
  <c r="K1506" i="34"/>
  <c r="L1506" i="34"/>
  <c r="M1506" i="34"/>
  <c r="N1506" i="34"/>
  <c r="O1506" i="34"/>
  <c r="P1506" i="34"/>
  <c r="Q1506" i="34"/>
  <c r="I1507" i="34"/>
  <c r="J1507" i="34"/>
  <c r="K1507" i="34"/>
  <c r="L1507" i="34"/>
  <c r="M1507" i="34"/>
  <c r="N1507" i="34"/>
  <c r="O1507" i="34"/>
  <c r="P1507" i="34"/>
  <c r="Q1507" i="34"/>
  <c r="I1508" i="34"/>
  <c r="J1508" i="34"/>
  <c r="K1508" i="34"/>
  <c r="L1508" i="34"/>
  <c r="M1508" i="34"/>
  <c r="N1508" i="34"/>
  <c r="O1508" i="34"/>
  <c r="P1508" i="34"/>
  <c r="Q1508" i="34"/>
  <c r="I1495" i="34"/>
  <c r="I1509" i="34"/>
  <c r="J1495" i="34"/>
  <c r="J1509" i="34"/>
  <c r="K1495" i="34"/>
  <c r="K1509" i="34"/>
  <c r="L1495" i="34"/>
  <c r="L1509" i="34"/>
  <c r="M1495" i="34"/>
  <c r="M1509" i="34"/>
  <c r="N1495" i="34"/>
  <c r="N1509" i="34"/>
  <c r="O1495" i="34"/>
  <c r="O1509" i="34"/>
  <c r="P1495" i="34"/>
  <c r="P1509" i="34"/>
  <c r="Q1495" i="34"/>
  <c r="Q1509" i="34"/>
  <c r="J1516" i="34"/>
  <c r="K1516" i="34"/>
  <c r="L1516" i="34"/>
  <c r="M1516" i="34"/>
  <c r="N1516" i="34"/>
  <c r="O1516" i="34"/>
  <c r="P1516" i="34"/>
  <c r="Q1516" i="34"/>
  <c r="J1517" i="34"/>
  <c r="K1517" i="34"/>
  <c r="L1517" i="34"/>
  <c r="M1517" i="34"/>
  <c r="N1517" i="34"/>
  <c r="O1517" i="34"/>
  <c r="P1517" i="34"/>
  <c r="Q1517" i="34"/>
  <c r="J1518" i="34"/>
  <c r="K1518" i="34"/>
  <c r="L1518" i="34"/>
  <c r="M1518" i="34"/>
  <c r="N1518" i="34"/>
  <c r="O1518" i="34"/>
  <c r="P1518" i="34"/>
  <c r="Q1518" i="34"/>
  <c r="J1519" i="34"/>
  <c r="K1519" i="34"/>
  <c r="L1519" i="34"/>
  <c r="M1519" i="34"/>
  <c r="N1519" i="34"/>
  <c r="O1519" i="34"/>
  <c r="P1519" i="34"/>
  <c r="Q1519" i="34"/>
  <c r="J1520" i="34"/>
  <c r="K1520" i="34"/>
  <c r="L1520" i="34"/>
  <c r="M1520" i="34"/>
  <c r="N1520" i="34"/>
  <c r="O1520" i="34"/>
  <c r="P1520" i="34"/>
  <c r="Q1520" i="34"/>
  <c r="J1521" i="34"/>
  <c r="K1521" i="34"/>
  <c r="L1521" i="34"/>
  <c r="M1521" i="34"/>
  <c r="N1521" i="34"/>
  <c r="O1521" i="34"/>
  <c r="P1521" i="34"/>
  <c r="Q1521" i="34"/>
  <c r="J1522" i="34"/>
  <c r="K1522" i="34"/>
  <c r="L1522" i="34"/>
  <c r="M1522" i="34"/>
  <c r="N1522" i="34"/>
  <c r="O1522" i="34"/>
  <c r="P1522" i="34"/>
  <c r="Q1522" i="34"/>
  <c r="J1523" i="34"/>
  <c r="K1523" i="34"/>
  <c r="L1523" i="34"/>
  <c r="M1523" i="34"/>
  <c r="N1523" i="34"/>
  <c r="O1523" i="34"/>
  <c r="P1523" i="34"/>
  <c r="Q1523" i="34"/>
  <c r="J1524" i="34"/>
  <c r="K1524" i="34"/>
  <c r="L1524" i="34"/>
  <c r="M1524" i="34"/>
  <c r="N1524" i="34"/>
  <c r="O1524" i="34"/>
  <c r="P1524" i="34"/>
  <c r="Q1524" i="34"/>
  <c r="J1525" i="34"/>
  <c r="K1525" i="34"/>
  <c r="L1525" i="34"/>
  <c r="M1525" i="34"/>
  <c r="N1525" i="34"/>
  <c r="O1525" i="34"/>
  <c r="P1525" i="34"/>
  <c r="Q1525" i="34"/>
  <c r="J1526" i="34"/>
  <c r="K1526" i="34"/>
  <c r="L1526" i="34"/>
  <c r="M1526" i="34"/>
  <c r="N1526" i="34"/>
  <c r="O1526" i="34"/>
  <c r="P1526" i="34"/>
  <c r="Q1526" i="34"/>
  <c r="J1527" i="34"/>
  <c r="K1527" i="34"/>
  <c r="L1527" i="34"/>
  <c r="M1527" i="34"/>
  <c r="N1527" i="34"/>
  <c r="O1527" i="34"/>
  <c r="P1527" i="34"/>
  <c r="Q1527" i="34"/>
  <c r="J1528" i="34"/>
  <c r="K1528" i="34"/>
  <c r="L1528" i="34"/>
  <c r="M1528" i="34"/>
  <c r="N1528" i="34"/>
  <c r="O1528" i="34"/>
  <c r="P1528" i="34"/>
  <c r="Q1528" i="34"/>
  <c r="J1515" i="34"/>
  <c r="J1529" i="34"/>
  <c r="K1515" i="34"/>
  <c r="K1529" i="34"/>
  <c r="L1515" i="34"/>
  <c r="L1529" i="34"/>
  <c r="M1515" i="34"/>
  <c r="M1529" i="34"/>
  <c r="N1515" i="34"/>
  <c r="N1529" i="34"/>
  <c r="O1515" i="34"/>
  <c r="O1529" i="34"/>
  <c r="P1515" i="34"/>
  <c r="P1529" i="34"/>
  <c r="Q1515" i="34"/>
  <c r="Q1529" i="34"/>
  <c r="J1535" i="34"/>
  <c r="K1535" i="34"/>
  <c r="L1535" i="34"/>
  <c r="M1535" i="34"/>
  <c r="N1535" i="34"/>
  <c r="O1535" i="34"/>
  <c r="P1535" i="34"/>
  <c r="Q1535" i="34"/>
  <c r="J1536" i="34"/>
  <c r="K1536" i="34"/>
  <c r="L1536" i="34"/>
  <c r="M1536" i="34"/>
  <c r="N1536" i="34"/>
  <c r="O1536" i="34"/>
  <c r="P1536" i="34"/>
  <c r="Q1536" i="34"/>
  <c r="J1537" i="34"/>
  <c r="K1537" i="34"/>
  <c r="L1537" i="34"/>
  <c r="M1537" i="34"/>
  <c r="N1537" i="34"/>
  <c r="O1537" i="34"/>
  <c r="P1537" i="34"/>
  <c r="Q1537" i="34"/>
  <c r="J1538" i="34"/>
  <c r="K1538" i="34"/>
  <c r="L1538" i="34"/>
  <c r="M1538" i="34"/>
  <c r="N1538" i="34"/>
  <c r="O1538" i="34"/>
  <c r="P1538" i="34"/>
  <c r="Q1538" i="34"/>
  <c r="J1539" i="34"/>
  <c r="K1539" i="34"/>
  <c r="L1539" i="34"/>
  <c r="M1539" i="34"/>
  <c r="N1539" i="34"/>
  <c r="O1539" i="34"/>
  <c r="P1539" i="34"/>
  <c r="Q1539" i="34"/>
  <c r="J1540" i="34"/>
  <c r="K1540" i="34"/>
  <c r="L1540" i="34"/>
  <c r="M1540" i="34"/>
  <c r="N1540" i="34"/>
  <c r="O1540" i="34"/>
  <c r="P1540" i="34"/>
  <c r="Q1540" i="34"/>
  <c r="J1541" i="34"/>
  <c r="K1541" i="34"/>
  <c r="L1541" i="34"/>
  <c r="M1541" i="34"/>
  <c r="N1541" i="34"/>
  <c r="O1541" i="34"/>
  <c r="P1541" i="34"/>
  <c r="Q1541" i="34"/>
  <c r="J1542" i="34"/>
  <c r="K1542" i="34"/>
  <c r="L1542" i="34"/>
  <c r="M1542" i="34"/>
  <c r="N1542" i="34"/>
  <c r="O1542" i="34"/>
  <c r="P1542" i="34"/>
  <c r="Q1542" i="34"/>
  <c r="J1543" i="34"/>
  <c r="K1543" i="34"/>
  <c r="L1543" i="34"/>
  <c r="M1543" i="34"/>
  <c r="N1543" i="34"/>
  <c r="O1543" i="34"/>
  <c r="P1543" i="34"/>
  <c r="Q1543" i="34"/>
  <c r="J1544" i="34"/>
  <c r="K1544" i="34"/>
  <c r="L1544" i="34"/>
  <c r="M1544" i="34"/>
  <c r="N1544" i="34"/>
  <c r="O1544" i="34"/>
  <c r="P1544" i="34"/>
  <c r="Q1544" i="34"/>
  <c r="J1545" i="34"/>
  <c r="K1545" i="34"/>
  <c r="L1545" i="34"/>
  <c r="M1545" i="34"/>
  <c r="N1545" i="34"/>
  <c r="O1545" i="34"/>
  <c r="P1545" i="34"/>
  <c r="Q1545" i="34"/>
  <c r="J1546" i="34"/>
  <c r="K1546" i="34"/>
  <c r="L1546" i="34"/>
  <c r="M1546" i="34"/>
  <c r="N1546" i="34"/>
  <c r="O1546" i="34"/>
  <c r="P1546" i="34"/>
  <c r="Q1546" i="34"/>
  <c r="J1547" i="34"/>
  <c r="K1547" i="34"/>
  <c r="L1547" i="34"/>
  <c r="M1547" i="34"/>
  <c r="N1547" i="34"/>
  <c r="O1547" i="34"/>
  <c r="P1547" i="34"/>
  <c r="Q1547" i="34"/>
  <c r="J1534" i="34"/>
  <c r="J1548" i="34"/>
  <c r="K1534" i="34"/>
  <c r="K1548" i="34"/>
  <c r="L1534" i="34"/>
  <c r="L1548" i="34"/>
  <c r="M1534" i="34"/>
  <c r="M1548" i="34"/>
  <c r="N1534" i="34"/>
  <c r="N1548" i="34"/>
  <c r="O1534" i="34"/>
  <c r="O1548" i="34"/>
  <c r="P1534" i="34"/>
  <c r="P1548" i="34"/>
  <c r="Q1534" i="34"/>
  <c r="Q1548" i="34"/>
  <c r="J1554" i="34"/>
  <c r="K1554" i="34"/>
  <c r="L1554" i="34"/>
  <c r="M1554" i="34"/>
  <c r="N1554" i="34"/>
  <c r="O1554" i="34"/>
  <c r="P1554" i="34"/>
  <c r="Q1554" i="34"/>
  <c r="J1555" i="34"/>
  <c r="K1555" i="34"/>
  <c r="L1555" i="34"/>
  <c r="M1555" i="34"/>
  <c r="N1555" i="34"/>
  <c r="O1555" i="34"/>
  <c r="P1555" i="34"/>
  <c r="Q1555" i="34"/>
  <c r="J1556" i="34"/>
  <c r="K1556" i="34"/>
  <c r="L1556" i="34"/>
  <c r="M1556" i="34"/>
  <c r="N1556" i="34"/>
  <c r="O1556" i="34"/>
  <c r="P1556" i="34"/>
  <c r="Q1556" i="34"/>
  <c r="J1557" i="34"/>
  <c r="K1557" i="34"/>
  <c r="L1557" i="34"/>
  <c r="M1557" i="34"/>
  <c r="N1557" i="34"/>
  <c r="O1557" i="34"/>
  <c r="P1557" i="34"/>
  <c r="Q1557" i="34"/>
  <c r="J1558" i="34"/>
  <c r="K1558" i="34"/>
  <c r="L1558" i="34"/>
  <c r="M1558" i="34"/>
  <c r="N1558" i="34"/>
  <c r="O1558" i="34"/>
  <c r="P1558" i="34"/>
  <c r="Q1558" i="34"/>
  <c r="J1559" i="34"/>
  <c r="K1559" i="34"/>
  <c r="L1559" i="34"/>
  <c r="M1559" i="34"/>
  <c r="N1559" i="34"/>
  <c r="O1559" i="34"/>
  <c r="P1559" i="34"/>
  <c r="Q1559" i="34"/>
  <c r="J1560" i="34"/>
  <c r="K1560" i="34"/>
  <c r="L1560" i="34"/>
  <c r="M1560" i="34"/>
  <c r="N1560" i="34"/>
  <c r="O1560" i="34"/>
  <c r="P1560" i="34"/>
  <c r="Q1560" i="34"/>
  <c r="J1561" i="34"/>
  <c r="K1561" i="34"/>
  <c r="L1561" i="34"/>
  <c r="M1561" i="34"/>
  <c r="N1561" i="34"/>
  <c r="O1561" i="34"/>
  <c r="P1561" i="34"/>
  <c r="Q1561" i="34"/>
  <c r="J1562" i="34"/>
  <c r="K1562" i="34"/>
  <c r="L1562" i="34"/>
  <c r="M1562" i="34"/>
  <c r="N1562" i="34"/>
  <c r="O1562" i="34"/>
  <c r="P1562" i="34"/>
  <c r="Q1562" i="34"/>
  <c r="J1563" i="34"/>
  <c r="K1563" i="34"/>
  <c r="L1563" i="34"/>
  <c r="M1563" i="34"/>
  <c r="N1563" i="34"/>
  <c r="O1563" i="34"/>
  <c r="P1563" i="34"/>
  <c r="Q1563" i="34"/>
  <c r="J1564" i="34"/>
  <c r="K1564" i="34"/>
  <c r="L1564" i="34"/>
  <c r="M1564" i="34"/>
  <c r="N1564" i="34"/>
  <c r="O1564" i="34"/>
  <c r="P1564" i="34"/>
  <c r="Q1564" i="34"/>
  <c r="J1565" i="34"/>
  <c r="K1565" i="34"/>
  <c r="L1565" i="34"/>
  <c r="M1565" i="34"/>
  <c r="N1565" i="34"/>
  <c r="O1565" i="34"/>
  <c r="P1565" i="34"/>
  <c r="Q1565" i="34"/>
  <c r="J1566" i="34"/>
  <c r="K1566" i="34"/>
  <c r="L1566" i="34"/>
  <c r="M1566" i="34"/>
  <c r="N1566" i="34"/>
  <c r="O1566" i="34"/>
  <c r="P1566" i="34"/>
  <c r="Q1566" i="34"/>
  <c r="J1553" i="34"/>
  <c r="J1567" i="34"/>
  <c r="K1553" i="34"/>
  <c r="K1567" i="34"/>
  <c r="L1553" i="34"/>
  <c r="L1567" i="34"/>
  <c r="M1553" i="34"/>
  <c r="M1567" i="34"/>
  <c r="N1553" i="34"/>
  <c r="N1567" i="34"/>
  <c r="O1553" i="34"/>
  <c r="O1567" i="34"/>
  <c r="P1553" i="34"/>
  <c r="P1567" i="34"/>
  <c r="Q1553" i="34"/>
  <c r="Q1567" i="34"/>
  <c r="I1516" i="34"/>
  <c r="I1264" i="34"/>
  <c r="M1264" i="34"/>
  <c r="I1574" i="34"/>
  <c r="J1574" i="34"/>
  <c r="K1574" i="34"/>
  <c r="L1574" i="34"/>
  <c r="M1574" i="34"/>
  <c r="N1574" i="34"/>
  <c r="O1574" i="34"/>
  <c r="P1574" i="34"/>
  <c r="Q1574" i="34"/>
  <c r="I1517" i="34"/>
  <c r="I1265" i="34"/>
  <c r="M1265" i="34"/>
  <c r="I1575" i="34"/>
  <c r="J1575" i="34"/>
  <c r="K1575" i="34"/>
  <c r="L1575" i="34"/>
  <c r="M1575" i="34"/>
  <c r="N1575" i="34"/>
  <c r="O1575" i="34"/>
  <c r="P1575" i="34"/>
  <c r="Q1575" i="34"/>
  <c r="I1518" i="34"/>
  <c r="I1266" i="34"/>
  <c r="M1266" i="34"/>
  <c r="I1576" i="34"/>
  <c r="J1576" i="34"/>
  <c r="K1576" i="34"/>
  <c r="L1576" i="34"/>
  <c r="M1576" i="34"/>
  <c r="N1576" i="34"/>
  <c r="O1576" i="34"/>
  <c r="P1576" i="34"/>
  <c r="Q1576" i="34"/>
  <c r="I1519" i="34"/>
  <c r="I1267" i="34"/>
  <c r="M1267" i="34"/>
  <c r="I1577" i="34"/>
  <c r="J1577" i="34"/>
  <c r="K1577" i="34"/>
  <c r="L1577" i="34"/>
  <c r="M1577" i="34"/>
  <c r="N1577" i="34"/>
  <c r="O1577" i="34"/>
  <c r="P1577" i="34"/>
  <c r="Q1577" i="34"/>
  <c r="I1520" i="34"/>
  <c r="I1268" i="34"/>
  <c r="M1268" i="34"/>
  <c r="I1578" i="34"/>
  <c r="J1578" i="34"/>
  <c r="K1578" i="34"/>
  <c r="L1578" i="34"/>
  <c r="M1578" i="34"/>
  <c r="N1578" i="34"/>
  <c r="O1578" i="34"/>
  <c r="P1578" i="34"/>
  <c r="Q1578" i="34"/>
  <c r="I1521" i="34"/>
  <c r="I1269" i="34"/>
  <c r="M1269" i="34"/>
  <c r="I1579" i="34"/>
  <c r="J1579" i="34"/>
  <c r="K1579" i="34"/>
  <c r="L1579" i="34"/>
  <c r="M1579" i="34"/>
  <c r="N1579" i="34"/>
  <c r="O1579" i="34"/>
  <c r="P1579" i="34"/>
  <c r="Q1579" i="34"/>
  <c r="I1522" i="34"/>
  <c r="I1270" i="34"/>
  <c r="M1270" i="34"/>
  <c r="I1580" i="34"/>
  <c r="J1580" i="34"/>
  <c r="K1580" i="34"/>
  <c r="L1580" i="34"/>
  <c r="M1580" i="34"/>
  <c r="N1580" i="34"/>
  <c r="O1580" i="34"/>
  <c r="P1580" i="34"/>
  <c r="Q1580" i="34"/>
  <c r="I1523" i="34"/>
  <c r="I1271" i="34"/>
  <c r="M1271" i="34"/>
  <c r="I1581" i="34"/>
  <c r="J1581" i="34"/>
  <c r="K1581" i="34"/>
  <c r="L1581" i="34"/>
  <c r="M1581" i="34"/>
  <c r="N1581" i="34"/>
  <c r="O1581" i="34"/>
  <c r="P1581" i="34"/>
  <c r="Q1581" i="34"/>
  <c r="I1524" i="34"/>
  <c r="I1272" i="34"/>
  <c r="M1272" i="34"/>
  <c r="I1582" i="34"/>
  <c r="J1582" i="34"/>
  <c r="K1582" i="34"/>
  <c r="L1582" i="34"/>
  <c r="M1582" i="34"/>
  <c r="N1582" i="34"/>
  <c r="O1582" i="34"/>
  <c r="P1582" i="34"/>
  <c r="Q1582" i="34"/>
  <c r="I1525" i="34"/>
  <c r="I1273" i="34"/>
  <c r="M1273" i="34"/>
  <c r="I1583" i="34"/>
  <c r="J1583" i="34"/>
  <c r="K1583" i="34"/>
  <c r="L1583" i="34"/>
  <c r="M1583" i="34"/>
  <c r="N1583" i="34"/>
  <c r="O1583" i="34"/>
  <c r="P1583" i="34"/>
  <c r="Q1583" i="34"/>
  <c r="I1526" i="34"/>
  <c r="I1274" i="34"/>
  <c r="M1274" i="34"/>
  <c r="I1584" i="34"/>
  <c r="J1584" i="34"/>
  <c r="K1584" i="34"/>
  <c r="L1584" i="34"/>
  <c r="M1584" i="34"/>
  <c r="N1584" i="34"/>
  <c r="O1584" i="34"/>
  <c r="P1584" i="34"/>
  <c r="Q1584" i="34"/>
  <c r="I1527" i="34"/>
  <c r="I1275" i="34"/>
  <c r="M1275" i="34"/>
  <c r="I1585" i="34"/>
  <c r="J1585" i="34"/>
  <c r="K1585" i="34"/>
  <c r="L1585" i="34"/>
  <c r="M1585" i="34"/>
  <c r="N1585" i="34"/>
  <c r="O1585" i="34"/>
  <c r="P1585" i="34"/>
  <c r="Q1585" i="34"/>
  <c r="I1528" i="34"/>
  <c r="I1276" i="34"/>
  <c r="M1276" i="34"/>
  <c r="I1586" i="34"/>
  <c r="J1586" i="34"/>
  <c r="K1586" i="34"/>
  <c r="L1586" i="34"/>
  <c r="M1586" i="34"/>
  <c r="N1586" i="34"/>
  <c r="O1586" i="34"/>
  <c r="P1586" i="34"/>
  <c r="Q1586" i="34"/>
  <c r="I1535" i="34"/>
  <c r="J1264" i="34"/>
  <c r="N1264" i="34"/>
  <c r="I1592" i="34"/>
  <c r="J1592" i="34"/>
  <c r="K1592" i="34"/>
  <c r="L1592" i="34"/>
  <c r="M1592" i="34"/>
  <c r="N1592" i="34"/>
  <c r="O1592" i="34"/>
  <c r="P1592" i="34"/>
  <c r="Q1592" i="34"/>
  <c r="I1536" i="34"/>
  <c r="J1265" i="34"/>
  <c r="N1265" i="34"/>
  <c r="I1593" i="34"/>
  <c r="J1593" i="34"/>
  <c r="K1593" i="34"/>
  <c r="L1593" i="34"/>
  <c r="M1593" i="34"/>
  <c r="N1593" i="34"/>
  <c r="O1593" i="34"/>
  <c r="P1593" i="34"/>
  <c r="Q1593" i="34"/>
  <c r="I1537" i="34"/>
  <c r="J1266" i="34"/>
  <c r="N1266" i="34"/>
  <c r="I1594" i="34"/>
  <c r="J1594" i="34"/>
  <c r="K1594" i="34"/>
  <c r="L1594" i="34"/>
  <c r="M1594" i="34"/>
  <c r="N1594" i="34"/>
  <c r="O1594" i="34"/>
  <c r="P1594" i="34"/>
  <c r="Q1594" i="34"/>
  <c r="I1538" i="34"/>
  <c r="J1267" i="34"/>
  <c r="N1267" i="34"/>
  <c r="I1595" i="34"/>
  <c r="J1595" i="34"/>
  <c r="K1595" i="34"/>
  <c r="L1595" i="34"/>
  <c r="M1595" i="34"/>
  <c r="N1595" i="34"/>
  <c r="O1595" i="34"/>
  <c r="P1595" i="34"/>
  <c r="Q1595" i="34"/>
  <c r="I1539" i="34"/>
  <c r="J1268" i="34"/>
  <c r="N1268" i="34"/>
  <c r="I1596" i="34"/>
  <c r="J1596" i="34"/>
  <c r="K1596" i="34"/>
  <c r="L1596" i="34"/>
  <c r="M1596" i="34"/>
  <c r="N1596" i="34"/>
  <c r="O1596" i="34"/>
  <c r="P1596" i="34"/>
  <c r="Q1596" i="34"/>
  <c r="I1540" i="34"/>
  <c r="J1269" i="34"/>
  <c r="N1269" i="34"/>
  <c r="I1597" i="34"/>
  <c r="J1597" i="34"/>
  <c r="K1597" i="34"/>
  <c r="L1597" i="34"/>
  <c r="M1597" i="34"/>
  <c r="N1597" i="34"/>
  <c r="O1597" i="34"/>
  <c r="P1597" i="34"/>
  <c r="Q1597" i="34"/>
  <c r="I1541" i="34"/>
  <c r="J1270" i="34"/>
  <c r="N1270" i="34"/>
  <c r="I1598" i="34"/>
  <c r="J1598" i="34"/>
  <c r="K1598" i="34"/>
  <c r="L1598" i="34"/>
  <c r="M1598" i="34"/>
  <c r="N1598" i="34"/>
  <c r="O1598" i="34"/>
  <c r="P1598" i="34"/>
  <c r="Q1598" i="34"/>
  <c r="I1542" i="34"/>
  <c r="J1271" i="34"/>
  <c r="N1271" i="34"/>
  <c r="I1599" i="34"/>
  <c r="J1599" i="34"/>
  <c r="K1599" i="34"/>
  <c r="L1599" i="34"/>
  <c r="M1599" i="34"/>
  <c r="N1599" i="34"/>
  <c r="O1599" i="34"/>
  <c r="P1599" i="34"/>
  <c r="Q1599" i="34"/>
  <c r="I1543" i="34"/>
  <c r="J1272" i="34"/>
  <c r="N1272" i="34"/>
  <c r="I1600" i="34"/>
  <c r="J1600" i="34"/>
  <c r="K1600" i="34"/>
  <c r="L1600" i="34"/>
  <c r="M1600" i="34"/>
  <c r="N1600" i="34"/>
  <c r="O1600" i="34"/>
  <c r="P1600" i="34"/>
  <c r="Q1600" i="34"/>
  <c r="I1544" i="34"/>
  <c r="J1273" i="34"/>
  <c r="N1273" i="34"/>
  <c r="I1601" i="34"/>
  <c r="J1601" i="34"/>
  <c r="K1601" i="34"/>
  <c r="L1601" i="34"/>
  <c r="M1601" i="34"/>
  <c r="N1601" i="34"/>
  <c r="O1601" i="34"/>
  <c r="P1601" i="34"/>
  <c r="Q1601" i="34"/>
  <c r="I1545" i="34"/>
  <c r="J1274" i="34"/>
  <c r="N1274" i="34"/>
  <c r="I1602" i="34"/>
  <c r="J1602" i="34"/>
  <c r="K1602" i="34"/>
  <c r="L1602" i="34"/>
  <c r="M1602" i="34"/>
  <c r="N1602" i="34"/>
  <c r="O1602" i="34"/>
  <c r="P1602" i="34"/>
  <c r="Q1602" i="34"/>
  <c r="I1546" i="34"/>
  <c r="J1275" i="34"/>
  <c r="N1275" i="34"/>
  <c r="I1603" i="34"/>
  <c r="J1603" i="34"/>
  <c r="K1603" i="34"/>
  <c r="L1603" i="34"/>
  <c r="M1603" i="34"/>
  <c r="N1603" i="34"/>
  <c r="O1603" i="34"/>
  <c r="P1603" i="34"/>
  <c r="Q1603" i="34"/>
  <c r="I1547" i="34"/>
  <c r="J1276" i="34"/>
  <c r="N1276" i="34"/>
  <c r="I1604" i="34"/>
  <c r="J1604" i="34"/>
  <c r="K1604" i="34"/>
  <c r="L1604" i="34"/>
  <c r="M1604" i="34"/>
  <c r="N1604" i="34"/>
  <c r="O1604" i="34"/>
  <c r="P1604" i="34"/>
  <c r="Q1604" i="34"/>
  <c r="I1554" i="34"/>
  <c r="K1264" i="34"/>
  <c r="O1264" i="34"/>
  <c r="I1610" i="34"/>
  <c r="J1610" i="34"/>
  <c r="K1610" i="34"/>
  <c r="L1610" i="34"/>
  <c r="M1610" i="34"/>
  <c r="N1610" i="34"/>
  <c r="O1610" i="34"/>
  <c r="P1610" i="34"/>
  <c r="Q1610" i="34"/>
  <c r="I1555" i="34"/>
  <c r="K1265" i="34"/>
  <c r="O1265" i="34"/>
  <c r="I1611" i="34"/>
  <c r="J1611" i="34"/>
  <c r="K1611" i="34"/>
  <c r="L1611" i="34"/>
  <c r="M1611" i="34"/>
  <c r="N1611" i="34"/>
  <c r="O1611" i="34"/>
  <c r="P1611" i="34"/>
  <c r="Q1611" i="34"/>
  <c r="I1556" i="34"/>
  <c r="K1266" i="34"/>
  <c r="O1266" i="34"/>
  <c r="I1612" i="34"/>
  <c r="J1612" i="34"/>
  <c r="K1612" i="34"/>
  <c r="L1612" i="34"/>
  <c r="M1612" i="34"/>
  <c r="N1612" i="34"/>
  <c r="O1612" i="34"/>
  <c r="P1612" i="34"/>
  <c r="Q1612" i="34"/>
  <c r="I1557" i="34"/>
  <c r="K1267" i="34"/>
  <c r="O1267" i="34"/>
  <c r="I1613" i="34"/>
  <c r="J1613" i="34"/>
  <c r="K1613" i="34"/>
  <c r="L1613" i="34"/>
  <c r="M1613" i="34"/>
  <c r="N1613" i="34"/>
  <c r="O1613" i="34"/>
  <c r="P1613" i="34"/>
  <c r="Q1613" i="34"/>
  <c r="I1558" i="34"/>
  <c r="K1268" i="34"/>
  <c r="O1268" i="34"/>
  <c r="I1614" i="34"/>
  <c r="J1614" i="34"/>
  <c r="K1614" i="34"/>
  <c r="L1614" i="34"/>
  <c r="M1614" i="34"/>
  <c r="N1614" i="34"/>
  <c r="O1614" i="34"/>
  <c r="P1614" i="34"/>
  <c r="Q1614" i="34"/>
  <c r="I1559" i="34"/>
  <c r="K1269" i="34"/>
  <c r="O1269" i="34"/>
  <c r="I1615" i="34"/>
  <c r="J1615" i="34"/>
  <c r="K1615" i="34"/>
  <c r="L1615" i="34"/>
  <c r="M1615" i="34"/>
  <c r="N1615" i="34"/>
  <c r="O1615" i="34"/>
  <c r="P1615" i="34"/>
  <c r="Q1615" i="34"/>
  <c r="I1560" i="34"/>
  <c r="K1270" i="34"/>
  <c r="O1270" i="34"/>
  <c r="I1616" i="34"/>
  <c r="J1616" i="34"/>
  <c r="K1616" i="34"/>
  <c r="L1616" i="34"/>
  <c r="M1616" i="34"/>
  <c r="N1616" i="34"/>
  <c r="O1616" i="34"/>
  <c r="P1616" i="34"/>
  <c r="Q1616" i="34"/>
  <c r="I1561" i="34"/>
  <c r="K1271" i="34"/>
  <c r="O1271" i="34"/>
  <c r="I1617" i="34"/>
  <c r="J1617" i="34"/>
  <c r="K1617" i="34"/>
  <c r="L1617" i="34"/>
  <c r="M1617" i="34"/>
  <c r="N1617" i="34"/>
  <c r="O1617" i="34"/>
  <c r="P1617" i="34"/>
  <c r="Q1617" i="34"/>
  <c r="I1562" i="34"/>
  <c r="K1272" i="34"/>
  <c r="O1272" i="34"/>
  <c r="I1618" i="34"/>
  <c r="J1618" i="34"/>
  <c r="K1618" i="34"/>
  <c r="L1618" i="34"/>
  <c r="M1618" i="34"/>
  <c r="N1618" i="34"/>
  <c r="O1618" i="34"/>
  <c r="P1618" i="34"/>
  <c r="Q1618" i="34"/>
  <c r="I1563" i="34"/>
  <c r="K1273" i="34"/>
  <c r="O1273" i="34"/>
  <c r="I1619" i="34"/>
  <c r="J1619" i="34"/>
  <c r="K1619" i="34"/>
  <c r="L1619" i="34"/>
  <c r="M1619" i="34"/>
  <c r="N1619" i="34"/>
  <c r="O1619" i="34"/>
  <c r="P1619" i="34"/>
  <c r="Q1619" i="34"/>
  <c r="I1564" i="34"/>
  <c r="K1274" i="34"/>
  <c r="O1274" i="34"/>
  <c r="I1620" i="34"/>
  <c r="J1620" i="34"/>
  <c r="K1620" i="34"/>
  <c r="L1620" i="34"/>
  <c r="M1620" i="34"/>
  <c r="N1620" i="34"/>
  <c r="O1620" i="34"/>
  <c r="P1620" i="34"/>
  <c r="Q1620" i="34"/>
  <c r="I1565" i="34"/>
  <c r="K1275" i="34"/>
  <c r="O1275" i="34"/>
  <c r="I1621" i="34"/>
  <c r="J1621" i="34"/>
  <c r="K1621" i="34"/>
  <c r="L1621" i="34"/>
  <c r="M1621" i="34"/>
  <c r="N1621" i="34"/>
  <c r="O1621" i="34"/>
  <c r="P1621" i="34"/>
  <c r="Q1621" i="34"/>
  <c r="I1566" i="34"/>
  <c r="K1276" i="34"/>
  <c r="O1276" i="34"/>
  <c r="I1622" i="34"/>
  <c r="J1622" i="34"/>
  <c r="K1622" i="34"/>
  <c r="L1622" i="34"/>
  <c r="M1622" i="34"/>
  <c r="N1622" i="34"/>
  <c r="O1622" i="34"/>
  <c r="P1622" i="34"/>
  <c r="Q1622" i="34"/>
  <c r="I1638" i="34" a="1"/>
  <c r="I1638" i="34"/>
  <c r="I1639" i="34"/>
  <c r="J1638" i="34" a="1"/>
  <c r="J1638" i="34"/>
  <c r="J1639" i="34"/>
  <c r="K1638" i="34" a="1"/>
  <c r="K1638" i="34"/>
  <c r="K1639" i="34"/>
  <c r="L1638" i="34" a="1"/>
  <c r="L1638" i="34"/>
  <c r="L1639" i="34"/>
  <c r="M1638" i="34" a="1"/>
  <c r="M1638" i="34"/>
  <c r="M1639" i="34"/>
  <c r="N1638" i="34" a="1"/>
  <c r="N1638" i="34"/>
  <c r="N1639" i="34"/>
  <c r="O1638" i="34" a="1"/>
  <c r="O1638" i="34"/>
  <c r="O1639" i="34"/>
  <c r="P1638" i="34" a="1"/>
  <c r="P1638" i="34"/>
  <c r="P1639" i="34"/>
  <c r="Q1638" i="34" a="1"/>
  <c r="Q1638" i="34"/>
  <c r="Q1639" i="34"/>
  <c r="I1640" i="34" a="1"/>
  <c r="I1640" i="34"/>
  <c r="J1640" i="34" a="1"/>
  <c r="J1640" i="34"/>
  <c r="K1640" i="34" a="1"/>
  <c r="K1640" i="34"/>
  <c r="L1640" i="34" a="1"/>
  <c r="L1640" i="34"/>
  <c r="M1640" i="34" a="1"/>
  <c r="M1640" i="34"/>
  <c r="N1640" i="34" a="1"/>
  <c r="N1640" i="34"/>
  <c r="O1640" i="34" a="1"/>
  <c r="O1640" i="34"/>
  <c r="P1640" i="34" a="1"/>
  <c r="P1640" i="34"/>
  <c r="Q1640" i="34" a="1"/>
  <c r="Q1640" i="34"/>
  <c r="I1641" i="34" a="1"/>
  <c r="I1641" i="34"/>
  <c r="J1641" i="34" a="1"/>
  <c r="J1641" i="34"/>
  <c r="K1641" i="34" a="1"/>
  <c r="K1641" i="34"/>
  <c r="L1641" i="34" a="1"/>
  <c r="L1641" i="34"/>
  <c r="M1641" i="34" a="1"/>
  <c r="M1641" i="34"/>
  <c r="N1641" i="34" a="1"/>
  <c r="N1641" i="34"/>
  <c r="O1641" i="34" a="1"/>
  <c r="O1641" i="34"/>
  <c r="P1641" i="34" a="1"/>
  <c r="P1641" i="34"/>
  <c r="Q1641" i="34" a="1"/>
  <c r="Q1641" i="34"/>
  <c r="I1642" i="34" a="1"/>
  <c r="I1642" i="34"/>
  <c r="J1642" i="34" a="1"/>
  <c r="J1642" i="34"/>
  <c r="K1642" i="34" a="1"/>
  <c r="K1642" i="34"/>
  <c r="L1642" i="34" a="1"/>
  <c r="L1642" i="34"/>
  <c r="M1642" i="34" a="1"/>
  <c r="M1642" i="34"/>
  <c r="N1642" i="34" a="1"/>
  <c r="N1642" i="34"/>
  <c r="O1642" i="34" a="1"/>
  <c r="O1642" i="34"/>
  <c r="P1642" i="34" a="1"/>
  <c r="P1642" i="34"/>
  <c r="Q1642" i="34" a="1"/>
  <c r="Q1642" i="34"/>
  <c r="I1643" i="34" a="1"/>
  <c r="I1643" i="34"/>
  <c r="J1643" i="34" a="1"/>
  <c r="J1643" i="34"/>
  <c r="K1643" i="34" a="1"/>
  <c r="K1643" i="34"/>
  <c r="L1643" i="34" a="1"/>
  <c r="L1643" i="34"/>
  <c r="M1643" i="34" a="1"/>
  <c r="M1643" i="34"/>
  <c r="N1643" i="34" a="1"/>
  <c r="N1643" i="34"/>
  <c r="O1643" i="34" a="1"/>
  <c r="O1643" i="34"/>
  <c r="P1643" i="34" a="1"/>
  <c r="P1643" i="34"/>
  <c r="Q1643" i="34" a="1"/>
  <c r="Q1643" i="34"/>
  <c r="I1644" i="34" a="1"/>
  <c r="I1644" i="34"/>
  <c r="J1644" i="34" a="1"/>
  <c r="J1644" i="34"/>
  <c r="K1644" i="34" a="1"/>
  <c r="K1644" i="34"/>
  <c r="L1644" i="34" a="1"/>
  <c r="L1644" i="34"/>
  <c r="M1644" i="34" a="1"/>
  <c r="M1644" i="34"/>
  <c r="N1644" i="34" a="1"/>
  <c r="N1644" i="34"/>
  <c r="O1644" i="34" a="1"/>
  <c r="O1644" i="34"/>
  <c r="P1644" i="34" a="1"/>
  <c r="P1644" i="34"/>
  <c r="Q1644" i="34" a="1"/>
  <c r="Q1644" i="34"/>
  <c r="I1645" i="34" a="1"/>
  <c r="I1645" i="34"/>
  <c r="J1645" i="34" a="1"/>
  <c r="J1645" i="34"/>
  <c r="K1645" i="34" a="1"/>
  <c r="K1645" i="34"/>
  <c r="L1645" i="34" a="1"/>
  <c r="L1645" i="34"/>
  <c r="M1645" i="34" a="1"/>
  <c r="M1645" i="34"/>
  <c r="N1645" i="34" a="1"/>
  <c r="N1645" i="34"/>
  <c r="O1645" i="34" a="1"/>
  <c r="O1645" i="34"/>
  <c r="P1645" i="34" a="1"/>
  <c r="P1645" i="34"/>
  <c r="Q1645" i="34" a="1"/>
  <c r="Q1645" i="34"/>
  <c r="I1646" i="34" a="1"/>
  <c r="I1646" i="34"/>
  <c r="J1646" i="34" a="1"/>
  <c r="J1646" i="34"/>
  <c r="K1646" i="34" a="1"/>
  <c r="K1646" i="34"/>
  <c r="L1646" i="34" a="1"/>
  <c r="L1646" i="34"/>
  <c r="M1646" i="34" a="1"/>
  <c r="M1646" i="34"/>
  <c r="N1646" i="34" a="1"/>
  <c r="N1646" i="34"/>
  <c r="O1646" i="34" a="1"/>
  <c r="O1646" i="34"/>
  <c r="P1646" i="34" a="1"/>
  <c r="P1646" i="34"/>
  <c r="Q1646" i="34" a="1"/>
  <c r="Q1646" i="34"/>
  <c r="I1647" i="34" a="1"/>
  <c r="I1647" i="34"/>
  <c r="J1647" i="34" a="1"/>
  <c r="J1647" i="34"/>
  <c r="K1647" i="34" a="1"/>
  <c r="K1647" i="34"/>
  <c r="L1647" i="34" a="1"/>
  <c r="L1647" i="34"/>
  <c r="M1647" i="34" a="1"/>
  <c r="M1647" i="34"/>
  <c r="N1647" i="34" a="1"/>
  <c r="N1647" i="34"/>
  <c r="O1647" i="34" a="1"/>
  <c r="O1647" i="34"/>
  <c r="P1647" i="34" a="1"/>
  <c r="P1647" i="34"/>
  <c r="Q1647" i="34" a="1"/>
  <c r="Q1647" i="34"/>
  <c r="I1648" i="34" a="1"/>
  <c r="I1648" i="34"/>
  <c r="J1648" i="34" a="1"/>
  <c r="J1648" i="34"/>
  <c r="K1648" i="34" a="1"/>
  <c r="K1648" i="34"/>
  <c r="L1648" i="34" a="1"/>
  <c r="L1648" i="34"/>
  <c r="M1648" i="34" a="1"/>
  <c r="M1648" i="34"/>
  <c r="N1648" i="34" a="1"/>
  <c r="N1648" i="34"/>
  <c r="O1648" i="34" a="1"/>
  <c r="O1648" i="34"/>
  <c r="P1648" i="34" a="1"/>
  <c r="P1648" i="34"/>
  <c r="Q1648" i="34" a="1"/>
  <c r="Q1648" i="34"/>
  <c r="I1649" i="34" a="1"/>
  <c r="I1649" i="34"/>
  <c r="J1649" i="34" a="1"/>
  <c r="J1649" i="34"/>
  <c r="K1649" i="34" a="1"/>
  <c r="K1649" i="34"/>
  <c r="L1649" i="34" a="1"/>
  <c r="L1649" i="34"/>
  <c r="M1649" i="34" a="1"/>
  <c r="M1649" i="34"/>
  <c r="N1649" i="34" a="1"/>
  <c r="N1649" i="34"/>
  <c r="O1649" i="34" a="1"/>
  <c r="O1649" i="34"/>
  <c r="P1649" i="34" a="1"/>
  <c r="P1649" i="34"/>
  <c r="Q1649" i="34" a="1"/>
  <c r="Q1649" i="34"/>
  <c r="I1650" i="34" a="1"/>
  <c r="I1650" i="34"/>
  <c r="J1650" i="34" a="1"/>
  <c r="J1650" i="34"/>
  <c r="K1650" i="34" a="1"/>
  <c r="K1650" i="34"/>
  <c r="L1650" i="34" a="1"/>
  <c r="L1650" i="34"/>
  <c r="M1650" i="34" a="1"/>
  <c r="M1650" i="34"/>
  <c r="N1650" i="34" a="1"/>
  <c r="N1650" i="34"/>
  <c r="O1650" i="34" a="1"/>
  <c r="O1650" i="34"/>
  <c r="P1650" i="34" a="1"/>
  <c r="P1650" i="34"/>
  <c r="Q1650" i="34" a="1"/>
  <c r="Q1650" i="34"/>
  <c r="I1651" i="34" a="1"/>
  <c r="I1651" i="34"/>
  <c r="J1651" i="34" a="1"/>
  <c r="J1651" i="34"/>
  <c r="K1651" i="34" a="1"/>
  <c r="K1651" i="34"/>
  <c r="L1651" i="34" a="1"/>
  <c r="L1651" i="34"/>
  <c r="M1651" i="34" a="1"/>
  <c r="M1651" i="34"/>
  <c r="N1651" i="34" a="1"/>
  <c r="N1651" i="34"/>
  <c r="O1651" i="34" a="1"/>
  <c r="O1651" i="34"/>
  <c r="P1651" i="34" a="1"/>
  <c r="P1651" i="34"/>
  <c r="Q1651" i="34" a="1"/>
  <c r="Q1651" i="34"/>
  <c r="I1652" i="34" a="1"/>
  <c r="I1652" i="34"/>
  <c r="J1652" i="34" a="1"/>
  <c r="J1652" i="34"/>
  <c r="K1652" i="34" a="1"/>
  <c r="K1652" i="34"/>
  <c r="L1652" i="34" a="1"/>
  <c r="L1652" i="34"/>
  <c r="M1652" i="34" a="1"/>
  <c r="M1652" i="34"/>
  <c r="N1652" i="34" a="1"/>
  <c r="N1652" i="34"/>
  <c r="O1652" i="34" a="1"/>
  <c r="O1652" i="34"/>
  <c r="P1652" i="34" a="1"/>
  <c r="P1652" i="34"/>
  <c r="Q1652" i="34" a="1"/>
  <c r="Q1652" i="34"/>
  <c r="I1653" i="34"/>
  <c r="J1653" i="34"/>
  <c r="K1653" i="34"/>
  <c r="L1653" i="34"/>
  <c r="M1653" i="34"/>
  <c r="N1653" i="34"/>
  <c r="O1653" i="34"/>
  <c r="P1653" i="34"/>
  <c r="Q1653" i="34"/>
  <c r="I1659" i="34" a="1"/>
  <c r="I1659" i="34"/>
  <c r="J1659" i="34" a="1"/>
  <c r="J1659" i="34"/>
  <c r="K1659" i="34" a="1"/>
  <c r="K1659" i="34"/>
  <c r="L1659" i="34" a="1"/>
  <c r="L1659" i="34"/>
  <c r="M1659" i="34" a="1"/>
  <c r="M1659" i="34"/>
  <c r="N1659" i="34" a="1"/>
  <c r="N1659" i="34"/>
  <c r="O1659" i="34" a="1"/>
  <c r="O1659" i="34"/>
  <c r="P1659" i="34" a="1"/>
  <c r="P1659" i="34"/>
  <c r="Q1659" i="34" a="1"/>
  <c r="Q1659" i="34"/>
  <c r="I1660" i="34" a="1"/>
  <c r="I1660" i="34"/>
  <c r="J1660" i="34" a="1"/>
  <c r="J1660" i="34"/>
  <c r="K1660" i="34" a="1"/>
  <c r="K1660" i="34"/>
  <c r="L1660" i="34" a="1"/>
  <c r="L1660" i="34"/>
  <c r="M1660" i="34" a="1"/>
  <c r="M1660" i="34"/>
  <c r="N1660" i="34" a="1"/>
  <c r="N1660" i="34"/>
  <c r="O1660" i="34" a="1"/>
  <c r="O1660" i="34"/>
  <c r="P1660" i="34" a="1"/>
  <c r="P1660" i="34"/>
  <c r="Q1660" i="34" a="1"/>
  <c r="Q1660" i="34"/>
  <c r="I1661" i="34" a="1"/>
  <c r="I1661" i="34"/>
  <c r="J1661" i="34" a="1"/>
  <c r="J1661" i="34"/>
  <c r="K1661" i="34" a="1"/>
  <c r="K1661" i="34"/>
  <c r="L1661" i="34" a="1"/>
  <c r="L1661" i="34"/>
  <c r="M1661" i="34" a="1"/>
  <c r="M1661" i="34"/>
  <c r="N1661" i="34" a="1"/>
  <c r="N1661" i="34"/>
  <c r="O1661" i="34" a="1"/>
  <c r="O1661" i="34"/>
  <c r="P1661" i="34" a="1"/>
  <c r="P1661" i="34"/>
  <c r="Q1661" i="34" a="1"/>
  <c r="Q1661" i="34"/>
  <c r="I1662" i="34" a="1"/>
  <c r="I1662" i="34"/>
  <c r="J1662" i="34" a="1"/>
  <c r="J1662" i="34"/>
  <c r="K1662" i="34" a="1"/>
  <c r="K1662" i="34"/>
  <c r="L1662" i="34" a="1"/>
  <c r="L1662" i="34"/>
  <c r="M1662" i="34" a="1"/>
  <c r="M1662" i="34"/>
  <c r="N1662" i="34" a="1"/>
  <c r="N1662" i="34"/>
  <c r="O1662" i="34" a="1"/>
  <c r="O1662" i="34"/>
  <c r="P1662" i="34" a="1"/>
  <c r="P1662" i="34"/>
  <c r="Q1662" i="34" a="1"/>
  <c r="Q1662" i="34"/>
  <c r="I1663" i="34" a="1"/>
  <c r="I1663" i="34"/>
  <c r="J1663" i="34" a="1"/>
  <c r="J1663" i="34"/>
  <c r="K1663" i="34" a="1"/>
  <c r="K1663" i="34"/>
  <c r="L1663" i="34" a="1"/>
  <c r="L1663" i="34"/>
  <c r="M1663" i="34" a="1"/>
  <c r="M1663" i="34"/>
  <c r="N1663" i="34" a="1"/>
  <c r="N1663" i="34"/>
  <c r="O1663" i="34" a="1"/>
  <c r="O1663" i="34"/>
  <c r="P1663" i="34" a="1"/>
  <c r="P1663" i="34"/>
  <c r="Q1663" i="34" a="1"/>
  <c r="Q1663" i="34"/>
  <c r="I1665" i="34"/>
  <c r="J1665" i="34"/>
  <c r="K1665" i="34"/>
  <c r="L1665" i="34"/>
  <c r="M1665" i="34"/>
  <c r="N1665" i="34"/>
  <c r="O1665" i="34"/>
  <c r="P1665" i="34"/>
  <c r="Q1665" i="34"/>
  <c r="I1666" i="34"/>
  <c r="J1666" i="34"/>
  <c r="K1666" i="34"/>
  <c r="L1666" i="34"/>
  <c r="M1666" i="34"/>
  <c r="N1666" i="34"/>
  <c r="O1666" i="34"/>
  <c r="P1666" i="34"/>
  <c r="Q1666" i="34"/>
  <c r="I1667" i="34"/>
  <c r="J1667" i="34"/>
  <c r="K1667" i="34"/>
  <c r="L1667" i="34"/>
  <c r="M1667" i="34"/>
  <c r="N1667" i="34"/>
  <c r="O1667" i="34"/>
  <c r="P1667" i="34"/>
  <c r="Q1667" i="34"/>
  <c r="I1668" i="34"/>
  <c r="J1668" i="34"/>
  <c r="K1668" i="34"/>
  <c r="L1668" i="34"/>
  <c r="M1668" i="34"/>
  <c r="N1668" i="34"/>
  <c r="O1668" i="34"/>
  <c r="P1668" i="34"/>
  <c r="Q1668" i="34"/>
  <c r="I1669" i="34"/>
  <c r="J1669" i="34"/>
  <c r="K1669" i="34"/>
  <c r="L1669" i="34"/>
  <c r="M1669" i="34"/>
  <c r="N1669" i="34"/>
  <c r="O1669" i="34"/>
  <c r="P1669" i="34"/>
  <c r="Q1669" i="34"/>
  <c r="I1671" i="34" a="1"/>
  <c r="I1671" i="34"/>
  <c r="J1671" i="34" a="1"/>
  <c r="J1671" i="34"/>
  <c r="K1671" i="34" a="1"/>
  <c r="K1671" i="34"/>
  <c r="L1671" i="34" a="1"/>
  <c r="L1671" i="34"/>
  <c r="M1671" i="34" a="1"/>
  <c r="M1671" i="34"/>
  <c r="N1671" i="34" a="1"/>
  <c r="N1671" i="34"/>
  <c r="O1671" i="34" a="1"/>
  <c r="O1671" i="34"/>
  <c r="P1671" i="34" a="1"/>
  <c r="P1671" i="34"/>
  <c r="Q1671" i="34" a="1"/>
  <c r="Q1671" i="34"/>
  <c r="I1672" i="34" a="1"/>
  <c r="I1672" i="34"/>
  <c r="J1672" i="34" a="1"/>
  <c r="J1672" i="34"/>
  <c r="K1672" i="34" a="1"/>
  <c r="K1672" i="34"/>
  <c r="L1672" i="34" a="1"/>
  <c r="L1672" i="34"/>
  <c r="M1672" i="34" a="1"/>
  <c r="M1672" i="34"/>
  <c r="N1672" i="34" a="1"/>
  <c r="N1672" i="34"/>
  <c r="O1672" i="34" a="1"/>
  <c r="O1672" i="34"/>
  <c r="P1672" i="34" a="1"/>
  <c r="P1672" i="34"/>
  <c r="Q1672" i="34" a="1"/>
  <c r="Q1672" i="34"/>
  <c r="I1673" i="34" a="1"/>
  <c r="I1673" i="34"/>
  <c r="J1673" i="34" a="1"/>
  <c r="J1673" i="34"/>
  <c r="K1673" i="34" a="1"/>
  <c r="K1673" i="34"/>
  <c r="L1673" i="34" a="1"/>
  <c r="L1673" i="34"/>
  <c r="M1673" i="34" a="1"/>
  <c r="M1673" i="34"/>
  <c r="N1673" i="34" a="1"/>
  <c r="N1673" i="34"/>
  <c r="O1673" i="34" a="1"/>
  <c r="O1673" i="34"/>
  <c r="P1673" i="34" a="1"/>
  <c r="P1673" i="34"/>
  <c r="Q1673" i="34" a="1"/>
  <c r="Q1673" i="34"/>
  <c r="I1674" i="34" a="1"/>
  <c r="I1674" i="34"/>
  <c r="J1674" i="34" a="1"/>
  <c r="J1674" i="34"/>
  <c r="K1674" i="34" a="1"/>
  <c r="K1674" i="34"/>
  <c r="L1674" i="34" a="1"/>
  <c r="L1674" i="34"/>
  <c r="M1674" i="34" a="1"/>
  <c r="M1674" i="34"/>
  <c r="N1674" i="34" a="1"/>
  <c r="N1674" i="34"/>
  <c r="O1674" i="34" a="1"/>
  <c r="O1674" i="34"/>
  <c r="P1674" i="34" a="1"/>
  <c r="P1674" i="34"/>
  <c r="Q1674" i="34" a="1"/>
  <c r="Q1674" i="34"/>
  <c r="I1675" i="34" a="1"/>
  <c r="I1675" i="34"/>
  <c r="J1675" i="34" a="1"/>
  <c r="J1675" i="34"/>
  <c r="K1675" i="34" a="1"/>
  <c r="K1675" i="34"/>
  <c r="L1675" i="34" a="1"/>
  <c r="L1675" i="34"/>
  <c r="M1675" i="34" a="1"/>
  <c r="M1675" i="34"/>
  <c r="N1675" i="34" a="1"/>
  <c r="N1675" i="34"/>
  <c r="O1675" i="34" a="1"/>
  <c r="O1675" i="34"/>
  <c r="P1675" i="34" a="1"/>
  <c r="P1675" i="34"/>
  <c r="Q1675" i="34" a="1"/>
  <c r="Q1675" i="34"/>
  <c r="I1677" i="34" a="1"/>
  <c r="I1677" i="34"/>
  <c r="J1677" i="34" a="1"/>
  <c r="J1677" i="34"/>
  <c r="K1677" i="34" a="1"/>
  <c r="K1677" i="34"/>
  <c r="L1677" i="34" a="1"/>
  <c r="L1677" i="34"/>
  <c r="M1677" i="34" a="1"/>
  <c r="M1677" i="34"/>
  <c r="N1677" i="34" a="1"/>
  <c r="N1677" i="34"/>
  <c r="O1677" i="34" a="1"/>
  <c r="O1677" i="34"/>
  <c r="P1677" i="34" a="1"/>
  <c r="P1677" i="34"/>
  <c r="Q1677" i="34" a="1"/>
  <c r="Q1677" i="34"/>
  <c r="I1678" i="34" a="1"/>
  <c r="I1678" i="34"/>
  <c r="J1678" i="34" a="1"/>
  <c r="J1678" i="34"/>
  <c r="K1678" i="34" a="1"/>
  <c r="K1678" i="34"/>
  <c r="L1678" i="34" a="1"/>
  <c r="L1678" i="34"/>
  <c r="M1678" i="34" a="1"/>
  <c r="M1678" i="34"/>
  <c r="N1678" i="34" a="1"/>
  <c r="N1678" i="34"/>
  <c r="O1678" i="34" a="1"/>
  <c r="O1678" i="34"/>
  <c r="P1678" i="34" a="1"/>
  <c r="P1678" i="34"/>
  <c r="Q1678" i="34" a="1"/>
  <c r="Q1678" i="34"/>
  <c r="I1679" i="34" a="1"/>
  <c r="I1679" i="34"/>
  <c r="J1679" i="34" a="1"/>
  <c r="J1679" i="34"/>
  <c r="K1679" i="34" a="1"/>
  <c r="K1679" i="34"/>
  <c r="L1679" i="34" a="1"/>
  <c r="L1679" i="34"/>
  <c r="M1679" i="34" a="1"/>
  <c r="M1679" i="34"/>
  <c r="N1679" i="34" a="1"/>
  <c r="N1679" i="34"/>
  <c r="O1679" i="34" a="1"/>
  <c r="O1679" i="34"/>
  <c r="P1679" i="34" a="1"/>
  <c r="P1679" i="34"/>
  <c r="Q1679" i="34" a="1"/>
  <c r="Q1679" i="34"/>
  <c r="I1680" i="34" a="1"/>
  <c r="I1680" i="34"/>
  <c r="J1680" i="34" a="1"/>
  <c r="J1680" i="34"/>
  <c r="K1680" i="34" a="1"/>
  <c r="K1680" i="34"/>
  <c r="L1680" i="34" a="1"/>
  <c r="L1680" i="34"/>
  <c r="M1680" i="34" a="1"/>
  <c r="M1680" i="34"/>
  <c r="N1680" i="34" a="1"/>
  <c r="N1680" i="34"/>
  <c r="O1680" i="34" a="1"/>
  <c r="O1680" i="34"/>
  <c r="P1680" i="34" a="1"/>
  <c r="P1680" i="34"/>
  <c r="Q1680" i="34" a="1"/>
  <c r="Q1680" i="34"/>
  <c r="I1681" i="34" a="1"/>
  <c r="I1681" i="34"/>
  <c r="J1681" i="34" a="1"/>
  <c r="J1681" i="34"/>
  <c r="K1681" i="34" a="1"/>
  <c r="K1681" i="34"/>
  <c r="L1681" i="34" a="1"/>
  <c r="L1681" i="34"/>
  <c r="M1681" i="34" a="1"/>
  <c r="M1681" i="34"/>
  <c r="N1681" i="34" a="1"/>
  <c r="N1681" i="34"/>
  <c r="O1681" i="34" a="1"/>
  <c r="O1681" i="34"/>
  <c r="P1681" i="34" a="1"/>
  <c r="P1681" i="34"/>
  <c r="Q1681" i="34" a="1"/>
  <c r="Q1681" i="34"/>
  <c r="I1683" i="34" a="1"/>
  <c r="I1683" i="34"/>
  <c r="J1683" i="34" a="1"/>
  <c r="J1683" i="34"/>
  <c r="K1683" i="34" a="1"/>
  <c r="K1683" i="34"/>
  <c r="L1683" i="34" a="1"/>
  <c r="L1683" i="34"/>
  <c r="M1683" i="34" a="1"/>
  <c r="M1683" i="34"/>
  <c r="N1683" i="34" a="1"/>
  <c r="N1683" i="34"/>
  <c r="O1683" i="34" a="1"/>
  <c r="O1683" i="34"/>
  <c r="P1683" i="34" a="1"/>
  <c r="P1683" i="34"/>
  <c r="Q1683" i="34" a="1"/>
  <c r="Q1683" i="34"/>
  <c r="I1684" i="34" a="1"/>
  <c r="I1684" i="34"/>
  <c r="J1684" i="34" a="1"/>
  <c r="J1684" i="34"/>
  <c r="K1684" i="34" a="1"/>
  <c r="K1684" i="34"/>
  <c r="L1684" i="34" a="1"/>
  <c r="L1684" i="34"/>
  <c r="M1684" i="34" a="1"/>
  <c r="M1684" i="34"/>
  <c r="N1684" i="34" a="1"/>
  <c r="N1684" i="34"/>
  <c r="O1684" i="34" a="1"/>
  <c r="O1684" i="34"/>
  <c r="P1684" i="34" a="1"/>
  <c r="P1684" i="34"/>
  <c r="Q1684" i="34" a="1"/>
  <c r="Q1684" i="34"/>
  <c r="I1685" i="34" a="1"/>
  <c r="I1685" i="34"/>
  <c r="J1685" i="34" a="1"/>
  <c r="J1685" i="34"/>
  <c r="K1685" i="34" a="1"/>
  <c r="K1685" i="34"/>
  <c r="L1685" i="34" a="1"/>
  <c r="L1685" i="34"/>
  <c r="M1685" i="34" a="1"/>
  <c r="M1685" i="34"/>
  <c r="N1685" i="34" a="1"/>
  <c r="N1685" i="34"/>
  <c r="O1685" i="34" a="1"/>
  <c r="O1685" i="34"/>
  <c r="P1685" i="34" a="1"/>
  <c r="P1685" i="34"/>
  <c r="Q1685" i="34" a="1"/>
  <c r="Q1685" i="34"/>
  <c r="I1686" i="34" a="1"/>
  <c r="I1686" i="34"/>
  <c r="J1686" i="34" a="1"/>
  <c r="J1686" i="34"/>
  <c r="K1686" i="34" a="1"/>
  <c r="K1686" i="34"/>
  <c r="L1686" i="34" a="1"/>
  <c r="L1686" i="34"/>
  <c r="M1686" i="34" a="1"/>
  <c r="M1686" i="34"/>
  <c r="N1686" i="34" a="1"/>
  <c r="N1686" i="34"/>
  <c r="O1686" i="34" a="1"/>
  <c r="O1686" i="34"/>
  <c r="P1686" i="34" a="1"/>
  <c r="P1686" i="34"/>
  <c r="Q1686" i="34" a="1"/>
  <c r="Q1686" i="34"/>
  <c r="I1687" i="34" a="1"/>
  <c r="I1687" i="34"/>
  <c r="J1687" i="34" a="1"/>
  <c r="J1687" i="34"/>
  <c r="K1687" i="34" a="1"/>
  <c r="K1687" i="34"/>
  <c r="L1687" i="34" a="1"/>
  <c r="L1687" i="34"/>
  <c r="M1687" i="34" a="1"/>
  <c r="M1687" i="34"/>
  <c r="N1687" i="34" a="1"/>
  <c r="N1687" i="34"/>
  <c r="O1687" i="34" a="1"/>
  <c r="O1687" i="34"/>
  <c r="P1687" i="34" a="1"/>
  <c r="P1687" i="34"/>
  <c r="Q1687" i="34" a="1"/>
  <c r="Q1687" i="34"/>
  <c r="I1689" i="34" a="1"/>
  <c r="I1689" i="34"/>
  <c r="J1689" i="34" a="1"/>
  <c r="J1689" i="34"/>
  <c r="K1689" i="34" a="1"/>
  <c r="K1689" i="34"/>
  <c r="L1689" i="34" a="1"/>
  <c r="L1689" i="34"/>
  <c r="M1689" i="34" a="1"/>
  <c r="M1689" i="34"/>
  <c r="N1689" i="34" a="1"/>
  <c r="N1689" i="34"/>
  <c r="O1689" i="34" a="1"/>
  <c r="O1689" i="34"/>
  <c r="P1689" i="34" a="1"/>
  <c r="P1689" i="34"/>
  <c r="Q1689" i="34" a="1"/>
  <c r="Q1689" i="34"/>
  <c r="I1690" i="34" a="1"/>
  <c r="I1690" i="34"/>
  <c r="J1690" i="34" a="1"/>
  <c r="J1690" i="34"/>
  <c r="K1690" i="34" a="1"/>
  <c r="K1690" i="34"/>
  <c r="L1690" i="34" a="1"/>
  <c r="L1690" i="34"/>
  <c r="M1690" i="34" a="1"/>
  <c r="M1690" i="34"/>
  <c r="N1690" i="34" a="1"/>
  <c r="N1690" i="34"/>
  <c r="O1690" i="34" a="1"/>
  <c r="O1690" i="34"/>
  <c r="P1690" i="34" a="1"/>
  <c r="P1690" i="34"/>
  <c r="Q1690" i="34" a="1"/>
  <c r="Q1690" i="34"/>
  <c r="I1691" i="34" a="1"/>
  <c r="I1691" i="34"/>
  <c r="J1691" i="34" a="1"/>
  <c r="J1691" i="34"/>
  <c r="K1691" i="34" a="1"/>
  <c r="K1691" i="34"/>
  <c r="L1691" i="34" a="1"/>
  <c r="L1691" i="34"/>
  <c r="M1691" i="34" a="1"/>
  <c r="M1691" i="34"/>
  <c r="N1691" i="34" a="1"/>
  <c r="N1691" i="34"/>
  <c r="O1691" i="34" a="1"/>
  <c r="O1691" i="34"/>
  <c r="P1691" i="34" a="1"/>
  <c r="P1691" i="34"/>
  <c r="Q1691" i="34" a="1"/>
  <c r="Q1691" i="34"/>
  <c r="I1692" i="34" a="1"/>
  <c r="I1692" i="34"/>
  <c r="J1692" i="34" a="1"/>
  <c r="J1692" i="34"/>
  <c r="K1692" i="34" a="1"/>
  <c r="K1692" i="34"/>
  <c r="L1692" i="34" a="1"/>
  <c r="L1692" i="34"/>
  <c r="M1692" i="34" a="1"/>
  <c r="M1692" i="34"/>
  <c r="N1692" i="34" a="1"/>
  <c r="N1692" i="34"/>
  <c r="O1692" i="34" a="1"/>
  <c r="O1692" i="34"/>
  <c r="P1692" i="34" a="1"/>
  <c r="P1692" i="34"/>
  <c r="Q1692" i="34" a="1"/>
  <c r="Q1692" i="34"/>
  <c r="I1693" i="34" a="1"/>
  <c r="I1693" i="34"/>
  <c r="J1693" i="34" a="1"/>
  <c r="J1693" i="34"/>
  <c r="K1693" i="34" a="1"/>
  <c r="K1693" i="34"/>
  <c r="L1693" i="34" a="1"/>
  <c r="L1693" i="34"/>
  <c r="M1693" i="34" a="1"/>
  <c r="M1693" i="34"/>
  <c r="N1693" i="34" a="1"/>
  <c r="N1693" i="34"/>
  <c r="O1693" i="34" a="1"/>
  <c r="O1693" i="34"/>
  <c r="P1693" i="34" a="1"/>
  <c r="P1693" i="34"/>
  <c r="Q1693" i="34" a="1"/>
  <c r="Q1693" i="34"/>
  <c r="I1695" i="34" a="1"/>
  <c r="I1695" i="34"/>
  <c r="J1695" i="34" a="1"/>
  <c r="J1695" i="34"/>
  <c r="K1695" i="34" a="1"/>
  <c r="K1695" i="34"/>
  <c r="L1695" i="34" a="1"/>
  <c r="L1695" i="34"/>
  <c r="M1695" i="34" a="1"/>
  <c r="M1695" i="34"/>
  <c r="N1695" i="34" a="1"/>
  <c r="N1695" i="34"/>
  <c r="O1695" i="34" a="1"/>
  <c r="O1695" i="34"/>
  <c r="P1695" i="34" a="1"/>
  <c r="P1695" i="34"/>
  <c r="Q1695" i="34" a="1"/>
  <c r="Q1695" i="34"/>
  <c r="I1696" i="34" a="1"/>
  <c r="I1696" i="34"/>
  <c r="J1696" i="34" a="1"/>
  <c r="J1696" i="34"/>
  <c r="K1696" i="34" a="1"/>
  <c r="K1696" i="34"/>
  <c r="L1696" i="34" a="1"/>
  <c r="L1696" i="34"/>
  <c r="M1696" i="34" a="1"/>
  <c r="M1696" i="34"/>
  <c r="N1696" i="34" a="1"/>
  <c r="N1696" i="34"/>
  <c r="O1696" i="34" a="1"/>
  <c r="O1696" i="34"/>
  <c r="P1696" i="34" a="1"/>
  <c r="P1696" i="34"/>
  <c r="Q1696" i="34" a="1"/>
  <c r="Q1696" i="34"/>
  <c r="I1697" i="34" a="1"/>
  <c r="I1697" i="34"/>
  <c r="J1697" i="34" a="1"/>
  <c r="J1697" i="34"/>
  <c r="K1697" i="34" a="1"/>
  <c r="K1697" i="34"/>
  <c r="L1697" i="34" a="1"/>
  <c r="L1697" i="34"/>
  <c r="M1697" i="34" a="1"/>
  <c r="M1697" i="34"/>
  <c r="N1697" i="34" a="1"/>
  <c r="N1697" i="34"/>
  <c r="O1697" i="34" a="1"/>
  <c r="O1697" i="34"/>
  <c r="P1697" i="34" a="1"/>
  <c r="P1697" i="34"/>
  <c r="Q1697" i="34" a="1"/>
  <c r="Q1697" i="34"/>
  <c r="I1698" i="34" a="1"/>
  <c r="I1698" i="34"/>
  <c r="J1698" i="34" a="1"/>
  <c r="J1698" i="34"/>
  <c r="K1698" i="34" a="1"/>
  <c r="K1698" i="34"/>
  <c r="L1698" i="34" a="1"/>
  <c r="L1698" i="34"/>
  <c r="M1698" i="34" a="1"/>
  <c r="M1698" i="34"/>
  <c r="N1698" i="34" a="1"/>
  <c r="N1698" i="34"/>
  <c r="O1698" i="34" a="1"/>
  <c r="O1698" i="34"/>
  <c r="P1698" i="34" a="1"/>
  <c r="P1698" i="34"/>
  <c r="Q1698" i="34" a="1"/>
  <c r="Q1698" i="34"/>
  <c r="I1699" i="34" a="1"/>
  <c r="I1699" i="34"/>
  <c r="J1699" i="34" a="1"/>
  <c r="J1699" i="34"/>
  <c r="K1699" i="34" a="1"/>
  <c r="K1699" i="34"/>
  <c r="L1699" i="34" a="1"/>
  <c r="L1699" i="34"/>
  <c r="M1699" i="34" a="1"/>
  <c r="M1699" i="34"/>
  <c r="N1699" i="34" a="1"/>
  <c r="N1699" i="34"/>
  <c r="O1699" i="34" a="1"/>
  <c r="O1699" i="34"/>
  <c r="P1699" i="34" a="1"/>
  <c r="P1699" i="34"/>
  <c r="Q1699" i="34" a="1"/>
  <c r="Q1699" i="34"/>
  <c r="I1701" i="34" a="1"/>
  <c r="I1701" i="34"/>
  <c r="J1701" i="34" a="1"/>
  <c r="J1701" i="34"/>
  <c r="K1701" i="34" a="1"/>
  <c r="K1701" i="34"/>
  <c r="L1701" i="34" a="1"/>
  <c r="L1701" i="34"/>
  <c r="M1701" i="34" a="1"/>
  <c r="M1701" i="34"/>
  <c r="N1701" i="34" a="1"/>
  <c r="N1701" i="34"/>
  <c r="O1701" i="34" a="1"/>
  <c r="O1701" i="34"/>
  <c r="P1701" i="34" a="1"/>
  <c r="P1701" i="34"/>
  <c r="Q1701" i="34" a="1"/>
  <c r="Q1701" i="34"/>
  <c r="I1702" i="34" a="1"/>
  <c r="I1702" i="34"/>
  <c r="J1702" i="34" a="1"/>
  <c r="J1702" i="34"/>
  <c r="K1702" i="34" a="1"/>
  <c r="K1702" i="34"/>
  <c r="L1702" i="34" a="1"/>
  <c r="L1702" i="34"/>
  <c r="M1702" i="34" a="1"/>
  <c r="M1702" i="34"/>
  <c r="N1702" i="34" a="1"/>
  <c r="N1702" i="34"/>
  <c r="O1702" i="34" a="1"/>
  <c r="O1702" i="34"/>
  <c r="P1702" i="34" a="1"/>
  <c r="P1702" i="34"/>
  <c r="Q1702" i="34" a="1"/>
  <c r="Q1702" i="34"/>
  <c r="I1703" i="34" a="1"/>
  <c r="I1703" i="34"/>
  <c r="J1703" i="34" a="1"/>
  <c r="J1703" i="34"/>
  <c r="K1703" i="34" a="1"/>
  <c r="K1703" i="34"/>
  <c r="L1703" i="34" a="1"/>
  <c r="L1703" i="34"/>
  <c r="M1703" i="34" a="1"/>
  <c r="M1703" i="34"/>
  <c r="N1703" i="34" a="1"/>
  <c r="N1703" i="34"/>
  <c r="O1703" i="34" a="1"/>
  <c r="O1703" i="34"/>
  <c r="P1703" i="34" a="1"/>
  <c r="P1703" i="34"/>
  <c r="Q1703" i="34" a="1"/>
  <c r="Q1703" i="34"/>
  <c r="I1704" i="34" a="1"/>
  <c r="I1704" i="34"/>
  <c r="J1704" i="34" a="1"/>
  <c r="J1704" i="34"/>
  <c r="K1704" i="34" a="1"/>
  <c r="K1704" i="34"/>
  <c r="L1704" i="34" a="1"/>
  <c r="L1704" i="34"/>
  <c r="M1704" i="34" a="1"/>
  <c r="M1704" i="34"/>
  <c r="N1704" i="34" a="1"/>
  <c r="N1704" i="34"/>
  <c r="O1704" i="34" a="1"/>
  <c r="O1704" i="34"/>
  <c r="P1704" i="34" a="1"/>
  <c r="P1704" i="34"/>
  <c r="Q1704" i="34" a="1"/>
  <c r="Q1704" i="34"/>
  <c r="I1705" i="34" a="1"/>
  <c r="I1705" i="34"/>
  <c r="J1705" i="34" a="1"/>
  <c r="J1705" i="34"/>
  <c r="K1705" i="34" a="1"/>
  <c r="K1705" i="34"/>
  <c r="L1705" i="34" a="1"/>
  <c r="L1705" i="34"/>
  <c r="M1705" i="34" a="1"/>
  <c r="M1705" i="34"/>
  <c r="N1705" i="34" a="1"/>
  <c r="N1705" i="34"/>
  <c r="O1705" i="34" a="1"/>
  <c r="O1705" i="34"/>
  <c r="P1705" i="34" a="1"/>
  <c r="P1705" i="34"/>
  <c r="Q1705" i="34" a="1"/>
  <c r="Q1705" i="34"/>
  <c r="I1707" i="34" a="1"/>
  <c r="I1707" i="34"/>
  <c r="J1707" i="34" a="1"/>
  <c r="J1707" i="34"/>
  <c r="K1707" i="34" a="1"/>
  <c r="K1707" i="34"/>
  <c r="L1707" i="34" a="1"/>
  <c r="L1707" i="34"/>
  <c r="M1707" i="34" a="1"/>
  <c r="M1707" i="34"/>
  <c r="N1707" i="34" a="1"/>
  <c r="N1707" i="34"/>
  <c r="O1707" i="34" a="1"/>
  <c r="O1707" i="34"/>
  <c r="P1707" i="34" a="1"/>
  <c r="P1707" i="34"/>
  <c r="Q1707" i="34" a="1"/>
  <c r="Q1707" i="34"/>
  <c r="I1708" i="34" a="1"/>
  <c r="I1708" i="34"/>
  <c r="J1708" i="34" a="1"/>
  <c r="J1708" i="34"/>
  <c r="K1708" i="34" a="1"/>
  <c r="K1708" i="34"/>
  <c r="L1708" i="34" a="1"/>
  <c r="L1708" i="34"/>
  <c r="M1708" i="34" a="1"/>
  <c r="M1708" i="34"/>
  <c r="N1708" i="34" a="1"/>
  <c r="N1708" i="34"/>
  <c r="O1708" i="34" a="1"/>
  <c r="O1708" i="34"/>
  <c r="P1708" i="34" a="1"/>
  <c r="P1708" i="34"/>
  <c r="Q1708" i="34" a="1"/>
  <c r="Q1708" i="34"/>
  <c r="I1709" i="34" a="1"/>
  <c r="I1709" i="34"/>
  <c r="J1709" i="34" a="1"/>
  <c r="J1709" i="34"/>
  <c r="K1709" i="34" a="1"/>
  <c r="K1709" i="34"/>
  <c r="L1709" i="34" a="1"/>
  <c r="L1709" i="34"/>
  <c r="M1709" i="34" a="1"/>
  <c r="M1709" i="34"/>
  <c r="N1709" i="34" a="1"/>
  <c r="N1709" i="34"/>
  <c r="O1709" i="34" a="1"/>
  <c r="O1709" i="34"/>
  <c r="P1709" i="34" a="1"/>
  <c r="P1709" i="34"/>
  <c r="Q1709" i="34" a="1"/>
  <c r="Q1709" i="34"/>
  <c r="I1710" i="34" a="1"/>
  <c r="I1710" i="34"/>
  <c r="J1710" i="34" a="1"/>
  <c r="J1710" i="34"/>
  <c r="K1710" i="34" a="1"/>
  <c r="K1710" i="34"/>
  <c r="L1710" i="34" a="1"/>
  <c r="L1710" i="34"/>
  <c r="M1710" i="34" a="1"/>
  <c r="M1710" i="34"/>
  <c r="N1710" i="34" a="1"/>
  <c r="N1710" i="34"/>
  <c r="O1710" i="34" a="1"/>
  <c r="O1710" i="34"/>
  <c r="P1710" i="34" a="1"/>
  <c r="P1710" i="34"/>
  <c r="Q1710" i="34" a="1"/>
  <c r="Q1710" i="34"/>
  <c r="I1711" i="34" a="1"/>
  <c r="I1711" i="34"/>
  <c r="J1711" i="34" a="1"/>
  <c r="J1711" i="34"/>
  <c r="K1711" i="34" a="1"/>
  <c r="K1711" i="34"/>
  <c r="L1711" i="34" a="1"/>
  <c r="L1711" i="34"/>
  <c r="M1711" i="34" a="1"/>
  <c r="M1711" i="34"/>
  <c r="N1711" i="34" a="1"/>
  <c r="N1711" i="34"/>
  <c r="O1711" i="34" a="1"/>
  <c r="O1711" i="34"/>
  <c r="P1711" i="34" a="1"/>
  <c r="P1711" i="34"/>
  <c r="Q1711" i="34" a="1"/>
  <c r="Q1711" i="34"/>
  <c r="I1713" i="34" a="1"/>
  <c r="I1713" i="34"/>
  <c r="J1713" i="34" a="1"/>
  <c r="J1713" i="34"/>
  <c r="K1713" i="34" a="1"/>
  <c r="K1713" i="34"/>
  <c r="L1713" i="34" a="1"/>
  <c r="L1713" i="34"/>
  <c r="M1713" i="34" a="1"/>
  <c r="M1713" i="34"/>
  <c r="N1713" i="34" a="1"/>
  <c r="N1713" i="34"/>
  <c r="O1713" i="34" a="1"/>
  <c r="O1713" i="34"/>
  <c r="P1713" i="34" a="1"/>
  <c r="P1713" i="34"/>
  <c r="Q1713" i="34" a="1"/>
  <c r="Q1713" i="34"/>
  <c r="I1714" i="34" a="1"/>
  <c r="I1714" i="34"/>
  <c r="J1714" i="34" a="1"/>
  <c r="J1714" i="34"/>
  <c r="K1714" i="34" a="1"/>
  <c r="K1714" i="34"/>
  <c r="L1714" i="34" a="1"/>
  <c r="L1714" i="34"/>
  <c r="M1714" i="34" a="1"/>
  <c r="M1714" i="34"/>
  <c r="N1714" i="34" a="1"/>
  <c r="N1714" i="34"/>
  <c r="O1714" i="34" a="1"/>
  <c r="O1714" i="34"/>
  <c r="P1714" i="34" a="1"/>
  <c r="P1714" i="34"/>
  <c r="Q1714" i="34" a="1"/>
  <c r="Q1714" i="34"/>
  <c r="I1715" i="34" a="1"/>
  <c r="I1715" i="34"/>
  <c r="J1715" i="34" a="1"/>
  <c r="J1715" i="34"/>
  <c r="K1715" i="34" a="1"/>
  <c r="K1715" i="34"/>
  <c r="L1715" i="34" a="1"/>
  <c r="L1715" i="34"/>
  <c r="M1715" i="34" a="1"/>
  <c r="M1715" i="34"/>
  <c r="N1715" i="34" a="1"/>
  <c r="N1715" i="34"/>
  <c r="O1715" i="34" a="1"/>
  <c r="O1715" i="34"/>
  <c r="P1715" i="34" a="1"/>
  <c r="P1715" i="34"/>
  <c r="Q1715" i="34" a="1"/>
  <c r="Q1715" i="34"/>
  <c r="I1716" i="34" a="1"/>
  <c r="I1716" i="34"/>
  <c r="J1716" i="34" a="1"/>
  <c r="J1716" i="34"/>
  <c r="K1716" i="34" a="1"/>
  <c r="K1716" i="34"/>
  <c r="L1716" i="34" a="1"/>
  <c r="L1716" i="34"/>
  <c r="M1716" i="34" a="1"/>
  <c r="M1716" i="34"/>
  <c r="N1716" i="34" a="1"/>
  <c r="N1716" i="34"/>
  <c r="O1716" i="34" a="1"/>
  <c r="O1716" i="34"/>
  <c r="P1716" i="34" a="1"/>
  <c r="P1716" i="34"/>
  <c r="Q1716" i="34" a="1"/>
  <c r="Q1716" i="34"/>
  <c r="I1717" i="34" a="1"/>
  <c r="I1717" i="34"/>
  <c r="J1717" i="34" a="1"/>
  <c r="J1717" i="34"/>
  <c r="K1717" i="34" a="1"/>
  <c r="K1717" i="34"/>
  <c r="L1717" i="34" a="1"/>
  <c r="L1717" i="34"/>
  <c r="M1717" i="34" a="1"/>
  <c r="M1717" i="34"/>
  <c r="N1717" i="34" a="1"/>
  <c r="N1717" i="34"/>
  <c r="O1717" i="34" a="1"/>
  <c r="O1717" i="34"/>
  <c r="P1717" i="34" a="1"/>
  <c r="P1717" i="34"/>
  <c r="Q1717" i="34" a="1"/>
  <c r="Q1717" i="34"/>
  <c r="I1719" i="34" a="1"/>
  <c r="I1719" i="34"/>
  <c r="J1719" i="34" a="1"/>
  <c r="J1719" i="34"/>
  <c r="K1719" i="34" a="1"/>
  <c r="K1719" i="34"/>
  <c r="L1719" i="34" a="1"/>
  <c r="L1719" i="34"/>
  <c r="M1719" i="34" a="1"/>
  <c r="M1719" i="34"/>
  <c r="N1719" i="34" a="1"/>
  <c r="N1719" i="34"/>
  <c r="O1719" i="34" a="1"/>
  <c r="O1719" i="34"/>
  <c r="P1719" i="34" a="1"/>
  <c r="P1719" i="34"/>
  <c r="Q1719" i="34" a="1"/>
  <c r="Q1719" i="34"/>
  <c r="I1720" i="34" a="1"/>
  <c r="I1720" i="34"/>
  <c r="J1720" i="34" a="1"/>
  <c r="J1720" i="34"/>
  <c r="K1720" i="34" a="1"/>
  <c r="K1720" i="34"/>
  <c r="L1720" i="34" a="1"/>
  <c r="L1720" i="34"/>
  <c r="M1720" i="34" a="1"/>
  <c r="M1720" i="34"/>
  <c r="N1720" i="34" a="1"/>
  <c r="N1720" i="34"/>
  <c r="O1720" i="34" a="1"/>
  <c r="O1720" i="34"/>
  <c r="P1720" i="34" a="1"/>
  <c r="P1720" i="34"/>
  <c r="Q1720" i="34" a="1"/>
  <c r="Q1720" i="34"/>
  <c r="I1721" i="34" a="1"/>
  <c r="I1721" i="34"/>
  <c r="J1721" i="34" a="1"/>
  <c r="J1721" i="34"/>
  <c r="K1721" i="34" a="1"/>
  <c r="K1721" i="34"/>
  <c r="L1721" i="34" a="1"/>
  <c r="L1721" i="34"/>
  <c r="M1721" i="34" a="1"/>
  <c r="M1721" i="34"/>
  <c r="N1721" i="34" a="1"/>
  <c r="N1721" i="34"/>
  <c r="O1721" i="34" a="1"/>
  <c r="O1721" i="34"/>
  <c r="P1721" i="34" a="1"/>
  <c r="P1721" i="34"/>
  <c r="Q1721" i="34" a="1"/>
  <c r="Q1721" i="34"/>
  <c r="I1722" i="34" a="1"/>
  <c r="I1722" i="34"/>
  <c r="J1722" i="34" a="1"/>
  <c r="J1722" i="34"/>
  <c r="K1722" i="34" a="1"/>
  <c r="K1722" i="34"/>
  <c r="L1722" i="34" a="1"/>
  <c r="L1722" i="34"/>
  <c r="M1722" i="34" a="1"/>
  <c r="M1722" i="34"/>
  <c r="N1722" i="34" a="1"/>
  <c r="N1722" i="34"/>
  <c r="O1722" i="34" a="1"/>
  <c r="O1722" i="34"/>
  <c r="P1722" i="34" a="1"/>
  <c r="P1722" i="34"/>
  <c r="Q1722" i="34" a="1"/>
  <c r="Q1722" i="34"/>
  <c r="I1723" i="34" a="1"/>
  <c r="I1723" i="34"/>
  <c r="J1723" i="34" a="1"/>
  <c r="J1723" i="34"/>
  <c r="K1723" i="34" a="1"/>
  <c r="K1723" i="34"/>
  <c r="L1723" i="34" a="1"/>
  <c r="L1723" i="34"/>
  <c r="M1723" i="34" a="1"/>
  <c r="M1723" i="34"/>
  <c r="N1723" i="34" a="1"/>
  <c r="N1723" i="34"/>
  <c r="O1723" i="34" a="1"/>
  <c r="O1723" i="34"/>
  <c r="P1723" i="34" a="1"/>
  <c r="P1723" i="34"/>
  <c r="Q1723" i="34" a="1"/>
  <c r="Q1723" i="34"/>
  <c r="I1725" i="34" a="1"/>
  <c r="I1725" i="34"/>
  <c r="J1725" i="34" a="1"/>
  <c r="J1725" i="34"/>
  <c r="K1725" i="34" a="1"/>
  <c r="K1725" i="34"/>
  <c r="L1725" i="34" a="1"/>
  <c r="L1725" i="34"/>
  <c r="M1725" i="34" a="1"/>
  <c r="M1725" i="34"/>
  <c r="N1725" i="34" a="1"/>
  <c r="N1725" i="34"/>
  <c r="O1725" i="34" a="1"/>
  <c r="O1725" i="34"/>
  <c r="P1725" i="34" a="1"/>
  <c r="P1725" i="34"/>
  <c r="Q1725" i="34" a="1"/>
  <c r="Q1725" i="34"/>
  <c r="I1726" i="34" a="1"/>
  <c r="I1726" i="34"/>
  <c r="J1726" i="34" a="1"/>
  <c r="J1726" i="34"/>
  <c r="K1726" i="34" a="1"/>
  <c r="K1726" i="34"/>
  <c r="L1726" i="34" a="1"/>
  <c r="L1726" i="34"/>
  <c r="M1726" i="34" a="1"/>
  <c r="M1726" i="34"/>
  <c r="N1726" i="34" a="1"/>
  <c r="N1726" i="34"/>
  <c r="O1726" i="34" a="1"/>
  <c r="O1726" i="34"/>
  <c r="P1726" i="34" a="1"/>
  <c r="P1726" i="34"/>
  <c r="Q1726" i="34" a="1"/>
  <c r="Q1726" i="34"/>
  <c r="I1727" i="34" a="1"/>
  <c r="I1727" i="34"/>
  <c r="J1727" i="34" a="1"/>
  <c r="J1727" i="34"/>
  <c r="K1727" i="34" a="1"/>
  <c r="K1727" i="34"/>
  <c r="L1727" i="34" a="1"/>
  <c r="L1727" i="34"/>
  <c r="M1727" i="34" a="1"/>
  <c r="M1727" i="34"/>
  <c r="N1727" i="34" a="1"/>
  <c r="N1727" i="34"/>
  <c r="O1727" i="34" a="1"/>
  <c r="O1727" i="34"/>
  <c r="P1727" i="34" a="1"/>
  <c r="P1727" i="34"/>
  <c r="Q1727" i="34" a="1"/>
  <c r="Q1727" i="34"/>
  <c r="I1728" i="34" a="1"/>
  <c r="I1728" i="34"/>
  <c r="J1728" i="34" a="1"/>
  <c r="J1728" i="34"/>
  <c r="K1728" i="34" a="1"/>
  <c r="K1728" i="34"/>
  <c r="L1728" i="34" a="1"/>
  <c r="L1728" i="34"/>
  <c r="M1728" i="34" a="1"/>
  <c r="M1728" i="34"/>
  <c r="N1728" i="34" a="1"/>
  <c r="N1728" i="34"/>
  <c r="O1728" i="34" a="1"/>
  <c r="O1728" i="34"/>
  <c r="P1728" i="34" a="1"/>
  <c r="P1728" i="34"/>
  <c r="Q1728" i="34" a="1"/>
  <c r="Q1728" i="34"/>
  <c r="I1729" i="34" a="1"/>
  <c r="I1729" i="34"/>
  <c r="J1729" i="34" a="1"/>
  <c r="J1729" i="34"/>
  <c r="K1729" i="34" a="1"/>
  <c r="K1729" i="34"/>
  <c r="L1729" i="34" a="1"/>
  <c r="L1729" i="34"/>
  <c r="M1729" i="34" a="1"/>
  <c r="M1729" i="34"/>
  <c r="N1729" i="34" a="1"/>
  <c r="N1729" i="34"/>
  <c r="O1729" i="34" a="1"/>
  <c r="O1729" i="34"/>
  <c r="P1729" i="34" a="1"/>
  <c r="P1729" i="34"/>
  <c r="Q1729" i="34" a="1"/>
  <c r="Q1729" i="34"/>
  <c r="I1731" i="34" a="1"/>
  <c r="I1731" i="34"/>
  <c r="J1731" i="34" a="1"/>
  <c r="J1731" i="34"/>
  <c r="K1731" i="34" a="1"/>
  <c r="K1731" i="34"/>
  <c r="L1731" i="34" a="1"/>
  <c r="L1731" i="34"/>
  <c r="M1731" i="34" a="1"/>
  <c r="M1731" i="34"/>
  <c r="N1731" i="34" a="1"/>
  <c r="N1731" i="34"/>
  <c r="O1731" i="34" a="1"/>
  <c r="O1731" i="34"/>
  <c r="P1731" i="34" a="1"/>
  <c r="P1731" i="34"/>
  <c r="Q1731" i="34" a="1"/>
  <c r="Q1731" i="34"/>
  <c r="I1732" i="34" a="1"/>
  <c r="I1732" i="34"/>
  <c r="J1732" i="34" a="1"/>
  <c r="J1732" i="34"/>
  <c r="K1732" i="34" a="1"/>
  <c r="K1732" i="34"/>
  <c r="L1732" i="34" a="1"/>
  <c r="L1732" i="34"/>
  <c r="M1732" i="34" a="1"/>
  <c r="M1732" i="34"/>
  <c r="N1732" i="34" a="1"/>
  <c r="N1732" i="34"/>
  <c r="O1732" i="34" a="1"/>
  <c r="O1732" i="34"/>
  <c r="P1732" i="34" a="1"/>
  <c r="P1732" i="34"/>
  <c r="Q1732" i="34" a="1"/>
  <c r="Q1732" i="34"/>
  <c r="I1733" i="34" a="1"/>
  <c r="I1733" i="34"/>
  <c r="J1733" i="34" a="1"/>
  <c r="J1733" i="34"/>
  <c r="K1733" i="34" a="1"/>
  <c r="K1733" i="34"/>
  <c r="L1733" i="34" a="1"/>
  <c r="L1733" i="34"/>
  <c r="M1733" i="34" a="1"/>
  <c r="M1733" i="34"/>
  <c r="N1733" i="34" a="1"/>
  <c r="N1733" i="34"/>
  <c r="O1733" i="34" a="1"/>
  <c r="O1733" i="34"/>
  <c r="P1733" i="34" a="1"/>
  <c r="P1733" i="34"/>
  <c r="Q1733" i="34" a="1"/>
  <c r="Q1733" i="34"/>
  <c r="I1734" i="34" a="1"/>
  <c r="I1734" i="34"/>
  <c r="J1734" i="34" a="1"/>
  <c r="J1734" i="34"/>
  <c r="K1734" i="34" a="1"/>
  <c r="K1734" i="34"/>
  <c r="L1734" i="34" a="1"/>
  <c r="L1734" i="34"/>
  <c r="M1734" i="34" a="1"/>
  <c r="M1734" i="34"/>
  <c r="N1734" i="34" a="1"/>
  <c r="N1734" i="34"/>
  <c r="O1734" i="34" a="1"/>
  <c r="O1734" i="34"/>
  <c r="P1734" i="34" a="1"/>
  <c r="P1734" i="34"/>
  <c r="Q1734" i="34" a="1"/>
  <c r="Q1734" i="34"/>
  <c r="I1735" i="34" a="1"/>
  <c r="I1735" i="34"/>
  <c r="J1735" i="34" a="1"/>
  <c r="J1735" i="34"/>
  <c r="K1735" i="34" a="1"/>
  <c r="K1735" i="34"/>
  <c r="L1735" i="34" a="1"/>
  <c r="L1735" i="34"/>
  <c r="M1735" i="34" a="1"/>
  <c r="M1735" i="34"/>
  <c r="N1735" i="34" a="1"/>
  <c r="N1735" i="34"/>
  <c r="O1735" i="34" a="1"/>
  <c r="O1735" i="34"/>
  <c r="P1735" i="34" a="1"/>
  <c r="P1735" i="34"/>
  <c r="Q1735" i="34" a="1"/>
  <c r="Q1735" i="34"/>
  <c r="I1737" i="34" a="1"/>
  <c r="I1737" i="34"/>
  <c r="J1737" i="34" a="1"/>
  <c r="J1737" i="34"/>
  <c r="K1737" i="34" a="1"/>
  <c r="K1737" i="34"/>
  <c r="L1737" i="34" a="1"/>
  <c r="L1737" i="34"/>
  <c r="M1737" i="34" a="1"/>
  <c r="M1737" i="34"/>
  <c r="N1737" i="34" a="1"/>
  <c r="N1737" i="34"/>
  <c r="O1737" i="34" a="1"/>
  <c r="O1737" i="34"/>
  <c r="P1737" i="34" a="1"/>
  <c r="P1737" i="34"/>
  <c r="Q1737" i="34" a="1"/>
  <c r="Q1737" i="34"/>
  <c r="I1738" i="34" a="1"/>
  <c r="I1738" i="34"/>
  <c r="J1738" i="34" a="1"/>
  <c r="J1738" i="34"/>
  <c r="K1738" i="34" a="1"/>
  <c r="K1738" i="34"/>
  <c r="L1738" i="34" a="1"/>
  <c r="L1738" i="34"/>
  <c r="M1738" i="34" a="1"/>
  <c r="M1738" i="34"/>
  <c r="N1738" i="34" a="1"/>
  <c r="N1738" i="34"/>
  <c r="O1738" i="34" a="1"/>
  <c r="O1738" i="34"/>
  <c r="P1738" i="34" a="1"/>
  <c r="P1738" i="34"/>
  <c r="Q1738" i="34" a="1"/>
  <c r="Q1738" i="34"/>
  <c r="I1739" i="34" a="1"/>
  <c r="I1739" i="34"/>
  <c r="J1739" i="34" a="1"/>
  <c r="J1739" i="34"/>
  <c r="K1739" i="34" a="1"/>
  <c r="K1739" i="34"/>
  <c r="L1739" i="34" a="1"/>
  <c r="L1739" i="34"/>
  <c r="M1739" i="34" a="1"/>
  <c r="M1739" i="34"/>
  <c r="N1739" i="34" a="1"/>
  <c r="N1739" i="34"/>
  <c r="O1739" i="34" a="1"/>
  <c r="O1739" i="34"/>
  <c r="P1739" i="34" a="1"/>
  <c r="P1739" i="34"/>
  <c r="Q1739" i="34" a="1"/>
  <c r="Q1739" i="34"/>
  <c r="I1740" i="34" a="1"/>
  <c r="I1740" i="34"/>
  <c r="J1740" i="34" a="1"/>
  <c r="J1740" i="34"/>
  <c r="K1740" i="34" a="1"/>
  <c r="K1740" i="34"/>
  <c r="L1740" i="34" a="1"/>
  <c r="L1740" i="34"/>
  <c r="M1740" i="34" a="1"/>
  <c r="M1740" i="34"/>
  <c r="N1740" i="34" a="1"/>
  <c r="N1740" i="34"/>
  <c r="O1740" i="34" a="1"/>
  <c r="O1740" i="34"/>
  <c r="P1740" i="34" a="1"/>
  <c r="P1740" i="34"/>
  <c r="Q1740" i="34" a="1"/>
  <c r="Q1740" i="34"/>
  <c r="I1741" i="34" a="1"/>
  <c r="I1741" i="34"/>
  <c r="J1741" i="34" a="1"/>
  <c r="J1741" i="34"/>
  <c r="K1741" i="34" a="1"/>
  <c r="K1741" i="34"/>
  <c r="L1741" i="34" a="1"/>
  <c r="L1741" i="34"/>
  <c r="M1741" i="34" a="1"/>
  <c r="M1741" i="34"/>
  <c r="N1741" i="34" a="1"/>
  <c r="N1741" i="34"/>
  <c r="O1741" i="34" a="1"/>
  <c r="O1741" i="34"/>
  <c r="P1741" i="34" a="1"/>
  <c r="P1741" i="34"/>
  <c r="Q1741" i="34" a="1"/>
  <c r="Q1741" i="34"/>
  <c r="I1743" i="34" a="1"/>
  <c r="I1743" i="34"/>
  <c r="J1743" i="34" a="1"/>
  <c r="J1743" i="34"/>
  <c r="K1743" i="34" a="1"/>
  <c r="K1743" i="34"/>
  <c r="L1743" i="34" a="1"/>
  <c r="L1743" i="34"/>
  <c r="M1743" i="34" a="1"/>
  <c r="M1743" i="34"/>
  <c r="N1743" i="34" a="1"/>
  <c r="N1743" i="34"/>
  <c r="O1743" i="34" a="1"/>
  <c r="O1743" i="34"/>
  <c r="P1743" i="34" a="1"/>
  <c r="P1743" i="34"/>
  <c r="Q1743" i="34" a="1"/>
  <c r="Q1743" i="34"/>
  <c r="I1744" i="34" a="1"/>
  <c r="I1744" i="34"/>
  <c r="J1744" i="34" a="1"/>
  <c r="J1744" i="34"/>
  <c r="K1744" i="34" a="1"/>
  <c r="K1744" i="34"/>
  <c r="L1744" i="34" a="1"/>
  <c r="L1744" i="34"/>
  <c r="M1744" i="34" a="1"/>
  <c r="M1744" i="34"/>
  <c r="N1744" i="34" a="1"/>
  <c r="N1744" i="34"/>
  <c r="O1744" i="34" a="1"/>
  <c r="O1744" i="34"/>
  <c r="P1744" i="34" a="1"/>
  <c r="P1744" i="34"/>
  <c r="Q1744" i="34" a="1"/>
  <c r="Q1744" i="34"/>
  <c r="I1745" i="34" a="1"/>
  <c r="I1745" i="34"/>
  <c r="J1745" i="34" a="1"/>
  <c r="J1745" i="34"/>
  <c r="K1745" i="34" a="1"/>
  <c r="K1745" i="34"/>
  <c r="L1745" i="34" a="1"/>
  <c r="L1745" i="34"/>
  <c r="M1745" i="34" a="1"/>
  <c r="M1745" i="34"/>
  <c r="N1745" i="34" a="1"/>
  <c r="N1745" i="34"/>
  <c r="O1745" i="34" a="1"/>
  <c r="O1745" i="34"/>
  <c r="P1745" i="34" a="1"/>
  <c r="P1745" i="34"/>
  <c r="Q1745" i="34" a="1"/>
  <c r="Q1745" i="34"/>
  <c r="I1746" i="34" a="1"/>
  <c r="I1746" i="34"/>
  <c r="J1746" i="34" a="1"/>
  <c r="J1746" i="34"/>
  <c r="K1746" i="34" a="1"/>
  <c r="K1746" i="34"/>
  <c r="L1746" i="34" a="1"/>
  <c r="L1746" i="34"/>
  <c r="M1746" i="34" a="1"/>
  <c r="M1746" i="34"/>
  <c r="N1746" i="34" a="1"/>
  <c r="N1746" i="34"/>
  <c r="O1746" i="34" a="1"/>
  <c r="O1746" i="34"/>
  <c r="P1746" i="34" a="1"/>
  <c r="P1746" i="34"/>
  <c r="Q1746" i="34" a="1"/>
  <c r="Q1746" i="34"/>
  <c r="I1747" i="34" a="1"/>
  <c r="I1747" i="34"/>
  <c r="J1747" i="34" a="1"/>
  <c r="J1747" i="34"/>
  <c r="K1747" i="34" a="1"/>
  <c r="K1747" i="34"/>
  <c r="L1747" i="34" a="1"/>
  <c r="L1747" i="34"/>
  <c r="M1747" i="34" a="1"/>
  <c r="M1747" i="34"/>
  <c r="N1747" i="34" a="1"/>
  <c r="N1747" i="34"/>
  <c r="O1747" i="34" a="1"/>
  <c r="O1747" i="34"/>
  <c r="P1747" i="34" a="1"/>
  <c r="P1747" i="34"/>
  <c r="Q1747" i="34" a="1"/>
  <c r="Q1747" i="34"/>
  <c r="I1658" i="34" a="1"/>
  <c r="I1658" i="34"/>
  <c r="I1664" i="34"/>
  <c r="I1670" i="34" a="1"/>
  <c r="I1670" i="34"/>
  <c r="I1676" i="34" a="1"/>
  <c r="I1682" i="34" a="1"/>
  <c r="I1688" i="34" a="1"/>
  <c r="I1694" i="34" a="1"/>
  <c r="I1700" i="34" a="1"/>
  <c r="I1706" i="34" a="1"/>
  <c r="I1712" i="34" a="1"/>
  <c r="I1718" i="34" a="1"/>
  <c r="I1724" i="34" a="1"/>
  <c r="I1730" i="34" a="1"/>
  <c r="I1736" i="34" a="1"/>
  <c r="I1742" i="34" a="1"/>
  <c r="I1676" i="34"/>
  <c r="I1682" i="34"/>
  <c r="I1688" i="34"/>
  <c r="I1694" i="34"/>
  <c r="I1700" i="34"/>
  <c r="I1706" i="34"/>
  <c r="I1712" i="34"/>
  <c r="I1718" i="34"/>
  <c r="I1724" i="34"/>
  <c r="I1730" i="34"/>
  <c r="I1736" i="34"/>
  <c r="I1742" i="34"/>
  <c r="I1748" i="34"/>
  <c r="J1658" i="34" a="1"/>
  <c r="J1658" i="34"/>
  <c r="J1664" i="34"/>
  <c r="J1670" i="34" a="1"/>
  <c r="J1670" i="34"/>
  <c r="J1676" i="34" a="1"/>
  <c r="J1682" i="34" a="1"/>
  <c r="J1688" i="34" a="1"/>
  <c r="J1694" i="34" a="1"/>
  <c r="J1700" i="34" a="1"/>
  <c r="J1706" i="34" a="1"/>
  <c r="J1712" i="34" a="1"/>
  <c r="J1718" i="34" a="1"/>
  <c r="J1724" i="34" a="1"/>
  <c r="J1730" i="34" a="1"/>
  <c r="J1736" i="34" a="1"/>
  <c r="J1742" i="34" a="1"/>
  <c r="J1676" i="34"/>
  <c r="J1682" i="34"/>
  <c r="J1688" i="34"/>
  <c r="J1694" i="34"/>
  <c r="J1700" i="34"/>
  <c r="J1706" i="34"/>
  <c r="J1712" i="34"/>
  <c r="J1718" i="34"/>
  <c r="J1724" i="34"/>
  <c r="J1730" i="34"/>
  <c r="J1736" i="34"/>
  <c r="J1742" i="34"/>
  <c r="J1748" i="34"/>
  <c r="K1658" i="34" a="1"/>
  <c r="K1658" i="34"/>
  <c r="K1664" i="34"/>
  <c r="K1670" i="34" a="1"/>
  <c r="K1670" i="34"/>
  <c r="K1676" i="34" a="1"/>
  <c r="K1682" i="34" a="1"/>
  <c r="K1688" i="34" a="1"/>
  <c r="K1694" i="34" a="1"/>
  <c r="K1700" i="34" a="1"/>
  <c r="K1706" i="34" a="1"/>
  <c r="K1712" i="34" a="1"/>
  <c r="K1718" i="34" a="1"/>
  <c r="K1724" i="34" a="1"/>
  <c r="K1730" i="34" a="1"/>
  <c r="K1736" i="34" a="1"/>
  <c r="K1742" i="34" a="1"/>
  <c r="K1676" i="34"/>
  <c r="K1682" i="34"/>
  <c r="K1688" i="34"/>
  <c r="K1694" i="34"/>
  <c r="K1700" i="34"/>
  <c r="K1706" i="34"/>
  <c r="K1712" i="34"/>
  <c r="K1718" i="34"/>
  <c r="K1724" i="34"/>
  <c r="K1730" i="34"/>
  <c r="K1736" i="34"/>
  <c r="K1742" i="34"/>
  <c r="K1748" i="34"/>
  <c r="L1658" i="34" a="1"/>
  <c r="L1658" i="34"/>
  <c r="L1664" i="34"/>
  <c r="L1670" i="34" a="1"/>
  <c r="L1670" i="34"/>
  <c r="L1676" i="34" a="1"/>
  <c r="L1682" i="34" a="1"/>
  <c r="L1688" i="34" a="1"/>
  <c r="L1694" i="34" a="1"/>
  <c r="L1700" i="34" a="1"/>
  <c r="L1706" i="34" a="1"/>
  <c r="L1712" i="34" a="1"/>
  <c r="L1718" i="34" a="1"/>
  <c r="L1724" i="34" a="1"/>
  <c r="L1730" i="34" a="1"/>
  <c r="L1736" i="34" a="1"/>
  <c r="L1742" i="34" a="1"/>
  <c r="L1676" i="34"/>
  <c r="L1682" i="34"/>
  <c r="L1688" i="34"/>
  <c r="L1694" i="34"/>
  <c r="L1700" i="34"/>
  <c r="L1706" i="34"/>
  <c r="L1712" i="34"/>
  <c r="L1718" i="34"/>
  <c r="L1724" i="34"/>
  <c r="L1730" i="34"/>
  <c r="L1736" i="34"/>
  <c r="L1742" i="34"/>
  <c r="L1748" i="34"/>
  <c r="M1658" i="34" a="1"/>
  <c r="M1658" i="34"/>
  <c r="M1664" i="34"/>
  <c r="M1670" i="34" a="1"/>
  <c r="M1670" i="34"/>
  <c r="M1676" i="34" a="1"/>
  <c r="M1682" i="34" a="1"/>
  <c r="M1688" i="34" a="1"/>
  <c r="M1694" i="34" a="1"/>
  <c r="M1700" i="34" a="1"/>
  <c r="M1706" i="34" a="1"/>
  <c r="M1712" i="34" a="1"/>
  <c r="M1718" i="34" a="1"/>
  <c r="M1724" i="34" a="1"/>
  <c r="M1730" i="34" a="1"/>
  <c r="M1736" i="34" a="1"/>
  <c r="M1742" i="34" a="1"/>
  <c r="M1676" i="34"/>
  <c r="M1682" i="34"/>
  <c r="M1688" i="34"/>
  <c r="M1694" i="34"/>
  <c r="M1700" i="34"/>
  <c r="M1706" i="34"/>
  <c r="M1712" i="34"/>
  <c r="M1718" i="34"/>
  <c r="M1724" i="34"/>
  <c r="M1730" i="34"/>
  <c r="M1736" i="34"/>
  <c r="M1742" i="34"/>
  <c r="M1748" i="34"/>
  <c r="N1658" i="34" a="1"/>
  <c r="N1658" i="34"/>
  <c r="N1664" i="34"/>
  <c r="N1670" i="34" a="1"/>
  <c r="N1670" i="34"/>
  <c r="N1676" i="34" a="1"/>
  <c r="N1682" i="34" a="1"/>
  <c r="N1688" i="34" a="1"/>
  <c r="N1694" i="34" a="1"/>
  <c r="N1700" i="34" a="1"/>
  <c r="N1706" i="34" a="1"/>
  <c r="N1712" i="34" a="1"/>
  <c r="N1718" i="34" a="1"/>
  <c r="N1724" i="34" a="1"/>
  <c r="N1730" i="34" a="1"/>
  <c r="N1736" i="34" a="1"/>
  <c r="N1742" i="34" a="1"/>
  <c r="N1676" i="34"/>
  <c r="N1682" i="34"/>
  <c r="N1688" i="34"/>
  <c r="N1694" i="34"/>
  <c r="N1700" i="34"/>
  <c r="N1706" i="34"/>
  <c r="N1712" i="34"/>
  <c r="N1718" i="34"/>
  <c r="N1724" i="34"/>
  <c r="N1730" i="34"/>
  <c r="N1736" i="34"/>
  <c r="N1742" i="34"/>
  <c r="N1748" i="34"/>
  <c r="O1658" i="34" a="1"/>
  <c r="O1658" i="34"/>
  <c r="O1664" i="34"/>
  <c r="O1670" i="34" a="1"/>
  <c r="O1670" i="34"/>
  <c r="O1676" i="34" a="1"/>
  <c r="O1682" i="34" a="1"/>
  <c r="O1688" i="34" a="1"/>
  <c r="O1694" i="34" a="1"/>
  <c r="O1700" i="34" a="1"/>
  <c r="O1706" i="34" a="1"/>
  <c r="O1712" i="34" a="1"/>
  <c r="O1718" i="34" a="1"/>
  <c r="O1724" i="34" a="1"/>
  <c r="O1730" i="34" a="1"/>
  <c r="O1736" i="34" a="1"/>
  <c r="O1742" i="34" a="1"/>
  <c r="O1676" i="34"/>
  <c r="O1682" i="34"/>
  <c r="O1688" i="34"/>
  <c r="O1694" i="34"/>
  <c r="O1700" i="34"/>
  <c r="O1706" i="34"/>
  <c r="O1712" i="34"/>
  <c r="O1718" i="34"/>
  <c r="O1724" i="34"/>
  <c r="O1730" i="34"/>
  <c r="O1736" i="34"/>
  <c r="O1742" i="34"/>
  <c r="O1748" i="34"/>
  <c r="Q1658" i="34" a="1"/>
  <c r="Q1658" i="34"/>
  <c r="Q1664" i="34"/>
  <c r="Q1670" i="34" a="1"/>
  <c r="Q1670" i="34"/>
  <c r="Q1676" i="34" a="1"/>
  <c r="Q1682" i="34" a="1"/>
  <c r="Q1688" i="34" a="1"/>
  <c r="Q1694" i="34" a="1"/>
  <c r="Q1700" i="34" a="1"/>
  <c r="Q1706" i="34" a="1"/>
  <c r="Q1712" i="34" a="1"/>
  <c r="Q1718" i="34" a="1"/>
  <c r="Q1724" i="34" a="1"/>
  <c r="Q1730" i="34" a="1"/>
  <c r="Q1736" i="34" a="1"/>
  <c r="Q1742" i="34" a="1"/>
  <c r="Q1676" i="34"/>
  <c r="Q1682" i="34"/>
  <c r="Q1688" i="34"/>
  <c r="Q1694" i="34"/>
  <c r="Q1700" i="34"/>
  <c r="Q1706" i="34"/>
  <c r="Q1712" i="34"/>
  <c r="Q1718" i="34"/>
  <c r="Q1724" i="34"/>
  <c r="Q1730" i="34"/>
  <c r="Q1736" i="34"/>
  <c r="Q1742" i="34"/>
  <c r="Q1748" i="34"/>
  <c r="I1835" i="34" a="1"/>
  <c r="I1835" i="34"/>
  <c r="I1837" i="34" a="1"/>
  <c r="I1837" i="34"/>
  <c r="I1838" i="34" a="1"/>
  <c r="I1839" i="34" a="1"/>
  <c r="I1840" i="34" a="1"/>
  <c r="I1838" i="34"/>
  <c r="I1839" i="34"/>
  <c r="I1840" i="34"/>
  <c r="I1836" i="34"/>
  <c r="J1835" i="34" a="1"/>
  <c r="J1835" i="34"/>
  <c r="J1837" i="34" a="1"/>
  <c r="J1837" i="34"/>
  <c r="J1838" i="34" a="1"/>
  <c r="J1839" i="34" a="1"/>
  <c r="J1840" i="34" a="1"/>
  <c r="J1838" i="34"/>
  <c r="J1839" i="34"/>
  <c r="J1840" i="34"/>
  <c r="J1836" i="34"/>
  <c r="K1835" i="34" a="1"/>
  <c r="K1835" i="34"/>
  <c r="K1837" i="34" a="1"/>
  <c r="K1837" i="34"/>
  <c r="K1838" i="34" a="1"/>
  <c r="K1839" i="34" a="1"/>
  <c r="K1840" i="34" a="1"/>
  <c r="K1838" i="34"/>
  <c r="K1839" i="34"/>
  <c r="K1840" i="34"/>
  <c r="K1836" i="34"/>
  <c r="L1835" i="34" a="1"/>
  <c r="L1835" i="34"/>
  <c r="L1837" i="34" a="1"/>
  <c r="L1837" i="34"/>
  <c r="L1838" i="34" a="1"/>
  <c r="L1839" i="34" a="1"/>
  <c r="L1840" i="34" a="1"/>
  <c r="L1838" i="34"/>
  <c r="L1839" i="34"/>
  <c r="L1840" i="34"/>
  <c r="L1836" i="34"/>
  <c r="M1835" i="34" a="1"/>
  <c r="M1835" i="34"/>
  <c r="M1837" i="34" a="1"/>
  <c r="M1837" i="34"/>
  <c r="M1838" i="34" a="1"/>
  <c r="M1839" i="34" a="1"/>
  <c r="M1840" i="34" a="1"/>
  <c r="M1838" i="34"/>
  <c r="M1839" i="34"/>
  <c r="M1840" i="34"/>
  <c r="M1836" i="34"/>
  <c r="N1835" i="34" a="1"/>
  <c r="N1835" i="34"/>
  <c r="N1837" i="34" a="1"/>
  <c r="N1837" i="34"/>
  <c r="N1838" i="34" a="1"/>
  <c r="N1839" i="34" a="1"/>
  <c r="N1840" i="34" a="1"/>
  <c r="N1838" i="34"/>
  <c r="N1839" i="34"/>
  <c r="N1840" i="34"/>
  <c r="N1836" i="34"/>
  <c r="O1835" i="34" a="1"/>
  <c r="O1835" i="34"/>
  <c r="O1837" i="34" a="1"/>
  <c r="O1837" i="34"/>
  <c r="O1838" i="34" a="1"/>
  <c r="O1839" i="34" a="1"/>
  <c r="O1840" i="34" a="1"/>
  <c r="O1838" i="34"/>
  <c r="O1839" i="34"/>
  <c r="O1840" i="34"/>
  <c r="O1836" i="34"/>
  <c r="P1658" i="34" a="1"/>
  <c r="P1658" i="34"/>
  <c r="P1664" i="34"/>
  <c r="P1670" i="34" a="1"/>
  <c r="P1670" i="34"/>
  <c r="P1676" i="34" a="1"/>
  <c r="P1676" i="34"/>
  <c r="P1682" i="34" a="1"/>
  <c r="P1688" i="34" a="1"/>
  <c r="P1694" i="34" a="1"/>
  <c r="P1700" i="34" a="1"/>
  <c r="P1706" i="34" a="1"/>
  <c r="P1712" i="34" a="1"/>
  <c r="P1718" i="34" a="1"/>
  <c r="P1724" i="34" a="1"/>
  <c r="P1730" i="34" a="1"/>
  <c r="P1736" i="34" a="1"/>
  <c r="P1742" i="34" a="1"/>
  <c r="P1682" i="34"/>
  <c r="P1688" i="34"/>
  <c r="P1694" i="34"/>
  <c r="P1700" i="34"/>
  <c r="P1706" i="34"/>
  <c r="P1712" i="34"/>
  <c r="P1718" i="34"/>
  <c r="P1724" i="34"/>
  <c r="P1730" i="34"/>
  <c r="P1736" i="34"/>
  <c r="P1742" i="34"/>
  <c r="P1835" i="34" a="1"/>
  <c r="P1835" i="34"/>
  <c r="P1837" i="34" a="1"/>
  <c r="P1837" i="34"/>
  <c r="P1838" i="34" a="1"/>
  <c r="P1839" i="34" a="1"/>
  <c r="P1840" i="34" a="1"/>
  <c r="P1838" i="34"/>
  <c r="P1839" i="34"/>
  <c r="P1840" i="34"/>
  <c r="P1836" i="34"/>
  <c r="Q1835" i="34" a="1"/>
  <c r="Q1835" i="34"/>
  <c r="Q1837" i="34" a="1"/>
  <c r="Q1837" i="34"/>
  <c r="Q1838" i="34" a="1"/>
  <c r="Q1839" i="34" a="1"/>
  <c r="Q1840" i="34" a="1"/>
  <c r="Q1838" i="34"/>
  <c r="Q1839" i="34"/>
  <c r="Q1840" i="34"/>
  <c r="Q1836" i="34"/>
  <c r="I1841" i="34" a="1"/>
  <c r="I1841" i="34"/>
  <c r="I1843" i="34" a="1"/>
  <c r="I1843" i="34"/>
  <c r="I1844" i="34" a="1"/>
  <c r="I1845" i="34" a="1"/>
  <c r="I1846" i="34" a="1"/>
  <c r="I1844" i="34"/>
  <c r="I1845" i="34"/>
  <c r="I1846" i="34"/>
  <c r="I1842" i="34"/>
  <c r="J1841" i="34" a="1"/>
  <c r="J1841" i="34"/>
  <c r="J1843" i="34" a="1"/>
  <c r="J1843" i="34"/>
  <c r="J1844" i="34" a="1"/>
  <c r="J1845" i="34" a="1"/>
  <c r="J1846" i="34" a="1"/>
  <c r="J1844" i="34"/>
  <c r="J1845" i="34"/>
  <c r="J1846" i="34"/>
  <c r="J1842" i="34"/>
  <c r="K1841" i="34" a="1"/>
  <c r="K1841" i="34"/>
  <c r="K1843" i="34" a="1"/>
  <c r="K1843" i="34"/>
  <c r="K1844" i="34" a="1"/>
  <c r="K1845" i="34" a="1"/>
  <c r="K1846" i="34" a="1"/>
  <c r="K1844" i="34"/>
  <c r="K1845" i="34"/>
  <c r="K1846" i="34"/>
  <c r="K1842" i="34"/>
  <c r="L1841" i="34" a="1"/>
  <c r="L1841" i="34"/>
  <c r="L1843" i="34" a="1"/>
  <c r="L1843" i="34"/>
  <c r="L1844" i="34" a="1"/>
  <c r="L1845" i="34" a="1"/>
  <c r="L1846" i="34" a="1"/>
  <c r="L1844" i="34"/>
  <c r="L1845" i="34"/>
  <c r="L1846" i="34"/>
  <c r="L1842" i="34"/>
  <c r="M1841" i="34" a="1"/>
  <c r="M1841" i="34"/>
  <c r="M1843" i="34" a="1"/>
  <c r="M1843" i="34"/>
  <c r="M1844" i="34" a="1"/>
  <c r="M1845" i="34" a="1"/>
  <c r="M1846" i="34" a="1"/>
  <c r="M1844" i="34"/>
  <c r="M1845" i="34"/>
  <c r="M1846" i="34"/>
  <c r="M1842" i="34"/>
  <c r="N1841" i="34" a="1"/>
  <c r="N1841" i="34"/>
  <c r="N1843" i="34" a="1"/>
  <c r="N1843" i="34"/>
  <c r="N1844" i="34" a="1"/>
  <c r="N1845" i="34" a="1"/>
  <c r="N1846" i="34" a="1"/>
  <c r="N1844" i="34"/>
  <c r="N1845" i="34"/>
  <c r="N1846" i="34"/>
  <c r="N1842" i="34"/>
  <c r="O1841" i="34" a="1"/>
  <c r="O1841" i="34"/>
  <c r="O1843" i="34" a="1"/>
  <c r="O1843" i="34"/>
  <c r="O1844" i="34" a="1"/>
  <c r="O1845" i="34" a="1"/>
  <c r="O1846" i="34" a="1"/>
  <c r="O1844" i="34"/>
  <c r="O1845" i="34"/>
  <c r="O1846" i="34"/>
  <c r="O1842" i="34"/>
  <c r="P1841" i="34" a="1"/>
  <c r="P1841" i="34"/>
  <c r="P1843" i="34" a="1"/>
  <c r="P1843" i="34"/>
  <c r="P1844" i="34" a="1"/>
  <c r="P1845" i="34" a="1"/>
  <c r="P1846" i="34" a="1"/>
  <c r="P1844" i="34"/>
  <c r="P1845" i="34"/>
  <c r="P1846" i="34"/>
  <c r="P1842" i="34"/>
  <c r="Q1841" i="34" a="1"/>
  <c r="Q1841" i="34"/>
  <c r="Q1843" i="34" a="1"/>
  <c r="Q1843" i="34"/>
  <c r="Q1844" i="34" a="1"/>
  <c r="Q1845" i="34" a="1"/>
  <c r="Q1846" i="34" a="1"/>
  <c r="Q1844" i="34"/>
  <c r="Q1845" i="34"/>
  <c r="Q1846" i="34"/>
  <c r="Q1842" i="34"/>
  <c r="I1847" i="34" a="1"/>
  <c r="I1847" i="34"/>
  <c r="I1849" i="34" a="1"/>
  <c r="I1849" i="34"/>
  <c r="I1850" i="34" a="1"/>
  <c r="I1851" i="34" a="1"/>
  <c r="I1852" i="34" a="1"/>
  <c r="I1850" i="34"/>
  <c r="I1851" i="34"/>
  <c r="I1852" i="34"/>
  <c r="I1848" i="34"/>
  <c r="J1847" i="34" a="1"/>
  <c r="J1847" i="34"/>
  <c r="J1849" i="34" a="1"/>
  <c r="J1849" i="34"/>
  <c r="J1850" i="34" a="1"/>
  <c r="J1851" i="34" a="1"/>
  <c r="J1852" i="34" a="1"/>
  <c r="J1850" i="34"/>
  <c r="J1851" i="34"/>
  <c r="J1852" i="34"/>
  <c r="J1848" i="34"/>
  <c r="K1847" i="34" a="1"/>
  <c r="K1847" i="34"/>
  <c r="K1849" i="34" a="1"/>
  <c r="K1849" i="34"/>
  <c r="K1850" i="34" a="1"/>
  <c r="K1851" i="34" a="1"/>
  <c r="K1852" i="34" a="1"/>
  <c r="K1850" i="34"/>
  <c r="K1851" i="34"/>
  <c r="K1852" i="34"/>
  <c r="K1848" i="34"/>
  <c r="L1847" i="34" a="1"/>
  <c r="L1847" i="34"/>
  <c r="L1849" i="34" a="1"/>
  <c r="L1849" i="34"/>
  <c r="L1850" i="34" a="1"/>
  <c r="L1851" i="34" a="1"/>
  <c r="L1852" i="34" a="1"/>
  <c r="L1850" i="34"/>
  <c r="L1851" i="34"/>
  <c r="L1852" i="34"/>
  <c r="L1848" i="34"/>
  <c r="M1847" i="34" a="1"/>
  <c r="M1847" i="34"/>
  <c r="M1849" i="34" a="1"/>
  <c r="M1849" i="34"/>
  <c r="M1850" i="34" a="1"/>
  <c r="M1851" i="34" a="1"/>
  <c r="M1852" i="34" a="1"/>
  <c r="M1850" i="34"/>
  <c r="M1851" i="34"/>
  <c r="M1852" i="34"/>
  <c r="M1848" i="34"/>
  <c r="N1847" i="34" a="1"/>
  <c r="N1847" i="34"/>
  <c r="N1849" i="34" a="1"/>
  <c r="N1849" i="34"/>
  <c r="N1850" i="34" a="1"/>
  <c r="N1851" i="34" a="1"/>
  <c r="N1852" i="34" a="1"/>
  <c r="N1850" i="34"/>
  <c r="N1851" i="34"/>
  <c r="N1852" i="34"/>
  <c r="N1848" i="34"/>
  <c r="O1847" i="34" a="1"/>
  <c r="O1847" i="34"/>
  <c r="O1849" i="34" a="1"/>
  <c r="O1849" i="34"/>
  <c r="O1850" i="34" a="1"/>
  <c r="O1851" i="34" a="1"/>
  <c r="O1852" i="34" a="1"/>
  <c r="O1850" i="34"/>
  <c r="O1851" i="34"/>
  <c r="O1852" i="34"/>
  <c r="O1848" i="34"/>
  <c r="P1847" i="34" a="1"/>
  <c r="P1847" i="34"/>
  <c r="P1849" i="34" a="1"/>
  <c r="P1849" i="34"/>
  <c r="P1850" i="34" a="1"/>
  <c r="P1851" i="34" a="1"/>
  <c r="P1852" i="34" a="1"/>
  <c r="P1850" i="34"/>
  <c r="P1851" i="34"/>
  <c r="P1852" i="34"/>
  <c r="P1848" i="34"/>
  <c r="Q1847" i="34" a="1"/>
  <c r="Q1847" i="34"/>
  <c r="Q1849" i="34" a="1"/>
  <c r="Q1849" i="34"/>
  <c r="Q1850" i="34" a="1"/>
  <c r="Q1851" i="34" a="1"/>
  <c r="Q1852" i="34" a="1"/>
  <c r="Q1850" i="34"/>
  <c r="Q1851" i="34"/>
  <c r="Q1852" i="34"/>
  <c r="Q1848" i="34"/>
  <c r="I1853" i="34" a="1"/>
  <c r="I1853" i="34"/>
  <c r="I1855" i="34" a="1"/>
  <c r="I1855" i="34"/>
  <c r="I1856" i="34" a="1"/>
  <c r="I1857" i="34" a="1"/>
  <c r="I1858" i="34" a="1"/>
  <c r="I1856" i="34"/>
  <c r="I1857" i="34"/>
  <c r="I1858" i="34"/>
  <c r="I1854" i="34"/>
  <c r="J1853" i="34" a="1"/>
  <c r="J1853" i="34"/>
  <c r="J1855" i="34" a="1"/>
  <c r="J1855" i="34"/>
  <c r="J1856" i="34" a="1"/>
  <c r="J1857" i="34" a="1"/>
  <c r="J1858" i="34" a="1"/>
  <c r="J1856" i="34"/>
  <c r="J1857" i="34"/>
  <c r="J1858" i="34"/>
  <c r="J1854" i="34"/>
  <c r="K1853" i="34" a="1"/>
  <c r="K1853" i="34"/>
  <c r="K1855" i="34" a="1"/>
  <c r="K1855" i="34"/>
  <c r="K1856" i="34" a="1"/>
  <c r="K1857" i="34" a="1"/>
  <c r="K1858" i="34" a="1"/>
  <c r="K1856" i="34"/>
  <c r="K1857" i="34"/>
  <c r="K1858" i="34"/>
  <c r="K1854" i="34"/>
  <c r="L1853" i="34" a="1"/>
  <c r="L1853" i="34"/>
  <c r="L1855" i="34" a="1"/>
  <c r="L1855" i="34"/>
  <c r="L1856" i="34" a="1"/>
  <c r="L1857" i="34" a="1"/>
  <c r="L1858" i="34" a="1"/>
  <c r="L1856" i="34"/>
  <c r="L1857" i="34"/>
  <c r="L1858" i="34"/>
  <c r="L1854" i="34"/>
  <c r="M1853" i="34" a="1"/>
  <c r="M1853" i="34"/>
  <c r="M1855" i="34" a="1"/>
  <c r="M1855" i="34"/>
  <c r="M1856" i="34" a="1"/>
  <c r="M1857" i="34" a="1"/>
  <c r="M1858" i="34" a="1"/>
  <c r="M1856" i="34"/>
  <c r="M1857" i="34"/>
  <c r="M1858" i="34"/>
  <c r="M1854" i="34"/>
  <c r="N1853" i="34" a="1"/>
  <c r="N1853" i="34"/>
  <c r="N1855" i="34" a="1"/>
  <c r="N1855" i="34"/>
  <c r="N1856" i="34" a="1"/>
  <c r="N1857" i="34" a="1"/>
  <c r="N1858" i="34" a="1"/>
  <c r="N1856" i="34"/>
  <c r="N1857" i="34"/>
  <c r="N1858" i="34"/>
  <c r="N1854" i="34"/>
  <c r="O1853" i="34" a="1"/>
  <c r="O1853" i="34"/>
  <c r="O1855" i="34" a="1"/>
  <c r="O1855" i="34"/>
  <c r="O1856" i="34" a="1"/>
  <c r="O1857" i="34" a="1"/>
  <c r="O1858" i="34" a="1"/>
  <c r="O1856" i="34"/>
  <c r="O1857" i="34"/>
  <c r="O1858" i="34"/>
  <c r="O1854" i="34"/>
  <c r="P1853" i="34" a="1"/>
  <c r="P1853" i="34"/>
  <c r="P1855" i="34" a="1"/>
  <c r="P1855" i="34"/>
  <c r="P1856" i="34" a="1"/>
  <c r="P1857" i="34" a="1"/>
  <c r="P1858" i="34" a="1"/>
  <c r="P1856" i="34"/>
  <c r="P1857" i="34"/>
  <c r="P1858" i="34"/>
  <c r="P1854" i="34"/>
  <c r="Q1853" i="34" a="1"/>
  <c r="Q1853" i="34"/>
  <c r="Q1855" i="34" a="1"/>
  <c r="Q1855" i="34"/>
  <c r="Q1856" i="34" a="1"/>
  <c r="Q1857" i="34" a="1"/>
  <c r="Q1858" i="34" a="1"/>
  <c r="Q1856" i="34"/>
  <c r="Q1857" i="34"/>
  <c r="Q1858" i="34"/>
  <c r="Q1854" i="34"/>
  <c r="I1859" i="34" a="1"/>
  <c r="I1859" i="34"/>
  <c r="I1861" i="34" a="1"/>
  <c r="I1861" i="34"/>
  <c r="I1862" i="34" a="1"/>
  <c r="I1863" i="34" a="1"/>
  <c r="I1864" i="34" a="1"/>
  <c r="I1862" i="34"/>
  <c r="I1863" i="34"/>
  <c r="I1864" i="34"/>
  <c r="I1860" i="34"/>
  <c r="J1859" i="34" a="1"/>
  <c r="J1859" i="34"/>
  <c r="J1861" i="34" a="1"/>
  <c r="J1861" i="34"/>
  <c r="J1862" i="34" a="1"/>
  <c r="J1863" i="34" a="1"/>
  <c r="J1864" i="34" a="1"/>
  <c r="J1862" i="34"/>
  <c r="J1863" i="34"/>
  <c r="J1864" i="34"/>
  <c r="J1860" i="34"/>
  <c r="K1859" i="34" a="1"/>
  <c r="K1859" i="34"/>
  <c r="K1861" i="34" a="1"/>
  <c r="K1861" i="34"/>
  <c r="K1862" i="34" a="1"/>
  <c r="K1863" i="34" a="1"/>
  <c r="K1864" i="34" a="1"/>
  <c r="K1862" i="34"/>
  <c r="K1863" i="34"/>
  <c r="K1864" i="34"/>
  <c r="K1860" i="34"/>
  <c r="L1859" i="34" a="1"/>
  <c r="L1859" i="34"/>
  <c r="L1861" i="34" a="1"/>
  <c r="L1861" i="34"/>
  <c r="L1862" i="34" a="1"/>
  <c r="L1863" i="34" a="1"/>
  <c r="L1864" i="34" a="1"/>
  <c r="L1862" i="34"/>
  <c r="L1863" i="34"/>
  <c r="L1864" i="34"/>
  <c r="L1860" i="34"/>
  <c r="M1859" i="34" a="1"/>
  <c r="M1859" i="34"/>
  <c r="M1861" i="34" a="1"/>
  <c r="M1861" i="34"/>
  <c r="M1862" i="34" a="1"/>
  <c r="M1863" i="34" a="1"/>
  <c r="M1864" i="34" a="1"/>
  <c r="M1862" i="34"/>
  <c r="M1863" i="34"/>
  <c r="M1864" i="34"/>
  <c r="M1860" i="34"/>
  <c r="N1859" i="34" a="1"/>
  <c r="N1859" i="34"/>
  <c r="N1861" i="34" a="1"/>
  <c r="N1861" i="34"/>
  <c r="N1862" i="34" a="1"/>
  <c r="N1863" i="34" a="1"/>
  <c r="N1864" i="34" a="1"/>
  <c r="N1862" i="34"/>
  <c r="N1863" i="34"/>
  <c r="N1864" i="34"/>
  <c r="N1860" i="34"/>
  <c r="O1859" i="34" a="1"/>
  <c r="O1859" i="34"/>
  <c r="O1861" i="34" a="1"/>
  <c r="O1861" i="34"/>
  <c r="O1862" i="34" a="1"/>
  <c r="O1863" i="34" a="1"/>
  <c r="O1864" i="34" a="1"/>
  <c r="O1862" i="34"/>
  <c r="O1863" i="34"/>
  <c r="O1864" i="34"/>
  <c r="O1860" i="34"/>
  <c r="P1859" i="34" a="1"/>
  <c r="P1859" i="34"/>
  <c r="P1861" i="34" a="1"/>
  <c r="P1861" i="34"/>
  <c r="P1862" i="34" a="1"/>
  <c r="P1863" i="34" a="1"/>
  <c r="P1864" i="34" a="1"/>
  <c r="P1862" i="34"/>
  <c r="P1863" i="34"/>
  <c r="P1864" i="34"/>
  <c r="P1860" i="34"/>
  <c r="Q1859" i="34" a="1"/>
  <c r="Q1859" i="34"/>
  <c r="Q1861" i="34" a="1"/>
  <c r="Q1861" i="34"/>
  <c r="Q1862" i="34" a="1"/>
  <c r="Q1863" i="34" a="1"/>
  <c r="Q1864" i="34" a="1"/>
  <c r="Q1862" i="34"/>
  <c r="Q1863" i="34"/>
  <c r="Q1864" i="34"/>
  <c r="Q1860" i="34"/>
  <c r="I1865" i="34" a="1"/>
  <c r="I1865" i="34"/>
  <c r="I1867" i="34" a="1"/>
  <c r="I1867" i="34"/>
  <c r="I1868" i="34" a="1"/>
  <c r="I1869" i="34" a="1"/>
  <c r="I1870" i="34" a="1"/>
  <c r="I1868" i="34"/>
  <c r="I1869" i="34"/>
  <c r="I1870" i="34"/>
  <c r="I1866" i="34"/>
  <c r="J1865" i="34" a="1"/>
  <c r="J1865" i="34"/>
  <c r="J1867" i="34" a="1"/>
  <c r="J1867" i="34"/>
  <c r="J1868" i="34" a="1"/>
  <c r="J1869" i="34" a="1"/>
  <c r="J1870" i="34" a="1"/>
  <c r="J1868" i="34"/>
  <c r="J1869" i="34"/>
  <c r="J1870" i="34"/>
  <c r="J1866" i="34"/>
  <c r="K1865" i="34" a="1"/>
  <c r="K1865" i="34"/>
  <c r="K1867" i="34" a="1"/>
  <c r="K1867" i="34"/>
  <c r="K1868" i="34" a="1"/>
  <c r="K1869" i="34" a="1"/>
  <c r="K1870" i="34" a="1"/>
  <c r="K1868" i="34"/>
  <c r="K1869" i="34"/>
  <c r="K1870" i="34"/>
  <c r="K1866" i="34"/>
  <c r="L1865" i="34" a="1"/>
  <c r="L1865" i="34"/>
  <c r="L1867" i="34" a="1"/>
  <c r="L1867" i="34"/>
  <c r="L1868" i="34" a="1"/>
  <c r="L1869" i="34" a="1"/>
  <c r="L1870" i="34" a="1"/>
  <c r="L1868" i="34"/>
  <c r="L1869" i="34"/>
  <c r="L1870" i="34"/>
  <c r="L1866" i="34"/>
  <c r="M1865" i="34" a="1"/>
  <c r="M1865" i="34"/>
  <c r="M1867" i="34" a="1"/>
  <c r="M1867" i="34"/>
  <c r="M1868" i="34" a="1"/>
  <c r="M1869" i="34" a="1"/>
  <c r="M1870" i="34" a="1"/>
  <c r="M1868" i="34"/>
  <c r="M1869" i="34"/>
  <c r="M1870" i="34"/>
  <c r="M1866" i="34"/>
  <c r="N1865" i="34" a="1"/>
  <c r="N1865" i="34"/>
  <c r="N1867" i="34" a="1"/>
  <c r="N1867" i="34"/>
  <c r="N1868" i="34" a="1"/>
  <c r="N1869" i="34" a="1"/>
  <c r="N1870" i="34" a="1"/>
  <c r="N1868" i="34"/>
  <c r="N1869" i="34"/>
  <c r="N1870" i="34"/>
  <c r="N1866" i="34"/>
  <c r="O1865" i="34" a="1"/>
  <c r="O1865" i="34"/>
  <c r="O1867" i="34" a="1"/>
  <c r="O1867" i="34"/>
  <c r="O1868" i="34" a="1"/>
  <c r="O1869" i="34" a="1"/>
  <c r="O1870" i="34" a="1"/>
  <c r="O1868" i="34"/>
  <c r="O1869" i="34"/>
  <c r="O1870" i="34"/>
  <c r="O1866" i="34"/>
  <c r="P1865" i="34" a="1"/>
  <c r="P1865" i="34"/>
  <c r="P1867" i="34" a="1"/>
  <c r="P1867" i="34"/>
  <c r="P1868" i="34" a="1"/>
  <c r="P1869" i="34" a="1"/>
  <c r="P1870" i="34" a="1"/>
  <c r="P1868" i="34"/>
  <c r="P1869" i="34"/>
  <c r="P1870" i="34"/>
  <c r="P1866" i="34"/>
  <c r="Q1865" i="34" a="1"/>
  <c r="Q1865" i="34"/>
  <c r="Q1867" i="34" a="1"/>
  <c r="Q1867" i="34"/>
  <c r="Q1868" i="34" a="1"/>
  <c r="Q1869" i="34" a="1"/>
  <c r="Q1870" i="34" a="1"/>
  <c r="Q1868" i="34"/>
  <c r="Q1869" i="34"/>
  <c r="Q1870" i="34"/>
  <c r="Q1866" i="34"/>
  <c r="I1871" i="34" a="1"/>
  <c r="I1871" i="34"/>
  <c r="I1873" i="34" a="1"/>
  <c r="I1873" i="34"/>
  <c r="I1874" i="34" a="1"/>
  <c r="I1875" i="34" a="1"/>
  <c r="I1876" i="34" a="1"/>
  <c r="I1874" i="34"/>
  <c r="I1875" i="34"/>
  <c r="I1876" i="34"/>
  <c r="I1872" i="34"/>
  <c r="J1871" i="34" a="1"/>
  <c r="J1871" i="34"/>
  <c r="J1873" i="34" a="1"/>
  <c r="J1873" i="34"/>
  <c r="J1874" i="34" a="1"/>
  <c r="J1875" i="34" a="1"/>
  <c r="J1876" i="34" a="1"/>
  <c r="J1874" i="34"/>
  <c r="J1875" i="34"/>
  <c r="J1876" i="34"/>
  <c r="J1872" i="34"/>
  <c r="K1871" i="34" a="1"/>
  <c r="K1871" i="34"/>
  <c r="K1873" i="34" a="1"/>
  <c r="K1873" i="34"/>
  <c r="K1874" i="34" a="1"/>
  <c r="K1875" i="34" a="1"/>
  <c r="K1876" i="34" a="1"/>
  <c r="K1874" i="34"/>
  <c r="K1875" i="34"/>
  <c r="K1876" i="34"/>
  <c r="K1872" i="34"/>
  <c r="L1871" i="34" a="1"/>
  <c r="L1871" i="34"/>
  <c r="L1873" i="34" a="1"/>
  <c r="L1873" i="34"/>
  <c r="L1874" i="34" a="1"/>
  <c r="L1875" i="34" a="1"/>
  <c r="L1876" i="34" a="1"/>
  <c r="L1874" i="34"/>
  <c r="L1875" i="34"/>
  <c r="L1876" i="34"/>
  <c r="L1872" i="34"/>
  <c r="M1871" i="34" a="1"/>
  <c r="M1871" i="34"/>
  <c r="M1873" i="34" a="1"/>
  <c r="M1873" i="34"/>
  <c r="M1874" i="34" a="1"/>
  <c r="M1875" i="34" a="1"/>
  <c r="M1876" i="34" a="1"/>
  <c r="M1874" i="34"/>
  <c r="M1875" i="34"/>
  <c r="M1876" i="34"/>
  <c r="M1872" i="34"/>
  <c r="N1871" i="34" a="1"/>
  <c r="N1871" i="34"/>
  <c r="N1873" i="34" a="1"/>
  <c r="N1873" i="34"/>
  <c r="N1874" i="34" a="1"/>
  <c r="N1875" i="34" a="1"/>
  <c r="N1876" i="34" a="1"/>
  <c r="N1874" i="34"/>
  <c r="N1875" i="34"/>
  <c r="N1876" i="34"/>
  <c r="N1872" i="34"/>
  <c r="O1871" i="34" a="1"/>
  <c r="O1871" i="34"/>
  <c r="O1873" i="34" a="1"/>
  <c r="O1873" i="34"/>
  <c r="O1874" i="34" a="1"/>
  <c r="O1875" i="34" a="1"/>
  <c r="O1876" i="34" a="1"/>
  <c r="O1874" i="34"/>
  <c r="O1875" i="34"/>
  <c r="O1876" i="34"/>
  <c r="O1872" i="34"/>
  <c r="P1871" i="34" a="1"/>
  <c r="P1871" i="34"/>
  <c r="P1873" i="34" a="1"/>
  <c r="P1873" i="34"/>
  <c r="P1874" i="34" a="1"/>
  <c r="P1875" i="34" a="1"/>
  <c r="P1876" i="34" a="1"/>
  <c r="P1874" i="34"/>
  <c r="P1875" i="34"/>
  <c r="P1876" i="34"/>
  <c r="P1872" i="34"/>
  <c r="Q1871" i="34" a="1"/>
  <c r="Q1871" i="34"/>
  <c r="Q1873" i="34" a="1"/>
  <c r="Q1873" i="34"/>
  <c r="Q1874" i="34" a="1"/>
  <c r="Q1875" i="34" a="1"/>
  <c r="Q1876" i="34" a="1"/>
  <c r="Q1874" i="34"/>
  <c r="Q1875" i="34"/>
  <c r="Q1876" i="34"/>
  <c r="Q1872" i="34"/>
  <c r="I1877" i="34" a="1"/>
  <c r="I1877" i="34"/>
  <c r="I1879" i="34" a="1"/>
  <c r="I1879" i="34"/>
  <c r="I1880" i="34" a="1"/>
  <c r="I1881" i="34" a="1"/>
  <c r="I1882" i="34" a="1"/>
  <c r="I1880" i="34"/>
  <c r="I1881" i="34"/>
  <c r="I1882" i="34"/>
  <c r="I1878" i="34"/>
  <c r="J1877" i="34" a="1"/>
  <c r="J1877" i="34"/>
  <c r="J1879" i="34" a="1"/>
  <c r="J1879" i="34"/>
  <c r="J1880" i="34" a="1"/>
  <c r="J1881" i="34" a="1"/>
  <c r="J1882" i="34" a="1"/>
  <c r="J1880" i="34"/>
  <c r="J1881" i="34"/>
  <c r="J1882" i="34"/>
  <c r="J1878" i="34"/>
  <c r="K1877" i="34" a="1"/>
  <c r="K1877" i="34"/>
  <c r="K1879" i="34" a="1"/>
  <c r="K1879" i="34"/>
  <c r="K1880" i="34" a="1"/>
  <c r="K1881" i="34" a="1"/>
  <c r="K1882" i="34" a="1"/>
  <c r="K1880" i="34"/>
  <c r="K1881" i="34"/>
  <c r="K1882" i="34"/>
  <c r="K1878" i="34"/>
  <c r="L1877" i="34" a="1"/>
  <c r="L1877" i="34"/>
  <c r="L1879" i="34" a="1"/>
  <c r="L1879" i="34"/>
  <c r="L1880" i="34" a="1"/>
  <c r="L1881" i="34" a="1"/>
  <c r="L1882" i="34" a="1"/>
  <c r="L1880" i="34"/>
  <c r="L1881" i="34"/>
  <c r="L1882" i="34"/>
  <c r="L1878" i="34"/>
  <c r="M1877" i="34" a="1"/>
  <c r="M1877" i="34"/>
  <c r="M1879" i="34" a="1"/>
  <c r="M1879" i="34"/>
  <c r="M1880" i="34" a="1"/>
  <c r="M1881" i="34" a="1"/>
  <c r="M1882" i="34" a="1"/>
  <c r="M1880" i="34"/>
  <c r="M1881" i="34"/>
  <c r="M1882" i="34"/>
  <c r="M1878" i="34"/>
  <c r="N1877" i="34" a="1"/>
  <c r="N1877" i="34"/>
  <c r="N1879" i="34" a="1"/>
  <c r="N1879" i="34"/>
  <c r="N1880" i="34" a="1"/>
  <c r="N1881" i="34" a="1"/>
  <c r="N1882" i="34" a="1"/>
  <c r="N1880" i="34"/>
  <c r="N1881" i="34"/>
  <c r="N1882" i="34"/>
  <c r="N1878" i="34"/>
  <c r="O1877" i="34" a="1"/>
  <c r="O1877" i="34"/>
  <c r="O1879" i="34" a="1"/>
  <c r="O1879" i="34"/>
  <c r="O1880" i="34" a="1"/>
  <c r="O1881" i="34" a="1"/>
  <c r="O1882" i="34" a="1"/>
  <c r="O1880" i="34"/>
  <c r="O1881" i="34"/>
  <c r="O1882" i="34"/>
  <c r="O1878" i="34"/>
  <c r="P1877" i="34" a="1"/>
  <c r="P1877" i="34"/>
  <c r="P1879" i="34" a="1"/>
  <c r="P1879" i="34"/>
  <c r="P1880" i="34" a="1"/>
  <c r="P1881" i="34" a="1"/>
  <c r="P1882" i="34" a="1"/>
  <c r="P1880" i="34"/>
  <c r="P1881" i="34"/>
  <c r="P1882" i="34"/>
  <c r="P1878" i="34"/>
  <c r="Q1877" i="34" a="1"/>
  <c r="Q1877" i="34"/>
  <c r="Q1879" i="34" a="1"/>
  <c r="Q1879" i="34"/>
  <c r="Q1880" i="34" a="1"/>
  <c r="Q1881" i="34" a="1"/>
  <c r="Q1882" i="34" a="1"/>
  <c r="Q1880" i="34"/>
  <c r="Q1881" i="34"/>
  <c r="Q1882" i="34"/>
  <c r="Q1878" i="34"/>
  <c r="I1883" i="34" a="1"/>
  <c r="I1883" i="34"/>
  <c r="I1885" i="34" a="1"/>
  <c r="I1885" i="34"/>
  <c r="I1886" i="34" a="1"/>
  <c r="I1887" i="34" a="1"/>
  <c r="I1888" i="34" a="1"/>
  <c r="I1886" i="34"/>
  <c r="I1887" i="34"/>
  <c r="I1888" i="34"/>
  <c r="I1884" i="34"/>
  <c r="J1883" i="34" a="1"/>
  <c r="J1883" i="34"/>
  <c r="J1885" i="34" a="1"/>
  <c r="J1885" i="34"/>
  <c r="J1886" i="34" a="1"/>
  <c r="J1887" i="34" a="1"/>
  <c r="J1888" i="34" a="1"/>
  <c r="J1886" i="34"/>
  <c r="J1887" i="34"/>
  <c r="J1888" i="34"/>
  <c r="J1884" i="34"/>
  <c r="K1883" i="34" a="1"/>
  <c r="K1883" i="34"/>
  <c r="K1885" i="34" a="1"/>
  <c r="K1885" i="34"/>
  <c r="K1886" i="34" a="1"/>
  <c r="K1887" i="34" a="1"/>
  <c r="K1888" i="34" a="1"/>
  <c r="K1886" i="34"/>
  <c r="K1887" i="34"/>
  <c r="K1888" i="34"/>
  <c r="K1884" i="34"/>
  <c r="L1883" i="34" a="1"/>
  <c r="L1883" i="34"/>
  <c r="L1885" i="34" a="1"/>
  <c r="L1885" i="34"/>
  <c r="L1886" i="34" a="1"/>
  <c r="L1887" i="34" a="1"/>
  <c r="L1888" i="34" a="1"/>
  <c r="L1886" i="34"/>
  <c r="L1887" i="34"/>
  <c r="L1888" i="34"/>
  <c r="L1884" i="34"/>
  <c r="M1883" i="34" a="1"/>
  <c r="M1883" i="34"/>
  <c r="M1885" i="34" a="1"/>
  <c r="M1885" i="34"/>
  <c r="M1886" i="34" a="1"/>
  <c r="M1887" i="34" a="1"/>
  <c r="M1888" i="34" a="1"/>
  <c r="M1886" i="34"/>
  <c r="M1887" i="34"/>
  <c r="M1888" i="34"/>
  <c r="M1884" i="34"/>
  <c r="N1883" i="34" a="1"/>
  <c r="N1883" i="34"/>
  <c r="N1885" i="34" a="1"/>
  <c r="N1885" i="34"/>
  <c r="N1886" i="34" a="1"/>
  <c r="N1887" i="34" a="1"/>
  <c r="N1888" i="34" a="1"/>
  <c r="N1886" i="34"/>
  <c r="N1887" i="34"/>
  <c r="N1888" i="34"/>
  <c r="N1884" i="34"/>
  <c r="O1883" i="34" a="1"/>
  <c r="O1883" i="34"/>
  <c r="O1885" i="34" a="1"/>
  <c r="O1885" i="34"/>
  <c r="O1886" i="34" a="1"/>
  <c r="O1887" i="34" a="1"/>
  <c r="O1888" i="34" a="1"/>
  <c r="O1886" i="34"/>
  <c r="O1887" i="34"/>
  <c r="O1888" i="34"/>
  <c r="O1884" i="34"/>
  <c r="P1883" i="34" a="1"/>
  <c r="P1883" i="34"/>
  <c r="P1885" i="34" a="1"/>
  <c r="P1885" i="34"/>
  <c r="P1886" i="34" a="1"/>
  <c r="P1887" i="34" a="1"/>
  <c r="P1888" i="34" a="1"/>
  <c r="P1886" i="34"/>
  <c r="P1887" i="34"/>
  <c r="P1888" i="34"/>
  <c r="P1884" i="34"/>
  <c r="Q1883" i="34" a="1"/>
  <c r="Q1883" i="34"/>
  <c r="Q1885" i="34" a="1"/>
  <c r="Q1885" i="34"/>
  <c r="Q1886" i="34" a="1"/>
  <c r="Q1887" i="34" a="1"/>
  <c r="Q1888" i="34" a="1"/>
  <c r="Q1886" i="34"/>
  <c r="Q1887" i="34"/>
  <c r="Q1888" i="34"/>
  <c r="Q1884" i="34"/>
  <c r="I1889" i="34" a="1"/>
  <c r="I1889" i="34"/>
  <c r="I1891" i="34" a="1"/>
  <c r="I1891" i="34"/>
  <c r="I1892" i="34" a="1"/>
  <c r="I1893" i="34" a="1"/>
  <c r="I1894" i="34" a="1"/>
  <c r="I1892" i="34"/>
  <c r="I1893" i="34"/>
  <c r="I1894" i="34"/>
  <c r="I1890" i="34"/>
  <c r="J1889" i="34" a="1"/>
  <c r="J1889" i="34"/>
  <c r="J1891" i="34" a="1"/>
  <c r="J1891" i="34"/>
  <c r="J1892" i="34" a="1"/>
  <c r="J1893" i="34" a="1"/>
  <c r="J1894" i="34" a="1"/>
  <c r="J1892" i="34"/>
  <c r="J1893" i="34"/>
  <c r="J1894" i="34"/>
  <c r="J1890" i="34"/>
  <c r="K1889" i="34" a="1"/>
  <c r="K1889" i="34"/>
  <c r="K1891" i="34" a="1"/>
  <c r="K1891" i="34"/>
  <c r="K1892" i="34" a="1"/>
  <c r="K1893" i="34" a="1"/>
  <c r="K1894" i="34" a="1"/>
  <c r="K1892" i="34"/>
  <c r="K1893" i="34"/>
  <c r="K1894" i="34"/>
  <c r="K1890" i="34"/>
  <c r="L1889" i="34" a="1"/>
  <c r="L1889" i="34"/>
  <c r="L1891" i="34" a="1"/>
  <c r="L1891" i="34"/>
  <c r="L1892" i="34" a="1"/>
  <c r="L1893" i="34" a="1"/>
  <c r="L1894" i="34" a="1"/>
  <c r="L1892" i="34"/>
  <c r="L1893" i="34"/>
  <c r="L1894" i="34"/>
  <c r="L1890" i="34"/>
  <c r="M1889" i="34" a="1"/>
  <c r="M1889" i="34"/>
  <c r="M1891" i="34" a="1"/>
  <c r="M1891" i="34"/>
  <c r="M1892" i="34" a="1"/>
  <c r="M1893" i="34" a="1"/>
  <c r="M1894" i="34" a="1"/>
  <c r="M1892" i="34"/>
  <c r="M1893" i="34"/>
  <c r="M1894" i="34"/>
  <c r="M1890" i="34"/>
  <c r="N1889" i="34" a="1"/>
  <c r="N1889" i="34"/>
  <c r="N1891" i="34" a="1"/>
  <c r="N1891" i="34"/>
  <c r="N1892" i="34" a="1"/>
  <c r="N1893" i="34" a="1"/>
  <c r="N1894" i="34" a="1"/>
  <c r="N1892" i="34"/>
  <c r="N1893" i="34"/>
  <c r="N1894" i="34"/>
  <c r="N1890" i="34"/>
  <c r="O1889" i="34" a="1"/>
  <c r="O1889" i="34"/>
  <c r="O1891" i="34" a="1"/>
  <c r="O1891" i="34"/>
  <c r="O1892" i="34" a="1"/>
  <c r="O1893" i="34" a="1"/>
  <c r="O1894" i="34" a="1"/>
  <c r="O1892" i="34"/>
  <c r="O1893" i="34"/>
  <c r="O1894" i="34"/>
  <c r="O1890" i="34"/>
  <c r="P1889" i="34" a="1"/>
  <c r="P1889" i="34"/>
  <c r="P1891" i="34" a="1"/>
  <c r="P1891" i="34"/>
  <c r="P1892" i="34" a="1"/>
  <c r="P1893" i="34" a="1"/>
  <c r="P1894" i="34" a="1"/>
  <c r="P1892" i="34"/>
  <c r="P1893" i="34"/>
  <c r="P1894" i="34"/>
  <c r="P1890" i="34"/>
  <c r="Q1889" i="34" a="1"/>
  <c r="Q1889" i="34"/>
  <c r="Q1891" i="34" a="1"/>
  <c r="Q1891" i="34"/>
  <c r="Q1892" i="34" a="1"/>
  <c r="Q1893" i="34" a="1"/>
  <c r="Q1894" i="34" a="1"/>
  <c r="Q1892" i="34"/>
  <c r="Q1893" i="34"/>
  <c r="Q1894" i="34"/>
  <c r="Q1890" i="34"/>
  <c r="I1895" i="34" a="1"/>
  <c r="I1895" i="34"/>
  <c r="I1897" i="34" a="1"/>
  <c r="I1897" i="34"/>
  <c r="I1898" i="34" a="1"/>
  <c r="I1899" i="34" a="1"/>
  <c r="I1900" i="34" a="1"/>
  <c r="I1898" i="34"/>
  <c r="I1899" i="34"/>
  <c r="I1900" i="34"/>
  <c r="I1896" i="34"/>
  <c r="J1895" i="34" a="1"/>
  <c r="J1895" i="34"/>
  <c r="J1897" i="34" a="1"/>
  <c r="J1897" i="34"/>
  <c r="J1898" i="34" a="1"/>
  <c r="J1899" i="34" a="1"/>
  <c r="J1900" i="34" a="1"/>
  <c r="J1898" i="34"/>
  <c r="J1899" i="34"/>
  <c r="J1900" i="34"/>
  <c r="J1896" i="34"/>
  <c r="K1895" i="34" a="1"/>
  <c r="K1895" i="34"/>
  <c r="K1897" i="34" a="1"/>
  <c r="K1897" i="34"/>
  <c r="K1898" i="34" a="1"/>
  <c r="K1899" i="34" a="1"/>
  <c r="K1900" i="34" a="1"/>
  <c r="K1898" i="34"/>
  <c r="K1899" i="34"/>
  <c r="K1900" i="34"/>
  <c r="K1896" i="34"/>
  <c r="L1895" i="34" a="1"/>
  <c r="L1895" i="34"/>
  <c r="L1897" i="34" a="1"/>
  <c r="L1897" i="34"/>
  <c r="L1898" i="34" a="1"/>
  <c r="L1899" i="34" a="1"/>
  <c r="L1900" i="34" a="1"/>
  <c r="L1898" i="34"/>
  <c r="L1899" i="34"/>
  <c r="L1900" i="34"/>
  <c r="L1896" i="34"/>
  <c r="M1895" i="34" a="1"/>
  <c r="M1895" i="34"/>
  <c r="M1897" i="34" a="1"/>
  <c r="M1897" i="34"/>
  <c r="M1898" i="34" a="1"/>
  <c r="M1899" i="34" a="1"/>
  <c r="M1900" i="34" a="1"/>
  <c r="M1898" i="34"/>
  <c r="M1899" i="34"/>
  <c r="M1900" i="34"/>
  <c r="M1896" i="34"/>
  <c r="N1895" i="34" a="1"/>
  <c r="N1895" i="34"/>
  <c r="N1897" i="34" a="1"/>
  <c r="N1897" i="34"/>
  <c r="N1898" i="34" a="1"/>
  <c r="N1899" i="34" a="1"/>
  <c r="N1900" i="34" a="1"/>
  <c r="N1898" i="34"/>
  <c r="N1899" i="34"/>
  <c r="N1900" i="34"/>
  <c r="N1896" i="34"/>
  <c r="O1895" i="34" a="1"/>
  <c r="O1895" i="34"/>
  <c r="O1897" i="34" a="1"/>
  <c r="O1897" i="34"/>
  <c r="O1898" i="34" a="1"/>
  <c r="O1899" i="34" a="1"/>
  <c r="O1900" i="34" a="1"/>
  <c r="O1898" i="34"/>
  <c r="O1899" i="34"/>
  <c r="O1900" i="34"/>
  <c r="O1896" i="34"/>
  <c r="P1895" i="34" a="1"/>
  <c r="P1895" i="34"/>
  <c r="P1897" i="34" a="1"/>
  <c r="P1897" i="34"/>
  <c r="P1898" i="34" a="1"/>
  <c r="P1899" i="34" a="1"/>
  <c r="P1900" i="34" a="1"/>
  <c r="P1898" i="34"/>
  <c r="P1899" i="34"/>
  <c r="P1900" i="34"/>
  <c r="P1896" i="34"/>
  <c r="Q1895" i="34" a="1"/>
  <c r="Q1895" i="34"/>
  <c r="Q1897" i="34" a="1"/>
  <c r="Q1897" i="34"/>
  <c r="Q1898" i="34" a="1"/>
  <c r="Q1899" i="34" a="1"/>
  <c r="Q1900" i="34" a="1"/>
  <c r="Q1898" i="34"/>
  <c r="Q1899" i="34"/>
  <c r="Q1900" i="34"/>
  <c r="Q1896" i="34"/>
  <c r="I1901" i="34" a="1"/>
  <c r="I1901" i="34"/>
  <c r="I1903" i="34" a="1"/>
  <c r="I1903" i="34"/>
  <c r="I1904" i="34" a="1"/>
  <c r="I1905" i="34" a="1"/>
  <c r="I1906" i="34" a="1"/>
  <c r="I1904" i="34"/>
  <c r="I1905" i="34"/>
  <c r="I1906" i="34"/>
  <c r="I1902" i="34"/>
  <c r="J1901" i="34" a="1"/>
  <c r="J1901" i="34"/>
  <c r="J1903" i="34" a="1"/>
  <c r="J1903" i="34"/>
  <c r="J1904" i="34" a="1"/>
  <c r="J1905" i="34" a="1"/>
  <c r="J1906" i="34" a="1"/>
  <c r="J1904" i="34"/>
  <c r="J1905" i="34"/>
  <c r="J1906" i="34"/>
  <c r="J1902" i="34"/>
  <c r="K1901" i="34" a="1"/>
  <c r="K1901" i="34"/>
  <c r="K1903" i="34" a="1"/>
  <c r="K1903" i="34"/>
  <c r="K1904" i="34" a="1"/>
  <c r="K1905" i="34" a="1"/>
  <c r="K1906" i="34" a="1"/>
  <c r="K1904" i="34"/>
  <c r="K1905" i="34"/>
  <c r="K1906" i="34"/>
  <c r="K1902" i="34"/>
  <c r="L1901" i="34" a="1"/>
  <c r="L1901" i="34"/>
  <c r="L1903" i="34" a="1"/>
  <c r="L1903" i="34"/>
  <c r="L1904" i="34" a="1"/>
  <c r="L1905" i="34" a="1"/>
  <c r="L1906" i="34" a="1"/>
  <c r="L1904" i="34"/>
  <c r="L1905" i="34"/>
  <c r="L1906" i="34"/>
  <c r="L1902" i="34"/>
  <c r="M1901" i="34" a="1"/>
  <c r="M1901" i="34"/>
  <c r="M1903" i="34" a="1"/>
  <c r="M1903" i="34"/>
  <c r="M1904" i="34" a="1"/>
  <c r="M1905" i="34" a="1"/>
  <c r="M1906" i="34" a="1"/>
  <c r="M1904" i="34"/>
  <c r="M1905" i="34"/>
  <c r="M1906" i="34"/>
  <c r="M1902" i="34"/>
  <c r="N1901" i="34" a="1"/>
  <c r="N1901" i="34"/>
  <c r="N1903" i="34" a="1"/>
  <c r="N1903" i="34"/>
  <c r="N1904" i="34" a="1"/>
  <c r="N1905" i="34" a="1"/>
  <c r="N1906" i="34" a="1"/>
  <c r="N1904" i="34"/>
  <c r="N1905" i="34"/>
  <c r="N1906" i="34"/>
  <c r="N1902" i="34"/>
  <c r="O1901" i="34" a="1"/>
  <c r="O1901" i="34"/>
  <c r="O1903" i="34" a="1"/>
  <c r="O1903" i="34"/>
  <c r="O1904" i="34" a="1"/>
  <c r="O1905" i="34" a="1"/>
  <c r="O1906" i="34" a="1"/>
  <c r="O1904" i="34"/>
  <c r="O1905" i="34"/>
  <c r="O1906" i="34"/>
  <c r="O1902" i="34"/>
  <c r="P1901" i="34" a="1"/>
  <c r="P1901" i="34"/>
  <c r="P1903" i="34" a="1"/>
  <c r="P1903" i="34"/>
  <c r="P1904" i="34" a="1"/>
  <c r="P1905" i="34" a="1"/>
  <c r="P1906" i="34" a="1"/>
  <c r="P1904" i="34"/>
  <c r="P1905" i="34"/>
  <c r="P1906" i="34"/>
  <c r="P1902" i="34"/>
  <c r="Q1901" i="34" a="1"/>
  <c r="Q1901" i="34"/>
  <c r="Q1903" i="34" a="1"/>
  <c r="Q1903" i="34"/>
  <c r="Q1904" i="34" a="1"/>
  <c r="Q1905" i="34" a="1"/>
  <c r="Q1906" i="34" a="1"/>
  <c r="Q1904" i="34"/>
  <c r="Q1905" i="34"/>
  <c r="Q1906" i="34"/>
  <c r="Q1902" i="34"/>
  <c r="I1907" i="34" a="1"/>
  <c r="I1907" i="34"/>
  <c r="I1909" i="34" a="1"/>
  <c r="I1909" i="34"/>
  <c r="I1910" i="34" a="1"/>
  <c r="I1911" i="34" a="1"/>
  <c r="I1912" i="34" a="1"/>
  <c r="I1910" i="34"/>
  <c r="I1911" i="34"/>
  <c r="I1912" i="34"/>
  <c r="I1908" i="34"/>
  <c r="J1907" i="34" a="1"/>
  <c r="J1907" i="34"/>
  <c r="J1909" i="34" a="1"/>
  <c r="J1909" i="34"/>
  <c r="J1910" i="34" a="1"/>
  <c r="J1911" i="34" a="1"/>
  <c r="J1912" i="34" a="1"/>
  <c r="J1910" i="34"/>
  <c r="J1911" i="34"/>
  <c r="J1912" i="34"/>
  <c r="J1908" i="34"/>
  <c r="K1907" i="34" a="1"/>
  <c r="K1907" i="34"/>
  <c r="K1909" i="34" a="1"/>
  <c r="K1909" i="34"/>
  <c r="K1910" i="34" a="1"/>
  <c r="K1911" i="34" a="1"/>
  <c r="K1912" i="34" a="1"/>
  <c r="K1910" i="34"/>
  <c r="K1911" i="34"/>
  <c r="K1912" i="34"/>
  <c r="K1908" i="34"/>
  <c r="L1907" i="34" a="1"/>
  <c r="L1907" i="34"/>
  <c r="L1909" i="34" a="1"/>
  <c r="L1909" i="34"/>
  <c r="L1910" i="34" a="1"/>
  <c r="L1911" i="34" a="1"/>
  <c r="L1912" i="34" a="1"/>
  <c r="L1910" i="34"/>
  <c r="L1911" i="34"/>
  <c r="L1912" i="34"/>
  <c r="L1908" i="34"/>
  <c r="M1907" i="34" a="1"/>
  <c r="M1907" i="34"/>
  <c r="M1909" i="34" a="1"/>
  <c r="M1909" i="34"/>
  <c r="M1910" i="34" a="1"/>
  <c r="M1911" i="34" a="1"/>
  <c r="M1912" i="34" a="1"/>
  <c r="M1910" i="34"/>
  <c r="M1911" i="34"/>
  <c r="M1912" i="34"/>
  <c r="M1908" i="34"/>
  <c r="N1907" i="34" a="1"/>
  <c r="N1907" i="34"/>
  <c r="N1909" i="34" a="1"/>
  <c r="N1909" i="34"/>
  <c r="N1910" i="34" a="1"/>
  <c r="N1911" i="34" a="1"/>
  <c r="N1912" i="34" a="1"/>
  <c r="N1910" i="34"/>
  <c r="N1911" i="34"/>
  <c r="N1912" i="34"/>
  <c r="N1908" i="34"/>
  <c r="O1907" i="34" a="1"/>
  <c r="O1907" i="34"/>
  <c r="O1909" i="34" a="1"/>
  <c r="O1909" i="34"/>
  <c r="O1910" i="34" a="1"/>
  <c r="O1911" i="34" a="1"/>
  <c r="O1912" i="34" a="1"/>
  <c r="O1910" i="34"/>
  <c r="O1911" i="34"/>
  <c r="O1912" i="34"/>
  <c r="O1908" i="34"/>
  <c r="P1907" i="34" a="1"/>
  <c r="P1907" i="34"/>
  <c r="P1909" i="34" a="1"/>
  <c r="P1909" i="34"/>
  <c r="P1910" i="34" a="1"/>
  <c r="P1911" i="34" a="1"/>
  <c r="P1912" i="34" a="1"/>
  <c r="P1910" i="34"/>
  <c r="P1911" i="34"/>
  <c r="P1912" i="34"/>
  <c r="P1908" i="34"/>
  <c r="Q1907" i="34" a="1"/>
  <c r="Q1907" i="34"/>
  <c r="Q1909" i="34" a="1"/>
  <c r="Q1909" i="34"/>
  <c r="Q1910" i="34" a="1"/>
  <c r="Q1911" i="34" a="1"/>
  <c r="Q1912" i="34" a="1"/>
  <c r="Q1910" i="34"/>
  <c r="Q1911" i="34"/>
  <c r="Q1912" i="34"/>
  <c r="Q1908" i="34"/>
  <c r="I1913" i="34" a="1"/>
  <c r="I1913" i="34"/>
  <c r="I1915" i="34" a="1"/>
  <c r="I1915" i="34"/>
  <c r="I1916" i="34" a="1"/>
  <c r="I1917" i="34" a="1"/>
  <c r="I1918" i="34" a="1"/>
  <c r="I1916" i="34"/>
  <c r="I1917" i="34"/>
  <c r="I1918" i="34"/>
  <c r="I1914" i="34"/>
  <c r="J1913" i="34" a="1"/>
  <c r="J1913" i="34"/>
  <c r="J1915" i="34" a="1"/>
  <c r="J1915" i="34"/>
  <c r="J1916" i="34" a="1"/>
  <c r="J1917" i="34" a="1"/>
  <c r="J1918" i="34" a="1"/>
  <c r="J1916" i="34"/>
  <c r="J1917" i="34"/>
  <c r="J1918" i="34"/>
  <c r="J1914" i="34"/>
  <c r="K1913" i="34" a="1"/>
  <c r="K1913" i="34"/>
  <c r="K1915" i="34" a="1"/>
  <c r="K1915" i="34"/>
  <c r="K1916" i="34" a="1"/>
  <c r="K1917" i="34" a="1"/>
  <c r="K1918" i="34" a="1"/>
  <c r="K1916" i="34"/>
  <c r="K1917" i="34"/>
  <c r="K1918" i="34"/>
  <c r="K1914" i="34"/>
  <c r="L1913" i="34" a="1"/>
  <c r="L1913" i="34"/>
  <c r="L1915" i="34" a="1"/>
  <c r="L1915" i="34"/>
  <c r="L1916" i="34" a="1"/>
  <c r="L1917" i="34" a="1"/>
  <c r="L1918" i="34" a="1"/>
  <c r="L1916" i="34"/>
  <c r="L1917" i="34"/>
  <c r="L1918" i="34"/>
  <c r="L1914" i="34"/>
  <c r="M1913" i="34" a="1"/>
  <c r="M1913" i="34"/>
  <c r="M1915" i="34" a="1"/>
  <c r="M1915" i="34"/>
  <c r="M1916" i="34" a="1"/>
  <c r="M1917" i="34" a="1"/>
  <c r="M1918" i="34" a="1"/>
  <c r="M1916" i="34"/>
  <c r="M1917" i="34"/>
  <c r="M1918" i="34"/>
  <c r="M1914" i="34"/>
  <c r="N1913" i="34" a="1"/>
  <c r="N1913" i="34"/>
  <c r="N1915" i="34" a="1"/>
  <c r="N1915" i="34"/>
  <c r="N1916" i="34" a="1"/>
  <c r="N1917" i="34" a="1"/>
  <c r="N1918" i="34" a="1"/>
  <c r="N1916" i="34"/>
  <c r="N1917" i="34"/>
  <c r="N1918" i="34"/>
  <c r="N1914" i="34"/>
  <c r="O1913" i="34" a="1"/>
  <c r="O1913" i="34"/>
  <c r="O1915" i="34" a="1"/>
  <c r="O1915" i="34"/>
  <c r="O1916" i="34" a="1"/>
  <c r="O1917" i="34" a="1"/>
  <c r="O1918" i="34" a="1"/>
  <c r="O1916" i="34"/>
  <c r="O1917" i="34"/>
  <c r="O1918" i="34"/>
  <c r="O1914" i="34"/>
  <c r="P1913" i="34" a="1"/>
  <c r="P1913" i="34"/>
  <c r="P1915" i="34" a="1"/>
  <c r="P1915" i="34"/>
  <c r="P1916" i="34" a="1"/>
  <c r="P1917" i="34" a="1"/>
  <c r="P1918" i="34" a="1"/>
  <c r="P1916" i="34"/>
  <c r="P1917" i="34"/>
  <c r="P1918" i="34"/>
  <c r="P1914" i="34"/>
  <c r="Q1913" i="34" a="1"/>
  <c r="Q1913" i="34"/>
  <c r="Q1915" i="34" a="1"/>
  <c r="Q1915" i="34"/>
  <c r="Q1916" i="34" a="1"/>
  <c r="Q1917" i="34" a="1"/>
  <c r="Q1918" i="34" a="1"/>
  <c r="Q1916" i="34"/>
  <c r="Q1917" i="34"/>
  <c r="Q1918" i="34"/>
  <c r="Q1914" i="34"/>
  <c r="I1919" i="34" a="1"/>
  <c r="I1919" i="34"/>
  <c r="I1921" i="34" a="1"/>
  <c r="I1921" i="34"/>
  <c r="I1922" i="34" a="1"/>
  <c r="I1923" i="34" a="1"/>
  <c r="I1924" i="34" a="1"/>
  <c r="I1922" i="34"/>
  <c r="I1923" i="34"/>
  <c r="I1924" i="34"/>
  <c r="I1920" i="34"/>
  <c r="J1919" i="34" a="1"/>
  <c r="J1919" i="34"/>
  <c r="J1921" i="34" a="1"/>
  <c r="J1921" i="34"/>
  <c r="J1922" i="34" a="1"/>
  <c r="J1923" i="34" a="1"/>
  <c r="J1924" i="34" a="1"/>
  <c r="J1922" i="34"/>
  <c r="J1923" i="34"/>
  <c r="J1924" i="34"/>
  <c r="J1920" i="34"/>
  <c r="K1919" i="34" a="1"/>
  <c r="K1919" i="34"/>
  <c r="K1921" i="34" a="1"/>
  <c r="K1921" i="34"/>
  <c r="K1922" i="34" a="1"/>
  <c r="K1923" i="34" a="1"/>
  <c r="K1924" i="34" a="1"/>
  <c r="K1922" i="34"/>
  <c r="K1923" i="34"/>
  <c r="K1924" i="34"/>
  <c r="K1920" i="34"/>
  <c r="L1919" i="34" a="1"/>
  <c r="L1919" i="34"/>
  <c r="L1921" i="34" a="1"/>
  <c r="L1921" i="34"/>
  <c r="L1922" i="34" a="1"/>
  <c r="L1923" i="34" a="1"/>
  <c r="L1924" i="34" a="1"/>
  <c r="L1922" i="34"/>
  <c r="L1923" i="34"/>
  <c r="L1924" i="34"/>
  <c r="L1920" i="34"/>
  <c r="M1919" i="34" a="1"/>
  <c r="M1919" i="34"/>
  <c r="M1921" i="34" a="1"/>
  <c r="M1921" i="34"/>
  <c r="M1922" i="34" a="1"/>
  <c r="M1923" i="34" a="1"/>
  <c r="M1924" i="34" a="1"/>
  <c r="M1922" i="34"/>
  <c r="M1923" i="34"/>
  <c r="M1924" i="34"/>
  <c r="M1920" i="34"/>
  <c r="N1919" i="34" a="1"/>
  <c r="N1919" i="34"/>
  <c r="N1921" i="34" a="1"/>
  <c r="N1921" i="34"/>
  <c r="N1922" i="34" a="1"/>
  <c r="N1923" i="34" a="1"/>
  <c r="N1924" i="34" a="1"/>
  <c r="N1922" i="34"/>
  <c r="N1923" i="34"/>
  <c r="N1924" i="34"/>
  <c r="N1920" i="34"/>
  <c r="O1919" i="34" a="1"/>
  <c r="O1919" i="34"/>
  <c r="O1921" i="34" a="1"/>
  <c r="O1921" i="34"/>
  <c r="O1922" i="34" a="1"/>
  <c r="O1923" i="34" a="1"/>
  <c r="O1924" i="34" a="1"/>
  <c r="O1922" i="34"/>
  <c r="O1923" i="34"/>
  <c r="O1924" i="34"/>
  <c r="O1920" i="34"/>
  <c r="P1919" i="34" a="1"/>
  <c r="P1919" i="34"/>
  <c r="P1921" i="34" a="1"/>
  <c r="P1921" i="34"/>
  <c r="P1922" i="34" a="1"/>
  <c r="P1923" i="34" a="1"/>
  <c r="P1924" i="34" a="1"/>
  <c r="P1922" i="34"/>
  <c r="P1923" i="34"/>
  <c r="P1924" i="34"/>
  <c r="P1920" i="34"/>
  <c r="Q1919" i="34" a="1"/>
  <c r="Q1919" i="34"/>
  <c r="Q1921" i="34" a="1"/>
  <c r="Q1921" i="34"/>
  <c r="Q1922" i="34" a="1"/>
  <c r="Q1923" i="34" a="1"/>
  <c r="Q1924" i="34" a="1"/>
  <c r="Q1922" i="34"/>
  <c r="Q1923" i="34"/>
  <c r="Q1924" i="34"/>
  <c r="Q1920" i="34"/>
  <c r="I1925" i="34"/>
  <c r="J1925" i="34"/>
  <c r="K1925" i="34"/>
  <c r="L1925" i="34"/>
  <c r="M1925" i="34"/>
  <c r="N1925" i="34"/>
  <c r="O1925" i="34"/>
  <c r="P1925" i="34"/>
  <c r="Q1925" i="34"/>
  <c r="I1945" i="34" a="1"/>
  <c r="I1945" i="34"/>
  <c r="J1945" i="34" a="1"/>
  <c r="J1945" i="34"/>
  <c r="K1945" i="34" a="1"/>
  <c r="K1945" i="34"/>
  <c r="L1945" i="34" a="1"/>
  <c r="L1945" i="34"/>
  <c r="M1945" i="34" a="1"/>
  <c r="M1945" i="34"/>
  <c r="N1945" i="34" a="1"/>
  <c r="N1945" i="34"/>
  <c r="O1945" i="34" a="1"/>
  <c r="O1945" i="34"/>
  <c r="P1945" i="34" a="1"/>
  <c r="P1945" i="34"/>
  <c r="Q1945" i="34" a="1"/>
  <c r="Q1945" i="34"/>
  <c r="I1946" i="34" a="1"/>
  <c r="I1946" i="34"/>
  <c r="J1946" i="34" a="1"/>
  <c r="J1946" i="34"/>
  <c r="K1946" i="34" a="1"/>
  <c r="K1946" i="34"/>
  <c r="L1946" i="34" a="1"/>
  <c r="L1946" i="34"/>
  <c r="M1946" i="34" a="1"/>
  <c r="M1946" i="34"/>
  <c r="N1946" i="34" a="1"/>
  <c r="N1946" i="34"/>
  <c r="O1946" i="34" a="1"/>
  <c r="O1946" i="34"/>
  <c r="P1946" i="34" a="1"/>
  <c r="P1946" i="34"/>
  <c r="Q1946" i="34" a="1"/>
  <c r="Q1946" i="34"/>
  <c r="I1944" i="34" a="1"/>
  <c r="I1944" i="34"/>
  <c r="I1948" i="34" a="1"/>
  <c r="I1948" i="34"/>
  <c r="I1949" i="34" a="1"/>
  <c r="I1949" i="34"/>
  <c r="I1947" i="34"/>
  <c r="J1944" i="34" a="1"/>
  <c r="J1944" i="34"/>
  <c r="J1948" i="34" a="1"/>
  <c r="J1948" i="34"/>
  <c r="J1949" i="34" a="1"/>
  <c r="J1949" i="34"/>
  <c r="J1947" i="34"/>
  <c r="K1944" i="34" a="1"/>
  <c r="K1944" i="34"/>
  <c r="K1948" i="34" a="1"/>
  <c r="K1948" i="34"/>
  <c r="K1949" i="34" a="1"/>
  <c r="K1949" i="34"/>
  <c r="K1947" i="34"/>
  <c r="L1944" i="34" a="1"/>
  <c r="L1944" i="34"/>
  <c r="L1948" i="34" a="1"/>
  <c r="L1948" i="34"/>
  <c r="L1949" i="34" a="1"/>
  <c r="L1949" i="34"/>
  <c r="L1947" i="34"/>
  <c r="M1944" i="34" a="1"/>
  <c r="M1944" i="34"/>
  <c r="M1948" i="34" a="1"/>
  <c r="M1948" i="34"/>
  <c r="M1949" i="34" a="1"/>
  <c r="M1949" i="34"/>
  <c r="M1947" i="34"/>
  <c r="N1944" i="34" a="1"/>
  <c r="N1944" i="34"/>
  <c r="N1948" i="34" a="1"/>
  <c r="N1948" i="34"/>
  <c r="N1949" i="34" a="1"/>
  <c r="N1949" i="34"/>
  <c r="N1947" i="34"/>
  <c r="O1944" i="34" a="1"/>
  <c r="O1944" i="34"/>
  <c r="O1948" i="34" a="1"/>
  <c r="O1948" i="34"/>
  <c r="O1949" i="34" a="1"/>
  <c r="O1949" i="34"/>
  <c r="O1947" i="34"/>
  <c r="P1944" i="34" a="1"/>
  <c r="P1944" i="34"/>
  <c r="P1948" i="34" a="1"/>
  <c r="P1948" i="34"/>
  <c r="P1949" i="34" a="1"/>
  <c r="P1949" i="34"/>
  <c r="P1947" i="34"/>
  <c r="Q1944" i="34" a="1"/>
  <c r="Q1944" i="34"/>
  <c r="Q1948" i="34" a="1"/>
  <c r="Q1948" i="34"/>
  <c r="Q1949" i="34" a="1"/>
  <c r="Q1949" i="34"/>
  <c r="Q1947" i="34"/>
  <c r="I1950" i="34" a="1"/>
  <c r="I1950" i="34"/>
  <c r="J1950" i="34" a="1"/>
  <c r="J1950" i="34"/>
  <c r="K1950" i="34" a="1"/>
  <c r="K1950" i="34"/>
  <c r="L1950" i="34" a="1"/>
  <c r="L1950" i="34"/>
  <c r="M1950" i="34" a="1"/>
  <c r="M1950" i="34"/>
  <c r="N1950" i="34" a="1"/>
  <c r="N1950" i="34"/>
  <c r="O1950" i="34" a="1"/>
  <c r="O1950" i="34"/>
  <c r="P1950" i="34" a="1"/>
  <c r="P1950" i="34"/>
  <c r="Q1950" i="34" a="1"/>
  <c r="Q1950" i="34"/>
  <c r="I1951" i="34" a="1"/>
  <c r="I1951" i="34"/>
  <c r="J1951" i="34" a="1"/>
  <c r="J1951" i="34"/>
  <c r="K1951" i="34" a="1"/>
  <c r="K1951" i="34"/>
  <c r="L1951" i="34" a="1"/>
  <c r="L1951" i="34"/>
  <c r="M1951" i="34" a="1"/>
  <c r="M1951" i="34"/>
  <c r="N1951" i="34" a="1"/>
  <c r="N1951" i="34"/>
  <c r="O1951" i="34" a="1"/>
  <c r="O1951" i="34"/>
  <c r="P1951" i="34" a="1"/>
  <c r="P1951" i="34"/>
  <c r="Q1951" i="34" a="1"/>
  <c r="Q1951" i="34"/>
  <c r="I1952" i="34" a="1"/>
  <c r="I1952" i="34"/>
  <c r="J1952" i="34" a="1"/>
  <c r="J1952" i="34"/>
  <c r="K1952" i="34" a="1"/>
  <c r="K1952" i="34"/>
  <c r="L1952" i="34" a="1"/>
  <c r="L1952" i="34"/>
  <c r="M1952" i="34" a="1"/>
  <c r="M1952" i="34"/>
  <c r="N1952" i="34" a="1"/>
  <c r="N1952" i="34"/>
  <c r="O1952" i="34" a="1"/>
  <c r="O1952" i="34"/>
  <c r="P1952" i="34" a="1"/>
  <c r="P1952" i="34"/>
  <c r="Q1952" i="34" a="1"/>
  <c r="Q1952" i="34"/>
  <c r="I1954" i="34" a="1"/>
  <c r="I1954" i="34"/>
  <c r="I1955" i="34" a="1"/>
  <c r="I1955" i="34"/>
  <c r="I1953" i="34"/>
  <c r="J1954" i="34" a="1"/>
  <c r="J1954" i="34"/>
  <c r="J1955" i="34" a="1"/>
  <c r="J1955" i="34"/>
  <c r="J1953" i="34"/>
  <c r="K1954" i="34" a="1"/>
  <c r="K1954" i="34"/>
  <c r="K1955" i="34" a="1"/>
  <c r="K1955" i="34"/>
  <c r="K1953" i="34"/>
  <c r="L1954" i="34" a="1"/>
  <c r="L1954" i="34"/>
  <c r="L1955" i="34" a="1"/>
  <c r="L1955" i="34"/>
  <c r="L1953" i="34"/>
  <c r="M1954" i="34" a="1"/>
  <c r="M1954" i="34"/>
  <c r="M1955" i="34" a="1"/>
  <c r="M1955" i="34"/>
  <c r="M1953" i="34"/>
  <c r="N1954" i="34" a="1"/>
  <c r="N1954" i="34"/>
  <c r="N1955" i="34" a="1"/>
  <c r="N1955" i="34"/>
  <c r="N1953" i="34"/>
  <c r="O1954" i="34" a="1"/>
  <c r="O1954" i="34"/>
  <c r="O1955" i="34" a="1"/>
  <c r="O1955" i="34"/>
  <c r="O1953" i="34"/>
  <c r="P1954" i="34" a="1"/>
  <c r="P1954" i="34"/>
  <c r="P1955" i="34" a="1"/>
  <c r="P1955" i="34"/>
  <c r="P1953" i="34"/>
  <c r="Q1954" i="34" a="1"/>
  <c r="Q1954" i="34"/>
  <c r="Q1955" i="34" a="1"/>
  <c r="Q1955" i="34"/>
  <c r="Q1953" i="34"/>
  <c r="I1956" i="34" a="1"/>
  <c r="I1956" i="34"/>
  <c r="J1956" i="34" a="1"/>
  <c r="J1956" i="34"/>
  <c r="K1956" i="34" a="1"/>
  <c r="K1956" i="34"/>
  <c r="L1956" i="34" a="1"/>
  <c r="L1956" i="34"/>
  <c r="M1956" i="34" a="1"/>
  <c r="M1956" i="34"/>
  <c r="N1956" i="34" a="1"/>
  <c r="N1956" i="34"/>
  <c r="O1956" i="34" a="1"/>
  <c r="O1956" i="34"/>
  <c r="P1956" i="34" a="1"/>
  <c r="P1956" i="34"/>
  <c r="Q1956" i="34" a="1"/>
  <c r="Q1956" i="34"/>
  <c r="I1957" i="34" a="1"/>
  <c r="I1957" i="34"/>
  <c r="J1957" i="34" a="1"/>
  <c r="J1957" i="34"/>
  <c r="K1957" i="34" a="1"/>
  <c r="K1957" i="34"/>
  <c r="L1957" i="34" a="1"/>
  <c r="L1957" i="34"/>
  <c r="M1957" i="34" a="1"/>
  <c r="M1957" i="34"/>
  <c r="N1957" i="34" a="1"/>
  <c r="N1957" i="34"/>
  <c r="O1957" i="34" a="1"/>
  <c r="O1957" i="34"/>
  <c r="P1957" i="34" a="1"/>
  <c r="P1957" i="34"/>
  <c r="Q1957" i="34" a="1"/>
  <c r="Q1957" i="34"/>
  <c r="I1958" i="34" a="1"/>
  <c r="I1958" i="34"/>
  <c r="J1958" i="34" a="1"/>
  <c r="J1958" i="34"/>
  <c r="K1958" i="34" a="1"/>
  <c r="K1958" i="34"/>
  <c r="L1958" i="34" a="1"/>
  <c r="L1958" i="34"/>
  <c r="M1958" i="34" a="1"/>
  <c r="M1958" i="34"/>
  <c r="N1958" i="34" a="1"/>
  <c r="N1958" i="34"/>
  <c r="O1958" i="34" a="1"/>
  <c r="O1958" i="34"/>
  <c r="P1958" i="34" a="1"/>
  <c r="P1958" i="34"/>
  <c r="Q1958" i="34" a="1"/>
  <c r="Q1958" i="34"/>
  <c r="I1960" i="34" a="1"/>
  <c r="I1960" i="34"/>
  <c r="I1961" i="34" a="1"/>
  <c r="I1961" i="34"/>
  <c r="I1959" i="34"/>
  <c r="J1960" i="34" a="1"/>
  <c r="J1960" i="34"/>
  <c r="J1961" i="34" a="1"/>
  <c r="J1961" i="34"/>
  <c r="J1959" i="34"/>
  <c r="K1960" i="34" a="1"/>
  <c r="K1960" i="34"/>
  <c r="K1961" i="34" a="1"/>
  <c r="K1961" i="34"/>
  <c r="K1959" i="34"/>
  <c r="L1960" i="34" a="1"/>
  <c r="L1960" i="34"/>
  <c r="L1961" i="34" a="1"/>
  <c r="L1961" i="34"/>
  <c r="L1959" i="34"/>
  <c r="M1960" i="34" a="1"/>
  <c r="M1960" i="34"/>
  <c r="M1961" i="34" a="1"/>
  <c r="M1961" i="34"/>
  <c r="M1959" i="34"/>
  <c r="N1960" i="34" a="1"/>
  <c r="N1960" i="34"/>
  <c r="N1961" i="34" a="1"/>
  <c r="N1961" i="34"/>
  <c r="N1959" i="34"/>
  <c r="O1960" i="34" a="1"/>
  <c r="O1960" i="34"/>
  <c r="O1961" i="34" a="1"/>
  <c r="O1961" i="34"/>
  <c r="O1959" i="34"/>
  <c r="P1960" i="34" a="1"/>
  <c r="P1960" i="34"/>
  <c r="P1961" i="34" a="1"/>
  <c r="P1961" i="34"/>
  <c r="P1959" i="34"/>
  <c r="Q1960" i="34" a="1"/>
  <c r="Q1960" i="34"/>
  <c r="Q1961" i="34" a="1"/>
  <c r="Q1961" i="34"/>
  <c r="Q1959" i="34"/>
  <c r="I1962" i="34" a="1"/>
  <c r="I1962" i="34"/>
  <c r="J1962" i="34" a="1"/>
  <c r="J1962" i="34"/>
  <c r="K1962" i="34" a="1"/>
  <c r="K1962" i="34"/>
  <c r="L1962" i="34" a="1"/>
  <c r="L1962" i="34"/>
  <c r="M1962" i="34" a="1"/>
  <c r="M1962" i="34"/>
  <c r="N1962" i="34" a="1"/>
  <c r="N1962" i="34"/>
  <c r="O1962" i="34" a="1"/>
  <c r="O1962" i="34"/>
  <c r="P1962" i="34" a="1"/>
  <c r="P1962" i="34"/>
  <c r="Q1962" i="34" a="1"/>
  <c r="Q1962" i="34"/>
  <c r="I1963" i="34" a="1"/>
  <c r="I1963" i="34"/>
  <c r="J1963" i="34" a="1"/>
  <c r="J1963" i="34"/>
  <c r="K1963" i="34" a="1"/>
  <c r="K1963" i="34"/>
  <c r="L1963" i="34" a="1"/>
  <c r="L1963" i="34"/>
  <c r="M1963" i="34" a="1"/>
  <c r="M1963" i="34"/>
  <c r="N1963" i="34" a="1"/>
  <c r="N1963" i="34"/>
  <c r="O1963" i="34" a="1"/>
  <c r="O1963" i="34"/>
  <c r="P1963" i="34" a="1"/>
  <c r="P1963" i="34"/>
  <c r="Q1963" i="34" a="1"/>
  <c r="Q1963" i="34"/>
  <c r="I1964" i="34" a="1"/>
  <c r="I1964" i="34"/>
  <c r="J1964" i="34" a="1"/>
  <c r="J1964" i="34"/>
  <c r="K1964" i="34" a="1"/>
  <c r="K1964" i="34"/>
  <c r="L1964" i="34" a="1"/>
  <c r="L1964" i="34"/>
  <c r="M1964" i="34" a="1"/>
  <c r="M1964" i="34"/>
  <c r="N1964" i="34" a="1"/>
  <c r="N1964" i="34"/>
  <c r="O1964" i="34" a="1"/>
  <c r="O1964" i="34"/>
  <c r="P1964" i="34" a="1"/>
  <c r="P1964" i="34"/>
  <c r="Q1964" i="34" a="1"/>
  <c r="Q1964" i="34"/>
  <c r="I1966" i="34" a="1"/>
  <c r="I1966" i="34"/>
  <c r="I1967" i="34" a="1"/>
  <c r="I1967" i="34"/>
  <c r="I1965" i="34"/>
  <c r="J1966" i="34" a="1"/>
  <c r="J1966" i="34"/>
  <c r="J1967" i="34" a="1"/>
  <c r="J1967" i="34"/>
  <c r="J1965" i="34"/>
  <c r="K1966" i="34" a="1"/>
  <c r="K1966" i="34"/>
  <c r="K1967" i="34" a="1"/>
  <c r="K1967" i="34"/>
  <c r="K1965" i="34"/>
  <c r="L1966" i="34" a="1"/>
  <c r="L1966" i="34"/>
  <c r="L1967" i="34" a="1"/>
  <c r="L1967" i="34"/>
  <c r="L1965" i="34"/>
  <c r="M1966" i="34" a="1"/>
  <c r="M1966" i="34"/>
  <c r="M1967" i="34" a="1"/>
  <c r="M1967" i="34"/>
  <c r="M1965" i="34"/>
  <c r="N1966" i="34" a="1"/>
  <c r="N1966" i="34"/>
  <c r="N1967" i="34" a="1"/>
  <c r="N1967" i="34"/>
  <c r="N1965" i="34"/>
  <c r="O1966" i="34" a="1"/>
  <c r="O1966" i="34"/>
  <c r="O1967" i="34" a="1"/>
  <c r="O1967" i="34"/>
  <c r="O1965" i="34"/>
  <c r="P1966" i="34" a="1"/>
  <c r="P1966" i="34"/>
  <c r="P1967" i="34" a="1"/>
  <c r="P1967" i="34"/>
  <c r="P1965" i="34"/>
  <c r="Q1966" i="34" a="1"/>
  <c r="Q1966" i="34"/>
  <c r="Q1967" i="34" a="1"/>
  <c r="Q1967" i="34"/>
  <c r="Q1965" i="34"/>
  <c r="I1968" i="34" a="1"/>
  <c r="I1968" i="34"/>
  <c r="J1968" i="34" a="1"/>
  <c r="J1968" i="34"/>
  <c r="K1968" i="34" a="1"/>
  <c r="K1968" i="34"/>
  <c r="L1968" i="34" a="1"/>
  <c r="L1968" i="34"/>
  <c r="M1968" i="34" a="1"/>
  <c r="M1968" i="34"/>
  <c r="N1968" i="34" a="1"/>
  <c r="N1968" i="34"/>
  <c r="O1968" i="34" a="1"/>
  <c r="O1968" i="34"/>
  <c r="P1968" i="34" a="1"/>
  <c r="P1968" i="34"/>
  <c r="Q1968" i="34" a="1"/>
  <c r="Q1968" i="34"/>
  <c r="I1969" i="34" a="1"/>
  <c r="I1969" i="34"/>
  <c r="J1969" i="34" a="1"/>
  <c r="J1969" i="34"/>
  <c r="K1969" i="34" a="1"/>
  <c r="K1969" i="34"/>
  <c r="L1969" i="34" a="1"/>
  <c r="L1969" i="34"/>
  <c r="M1969" i="34" a="1"/>
  <c r="M1969" i="34"/>
  <c r="N1969" i="34" a="1"/>
  <c r="N1969" i="34"/>
  <c r="O1969" i="34" a="1"/>
  <c r="O1969" i="34"/>
  <c r="P1969" i="34" a="1"/>
  <c r="P1969" i="34"/>
  <c r="Q1969" i="34" a="1"/>
  <c r="Q1969" i="34"/>
  <c r="I1970" i="34" a="1"/>
  <c r="I1970" i="34"/>
  <c r="J1970" i="34" a="1"/>
  <c r="J1970" i="34"/>
  <c r="K1970" i="34" a="1"/>
  <c r="K1970" i="34"/>
  <c r="L1970" i="34" a="1"/>
  <c r="L1970" i="34"/>
  <c r="M1970" i="34" a="1"/>
  <c r="M1970" i="34"/>
  <c r="N1970" i="34" a="1"/>
  <c r="N1970" i="34"/>
  <c r="O1970" i="34" a="1"/>
  <c r="O1970" i="34"/>
  <c r="P1970" i="34" a="1"/>
  <c r="P1970" i="34"/>
  <c r="Q1970" i="34" a="1"/>
  <c r="Q1970" i="34"/>
  <c r="I1972" i="34" a="1"/>
  <c r="I1972" i="34"/>
  <c r="I1973" i="34" a="1"/>
  <c r="I1973" i="34"/>
  <c r="I1971" i="34"/>
  <c r="J1972" i="34" a="1"/>
  <c r="J1972" i="34"/>
  <c r="J1973" i="34" a="1"/>
  <c r="J1973" i="34"/>
  <c r="J1971" i="34"/>
  <c r="K1972" i="34" a="1"/>
  <c r="K1972" i="34"/>
  <c r="K1973" i="34" a="1"/>
  <c r="K1973" i="34"/>
  <c r="K1971" i="34"/>
  <c r="L1972" i="34" a="1"/>
  <c r="L1972" i="34"/>
  <c r="L1973" i="34" a="1"/>
  <c r="L1973" i="34"/>
  <c r="L1971" i="34"/>
  <c r="M1972" i="34" a="1"/>
  <c r="M1972" i="34"/>
  <c r="M1973" i="34" a="1"/>
  <c r="M1973" i="34"/>
  <c r="M1971" i="34"/>
  <c r="N1972" i="34" a="1"/>
  <c r="N1972" i="34"/>
  <c r="N1973" i="34" a="1"/>
  <c r="N1973" i="34"/>
  <c r="N1971" i="34"/>
  <c r="O1972" i="34" a="1"/>
  <c r="O1972" i="34"/>
  <c r="O1973" i="34" a="1"/>
  <c r="O1973" i="34"/>
  <c r="O1971" i="34"/>
  <c r="P1972" i="34" a="1"/>
  <c r="P1972" i="34"/>
  <c r="P1973" i="34" a="1"/>
  <c r="P1973" i="34"/>
  <c r="P1971" i="34"/>
  <c r="Q1972" i="34" a="1"/>
  <c r="Q1972" i="34"/>
  <c r="Q1973" i="34" a="1"/>
  <c r="Q1973" i="34"/>
  <c r="Q1971" i="34"/>
  <c r="I1974" i="34" a="1"/>
  <c r="I1974" i="34"/>
  <c r="J1974" i="34" a="1"/>
  <c r="J1974" i="34"/>
  <c r="K1974" i="34" a="1"/>
  <c r="K1974" i="34"/>
  <c r="L1974" i="34" a="1"/>
  <c r="L1974" i="34"/>
  <c r="M1974" i="34" a="1"/>
  <c r="M1974" i="34"/>
  <c r="N1974" i="34" a="1"/>
  <c r="N1974" i="34"/>
  <c r="O1974" i="34" a="1"/>
  <c r="O1974" i="34"/>
  <c r="P1974" i="34" a="1"/>
  <c r="P1974" i="34"/>
  <c r="Q1974" i="34" a="1"/>
  <c r="Q1974" i="34"/>
  <c r="I1975" i="34" a="1"/>
  <c r="I1975" i="34"/>
  <c r="J1975" i="34" a="1"/>
  <c r="J1975" i="34"/>
  <c r="K1975" i="34" a="1"/>
  <c r="K1975" i="34"/>
  <c r="L1975" i="34" a="1"/>
  <c r="L1975" i="34"/>
  <c r="M1975" i="34" a="1"/>
  <c r="M1975" i="34"/>
  <c r="N1975" i="34" a="1"/>
  <c r="N1975" i="34"/>
  <c r="O1975" i="34" a="1"/>
  <c r="O1975" i="34"/>
  <c r="P1975" i="34" a="1"/>
  <c r="P1975" i="34"/>
  <c r="Q1975" i="34" a="1"/>
  <c r="Q1975" i="34"/>
  <c r="I1976" i="34" a="1"/>
  <c r="I1976" i="34"/>
  <c r="J1976" i="34" a="1"/>
  <c r="J1976" i="34"/>
  <c r="K1976" i="34" a="1"/>
  <c r="K1976" i="34"/>
  <c r="L1976" i="34" a="1"/>
  <c r="L1976" i="34"/>
  <c r="M1976" i="34" a="1"/>
  <c r="M1976" i="34"/>
  <c r="N1976" i="34" a="1"/>
  <c r="N1976" i="34"/>
  <c r="O1976" i="34" a="1"/>
  <c r="O1976" i="34"/>
  <c r="P1976" i="34" a="1"/>
  <c r="P1976" i="34"/>
  <c r="Q1976" i="34" a="1"/>
  <c r="Q1976" i="34"/>
  <c r="I1978" i="34" a="1"/>
  <c r="I1978" i="34"/>
  <c r="I1979" i="34" a="1"/>
  <c r="I1979" i="34"/>
  <c r="I1977" i="34"/>
  <c r="J1978" i="34" a="1"/>
  <c r="J1978" i="34"/>
  <c r="J1979" i="34" a="1"/>
  <c r="J1979" i="34"/>
  <c r="J1977" i="34"/>
  <c r="K1978" i="34" a="1"/>
  <c r="K1978" i="34"/>
  <c r="K1979" i="34" a="1"/>
  <c r="K1979" i="34"/>
  <c r="K1977" i="34"/>
  <c r="L1978" i="34" a="1"/>
  <c r="L1978" i="34"/>
  <c r="L1979" i="34" a="1"/>
  <c r="L1979" i="34"/>
  <c r="L1977" i="34"/>
  <c r="M1978" i="34" a="1"/>
  <c r="M1978" i="34"/>
  <c r="M1979" i="34" a="1"/>
  <c r="M1979" i="34"/>
  <c r="M1977" i="34"/>
  <c r="N1978" i="34" a="1"/>
  <c r="N1978" i="34"/>
  <c r="N1979" i="34" a="1"/>
  <c r="N1979" i="34"/>
  <c r="N1977" i="34"/>
  <c r="O1978" i="34" a="1"/>
  <c r="O1978" i="34"/>
  <c r="O1979" i="34" a="1"/>
  <c r="O1979" i="34"/>
  <c r="O1977" i="34"/>
  <c r="P1978" i="34" a="1"/>
  <c r="P1978" i="34"/>
  <c r="P1979" i="34" a="1"/>
  <c r="P1979" i="34"/>
  <c r="P1977" i="34"/>
  <c r="Q1978" i="34" a="1"/>
  <c r="Q1978" i="34"/>
  <c r="Q1979" i="34" a="1"/>
  <c r="Q1979" i="34"/>
  <c r="Q1977" i="34"/>
  <c r="I1980" i="34" a="1"/>
  <c r="I1980" i="34"/>
  <c r="J1980" i="34" a="1"/>
  <c r="J1980" i="34"/>
  <c r="K1980" i="34" a="1"/>
  <c r="K1980" i="34"/>
  <c r="L1980" i="34" a="1"/>
  <c r="L1980" i="34"/>
  <c r="M1980" i="34" a="1"/>
  <c r="M1980" i="34"/>
  <c r="N1980" i="34" a="1"/>
  <c r="N1980" i="34"/>
  <c r="O1980" i="34" a="1"/>
  <c r="O1980" i="34"/>
  <c r="P1980" i="34" a="1"/>
  <c r="P1980" i="34"/>
  <c r="Q1980" i="34" a="1"/>
  <c r="Q1980" i="34"/>
  <c r="I1981" i="34" a="1"/>
  <c r="I1981" i="34"/>
  <c r="J1981" i="34" a="1"/>
  <c r="J1981" i="34"/>
  <c r="K1981" i="34" a="1"/>
  <c r="K1981" i="34"/>
  <c r="L1981" i="34" a="1"/>
  <c r="L1981" i="34"/>
  <c r="M1981" i="34" a="1"/>
  <c r="M1981" i="34"/>
  <c r="N1981" i="34" a="1"/>
  <c r="N1981" i="34"/>
  <c r="O1981" i="34" a="1"/>
  <c r="O1981" i="34"/>
  <c r="P1981" i="34" a="1"/>
  <c r="P1981" i="34"/>
  <c r="Q1981" i="34" a="1"/>
  <c r="Q1981" i="34"/>
  <c r="I1982" i="34" a="1"/>
  <c r="I1982" i="34"/>
  <c r="J1982" i="34" a="1"/>
  <c r="J1982" i="34"/>
  <c r="K1982" i="34" a="1"/>
  <c r="K1982" i="34"/>
  <c r="L1982" i="34" a="1"/>
  <c r="L1982" i="34"/>
  <c r="M1982" i="34" a="1"/>
  <c r="M1982" i="34"/>
  <c r="N1982" i="34" a="1"/>
  <c r="N1982" i="34"/>
  <c r="O1982" i="34" a="1"/>
  <c r="O1982" i="34"/>
  <c r="P1982" i="34" a="1"/>
  <c r="P1982" i="34"/>
  <c r="Q1982" i="34" a="1"/>
  <c r="Q1982" i="34"/>
  <c r="I1984" i="34" a="1"/>
  <c r="I1984" i="34"/>
  <c r="I1985" i="34" a="1"/>
  <c r="I1985" i="34"/>
  <c r="I1983" i="34"/>
  <c r="J1984" i="34" a="1"/>
  <c r="J1984" i="34"/>
  <c r="J1985" i="34" a="1"/>
  <c r="J1985" i="34"/>
  <c r="J1983" i="34"/>
  <c r="K1984" i="34" a="1"/>
  <c r="K1984" i="34"/>
  <c r="K1985" i="34" a="1"/>
  <c r="K1985" i="34"/>
  <c r="K1983" i="34"/>
  <c r="L1984" i="34" a="1"/>
  <c r="L1984" i="34"/>
  <c r="L1985" i="34" a="1"/>
  <c r="L1985" i="34"/>
  <c r="L1983" i="34"/>
  <c r="M1984" i="34" a="1"/>
  <c r="M1984" i="34"/>
  <c r="M1985" i="34" a="1"/>
  <c r="M1985" i="34"/>
  <c r="M1983" i="34"/>
  <c r="N1984" i="34" a="1"/>
  <c r="N1984" i="34"/>
  <c r="N1985" i="34" a="1"/>
  <c r="N1985" i="34"/>
  <c r="N1983" i="34"/>
  <c r="O1984" i="34" a="1"/>
  <c r="O1984" i="34"/>
  <c r="O1985" i="34" a="1"/>
  <c r="O1985" i="34"/>
  <c r="O1983" i="34"/>
  <c r="P1984" i="34" a="1"/>
  <c r="P1984" i="34"/>
  <c r="P1985" i="34" a="1"/>
  <c r="P1985" i="34"/>
  <c r="P1983" i="34"/>
  <c r="Q1984" i="34" a="1"/>
  <c r="Q1984" i="34"/>
  <c r="Q1985" i="34" a="1"/>
  <c r="Q1985" i="34"/>
  <c r="Q1983" i="34"/>
  <c r="I1986" i="34" a="1"/>
  <c r="I1986" i="34"/>
  <c r="J1986" i="34" a="1"/>
  <c r="J1986" i="34"/>
  <c r="K1986" i="34" a="1"/>
  <c r="K1986" i="34"/>
  <c r="L1986" i="34" a="1"/>
  <c r="L1986" i="34"/>
  <c r="M1986" i="34" a="1"/>
  <c r="M1986" i="34"/>
  <c r="N1986" i="34" a="1"/>
  <c r="N1986" i="34"/>
  <c r="O1986" i="34" a="1"/>
  <c r="O1986" i="34"/>
  <c r="P1986" i="34" a="1"/>
  <c r="P1986" i="34"/>
  <c r="Q1986" i="34" a="1"/>
  <c r="Q1986" i="34"/>
  <c r="I1987" i="34" a="1"/>
  <c r="I1987" i="34"/>
  <c r="J1987" i="34" a="1"/>
  <c r="J1987" i="34"/>
  <c r="K1987" i="34" a="1"/>
  <c r="K1987" i="34"/>
  <c r="L1987" i="34" a="1"/>
  <c r="L1987" i="34"/>
  <c r="M1987" i="34" a="1"/>
  <c r="M1987" i="34"/>
  <c r="N1987" i="34" a="1"/>
  <c r="N1987" i="34"/>
  <c r="O1987" i="34" a="1"/>
  <c r="O1987" i="34"/>
  <c r="P1987" i="34" a="1"/>
  <c r="P1987" i="34"/>
  <c r="Q1987" i="34" a="1"/>
  <c r="Q1987" i="34"/>
  <c r="I1988" i="34" a="1"/>
  <c r="I1988" i="34"/>
  <c r="J1988" i="34" a="1"/>
  <c r="J1988" i="34"/>
  <c r="K1988" i="34" a="1"/>
  <c r="K1988" i="34"/>
  <c r="L1988" i="34" a="1"/>
  <c r="L1988" i="34"/>
  <c r="M1988" i="34" a="1"/>
  <c r="M1988" i="34"/>
  <c r="N1988" i="34" a="1"/>
  <c r="N1988" i="34"/>
  <c r="O1988" i="34" a="1"/>
  <c r="O1988" i="34"/>
  <c r="P1988" i="34" a="1"/>
  <c r="P1988" i="34"/>
  <c r="Q1988" i="34" a="1"/>
  <c r="Q1988" i="34"/>
  <c r="I1990" i="34" a="1"/>
  <c r="I1990" i="34"/>
  <c r="I1991" i="34" a="1"/>
  <c r="I1991" i="34"/>
  <c r="I1989" i="34"/>
  <c r="J1990" i="34" a="1"/>
  <c r="J1990" i="34"/>
  <c r="J1991" i="34" a="1"/>
  <c r="J1991" i="34"/>
  <c r="J1989" i="34"/>
  <c r="K1990" i="34" a="1"/>
  <c r="K1990" i="34"/>
  <c r="K1991" i="34" a="1"/>
  <c r="K1991" i="34"/>
  <c r="K1989" i="34"/>
  <c r="L1990" i="34" a="1"/>
  <c r="L1990" i="34"/>
  <c r="L1991" i="34" a="1"/>
  <c r="L1991" i="34"/>
  <c r="L1989" i="34"/>
  <c r="M1990" i="34" a="1"/>
  <c r="M1990" i="34"/>
  <c r="M1991" i="34" a="1"/>
  <c r="M1991" i="34"/>
  <c r="M1989" i="34"/>
  <c r="N1990" i="34" a="1"/>
  <c r="N1990" i="34"/>
  <c r="N1991" i="34" a="1"/>
  <c r="N1991" i="34"/>
  <c r="N1989" i="34"/>
  <c r="O1990" i="34" a="1"/>
  <c r="O1990" i="34"/>
  <c r="O1991" i="34" a="1"/>
  <c r="O1991" i="34"/>
  <c r="O1989" i="34"/>
  <c r="P1990" i="34" a="1"/>
  <c r="P1990" i="34"/>
  <c r="P1991" i="34" a="1"/>
  <c r="P1991" i="34"/>
  <c r="P1989" i="34"/>
  <c r="Q1990" i="34" a="1"/>
  <c r="Q1990" i="34"/>
  <c r="Q1991" i="34" a="1"/>
  <c r="Q1991" i="34"/>
  <c r="Q1989" i="34"/>
  <c r="I1992" i="34" a="1"/>
  <c r="I1992" i="34"/>
  <c r="J1992" i="34" a="1"/>
  <c r="J1992" i="34"/>
  <c r="K1992" i="34" a="1"/>
  <c r="K1992" i="34"/>
  <c r="L1992" i="34" a="1"/>
  <c r="L1992" i="34"/>
  <c r="M1992" i="34" a="1"/>
  <c r="M1992" i="34"/>
  <c r="N1992" i="34" a="1"/>
  <c r="N1992" i="34"/>
  <c r="O1992" i="34" a="1"/>
  <c r="O1992" i="34"/>
  <c r="P1992" i="34" a="1"/>
  <c r="P1992" i="34"/>
  <c r="Q1992" i="34" a="1"/>
  <c r="Q1992" i="34"/>
  <c r="I1993" i="34" a="1"/>
  <c r="I1993" i="34"/>
  <c r="J1993" i="34" a="1"/>
  <c r="J1993" i="34"/>
  <c r="K1993" i="34" a="1"/>
  <c r="K1993" i="34"/>
  <c r="L1993" i="34" a="1"/>
  <c r="L1993" i="34"/>
  <c r="M1993" i="34" a="1"/>
  <c r="M1993" i="34"/>
  <c r="N1993" i="34" a="1"/>
  <c r="N1993" i="34"/>
  <c r="O1993" i="34" a="1"/>
  <c r="O1993" i="34"/>
  <c r="P1993" i="34" a="1"/>
  <c r="P1993" i="34"/>
  <c r="Q1993" i="34" a="1"/>
  <c r="Q1993" i="34"/>
  <c r="I1994" i="34" a="1"/>
  <c r="I1994" i="34"/>
  <c r="J1994" i="34" a="1"/>
  <c r="J1994" i="34"/>
  <c r="K1994" i="34" a="1"/>
  <c r="K1994" i="34"/>
  <c r="L1994" i="34" a="1"/>
  <c r="L1994" i="34"/>
  <c r="M1994" i="34" a="1"/>
  <c r="M1994" i="34"/>
  <c r="N1994" i="34" a="1"/>
  <c r="N1994" i="34"/>
  <c r="O1994" i="34" a="1"/>
  <c r="O1994" i="34"/>
  <c r="P1994" i="34" a="1"/>
  <c r="P1994" i="34"/>
  <c r="Q1994" i="34" a="1"/>
  <c r="Q1994" i="34"/>
  <c r="I1996" i="34" a="1"/>
  <c r="I1996" i="34"/>
  <c r="I1997" i="34" a="1"/>
  <c r="I1997" i="34"/>
  <c r="I1995" i="34"/>
  <c r="J1996" i="34" a="1"/>
  <c r="J1996" i="34"/>
  <c r="J1997" i="34" a="1"/>
  <c r="J1997" i="34"/>
  <c r="J1995" i="34"/>
  <c r="K1996" i="34" a="1"/>
  <c r="K1996" i="34"/>
  <c r="K1997" i="34" a="1"/>
  <c r="K1997" i="34"/>
  <c r="K1995" i="34"/>
  <c r="L1996" i="34" a="1"/>
  <c r="L1996" i="34"/>
  <c r="L1997" i="34" a="1"/>
  <c r="L1997" i="34"/>
  <c r="L1995" i="34"/>
  <c r="M1996" i="34" a="1"/>
  <c r="M1996" i="34"/>
  <c r="M1997" i="34" a="1"/>
  <c r="M1997" i="34"/>
  <c r="M1995" i="34"/>
  <c r="N1996" i="34" a="1"/>
  <c r="N1996" i="34"/>
  <c r="N1997" i="34" a="1"/>
  <c r="N1997" i="34"/>
  <c r="N1995" i="34"/>
  <c r="O1996" i="34" a="1"/>
  <c r="O1996" i="34"/>
  <c r="O1997" i="34" a="1"/>
  <c r="O1997" i="34"/>
  <c r="O1995" i="34"/>
  <c r="P1996" i="34" a="1"/>
  <c r="P1996" i="34"/>
  <c r="P1997" i="34" a="1"/>
  <c r="P1997" i="34"/>
  <c r="P1995" i="34"/>
  <c r="Q1996" i="34" a="1"/>
  <c r="Q1996" i="34"/>
  <c r="Q1997" i="34" a="1"/>
  <c r="Q1997" i="34"/>
  <c r="Q1995" i="34"/>
  <c r="I1998" i="34" a="1"/>
  <c r="I1998" i="34"/>
  <c r="J1998" i="34" a="1"/>
  <c r="J1998" i="34"/>
  <c r="K1998" i="34" a="1"/>
  <c r="K1998" i="34"/>
  <c r="L1998" i="34" a="1"/>
  <c r="L1998" i="34"/>
  <c r="M1998" i="34" a="1"/>
  <c r="M1998" i="34"/>
  <c r="N1998" i="34" a="1"/>
  <c r="N1998" i="34"/>
  <c r="O1998" i="34" a="1"/>
  <c r="O1998" i="34"/>
  <c r="P1998" i="34" a="1"/>
  <c r="P1998" i="34"/>
  <c r="Q1998" i="34" a="1"/>
  <c r="Q1998" i="34"/>
  <c r="I1999" i="34" a="1"/>
  <c r="I1999" i="34"/>
  <c r="J1999" i="34" a="1"/>
  <c r="J1999" i="34"/>
  <c r="K1999" i="34" a="1"/>
  <c r="K1999" i="34"/>
  <c r="L1999" i="34" a="1"/>
  <c r="L1999" i="34"/>
  <c r="M1999" i="34" a="1"/>
  <c r="M1999" i="34"/>
  <c r="N1999" i="34" a="1"/>
  <c r="N1999" i="34"/>
  <c r="O1999" i="34" a="1"/>
  <c r="O1999" i="34"/>
  <c r="P1999" i="34" a="1"/>
  <c r="P1999" i="34"/>
  <c r="Q1999" i="34" a="1"/>
  <c r="Q1999" i="34"/>
  <c r="I2000" i="34" a="1"/>
  <c r="I2000" i="34"/>
  <c r="J2000" i="34" a="1"/>
  <c r="J2000" i="34"/>
  <c r="K2000" i="34" a="1"/>
  <c r="K2000" i="34"/>
  <c r="L2000" i="34" a="1"/>
  <c r="L2000" i="34"/>
  <c r="M2000" i="34" a="1"/>
  <c r="M2000" i="34"/>
  <c r="N2000" i="34" a="1"/>
  <c r="N2000" i="34"/>
  <c r="O2000" i="34" a="1"/>
  <c r="O2000" i="34"/>
  <c r="P2000" i="34" a="1"/>
  <c r="P2000" i="34"/>
  <c r="Q2000" i="34" a="1"/>
  <c r="Q2000" i="34"/>
  <c r="I2002" i="34" a="1"/>
  <c r="I2002" i="34"/>
  <c r="I2003" i="34" a="1"/>
  <c r="I2003" i="34"/>
  <c r="I2001" i="34"/>
  <c r="J2002" i="34" a="1"/>
  <c r="J2002" i="34"/>
  <c r="J2003" i="34" a="1"/>
  <c r="J2003" i="34"/>
  <c r="J2001" i="34"/>
  <c r="K2002" i="34" a="1"/>
  <c r="K2002" i="34"/>
  <c r="K2003" i="34" a="1"/>
  <c r="K2003" i="34"/>
  <c r="K2001" i="34"/>
  <c r="L2002" i="34" a="1"/>
  <c r="L2002" i="34"/>
  <c r="L2003" i="34" a="1"/>
  <c r="L2003" i="34"/>
  <c r="L2001" i="34"/>
  <c r="M2002" i="34" a="1"/>
  <c r="M2002" i="34"/>
  <c r="M2003" i="34" a="1"/>
  <c r="M2003" i="34"/>
  <c r="M2001" i="34"/>
  <c r="N2002" i="34" a="1"/>
  <c r="N2002" i="34"/>
  <c r="N2003" i="34" a="1"/>
  <c r="N2003" i="34"/>
  <c r="N2001" i="34"/>
  <c r="O2002" i="34" a="1"/>
  <c r="O2002" i="34"/>
  <c r="O2003" i="34" a="1"/>
  <c r="O2003" i="34"/>
  <c r="O2001" i="34"/>
  <c r="P2002" i="34" a="1"/>
  <c r="P2002" i="34"/>
  <c r="P2003" i="34" a="1"/>
  <c r="P2003" i="34"/>
  <c r="P2001" i="34"/>
  <c r="Q2002" i="34" a="1"/>
  <c r="Q2002" i="34"/>
  <c r="Q2003" i="34" a="1"/>
  <c r="Q2003" i="34"/>
  <c r="Q2001" i="34"/>
  <c r="I2004" i="34" a="1"/>
  <c r="I2004" i="34"/>
  <c r="J2004" i="34" a="1"/>
  <c r="J2004" i="34"/>
  <c r="K2004" i="34" a="1"/>
  <c r="K2004" i="34"/>
  <c r="L2004" i="34" a="1"/>
  <c r="L2004" i="34"/>
  <c r="M2004" i="34" a="1"/>
  <c r="M2004" i="34"/>
  <c r="N2004" i="34" a="1"/>
  <c r="N2004" i="34"/>
  <c r="O2004" i="34" a="1"/>
  <c r="O2004" i="34"/>
  <c r="P2004" i="34" a="1"/>
  <c r="P2004" i="34"/>
  <c r="Q2004" i="34" a="1"/>
  <c r="Q2004" i="34"/>
  <c r="I2005" i="34" a="1"/>
  <c r="I2005" i="34"/>
  <c r="J2005" i="34" a="1"/>
  <c r="J2005" i="34"/>
  <c r="K2005" i="34" a="1"/>
  <c r="K2005" i="34"/>
  <c r="L2005" i="34" a="1"/>
  <c r="L2005" i="34"/>
  <c r="M2005" i="34" a="1"/>
  <c r="M2005" i="34"/>
  <c r="N2005" i="34" a="1"/>
  <c r="N2005" i="34"/>
  <c r="O2005" i="34" a="1"/>
  <c r="O2005" i="34"/>
  <c r="P2005" i="34" a="1"/>
  <c r="P2005" i="34"/>
  <c r="Q2005" i="34" a="1"/>
  <c r="Q2005" i="34"/>
  <c r="I2006" i="34" a="1"/>
  <c r="I2006" i="34"/>
  <c r="J2006" i="34" a="1"/>
  <c r="J2006" i="34"/>
  <c r="K2006" i="34" a="1"/>
  <c r="K2006" i="34"/>
  <c r="L2006" i="34" a="1"/>
  <c r="L2006" i="34"/>
  <c r="M2006" i="34" a="1"/>
  <c r="M2006" i="34"/>
  <c r="N2006" i="34" a="1"/>
  <c r="N2006" i="34"/>
  <c r="O2006" i="34" a="1"/>
  <c r="O2006" i="34"/>
  <c r="P2006" i="34" a="1"/>
  <c r="P2006" i="34"/>
  <c r="Q2006" i="34" a="1"/>
  <c r="Q2006" i="34"/>
  <c r="I2008" i="34" a="1"/>
  <c r="I2008" i="34"/>
  <c r="I2009" i="34" a="1"/>
  <c r="I2009" i="34"/>
  <c r="I2007" i="34"/>
  <c r="J2008" i="34" a="1"/>
  <c r="J2008" i="34"/>
  <c r="J2009" i="34" a="1"/>
  <c r="J2009" i="34"/>
  <c r="J2007" i="34"/>
  <c r="K2008" i="34" a="1"/>
  <c r="K2008" i="34"/>
  <c r="K2009" i="34" a="1"/>
  <c r="K2009" i="34"/>
  <c r="K2007" i="34"/>
  <c r="L2008" i="34" a="1"/>
  <c r="L2008" i="34"/>
  <c r="L2009" i="34" a="1"/>
  <c r="L2009" i="34"/>
  <c r="L2007" i="34"/>
  <c r="M2008" i="34" a="1"/>
  <c r="M2008" i="34"/>
  <c r="M2009" i="34" a="1"/>
  <c r="M2009" i="34"/>
  <c r="M2007" i="34"/>
  <c r="N2008" i="34" a="1"/>
  <c r="N2008" i="34"/>
  <c r="N2009" i="34" a="1"/>
  <c r="N2009" i="34"/>
  <c r="N2007" i="34"/>
  <c r="O2008" i="34" a="1"/>
  <c r="O2008" i="34"/>
  <c r="O2009" i="34" a="1"/>
  <c r="O2009" i="34"/>
  <c r="O2007" i="34"/>
  <c r="P2008" i="34" a="1"/>
  <c r="P2008" i="34"/>
  <c r="P2009" i="34" a="1"/>
  <c r="P2009" i="34"/>
  <c r="P2007" i="34"/>
  <c r="Q2008" i="34" a="1"/>
  <c r="Q2008" i="34"/>
  <c r="Q2009" i="34" a="1"/>
  <c r="Q2009" i="34"/>
  <c r="Q2007" i="34"/>
  <c r="I2010" i="34" a="1"/>
  <c r="I2010" i="34"/>
  <c r="J2010" i="34" a="1"/>
  <c r="J2010" i="34"/>
  <c r="K2010" i="34" a="1"/>
  <c r="K2010" i="34"/>
  <c r="L2010" i="34" a="1"/>
  <c r="L2010" i="34"/>
  <c r="M2010" i="34" a="1"/>
  <c r="M2010" i="34"/>
  <c r="N2010" i="34" a="1"/>
  <c r="N2010" i="34"/>
  <c r="O2010" i="34" a="1"/>
  <c r="O2010" i="34"/>
  <c r="P2010" i="34" a="1"/>
  <c r="P2010" i="34"/>
  <c r="Q2010" i="34" a="1"/>
  <c r="Q2010" i="34"/>
  <c r="I2011" i="34" a="1"/>
  <c r="I2011" i="34"/>
  <c r="J2011" i="34" a="1"/>
  <c r="J2011" i="34"/>
  <c r="K2011" i="34" a="1"/>
  <c r="K2011" i="34"/>
  <c r="L2011" i="34" a="1"/>
  <c r="L2011" i="34"/>
  <c r="M2011" i="34" a="1"/>
  <c r="M2011" i="34"/>
  <c r="N2011" i="34" a="1"/>
  <c r="N2011" i="34"/>
  <c r="O2011" i="34" a="1"/>
  <c r="O2011" i="34"/>
  <c r="P2011" i="34" a="1"/>
  <c r="P2011" i="34"/>
  <c r="Q2011" i="34" a="1"/>
  <c r="Q2011" i="34"/>
  <c r="I2012" i="34" a="1"/>
  <c r="I2012" i="34"/>
  <c r="J2012" i="34" a="1"/>
  <c r="J2012" i="34"/>
  <c r="K2012" i="34" a="1"/>
  <c r="K2012" i="34"/>
  <c r="L2012" i="34" a="1"/>
  <c r="L2012" i="34"/>
  <c r="M2012" i="34" a="1"/>
  <c r="M2012" i="34"/>
  <c r="N2012" i="34" a="1"/>
  <c r="N2012" i="34"/>
  <c r="O2012" i="34" a="1"/>
  <c r="O2012" i="34"/>
  <c r="P2012" i="34" a="1"/>
  <c r="P2012" i="34"/>
  <c r="Q2012" i="34" a="1"/>
  <c r="Q2012" i="34"/>
  <c r="I2014" i="34" a="1"/>
  <c r="I2014" i="34"/>
  <c r="I2015" i="34" a="1"/>
  <c r="I2015" i="34"/>
  <c r="I2013" i="34"/>
  <c r="J2014" i="34" a="1"/>
  <c r="J2014" i="34"/>
  <c r="J2015" i="34" a="1"/>
  <c r="J2015" i="34"/>
  <c r="J2013" i="34"/>
  <c r="K2014" i="34" a="1"/>
  <c r="K2014" i="34"/>
  <c r="K2015" i="34" a="1"/>
  <c r="K2015" i="34"/>
  <c r="K2013" i="34"/>
  <c r="L2014" i="34" a="1"/>
  <c r="L2014" i="34"/>
  <c r="L2015" i="34" a="1"/>
  <c r="L2015" i="34"/>
  <c r="L2013" i="34"/>
  <c r="M2014" i="34" a="1"/>
  <c r="M2014" i="34"/>
  <c r="M2015" i="34" a="1"/>
  <c r="M2015" i="34"/>
  <c r="M2013" i="34"/>
  <c r="N2014" i="34" a="1"/>
  <c r="N2014" i="34"/>
  <c r="N2015" i="34" a="1"/>
  <c r="N2015" i="34"/>
  <c r="N2013" i="34"/>
  <c r="O2014" i="34" a="1"/>
  <c r="O2014" i="34"/>
  <c r="O2015" i="34" a="1"/>
  <c r="O2015" i="34"/>
  <c r="O2013" i="34"/>
  <c r="P2014" i="34" a="1"/>
  <c r="P2014" i="34"/>
  <c r="P2015" i="34" a="1"/>
  <c r="P2015" i="34"/>
  <c r="P2013" i="34"/>
  <c r="Q2014" i="34" a="1"/>
  <c r="Q2014" i="34"/>
  <c r="Q2015" i="34" a="1"/>
  <c r="Q2015" i="34"/>
  <c r="Q2013" i="34"/>
  <c r="I2016" i="34" a="1"/>
  <c r="I2016" i="34"/>
  <c r="J2016" i="34" a="1"/>
  <c r="J2016" i="34"/>
  <c r="K2016" i="34" a="1"/>
  <c r="K2016" i="34"/>
  <c r="L2016" i="34" a="1"/>
  <c r="L2016" i="34"/>
  <c r="M2016" i="34" a="1"/>
  <c r="M2016" i="34"/>
  <c r="N2016" i="34" a="1"/>
  <c r="N2016" i="34"/>
  <c r="O2016" i="34" a="1"/>
  <c r="O2016" i="34"/>
  <c r="P2016" i="34" a="1"/>
  <c r="P2016" i="34"/>
  <c r="Q2016" i="34" a="1"/>
  <c r="Q2016" i="34"/>
  <c r="I2017" i="34" a="1"/>
  <c r="I2017" i="34"/>
  <c r="J2017" i="34" a="1"/>
  <c r="J2017" i="34"/>
  <c r="K2017" i="34" a="1"/>
  <c r="K2017" i="34"/>
  <c r="L2017" i="34" a="1"/>
  <c r="L2017" i="34"/>
  <c r="M2017" i="34" a="1"/>
  <c r="M2017" i="34"/>
  <c r="N2017" i="34" a="1"/>
  <c r="N2017" i="34"/>
  <c r="O2017" i="34" a="1"/>
  <c r="O2017" i="34"/>
  <c r="P2017" i="34" a="1"/>
  <c r="P2017" i="34"/>
  <c r="Q2017" i="34" a="1"/>
  <c r="Q2017" i="34"/>
  <c r="I2018" i="34" a="1"/>
  <c r="I2018" i="34"/>
  <c r="J2018" i="34" a="1"/>
  <c r="J2018" i="34"/>
  <c r="K2018" i="34" a="1"/>
  <c r="K2018" i="34"/>
  <c r="L2018" i="34" a="1"/>
  <c r="L2018" i="34"/>
  <c r="M2018" i="34" a="1"/>
  <c r="M2018" i="34"/>
  <c r="N2018" i="34" a="1"/>
  <c r="N2018" i="34"/>
  <c r="O2018" i="34" a="1"/>
  <c r="O2018" i="34"/>
  <c r="P2018" i="34" a="1"/>
  <c r="P2018" i="34"/>
  <c r="Q2018" i="34" a="1"/>
  <c r="Q2018" i="34"/>
  <c r="I2020" i="34" a="1"/>
  <c r="I2020" i="34"/>
  <c r="I2021" i="34" a="1"/>
  <c r="I2021" i="34"/>
  <c r="I2019" i="34"/>
  <c r="J2020" i="34" a="1"/>
  <c r="J2020" i="34"/>
  <c r="J2021" i="34" a="1"/>
  <c r="J2021" i="34"/>
  <c r="J2019" i="34"/>
  <c r="K2020" i="34" a="1"/>
  <c r="K2020" i="34"/>
  <c r="K2021" i="34" a="1"/>
  <c r="K2021" i="34"/>
  <c r="K2019" i="34"/>
  <c r="L2020" i="34" a="1"/>
  <c r="L2020" i="34"/>
  <c r="L2021" i="34" a="1"/>
  <c r="L2021" i="34"/>
  <c r="L2019" i="34"/>
  <c r="M2020" i="34" a="1"/>
  <c r="M2020" i="34"/>
  <c r="M2021" i="34" a="1"/>
  <c r="M2021" i="34"/>
  <c r="M2019" i="34"/>
  <c r="N2020" i="34" a="1"/>
  <c r="N2020" i="34"/>
  <c r="N2021" i="34" a="1"/>
  <c r="N2021" i="34"/>
  <c r="N2019" i="34"/>
  <c r="O2020" i="34" a="1"/>
  <c r="O2020" i="34"/>
  <c r="O2021" i="34" a="1"/>
  <c r="O2021" i="34"/>
  <c r="O2019" i="34"/>
  <c r="P2020" i="34" a="1"/>
  <c r="P2020" i="34"/>
  <c r="P2021" i="34" a="1"/>
  <c r="P2021" i="34"/>
  <c r="P2019" i="34"/>
  <c r="Q2020" i="34" a="1"/>
  <c r="Q2020" i="34"/>
  <c r="Q2021" i="34" a="1"/>
  <c r="Q2021" i="34"/>
  <c r="Q2019" i="34"/>
  <c r="I2022" i="34" a="1"/>
  <c r="I2022" i="34"/>
  <c r="J2022" i="34" a="1"/>
  <c r="J2022" i="34"/>
  <c r="K2022" i="34" a="1"/>
  <c r="K2022" i="34"/>
  <c r="L2022" i="34" a="1"/>
  <c r="L2022" i="34"/>
  <c r="M2022" i="34" a="1"/>
  <c r="M2022" i="34"/>
  <c r="N2022" i="34" a="1"/>
  <c r="N2022" i="34"/>
  <c r="O2022" i="34" a="1"/>
  <c r="O2022" i="34"/>
  <c r="P2022" i="34" a="1"/>
  <c r="P2022" i="34"/>
  <c r="Q2022" i="34" a="1"/>
  <c r="Q2022" i="34"/>
  <c r="I2023" i="34" a="1"/>
  <c r="I2023" i="34"/>
  <c r="J2023" i="34" a="1"/>
  <c r="J2023" i="34"/>
  <c r="K2023" i="34" a="1"/>
  <c r="K2023" i="34"/>
  <c r="L2023" i="34" a="1"/>
  <c r="L2023" i="34"/>
  <c r="M2023" i="34" a="1"/>
  <c r="M2023" i="34"/>
  <c r="N2023" i="34" a="1"/>
  <c r="N2023" i="34"/>
  <c r="O2023" i="34" a="1"/>
  <c r="O2023" i="34"/>
  <c r="P2023" i="34" a="1"/>
  <c r="P2023" i="34"/>
  <c r="Q2023" i="34" a="1"/>
  <c r="Q2023" i="34"/>
  <c r="I2024" i="34" a="1"/>
  <c r="I2024" i="34"/>
  <c r="J2024" i="34" a="1"/>
  <c r="J2024" i="34"/>
  <c r="K2024" i="34" a="1"/>
  <c r="K2024" i="34"/>
  <c r="L2024" i="34" a="1"/>
  <c r="L2024" i="34"/>
  <c r="M2024" i="34" a="1"/>
  <c r="M2024" i="34"/>
  <c r="N2024" i="34" a="1"/>
  <c r="N2024" i="34"/>
  <c r="O2024" i="34" a="1"/>
  <c r="O2024" i="34"/>
  <c r="P2024" i="34" a="1"/>
  <c r="P2024" i="34"/>
  <c r="Q2024" i="34" a="1"/>
  <c r="Q2024" i="34"/>
  <c r="I2026" i="34" a="1"/>
  <c r="I2026" i="34"/>
  <c r="I2027" i="34" a="1"/>
  <c r="I2027" i="34"/>
  <c r="I2025" i="34"/>
  <c r="J2026" i="34" a="1"/>
  <c r="J2026" i="34"/>
  <c r="J2027" i="34" a="1"/>
  <c r="J2027" i="34"/>
  <c r="J2025" i="34"/>
  <c r="K2026" i="34" a="1"/>
  <c r="K2026" i="34"/>
  <c r="K2027" i="34" a="1"/>
  <c r="K2027" i="34"/>
  <c r="K2025" i="34"/>
  <c r="L2026" i="34" a="1"/>
  <c r="L2026" i="34"/>
  <c r="L2027" i="34" a="1"/>
  <c r="L2027" i="34"/>
  <c r="L2025" i="34"/>
  <c r="M2026" i="34" a="1"/>
  <c r="M2026" i="34"/>
  <c r="M2027" i="34" a="1"/>
  <c r="M2027" i="34"/>
  <c r="M2025" i="34"/>
  <c r="N2026" i="34" a="1"/>
  <c r="N2026" i="34"/>
  <c r="N2027" i="34" a="1"/>
  <c r="N2027" i="34"/>
  <c r="N2025" i="34"/>
  <c r="O2026" i="34" a="1"/>
  <c r="O2026" i="34"/>
  <c r="O2027" i="34" a="1"/>
  <c r="O2027" i="34"/>
  <c r="O2025" i="34"/>
  <c r="P2026" i="34" a="1"/>
  <c r="P2026" i="34"/>
  <c r="P2027" i="34" a="1"/>
  <c r="P2027" i="34"/>
  <c r="P2025" i="34"/>
  <c r="Q2026" i="34" a="1"/>
  <c r="Q2026" i="34"/>
  <c r="Q2027" i="34" a="1"/>
  <c r="Q2027" i="34"/>
  <c r="Q2025" i="34"/>
  <c r="I2028" i="34" a="1"/>
  <c r="I2028" i="34"/>
  <c r="J2028" i="34" a="1"/>
  <c r="J2028" i="34"/>
  <c r="K2028" i="34" a="1"/>
  <c r="K2028" i="34"/>
  <c r="L2028" i="34" a="1"/>
  <c r="L2028" i="34"/>
  <c r="M2028" i="34" a="1"/>
  <c r="M2028" i="34"/>
  <c r="N2028" i="34" a="1"/>
  <c r="N2028" i="34"/>
  <c r="O2028" i="34" a="1"/>
  <c r="O2028" i="34"/>
  <c r="P2028" i="34" a="1"/>
  <c r="P2028" i="34"/>
  <c r="Q2028" i="34" a="1"/>
  <c r="Q2028" i="34"/>
  <c r="I2029" i="34" a="1"/>
  <c r="I2029" i="34"/>
  <c r="J2029" i="34" a="1"/>
  <c r="J2029" i="34"/>
  <c r="K2029" i="34" a="1"/>
  <c r="K2029" i="34"/>
  <c r="L2029" i="34" a="1"/>
  <c r="L2029" i="34"/>
  <c r="M2029" i="34" a="1"/>
  <c r="M2029" i="34"/>
  <c r="N2029" i="34" a="1"/>
  <c r="N2029" i="34"/>
  <c r="O2029" i="34" a="1"/>
  <c r="O2029" i="34"/>
  <c r="P2029" i="34" a="1"/>
  <c r="P2029" i="34"/>
  <c r="Q2029" i="34" a="1"/>
  <c r="Q2029" i="34"/>
  <c r="I2030" i="34" a="1"/>
  <c r="I2030" i="34"/>
  <c r="J2030" i="34" a="1"/>
  <c r="J2030" i="34"/>
  <c r="K2030" i="34" a="1"/>
  <c r="K2030" i="34"/>
  <c r="L2030" i="34" a="1"/>
  <c r="L2030" i="34"/>
  <c r="M2030" i="34" a="1"/>
  <c r="M2030" i="34"/>
  <c r="N2030" i="34" a="1"/>
  <c r="N2030" i="34"/>
  <c r="O2030" i="34" a="1"/>
  <c r="O2030" i="34"/>
  <c r="P2030" i="34" a="1"/>
  <c r="P2030" i="34"/>
  <c r="Q2030" i="34" a="1"/>
  <c r="Q2030" i="34"/>
  <c r="I2032" i="34" a="1"/>
  <c r="I2032" i="34"/>
  <c r="I2033" i="34" a="1"/>
  <c r="I2033" i="34"/>
  <c r="I2031" i="34"/>
  <c r="J2032" i="34" a="1"/>
  <c r="J2032" i="34"/>
  <c r="J2033" i="34" a="1"/>
  <c r="J2033" i="34"/>
  <c r="J2031" i="34"/>
  <c r="K2032" i="34" a="1"/>
  <c r="K2032" i="34"/>
  <c r="K2033" i="34" a="1"/>
  <c r="K2033" i="34"/>
  <c r="K2031" i="34"/>
  <c r="L2032" i="34" a="1"/>
  <c r="L2032" i="34"/>
  <c r="L2033" i="34" a="1"/>
  <c r="L2033" i="34"/>
  <c r="L2031" i="34"/>
  <c r="M2032" i="34" a="1"/>
  <c r="M2032" i="34"/>
  <c r="M2033" i="34" a="1"/>
  <c r="M2033" i="34"/>
  <c r="M2031" i="34"/>
  <c r="N2032" i="34" a="1"/>
  <c r="N2032" i="34"/>
  <c r="N2033" i="34" a="1"/>
  <c r="N2033" i="34"/>
  <c r="N2031" i="34"/>
  <c r="O2032" i="34" a="1"/>
  <c r="O2032" i="34"/>
  <c r="O2033" i="34" a="1"/>
  <c r="O2033" i="34"/>
  <c r="O2031" i="34"/>
  <c r="P2032" i="34" a="1"/>
  <c r="P2032" i="34"/>
  <c r="P2033" i="34" a="1"/>
  <c r="P2033" i="34"/>
  <c r="P2031" i="34"/>
  <c r="Q2032" i="34" a="1"/>
  <c r="Q2032" i="34"/>
  <c r="Q2033" i="34" a="1"/>
  <c r="Q2033" i="34"/>
  <c r="Q2031" i="34"/>
  <c r="I2034" i="34"/>
  <c r="J2034" i="34"/>
  <c r="K2034" i="34"/>
  <c r="L2034" i="34"/>
  <c r="M2034" i="34"/>
  <c r="N2034" i="34"/>
  <c r="O2034" i="34"/>
  <c r="P2034" i="34"/>
  <c r="Q2034" i="34"/>
  <c r="I2070" i="34" a="1"/>
  <c r="I2070" i="34"/>
  <c r="J2070" i="34" a="1"/>
  <c r="J2070" i="34"/>
  <c r="K2070" i="34" a="1"/>
  <c r="K2070" i="34"/>
  <c r="L2070" i="34" a="1"/>
  <c r="L2070" i="34"/>
  <c r="M2070" i="34" a="1"/>
  <c r="M2070" i="34"/>
  <c r="N2070" i="34" a="1"/>
  <c r="N2070" i="34"/>
  <c r="O2070" i="34" a="1"/>
  <c r="O2070" i="34"/>
  <c r="P2070" i="34" a="1"/>
  <c r="P2070" i="34"/>
  <c r="Q2070" i="34" a="1"/>
  <c r="Q2070" i="34"/>
  <c r="I2071" i="34" a="1"/>
  <c r="I2071" i="34"/>
  <c r="J2071" i="34" a="1"/>
  <c r="J2071" i="34"/>
  <c r="K2071" i="34" a="1"/>
  <c r="K2071" i="34"/>
  <c r="L2071" i="34" a="1"/>
  <c r="L2071" i="34"/>
  <c r="M2071" i="34" a="1"/>
  <c r="M2071" i="34"/>
  <c r="N2071" i="34" a="1"/>
  <c r="N2071" i="34"/>
  <c r="O2071" i="34" a="1"/>
  <c r="O2071" i="34"/>
  <c r="P2071" i="34" a="1"/>
  <c r="P2071" i="34"/>
  <c r="Q2071" i="34" a="1"/>
  <c r="Q2071" i="34"/>
  <c r="I2072" i="34" a="1"/>
  <c r="I2072" i="34"/>
  <c r="J2072" i="34" a="1"/>
  <c r="J2072" i="34"/>
  <c r="K2072" i="34" a="1"/>
  <c r="K2072" i="34"/>
  <c r="L2072" i="34" a="1"/>
  <c r="L2072" i="34"/>
  <c r="M2072" i="34" a="1"/>
  <c r="M2072" i="34"/>
  <c r="N2072" i="34" a="1"/>
  <c r="N2072" i="34"/>
  <c r="O2072" i="34" a="1"/>
  <c r="O2072" i="34"/>
  <c r="P2072" i="34" a="1"/>
  <c r="P2072" i="34"/>
  <c r="Q2072" i="34" a="1"/>
  <c r="Q2072" i="34"/>
  <c r="I2073" i="34" a="1"/>
  <c r="I2073" i="34"/>
  <c r="J2073" i="34" a="1"/>
  <c r="J2073" i="34"/>
  <c r="K2073" i="34" a="1"/>
  <c r="K2073" i="34"/>
  <c r="L2073" i="34" a="1"/>
  <c r="L2073" i="34"/>
  <c r="M2073" i="34" a="1"/>
  <c r="M2073" i="34"/>
  <c r="N2073" i="34" a="1"/>
  <c r="N2073" i="34"/>
  <c r="O2073" i="34" a="1"/>
  <c r="O2073" i="34"/>
  <c r="P2073" i="34" a="1"/>
  <c r="P2073" i="34"/>
  <c r="Q2073" i="34" a="1"/>
  <c r="Q2073" i="34"/>
  <c r="I2074" i="34" a="1"/>
  <c r="I2074" i="34"/>
  <c r="J2074" i="34" a="1"/>
  <c r="J2074" i="34"/>
  <c r="K2074" i="34" a="1"/>
  <c r="K2074" i="34"/>
  <c r="L2074" i="34" a="1"/>
  <c r="L2074" i="34"/>
  <c r="M2074" i="34" a="1"/>
  <c r="M2074" i="34"/>
  <c r="N2074" i="34" a="1"/>
  <c r="N2074" i="34"/>
  <c r="O2074" i="34" a="1"/>
  <c r="O2074" i="34"/>
  <c r="P2074" i="34" a="1"/>
  <c r="P2074" i="34"/>
  <c r="Q2074" i="34" a="1"/>
  <c r="Q2074" i="34"/>
  <c r="I2075" i="34" a="1"/>
  <c r="I2075" i="34"/>
  <c r="J2075" i="34" a="1"/>
  <c r="J2075" i="34"/>
  <c r="K2075" i="34" a="1"/>
  <c r="K2075" i="34"/>
  <c r="L2075" i="34" a="1"/>
  <c r="L2075" i="34"/>
  <c r="M2075" i="34" a="1"/>
  <c r="M2075" i="34"/>
  <c r="N2075" i="34" a="1"/>
  <c r="N2075" i="34"/>
  <c r="O2075" i="34" a="1"/>
  <c r="O2075" i="34"/>
  <c r="P2075" i="34" a="1"/>
  <c r="P2075" i="34"/>
  <c r="Q2075" i="34" a="1"/>
  <c r="Q2075" i="34"/>
  <c r="I2076" i="34" a="1"/>
  <c r="I2076" i="34"/>
  <c r="J2076" i="34" a="1"/>
  <c r="J2076" i="34"/>
  <c r="K2076" i="34" a="1"/>
  <c r="K2076" i="34"/>
  <c r="L2076" i="34" a="1"/>
  <c r="L2076" i="34"/>
  <c r="M2076" i="34" a="1"/>
  <c r="M2076" i="34"/>
  <c r="N2076" i="34" a="1"/>
  <c r="N2076" i="34"/>
  <c r="O2076" i="34" a="1"/>
  <c r="O2076" i="34"/>
  <c r="P2076" i="34" a="1"/>
  <c r="P2076" i="34"/>
  <c r="Q2076" i="34" a="1"/>
  <c r="Q2076" i="34"/>
  <c r="I2077" i="34" a="1"/>
  <c r="I2077" i="34"/>
  <c r="J2077" i="34" a="1"/>
  <c r="J2077" i="34"/>
  <c r="K2077" i="34" a="1"/>
  <c r="K2077" i="34"/>
  <c r="L2077" i="34" a="1"/>
  <c r="L2077" i="34"/>
  <c r="M2077" i="34" a="1"/>
  <c r="M2077" i="34"/>
  <c r="N2077" i="34" a="1"/>
  <c r="N2077" i="34"/>
  <c r="O2077" i="34" a="1"/>
  <c r="O2077" i="34"/>
  <c r="P2077" i="34" a="1"/>
  <c r="P2077" i="34"/>
  <c r="Q2077" i="34" a="1"/>
  <c r="Q2077" i="34"/>
  <c r="I2078" i="34" a="1"/>
  <c r="I2078" i="34"/>
  <c r="J2078" i="34" a="1"/>
  <c r="J2078" i="34"/>
  <c r="K2078" i="34" a="1"/>
  <c r="K2078" i="34"/>
  <c r="L2078" i="34" a="1"/>
  <c r="L2078" i="34"/>
  <c r="M2078" i="34" a="1"/>
  <c r="M2078" i="34"/>
  <c r="N2078" i="34" a="1"/>
  <c r="N2078" i="34"/>
  <c r="O2078" i="34" a="1"/>
  <c r="O2078" i="34"/>
  <c r="P2078" i="34" a="1"/>
  <c r="P2078" i="34"/>
  <c r="Q2078" i="34" a="1"/>
  <c r="Q2078" i="34"/>
  <c r="I2079" i="34" a="1"/>
  <c r="I2079" i="34"/>
  <c r="J2079" i="34" a="1"/>
  <c r="J2079" i="34"/>
  <c r="K2079" i="34" a="1"/>
  <c r="K2079" i="34"/>
  <c r="L2079" i="34" a="1"/>
  <c r="L2079" i="34"/>
  <c r="M2079" i="34" a="1"/>
  <c r="M2079" i="34"/>
  <c r="N2079" i="34" a="1"/>
  <c r="N2079" i="34"/>
  <c r="O2079" i="34" a="1"/>
  <c r="O2079" i="34"/>
  <c r="P2079" i="34" a="1"/>
  <c r="P2079" i="34"/>
  <c r="Q2079" i="34" a="1"/>
  <c r="Q2079" i="34"/>
  <c r="I2080" i="34" a="1"/>
  <c r="I2080" i="34"/>
  <c r="J2080" i="34" a="1"/>
  <c r="J2080" i="34"/>
  <c r="K2080" i="34" a="1"/>
  <c r="K2080" i="34"/>
  <c r="L2080" i="34" a="1"/>
  <c r="L2080" i="34"/>
  <c r="M2080" i="34" a="1"/>
  <c r="M2080" i="34"/>
  <c r="N2080" i="34" a="1"/>
  <c r="N2080" i="34"/>
  <c r="O2080" i="34" a="1"/>
  <c r="O2080" i="34"/>
  <c r="P2080" i="34" a="1"/>
  <c r="P2080" i="34"/>
  <c r="Q2080" i="34" a="1"/>
  <c r="Q2080" i="34"/>
  <c r="I2081" i="34" a="1"/>
  <c r="I2081" i="34"/>
  <c r="J2081" i="34" a="1"/>
  <c r="J2081" i="34"/>
  <c r="K2081" i="34" a="1"/>
  <c r="K2081" i="34"/>
  <c r="L2081" i="34" a="1"/>
  <c r="L2081" i="34"/>
  <c r="M2081" i="34" a="1"/>
  <c r="M2081" i="34"/>
  <c r="N2081" i="34" a="1"/>
  <c r="N2081" i="34"/>
  <c r="O2081" i="34" a="1"/>
  <c r="O2081" i="34"/>
  <c r="P2081" i="34" a="1"/>
  <c r="P2081" i="34"/>
  <c r="Q2081" i="34" a="1"/>
  <c r="Q2081" i="34"/>
  <c r="I2082" i="34" a="1"/>
  <c r="I2082" i="34"/>
  <c r="J2082" i="34" a="1"/>
  <c r="J2082" i="34"/>
  <c r="K2082" i="34" a="1"/>
  <c r="K2082" i="34"/>
  <c r="L2082" i="34" a="1"/>
  <c r="L2082" i="34"/>
  <c r="M2082" i="34" a="1"/>
  <c r="M2082" i="34"/>
  <c r="N2082" i="34" a="1"/>
  <c r="N2082" i="34"/>
  <c r="O2082" i="34" a="1"/>
  <c r="O2082" i="34"/>
  <c r="P2082" i="34" a="1"/>
  <c r="P2082" i="34"/>
  <c r="Q2082" i="34" a="1"/>
  <c r="Q2082" i="34"/>
  <c r="I2083" i="34" a="1"/>
  <c r="I2083" i="34"/>
  <c r="J2083" i="34" a="1"/>
  <c r="J2083" i="34"/>
  <c r="K2083" i="34" a="1"/>
  <c r="K2083" i="34"/>
  <c r="L2083" i="34" a="1"/>
  <c r="L2083" i="34"/>
  <c r="M2083" i="34" a="1"/>
  <c r="M2083" i="34"/>
  <c r="N2083" i="34" a="1"/>
  <c r="N2083" i="34"/>
  <c r="O2083" i="34" a="1"/>
  <c r="O2083" i="34"/>
  <c r="P2083" i="34" a="1"/>
  <c r="P2083" i="34"/>
  <c r="Q2083" i="34" a="1"/>
  <c r="Q2083" i="34"/>
  <c r="I2084" i="34" a="1"/>
  <c r="I2084" i="34"/>
  <c r="J2084" i="34" a="1"/>
  <c r="J2084" i="34"/>
  <c r="K2084" i="34" a="1"/>
  <c r="K2084" i="34"/>
  <c r="L2084" i="34" a="1"/>
  <c r="L2084" i="34"/>
  <c r="M2084" i="34" a="1"/>
  <c r="M2084" i="34"/>
  <c r="N2084" i="34" a="1"/>
  <c r="N2084" i="34"/>
  <c r="O2084" i="34" a="1"/>
  <c r="O2084" i="34"/>
  <c r="P2084" i="34" a="1"/>
  <c r="P2084" i="34"/>
  <c r="Q2084" i="34" a="1"/>
  <c r="Q2084" i="34"/>
  <c r="I2085" i="34" a="1"/>
  <c r="I2085" i="34"/>
  <c r="J2085" i="34" a="1"/>
  <c r="J2085" i="34"/>
  <c r="K2085" i="34" a="1"/>
  <c r="K2085" i="34"/>
  <c r="L2085" i="34" a="1"/>
  <c r="L2085" i="34"/>
  <c r="M2085" i="34" a="1"/>
  <c r="M2085" i="34"/>
  <c r="N2085" i="34" a="1"/>
  <c r="N2085" i="34"/>
  <c r="O2085" i="34" a="1"/>
  <c r="O2085" i="34"/>
  <c r="P2085" i="34" a="1"/>
  <c r="P2085" i="34"/>
  <c r="Q2085" i="34" a="1"/>
  <c r="Q2085" i="34"/>
  <c r="I2086" i="34" a="1"/>
  <c r="I2086" i="34"/>
  <c r="J2086" i="34" a="1"/>
  <c r="J2086" i="34"/>
  <c r="K2086" i="34" a="1"/>
  <c r="K2086" i="34"/>
  <c r="L2086" i="34" a="1"/>
  <c r="L2086" i="34"/>
  <c r="M2086" i="34" a="1"/>
  <c r="M2086" i="34"/>
  <c r="N2086" i="34" a="1"/>
  <c r="N2086" i="34"/>
  <c r="O2086" i="34" a="1"/>
  <c r="O2086" i="34"/>
  <c r="P2086" i="34" a="1"/>
  <c r="P2086" i="34"/>
  <c r="Q2086" i="34" a="1"/>
  <c r="Q2086" i="34"/>
  <c r="I2087" i="34" a="1"/>
  <c r="I2087" i="34"/>
  <c r="J2087" i="34" a="1"/>
  <c r="J2087" i="34"/>
  <c r="K2087" i="34" a="1"/>
  <c r="K2087" i="34"/>
  <c r="L2087" i="34" a="1"/>
  <c r="L2087" i="34"/>
  <c r="M2087" i="34" a="1"/>
  <c r="M2087" i="34"/>
  <c r="N2087" i="34" a="1"/>
  <c r="N2087" i="34"/>
  <c r="O2087" i="34" a="1"/>
  <c r="O2087" i="34"/>
  <c r="P2087" i="34" a="1"/>
  <c r="P2087" i="34"/>
  <c r="Q2087" i="34" a="1"/>
  <c r="Q2087" i="34"/>
  <c r="I2088" i="34" a="1"/>
  <c r="I2088" i="34"/>
  <c r="J2088" i="34" a="1"/>
  <c r="J2088" i="34"/>
  <c r="K2088" i="34" a="1"/>
  <c r="K2088" i="34"/>
  <c r="L2088" i="34" a="1"/>
  <c r="L2088" i="34"/>
  <c r="M2088" i="34" a="1"/>
  <c r="M2088" i="34"/>
  <c r="N2088" i="34" a="1"/>
  <c r="N2088" i="34"/>
  <c r="O2088" i="34" a="1"/>
  <c r="O2088" i="34"/>
  <c r="P2088" i="34" a="1"/>
  <c r="P2088" i="34"/>
  <c r="Q2088" i="34" a="1"/>
  <c r="Q2088" i="34"/>
  <c r="I2089" i="34" a="1"/>
  <c r="I2089" i="34"/>
  <c r="J2089" i="34" a="1"/>
  <c r="J2089" i="34"/>
  <c r="K2089" i="34" a="1"/>
  <c r="K2089" i="34"/>
  <c r="L2089" i="34" a="1"/>
  <c r="L2089" i="34"/>
  <c r="M2089" i="34" a="1"/>
  <c r="M2089" i="34"/>
  <c r="N2089" i="34" a="1"/>
  <c r="N2089" i="34"/>
  <c r="O2089" i="34" a="1"/>
  <c r="O2089" i="34"/>
  <c r="P2089" i="34" a="1"/>
  <c r="P2089" i="34"/>
  <c r="Q2089" i="34" a="1"/>
  <c r="Q2089" i="34"/>
  <c r="I2090" i="34" a="1"/>
  <c r="I2090" i="34"/>
  <c r="J2090" i="34" a="1"/>
  <c r="J2090" i="34"/>
  <c r="K2090" i="34" a="1"/>
  <c r="K2090" i="34"/>
  <c r="L2090" i="34" a="1"/>
  <c r="L2090" i="34"/>
  <c r="M2090" i="34" a="1"/>
  <c r="M2090" i="34"/>
  <c r="N2090" i="34" a="1"/>
  <c r="N2090" i="34"/>
  <c r="O2090" i="34" a="1"/>
  <c r="O2090" i="34"/>
  <c r="P2090" i="34" a="1"/>
  <c r="P2090" i="34"/>
  <c r="Q2090" i="34" a="1"/>
  <c r="Q2090" i="34"/>
  <c r="I2091" i="34" a="1"/>
  <c r="I2091" i="34"/>
  <c r="J2091" i="34" a="1"/>
  <c r="J2091" i="34"/>
  <c r="K2091" i="34" a="1"/>
  <c r="K2091" i="34"/>
  <c r="L2091" i="34" a="1"/>
  <c r="L2091" i="34"/>
  <c r="M2091" i="34" a="1"/>
  <c r="M2091" i="34"/>
  <c r="N2091" i="34" a="1"/>
  <c r="N2091" i="34"/>
  <c r="O2091" i="34" a="1"/>
  <c r="O2091" i="34"/>
  <c r="P2091" i="34" a="1"/>
  <c r="P2091" i="34"/>
  <c r="Q2091" i="34" a="1"/>
  <c r="Q2091" i="34"/>
  <c r="I2092" i="34" a="1"/>
  <c r="I2092" i="34"/>
  <c r="J2092" i="34" a="1"/>
  <c r="J2092" i="34"/>
  <c r="K2092" i="34" a="1"/>
  <c r="K2092" i="34"/>
  <c r="L2092" i="34" a="1"/>
  <c r="L2092" i="34"/>
  <c r="M2092" i="34" a="1"/>
  <c r="M2092" i="34"/>
  <c r="N2092" i="34" a="1"/>
  <c r="N2092" i="34"/>
  <c r="O2092" i="34" a="1"/>
  <c r="O2092" i="34"/>
  <c r="P2092" i="34" a="1"/>
  <c r="P2092" i="34"/>
  <c r="Q2092" i="34" a="1"/>
  <c r="Q2092" i="34"/>
  <c r="I2093" i="34" a="1"/>
  <c r="I2093" i="34"/>
  <c r="J2093" i="34" a="1"/>
  <c r="J2093" i="34"/>
  <c r="K2093" i="34" a="1"/>
  <c r="K2093" i="34"/>
  <c r="L2093" i="34" a="1"/>
  <c r="L2093" i="34"/>
  <c r="M2093" i="34" a="1"/>
  <c r="M2093" i="34"/>
  <c r="N2093" i="34" a="1"/>
  <c r="N2093" i="34"/>
  <c r="O2093" i="34" a="1"/>
  <c r="O2093" i="34"/>
  <c r="P2093" i="34" a="1"/>
  <c r="P2093" i="34"/>
  <c r="Q2093" i="34" a="1"/>
  <c r="Q2093" i="34"/>
  <c r="I2094" i="34" a="1"/>
  <c r="I2094" i="34"/>
  <c r="J2094" i="34" a="1"/>
  <c r="J2094" i="34"/>
  <c r="K2094" i="34" a="1"/>
  <c r="K2094" i="34"/>
  <c r="L2094" i="34" a="1"/>
  <c r="L2094" i="34"/>
  <c r="M2094" i="34" a="1"/>
  <c r="M2094" i="34"/>
  <c r="N2094" i="34" a="1"/>
  <c r="N2094" i="34"/>
  <c r="O2094" i="34" a="1"/>
  <c r="O2094" i="34"/>
  <c r="P2094" i="34" a="1"/>
  <c r="P2094" i="34"/>
  <c r="Q2094" i="34" a="1"/>
  <c r="Q2094" i="34"/>
  <c r="I2095" i="34" a="1"/>
  <c r="I2095" i="34"/>
  <c r="J2095" i="34" a="1"/>
  <c r="J2095" i="34"/>
  <c r="K2095" i="34" a="1"/>
  <c r="K2095" i="34"/>
  <c r="L2095" i="34" a="1"/>
  <c r="L2095" i="34"/>
  <c r="M2095" i="34" a="1"/>
  <c r="M2095" i="34"/>
  <c r="N2095" i="34" a="1"/>
  <c r="N2095" i="34"/>
  <c r="O2095" i="34" a="1"/>
  <c r="O2095" i="34"/>
  <c r="P2095" i="34" a="1"/>
  <c r="P2095" i="34"/>
  <c r="Q2095" i="34" a="1"/>
  <c r="Q2095" i="34"/>
  <c r="I2096" i="34" a="1"/>
  <c r="I2096" i="34"/>
  <c r="J2096" i="34" a="1"/>
  <c r="J2096" i="34"/>
  <c r="K2096" i="34" a="1"/>
  <c r="K2096" i="34"/>
  <c r="L2096" i="34" a="1"/>
  <c r="L2096" i="34"/>
  <c r="M2096" i="34" a="1"/>
  <c r="M2096" i="34"/>
  <c r="N2096" i="34" a="1"/>
  <c r="N2096" i="34"/>
  <c r="O2096" i="34" a="1"/>
  <c r="O2096" i="34"/>
  <c r="P2096" i="34" a="1"/>
  <c r="P2096" i="34"/>
  <c r="Q2096" i="34" a="1"/>
  <c r="Q2096" i="34"/>
  <c r="I2097" i="34" a="1"/>
  <c r="I2097" i="34"/>
  <c r="J2097" i="34" a="1"/>
  <c r="J2097" i="34"/>
  <c r="K2097" i="34" a="1"/>
  <c r="K2097" i="34"/>
  <c r="L2097" i="34" a="1"/>
  <c r="L2097" i="34"/>
  <c r="M2097" i="34" a="1"/>
  <c r="M2097" i="34"/>
  <c r="N2097" i="34" a="1"/>
  <c r="N2097" i="34"/>
  <c r="O2097" i="34" a="1"/>
  <c r="O2097" i="34"/>
  <c r="P2097" i="34" a="1"/>
  <c r="P2097" i="34"/>
  <c r="Q2097" i="34" a="1"/>
  <c r="Q2097" i="34"/>
  <c r="I2098" i="34" a="1"/>
  <c r="I2098" i="34"/>
  <c r="J2098" i="34" a="1"/>
  <c r="J2098" i="34"/>
  <c r="K2098" i="34" a="1"/>
  <c r="K2098" i="34"/>
  <c r="L2098" i="34" a="1"/>
  <c r="L2098" i="34"/>
  <c r="M2098" i="34" a="1"/>
  <c r="M2098" i="34"/>
  <c r="N2098" i="34" a="1"/>
  <c r="N2098" i="34"/>
  <c r="O2098" i="34" a="1"/>
  <c r="O2098" i="34"/>
  <c r="P2098" i="34" a="1"/>
  <c r="P2098" i="34"/>
  <c r="Q2098" i="34" a="1"/>
  <c r="Q2098" i="34"/>
  <c r="I2099" i="34" a="1"/>
  <c r="I2099" i="34"/>
  <c r="J2099" i="34" a="1"/>
  <c r="J2099" i="34"/>
  <c r="K2099" i="34" a="1"/>
  <c r="K2099" i="34"/>
  <c r="L2099" i="34" a="1"/>
  <c r="L2099" i="34"/>
  <c r="M2099" i="34" a="1"/>
  <c r="M2099" i="34"/>
  <c r="N2099" i="34" a="1"/>
  <c r="N2099" i="34"/>
  <c r="O2099" i="34" a="1"/>
  <c r="O2099" i="34"/>
  <c r="P2099" i="34" a="1"/>
  <c r="P2099" i="34"/>
  <c r="Q2099" i="34" a="1"/>
  <c r="Q2099" i="34"/>
  <c r="I2100" i="34" a="1"/>
  <c r="I2100" i="34"/>
  <c r="J2100" i="34" a="1"/>
  <c r="J2100" i="34"/>
  <c r="K2100" i="34" a="1"/>
  <c r="K2100" i="34"/>
  <c r="L2100" i="34" a="1"/>
  <c r="L2100" i="34"/>
  <c r="M2100" i="34" a="1"/>
  <c r="M2100" i="34"/>
  <c r="N2100" i="34" a="1"/>
  <c r="N2100" i="34"/>
  <c r="O2100" i="34" a="1"/>
  <c r="O2100" i="34"/>
  <c r="P2100" i="34" a="1"/>
  <c r="P2100" i="34"/>
  <c r="Q2100" i="34" a="1"/>
  <c r="Q2100" i="34"/>
  <c r="I2101" i="34" a="1"/>
  <c r="I2101" i="34"/>
  <c r="J2101" i="34" a="1"/>
  <c r="J2101" i="34"/>
  <c r="K2101" i="34" a="1"/>
  <c r="K2101" i="34"/>
  <c r="L2101" i="34" a="1"/>
  <c r="L2101" i="34"/>
  <c r="M2101" i="34" a="1"/>
  <c r="M2101" i="34"/>
  <c r="N2101" i="34" a="1"/>
  <c r="N2101" i="34"/>
  <c r="O2101" i="34" a="1"/>
  <c r="O2101" i="34"/>
  <c r="P2101" i="34" a="1"/>
  <c r="P2101" i="34"/>
  <c r="Q2101" i="34" a="1"/>
  <c r="Q2101" i="34"/>
  <c r="I2102" i="34" a="1"/>
  <c r="I2102" i="34"/>
  <c r="J2102" i="34" a="1"/>
  <c r="J2102" i="34"/>
  <c r="K2102" i="34" a="1"/>
  <c r="K2102" i="34"/>
  <c r="L2102" i="34" a="1"/>
  <c r="L2102" i="34"/>
  <c r="M2102" i="34" a="1"/>
  <c r="M2102" i="34"/>
  <c r="N2102" i="34" a="1"/>
  <c r="N2102" i="34"/>
  <c r="O2102" i="34" a="1"/>
  <c r="O2102" i="34"/>
  <c r="P2102" i="34" a="1"/>
  <c r="P2102" i="34"/>
  <c r="Q2102" i="34" a="1"/>
  <c r="Q2102" i="34"/>
  <c r="I2103" i="34" a="1"/>
  <c r="I2103" i="34"/>
  <c r="J2103" i="34" a="1"/>
  <c r="J2103" i="34"/>
  <c r="K2103" i="34" a="1"/>
  <c r="K2103" i="34"/>
  <c r="L2103" i="34" a="1"/>
  <c r="L2103" i="34"/>
  <c r="M2103" i="34" a="1"/>
  <c r="M2103" i="34"/>
  <c r="N2103" i="34" a="1"/>
  <c r="N2103" i="34"/>
  <c r="O2103" i="34" a="1"/>
  <c r="O2103" i="34"/>
  <c r="P2103" i="34" a="1"/>
  <c r="P2103" i="34"/>
  <c r="Q2103" i="34" a="1"/>
  <c r="Q2103" i="34"/>
  <c r="I2104" i="34" a="1"/>
  <c r="I2104" i="34"/>
  <c r="J2104" i="34" a="1"/>
  <c r="J2104" i="34"/>
  <c r="K2104" i="34" a="1"/>
  <c r="K2104" i="34"/>
  <c r="L2104" i="34" a="1"/>
  <c r="L2104" i="34"/>
  <c r="M2104" i="34" a="1"/>
  <c r="M2104" i="34"/>
  <c r="N2104" i="34" a="1"/>
  <c r="N2104" i="34"/>
  <c r="O2104" i="34" a="1"/>
  <c r="O2104" i="34"/>
  <c r="P2104" i="34" a="1"/>
  <c r="P2104" i="34"/>
  <c r="Q2104" i="34" a="1"/>
  <c r="Q2104" i="34"/>
  <c r="I2105" i="34" a="1"/>
  <c r="I2105" i="34"/>
  <c r="J2105" i="34" a="1"/>
  <c r="J2105" i="34"/>
  <c r="K2105" i="34" a="1"/>
  <c r="K2105" i="34"/>
  <c r="L2105" i="34" a="1"/>
  <c r="L2105" i="34"/>
  <c r="M2105" i="34" a="1"/>
  <c r="M2105" i="34"/>
  <c r="N2105" i="34" a="1"/>
  <c r="N2105" i="34"/>
  <c r="O2105" i="34" a="1"/>
  <c r="O2105" i="34"/>
  <c r="P2105" i="34" a="1"/>
  <c r="P2105" i="34"/>
  <c r="Q2105" i="34" a="1"/>
  <c r="Q2105" i="34"/>
  <c r="I2106" i="34" a="1"/>
  <c r="I2106" i="34"/>
  <c r="J2106" i="34" a="1"/>
  <c r="J2106" i="34"/>
  <c r="K2106" i="34" a="1"/>
  <c r="K2106" i="34"/>
  <c r="L2106" i="34" a="1"/>
  <c r="L2106" i="34"/>
  <c r="M2106" i="34" a="1"/>
  <c r="M2106" i="34"/>
  <c r="N2106" i="34" a="1"/>
  <c r="N2106" i="34"/>
  <c r="O2106" i="34" a="1"/>
  <c r="O2106" i="34"/>
  <c r="P2106" i="34" a="1"/>
  <c r="P2106" i="34"/>
  <c r="Q2106" i="34" a="1"/>
  <c r="Q2106" i="34"/>
  <c r="I2107" i="34" a="1"/>
  <c r="I2107" i="34"/>
  <c r="J2107" i="34" a="1"/>
  <c r="J2107" i="34"/>
  <c r="K2107" i="34" a="1"/>
  <c r="K2107" i="34"/>
  <c r="L2107" i="34" a="1"/>
  <c r="L2107" i="34"/>
  <c r="M2107" i="34" a="1"/>
  <c r="M2107" i="34"/>
  <c r="N2107" i="34" a="1"/>
  <c r="N2107" i="34"/>
  <c r="O2107" i="34" a="1"/>
  <c r="O2107" i="34"/>
  <c r="P2107" i="34" a="1"/>
  <c r="P2107" i="34"/>
  <c r="Q2107" i="34" a="1"/>
  <c r="Q2107" i="34"/>
  <c r="I2108" i="34" a="1"/>
  <c r="I2108" i="34"/>
  <c r="J2108" i="34" a="1"/>
  <c r="J2108" i="34"/>
  <c r="K2108" i="34" a="1"/>
  <c r="K2108" i="34"/>
  <c r="L2108" i="34" a="1"/>
  <c r="L2108" i="34"/>
  <c r="M2108" i="34" a="1"/>
  <c r="M2108" i="34"/>
  <c r="N2108" i="34" a="1"/>
  <c r="N2108" i="34"/>
  <c r="O2108" i="34" a="1"/>
  <c r="O2108" i="34"/>
  <c r="P2108" i="34" a="1"/>
  <c r="P2108" i="34"/>
  <c r="Q2108" i="34" a="1"/>
  <c r="Q2108" i="34"/>
  <c r="I2109" i="34" a="1"/>
  <c r="I2109" i="34"/>
  <c r="J2109" i="34" a="1"/>
  <c r="J2109" i="34"/>
  <c r="K2109" i="34" a="1"/>
  <c r="K2109" i="34"/>
  <c r="L2109" i="34" a="1"/>
  <c r="L2109" i="34"/>
  <c r="M2109" i="34" a="1"/>
  <c r="M2109" i="34"/>
  <c r="N2109" i="34" a="1"/>
  <c r="N2109" i="34"/>
  <c r="O2109" i="34" a="1"/>
  <c r="O2109" i="34"/>
  <c r="P2109" i="34" a="1"/>
  <c r="P2109" i="34"/>
  <c r="Q2109" i="34" a="1"/>
  <c r="Q2109" i="34"/>
  <c r="I2110" i="34" a="1"/>
  <c r="I2110" i="34"/>
  <c r="J2110" i="34" a="1"/>
  <c r="J2110" i="34"/>
  <c r="K2110" i="34" a="1"/>
  <c r="K2110" i="34"/>
  <c r="L2110" i="34" a="1"/>
  <c r="L2110" i="34"/>
  <c r="M2110" i="34" a="1"/>
  <c r="M2110" i="34"/>
  <c r="N2110" i="34" a="1"/>
  <c r="N2110" i="34"/>
  <c r="O2110" i="34" a="1"/>
  <c r="O2110" i="34"/>
  <c r="P2110" i="34" a="1"/>
  <c r="P2110" i="34"/>
  <c r="Q2110" i="34" a="1"/>
  <c r="Q2110" i="34"/>
  <c r="I2111" i="34" a="1"/>
  <c r="I2111" i="34"/>
  <c r="J2111" i="34" a="1"/>
  <c r="J2111" i="34"/>
  <c r="K2111" i="34" a="1"/>
  <c r="K2111" i="34"/>
  <c r="L2111" i="34" a="1"/>
  <c r="L2111" i="34"/>
  <c r="M2111" i="34" a="1"/>
  <c r="M2111" i="34"/>
  <c r="N2111" i="34" a="1"/>
  <c r="N2111" i="34"/>
  <c r="O2111" i="34" a="1"/>
  <c r="O2111" i="34"/>
  <c r="P2111" i="34" a="1"/>
  <c r="P2111" i="34"/>
  <c r="Q2111" i="34" a="1"/>
  <c r="Q2111" i="34"/>
  <c r="I2112" i="34" a="1"/>
  <c r="I2112" i="34"/>
  <c r="J2112" i="34" a="1"/>
  <c r="J2112" i="34"/>
  <c r="K2112" i="34" a="1"/>
  <c r="K2112" i="34"/>
  <c r="L2112" i="34" a="1"/>
  <c r="L2112" i="34"/>
  <c r="M2112" i="34" a="1"/>
  <c r="M2112" i="34"/>
  <c r="N2112" i="34" a="1"/>
  <c r="N2112" i="34"/>
  <c r="O2112" i="34" a="1"/>
  <c r="O2112" i="34"/>
  <c r="P2112" i="34" a="1"/>
  <c r="P2112" i="34"/>
  <c r="Q2112" i="34" a="1"/>
  <c r="Q2112" i="34"/>
  <c r="I2113" i="34" a="1"/>
  <c r="I2113" i="34"/>
  <c r="J2113" i="34" a="1"/>
  <c r="J2113" i="34"/>
  <c r="K2113" i="34" a="1"/>
  <c r="K2113" i="34"/>
  <c r="L2113" i="34" a="1"/>
  <c r="L2113" i="34"/>
  <c r="M2113" i="34" a="1"/>
  <c r="M2113" i="34"/>
  <c r="N2113" i="34" a="1"/>
  <c r="N2113" i="34"/>
  <c r="O2113" i="34" a="1"/>
  <c r="O2113" i="34"/>
  <c r="P2113" i="34" a="1"/>
  <c r="P2113" i="34"/>
  <c r="Q2113" i="34" a="1"/>
  <c r="Q2113" i="34"/>
  <c r="I2114" i="34" a="1"/>
  <c r="I2114" i="34"/>
  <c r="J2114" i="34" a="1"/>
  <c r="J2114" i="34"/>
  <c r="K2114" i="34" a="1"/>
  <c r="K2114" i="34"/>
  <c r="L2114" i="34" a="1"/>
  <c r="L2114" i="34"/>
  <c r="M2114" i="34" a="1"/>
  <c r="M2114" i="34"/>
  <c r="N2114" i="34" a="1"/>
  <c r="N2114" i="34"/>
  <c r="O2114" i="34" a="1"/>
  <c r="O2114" i="34"/>
  <c r="P2114" i="34" a="1"/>
  <c r="P2114" i="34"/>
  <c r="Q2114" i="34" a="1"/>
  <c r="Q2114" i="34"/>
  <c r="I2115" i="34" a="1"/>
  <c r="I2115" i="34"/>
  <c r="J2115" i="34" a="1"/>
  <c r="J2115" i="34"/>
  <c r="K2115" i="34" a="1"/>
  <c r="K2115" i="34"/>
  <c r="L2115" i="34" a="1"/>
  <c r="L2115" i="34"/>
  <c r="M2115" i="34" a="1"/>
  <c r="M2115" i="34"/>
  <c r="N2115" i="34" a="1"/>
  <c r="N2115" i="34"/>
  <c r="O2115" i="34" a="1"/>
  <c r="O2115" i="34"/>
  <c r="P2115" i="34" a="1"/>
  <c r="P2115" i="34"/>
  <c r="Q2115" i="34" a="1"/>
  <c r="Q2115" i="34"/>
  <c r="I2116" i="34" a="1"/>
  <c r="I2116" i="34"/>
  <c r="J2116" i="34" a="1"/>
  <c r="J2116" i="34"/>
  <c r="K2116" i="34" a="1"/>
  <c r="K2116" i="34"/>
  <c r="L2116" i="34" a="1"/>
  <c r="L2116" i="34"/>
  <c r="M2116" i="34" a="1"/>
  <c r="M2116" i="34"/>
  <c r="N2116" i="34" a="1"/>
  <c r="N2116" i="34"/>
  <c r="O2116" i="34" a="1"/>
  <c r="O2116" i="34"/>
  <c r="P2116" i="34" a="1"/>
  <c r="P2116" i="34"/>
  <c r="Q2116" i="34" a="1"/>
  <c r="Q2116" i="34"/>
  <c r="I2117" i="34" a="1"/>
  <c r="I2117" i="34"/>
  <c r="J2117" i="34" a="1"/>
  <c r="J2117" i="34"/>
  <c r="K2117" i="34" a="1"/>
  <c r="K2117" i="34"/>
  <c r="L2117" i="34" a="1"/>
  <c r="L2117" i="34"/>
  <c r="M2117" i="34" a="1"/>
  <c r="M2117" i="34"/>
  <c r="N2117" i="34" a="1"/>
  <c r="N2117" i="34"/>
  <c r="O2117" i="34" a="1"/>
  <c r="O2117" i="34"/>
  <c r="P2117" i="34" a="1"/>
  <c r="P2117" i="34"/>
  <c r="Q2117" i="34" a="1"/>
  <c r="Q2117" i="34"/>
  <c r="I2118" i="34" a="1"/>
  <c r="I2118" i="34"/>
  <c r="J2118" i="34" a="1"/>
  <c r="J2118" i="34"/>
  <c r="K2118" i="34" a="1"/>
  <c r="K2118" i="34"/>
  <c r="L2118" i="34" a="1"/>
  <c r="L2118" i="34"/>
  <c r="M2118" i="34" a="1"/>
  <c r="M2118" i="34"/>
  <c r="N2118" i="34" a="1"/>
  <c r="N2118" i="34"/>
  <c r="O2118" i="34" a="1"/>
  <c r="O2118" i="34"/>
  <c r="P2118" i="34" a="1"/>
  <c r="P2118" i="34"/>
  <c r="Q2118" i="34" a="1"/>
  <c r="Q2118" i="34"/>
  <c r="I2119" i="34" a="1"/>
  <c r="I2119" i="34"/>
  <c r="J2119" i="34" a="1"/>
  <c r="J2119" i="34"/>
  <c r="K2119" i="34" a="1"/>
  <c r="K2119" i="34"/>
  <c r="L2119" i="34" a="1"/>
  <c r="L2119" i="34"/>
  <c r="M2119" i="34" a="1"/>
  <c r="M2119" i="34"/>
  <c r="N2119" i="34" a="1"/>
  <c r="N2119" i="34"/>
  <c r="O2119" i="34" a="1"/>
  <c r="O2119" i="34"/>
  <c r="P2119" i="34" a="1"/>
  <c r="P2119" i="34"/>
  <c r="Q2119" i="34" a="1"/>
  <c r="Q2119" i="34"/>
  <c r="I2120" i="34" a="1"/>
  <c r="I2120" i="34"/>
  <c r="J2120" i="34" a="1"/>
  <c r="J2120" i="34"/>
  <c r="K2120" i="34" a="1"/>
  <c r="K2120" i="34"/>
  <c r="L2120" i="34" a="1"/>
  <c r="L2120" i="34"/>
  <c r="M2120" i="34" a="1"/>
  <c r="M2120" i="34"/>
  <c r="N2120" i="34" a="1"/>
  <c r="N2120" i="34"/>
  <c r="O2120" i="34" a="1"/>
  <c r="O2120" i="34"/>
  <c r="P2120" i="34" a="1"/>
  <c r="P2120" i="34"/>
  <c r="Q2120" i="34" a="1"/>
  <c r="Q2120" i="34"/>
  <c r="I2121" i="34" a="1"/>
  <c r="I2121" i="34"/>
  <c r="J2121" i="34" a="1"/>
  <c r="J2121" i="34"/>
  <c r="K2121" i="34" a="1"/>
  <c r="K2121" i="34"/>
  <c r="L2121" i="34" a="1"/>
  <c r="L2121" i="34"/>
  <c r="M2121" i="34" a="1"/>
  <c r="M2121" i="34"/>
  <c r="N2121" i="34" a="1"/>
  <c r="N2121" i="34"/>
  <c r="O2121" i="34" a="1"/>
  <c r="O2121" i="34"/>
  <c r="P2121" i="34" a="1"/>
  <c r="P2121" i="34"/>
  <c r="Q2121" i="34" a="1"/>
  <c r="Q2121" i="34"/>
  <c r="I2122" i="34" a="1"/>
  <c r="I2122" i="34"/>
  <c r="J2122" i="34" a="1"/>
  <c r="J2122" i="34"/>
  <c r="K2122" i="34" a="1"/>
  <c r="K2122" i="34"/>
  <c r="L2122" i="34" a="1"/>
  <c r="L2122" i="34"/>
  <c r="M2122" i="34" a="1"/>
  <c r="M2122" i="34"/>
  <c r="N2122" i="34" a="1"/>
  <c r="N2122" i="34"/>
  <c r="O2122" i="34" a="1"/>
  <c r="O2122" i="34"/>
  <c r="P2122" i="34" a="1"/>
  <c r="P2122" i="34"/>
  <c r="Q2122" i="34" a="1"/>
  <c r="Q2122" i="34"/>
  <c r="I2123" i="34" a="1"/>
  <c r="I2123" i="34"/>
  <c r="J2123" i="34" a="1"/>
  <c r="J2123" i="34"/>
  <c r="K2123" i="34" a="1"/>
  <c r="K2123" i="34"/>
  <c r="L2123" i="34" a="1"/>
  <c r="L2123" i="34"/>
  <c r="M2123" i="34" a="1"/>
  <c r="M2123" i="34"/>
  <c r="N2123" i="34" a="1"/>
  <c r="N2123" i="34"/>
  <c r="O2123" i="34" a="1"/>
  <c r="O2123" i="34"/>
  <c r="P2123" i="34" a="1"/>
  <c r="P2123" i="34"/>
  <c r="Q2123" i="34" a="1"/>
  <c r="Q2123" i="34"/>
  <c r="I2124" i="34" a="1"/>
  <c r="I2124" i="34"/>
  <c r="J2124" i="34" a="1"/>
  <c r="J2124" i="34"/>
  <c r="K2124" i="34" a="1"/>
  <c r="K2124" i="34"/>
  <c r="L2124" i="34" a="1"/>
  <c r="L2124" i="34"/>
  <c r="M2124" i="34" a="1"/>
  <c r="M2124" i="34"/>
  <c r="N2124" i="34" a="1"/>
  <c r="N2124" i="34"/>
  <c r="O2124" i="34" a="1"/>
  <c r="O2124" i="34"/>
  <c r="P2124" i="34" a="1"/>
  <c r="P2124" i="34"/>
  <c r="Q2124" i="34" a="1"/>
  <c r="Q2124" i="34"/>
  <c r="I2125" i="34" a="1"/>
  <c r="I2125" i="34"/>
  <c r="J2125" i="34" a="1"/>
  <c r="J2125" i="34"/>
  <c r="K2125" i="34" a="1"/>
  <c r="K2125" i="34"/>
  <c r="L2125" i="34" a="1"/>
  <c r="L2125" i="34"/>
  <c r="M2125" i="34" a="1"/>
  <c r="M2125" i="34"/>
  <c r="N2125" i="34" a="1"/>
  <c r="N2125" i="34"/>
  <c r="O2125" i="34" a="1"/>
  <c r="O2125" i="34"/>
  <c r="P2125" i="34" a="1"/>
  <c r="P2125" i="34"/>
  <c r="Q2125" i="34" a="1"/>
  <c r="Q2125" i="34"/>
  <c r="I2126" i="34" a="1"/>
  <c r="I2126" i="34"/>
  <c r="J2126" i="34" a="1"/>
  <c r="J2126" i="34"/>
  <c r="K2126" i="34" a="1"/>
  <c r="K2126" i="34"/>
  <c r="L2126" i="34" a="1"/>
  <c r="L2126" i="34"/>
  <c r="M2126" i="34" a="1"/>
  <c r="M2126" i="34"/>
  <c r="N2126" i="34" a="1"/>
  <c r="N2126" i="34"/>
  <c r="O2126" i="34" a="1"/>
  <c r="O2126" i="34"/>
  <c r="P2126" i="34" a="1"/>
  <c r="P2126" i="34"/>
  <c r="Q2126" i="34" a="1"/>
  <c r="Q2126" i="34"/>
  <c r="I2127" i="34" a="1"/>
  <c r="I2127" i="34"/>
  <c r="J2127" i="34" a="1"/>
  <c r="J2127" i="34"/>
  <c r="K2127" i="34" a="1"/>
  <c r="K2127" i="34"/>
  <c r="L2127" i="34" a="1"/>
  <c r="L2127" i="34"/>
  <c r="M2127" i="34" a="1"/>
  <c r="M2127" i="34"/>
  <c r="N2127" i="34" a="1"/>
  <c r="N2127" i="34"/>
  <c r="O2127" i="34" a="1"/>
  <c r="O2127" i="34"/>
  <c r="P2127" i="34" a="1"/>
  <c r="P2127" i="34"/>
  <c r="Q2127" i="34" a="1"/>
  <c r="Q2127" i="34"/>
  <c r="I2128" i="34" a="1"/>
  <c r="I2128" i="34"/>
  <c r="J2128" i="34" a="1"/>
  <c r="J2128" i="34"/>
  <c r="K2128" i="34" a="1"/>
  <c r="K2128" i="34"/>
  <c r="L2128" i="34" a="1"/>
  <c r="L2128" i="34"/>
  <c r="M2128" i="34" a="1"/>
  <c r="M2128" i="34"/>
  <c r="N2128" i="34" a="1"/>
  <c r="N2128" i="34"/>
  <c r="O2128" i="34" a="1"/>
  <c r="O2128" i="34"/>
  <c r="P2128" i="34" a="1"/>
  <c r="P2128" i="34"/>
  <c r="Q2128" i="34" a="1"/>
  <c r="Q2128" i="34"/>
  <c r="I2129" i="34" a="1"/>
  <c r="I2129" i="34"/>
  <c r="J2129" i="34" a="1"/>
  <c r="J2129" i="34"/>
  <c r="K2129" i="34" a="1"/>
  <c r="K2129" i="34"/>
  <c r="L2129" i="34" a="1"/>
  <c r="L2129" i="34"/>
  <c r="M2129" i="34" a="1"/>
  <c r="M2129" i="34"/>
  <c r="N2129" i="34" a="1"/>
  <c r="N2129" i="34"/>
  <c r="O2129" i="34" a="1"/>
  <c r="O2129" i="34"/>
  <c r="P2129" i="34" a="1"/>
  <c r="P2129" i="34"/>
  <c r="Q2129" i="34" a="1"/>
  <c r="Q2129" i="34"/>
  <c r="I2130" i="34" a="1"/>
  <c r="I2130" i="34"/>
  <c r="J2130" i="34" a="1"/>
  <c r="J2130" i="34"/>
  <c r="K2130" i="34" a="1"/>
  <c r="K2130" i="34"/>
  <c r="L2130" i="34" a="1"/>
  <c r="L2130" i="34"/>
  <c r="M2130" i="34" a="1"/>
  <c r="M2130" i="34"/>
  <c r="N2130" i="34" a="1"/>
  <c r="N2130" i="34"/>
  <c r="O2130" i="34" a="1"/>
  <c r="O2130" i="34"/>
  <c r="P2130" i="34" a="1"/>
  <c r="P2130" i="34"/>
  <c r="Q2130" i="34" a="1"/>
  <c r="Q2130" i="34"/>
  <c r="I2131" i="34" a="1"/>
  <c r="I2131" i="34"/>
  <c r="J2131" i="34" a="1"/>
  <c r="J2131" i="34"/>
  <c r="K2131" i="34" a="1"/>
  <c r="K2131" i="34"/>
  <c r="L2131" i="34" a="1"/>
  <c r="L2131" i="34"/>
  <c r="M2131" i="34" a="1"/>
  <c r="M2131" i="34"/>
  <c r="N2131" i="34" a="1"/>
  <c r="N2131" i="34"/>
  <c r="O2131" i="34" a="1"/>
  <c r="O2131" i="34"/>
  <c r="P2131" i="34" a="1"/>
  <c r="P2131" i="34"/>
  <c r="Q2131" i="34" a="1"/>
  <c r="Q2131" i="34"/>
  <c r="I2132" i="34" a="1"/>
  <c r="I2132" i="34"/>
  <c r="J2132" i="34" a="1"/>
  <c r="J2132" i="34"/>
  <c r="K2132" i="34" a="1"/>
  <c r="K2132" i="34"/>
  <c r="L2132" i="34" a="1"/>
  <c r="L2132" i="34"/>
  <c r="M2132" i="34" a="1"/>
  <c r="M2132" i="34"/>
  <c r="N2132" i="34" a="1"/>
  <c r="N2132" i="34"/>
  <c r="O2132" i="34" a="1"/>
  <c r="O2132" i="34"/>
  <c r="P2132" i="34" a="1"/>
  <c r="P2132" i="34"/>
  <c r="Q2132" i="34" a="1"/>
  <c r="Q2132" i="34"/>
  <c r="I2133" i="34" a="1"/>
  <c r="I2133" i="34"/>
  <c r="J2133" i="34" a="1"/>
  <c r="J2133" i="34"/>
  <c r="K2133" i="34" a="1"/>
  <c r="K2133" i="34"/>
  <c r="L2133" i="34" a="1"/>
  <c r="L2133" i="34"/>
  <c r="M2133" i="34" a="1"/>
  <c r="M2133" i="34"/>
  <c r="N2133" i="34" a="1"/>
  <c r="N2133" i="34"/>
  <c r="O2133" i="34" a="1"/>
  <c r="O2133" i="34"/>
  <c r="P2133" i="34" a="1"/>
  <c r="P2133" i="34"/>
  <c r="Q2133" i="34" a="1"/>
  <c r="Q2133" i="34"/>
  <c r="I2134" i="34" a="1"/>
  <c r="I2134" i="34"/>
  <c r="J2134" i="34" a="1"/>
  <c r="J2134" i="34"/>
  <c r="K2134" i="34" a="1"/>
  <c r="K2134" i="34"/>
  <c r="L2134" i="34" a="1"/>
  <c r="L2134" i="34"/>
  <c r="M2134" i="34" a="1"/>
  <c r="M2134" i="34"/>
  <c r="N2134" i="34" a="1"/>
  <c r="N2134" i="34"/>
  <c r="O2134" i="34" a="1"/>
  <c r="O2134" i="34"/>
  <c r="P2134" i="34" a="1"/>
  <c r="P2134" i="34"/>
  <c r="Q2134" i="34" a="1"/>
  <c r="Q2134" i="34"/>
  <c r="I2135" i="34" a="1"/>
  <c r="I2135" i="34"/>
  <c r="J2135" i="34" a="1"/>
  <c r="J2135" i="34"/>
  <c r="K2135" i="34" a="1"/>
  <c r="K2135" i="34"/>
  <c r="L2135" i="34" a="1"/>
  <c r="L2135" i="34"/>
  <c r="M2135" i="34" a="1"/>
  <c r="M2135" i="34"/>
  <c r="N2135" i="34" a="1"/>
  <c r="N2135" i="34"/>
  <c r="O2135" i="34" a="1"/>
  <c r="O2135" i="34"/>
  <c r="P2135" i="34" a="1"/>
  <c r="P2135" i="34"/>
  <c r="Q2135" i="34" a="1"/>
  <c r="Q2135" i="34"/>
  <c r="I2136" i="34" a="1"/>
  <c r="I2136" i="34"/>
  <c r="J2136" i="34" a="1"/>
  <c r="J2136" i="34"/>
  <c r="K2136" i="34" a="1"/>
  <c r="K2136" i="34"/>
  <c r="L2136" i="34" a="1"/>
  <c r="L2136" i="34"/>
  <c r="M2136" i="34" a="1"/>
  <c r="M2136" i="34"/>
  <c r="N2136" i="34" a="1"/>
  <c r="N2136" i="34"/>
  <c r="O2136" i="34" a="1"/>
  <c r="O2136" i="34"/>
  <c r="P2136" i="34" a="1"/>
  <c r="P2136" i="34"/>
  <c r="Q2136" i="34" a="1"/>
  <c r="Q2136" i="34"/>
  <c r="I2137" i="34" a="1"/>
  <c r="I2137" i="34"/>
  <c r="J2137" i="34" a="1"/>
  <c r="J2137" i="34"/>
  <c r="K2137" i="34" a="1"/>
  <c r="K2137" i="34"/>
  <c r="L2137" i="34" a="1"/>
  <c r="L2137" i="34"/>
  <c r="M2137" i="34" a="1"/>
  <c r="M2137" i="34"/>
  <c r="N2137" i="34" a="1"/>
  <c r="N2137" i="34"/>
  <c r="O2137" i="34" a="1"/>
  <c r="O2137" i="34"/>
  <c r="P2137" i="34" a="1"/>
  <c r="P2137" i="34"/>
  <c r="Q2137" i="34" a="1"/>
  <c r="Q2137" i="34"/>
  <c r="I2138" i="34" a="1"/>
  <c r="I2138" i="34"/>
  <c r="J2138" i="34" a="1"/>
  <c r="J2138" i="34"/>
  <c r="K2138" i="34" a="1"/>
  <c r="K2138" i="34"/>
  <c r="L2138" i="34" a="1"/>
  <c r="L2138" i="34"/>
  <c r="M2138" i="34" a="1"/>
  <c r="M2138" i="34"/>
  <c r="N2138" i="34" a="1"/>
  <c r="N2138" i="34"/>
  <c r="O2138" i="34" a="1"/>
  <c r="O2138" i="34"/>
  <c r="P2138" i="34" a="1"/>
  <c r="P2138" i="34"/>
  <c r="Q2138" i="34" a="1"/>
  <c r="Q2138" i="34"/>
  <c r="I2139" i="34" a="1"/>
  <c r="I2139" i="34"/>
  <c r="J2139" i="34" a="1"/>
  <c r="J2139" i="34"/>
  <c r="K2139" i="34" a="1"/>
  <c r="K2139" i="34"/>
  <c r="L2139" i="34" a="1"/>
  <c r="L2139" i="34"/>
  <c r="M2139" i="34" a="1"/>
  <c r="M2139" i="34"/>
  <c r="N2139" i="34" a="1"/>
  <c r="N2139" i="34"/>
  <c r="O2139" i="34" a="1"/>
  <c r="O2139" i="34"/>
  <c r="P2139" i="34" a="1"/>
  <c r="P2139" i="34"/>
  <c r="Q2139" i="34" a="1"/>
  <c r="Q2139" i="34"/>
  <c r="I2140" i="34" a="1"/>
  <c r="I2140" i="34"/>
  <c r="J2140" i="34" a="1"/>
  <c r="J2140" i="34"/>
  <c r="K2140" i="34" a="1"/>
  <c r="K2140" i="34"/>
  <c r="L2140" i="34" a="1"/>
  <c r="L2140" i="34"/>
  <c r="M2140" i="34" a="1"/>
  <c r="M2140" i="34"/>
  <c r="N2140" i="34" a="1"/>
  <c r="N2140" i="34"/>
  <c r="O2140" i="34" a="1"/>
  <c r="O2140" i="34"/>
  <c r="P2140" i="34" a="1"/>
  <c r="P2140" i="34"/>
  <c r="Q2140" i="34" a="1"/>
  <c r="Q2140" i="34"/>
  <c r="I2141" i="34" a="1"/>
  <c r="I2141" i="34"/>
  <c r="J2141" i="34" a="1"/>
  <c r="J2141" i="34"/>
  <c r="K2141" i="34" a="1"/>
  <c r="K2141" i="34"/>
  <c r="L2141" i="34" a="1"/>
  <c r="L2141" i="34"/>
  <c r="M2141" i="34" a="1"/>
  <c r="M2141" i="34"/>
  <c r="N2141" i="34" a="1"/>
  <c r="N2141" i="34"/>
  <c r="O2141" i="34" a="1"/>
  <c r="O2141" i="34"/>
  <c r="P2141" i="34" a="1"/>
  <c r="P2141" i="34"/>
  <c r="Q2141" i="34" a="1"/>
  <c r="Q2141" i="34"/>
  <c r="I2142" i="34" a="1"/>
  <c r="I2142" i="34"/>
  <c r="J2142" i="34" a="1"/>
  <c r="J2142" i="34"/>
  <c r="K2142" i="34" a="1"/>
  <c r="K2142" i="34"/>
  <c r="L2142" i="34" a="1"/>
  <c r="L2142" i="34"/>
  <c r="M2142" i="34" a="1"/>
  <c r="M2142" i="34"/>
  <c r="N2142" i="34" a="1"/>
  <c r="N2142" i="34"/>
  <c r="O2142" i="34" a="1"/>
  <c r="O2142" i="34"/>
  <c r="P2142" i="34" a="1"/>
  <c r="P2142" i="34"/>
  <c r="Q2142" i="34" a="1"/>
  <c r="Q2142" i="34"/>
  <c r="I2143" i="34" a="1"/>
  <c r="I2143" i="34"/>
  <c r="J2143" i="34" a="1"/>
  <c r="J2143" i="34"/>
  <c r="K2143" i="34" a="1"/>
  <c r="K2143" i="34"/>
  <c r="L2143" i="34" a="1"/>
  <c r="L2143" i="34"/>
  <c r="M2143" i="34" a="1"/>
  <c r="M2143" i="34"/>
  <c r="N2143" i="34" a="1"/>
  <c r="N2143" i="34"/>
  <c r="O2143" i="34" a="1"/>
  <c r="O2143" i="34"/>
  <c r="P2143" i="34" a="1"/>
  <c r="P2143" i="34"/>
  <c r="Q2143" i="34" a="1"/>
  <c r="Q2143" i="34"/>
  <c r="I2144" i="34" a="1"/>
  <c r="I2144" i="34"/>
  <c r="J2144" i="34" a="1"/>
  <c r="J2144" i="34"/>
  <c r="K2144" i="34" a="1"/>
  <c r="K2144" i="34"/>
  <c r="L2144" i="34" a="1"/>
  <c r="L2144" i="34"/>
  <c r="M2144" i="34" a="1"/>
  <c r="M2144" i="34"/>
  <c r="N2144" i="34" a="1"/>
  <c r="N2144" i="34"/>
  <c r="O2144" i="34" a="1"/>
  <c r="O2144" i="34"/>
  <c r="P2144" i="34" a="1"/>
  <c r="P2144" i="34"/>
  <c r="Q2144" i="34" a="1"/>
  <c r="Q2144" i="34"/>
  <c r="I2145" i="34" a="1"/>
  <c r="I2145" i="34"/>
  <c r="J2145" i="34" a="1"/>
  <c r="J2145" i="34"/>
  <c r="K2145" i="34" a="1"/>
  <c r="K2145" i="34"/>
  <c r="L2145" i="34" a="1"/>
  <c r="L2145" i="34"/>
  <c r="M2145" i="34" a="1"/>
  <c r="M2145" i="34"/>
  <c r="N2145" i="34" a="1"/>
  <c r="N2145" i="34"/>
  <c r="O2145" i="34" a="1"/>
  <c r="O2145" i="34"/>
  <c r="P2145" i="34" a="1"/>
  <c r="P2145" i="34"/>
  <c r="Q2145" i="34" a="1"/>
  <c r="Q2145" i="34"/>
  <c r="I2146" i="34" a="1"/>
  <c r="I2146" i="34"/>
  <c r="J2146" i="34" a="1"/>
  <c r="J2146" i="34"/>
  <c r="K2146" i="34" a="1"/>
  <c r="K2146" i="34"/>
  <c r="L2146" i="34" a="1"/>
  <c r="L2146" i="34"/>
  <c r="M2146" i="34" a="1"/>
  <c r="M2146" i="34"/>
  <c r="N2146" i="34" a="1"/>
  <c r="N2146" i="34"/>
  <c r="O2146" i="34" a="1"/>
  <c r="O2146" i="34"/>
  <c r="P2146" i="34" a="1"/>
  <c r="P2146" i="34"/>
  <c r="Q2146" i="34" a="1"/>
  <c r="Q2146" i="34"/>
  <c r="I2147" i="34" a="1"/>
  <c r="I2147" i="34"/>
  <c r="J2147" i="34" a="1"/>
  <c r="J2147" i="34"/>
  <c r="K2147" i="34" a="1"/>
  <c r="K2147" i="34"/>
  <c r="L2147" i="34" a="1"/>
  <c r="L2147" i="34"/>
  <c r="M2147" i="34" a="1"/>
  <c r="M2147" i="34"/>
  <c r="N2147" i="34" a="1"/>
  <c r="N2147" i="34"/>
  <c r="O2147" i="34" a="1"/>
  <c r="O2147" i="34"/>
  <c r="P2147" i="34" a="1"/>
  <c r="P2147" i="34"/>
  <c r="Q2147" i="34" a="1"/>
  <c r="Q2147" i="34"/>
  <c r="I2148" i="34" a="1"/>
  <c r="I2148" i="34"/>
  <c r="J2148" i="34" a="1"/>
  <c r="J2148" i="34"/>
  <c r="K2148" i="34" a="1"/>
  <c r="K2148" i="34"/>
  <c r="L2148" i="34" a="1"/>
  <c r="L2148" i="34"/>
  <c r="M2148" i="34" a="1"/>
  <c r="M2148" i="34"/>
  <c r="N2148" i="34" a="1"/>
  <c r="N2148" i="34"/>
  <c r="O2148" i="34" a="1"/>
  <c r="O2148" i="34"/>
  <c r="P2148" i="34" a="1"/>
  <c r="P2148" i="34"/>
  <c r="Q2148" i="34" a="1"/>
  <c r="Q2148" i="34"/>
  <c r="I2149" i="34" a="1"/>
  <c r="I2149" i="34"/>
  <c r="J2149" i="34" a="1"/>
  <c r="J2149" i="34"/>
  <c r="K2149" i="34" a="1"/>
  <c r="K2149" i="34"/>
  <c r="L2149" i="34" a="1"/>
  <c r="L2149" i="34"/>
  <c r="M2149" i="34" a="1"/>
  <c r="M2149" i="34"/>
  <c r="N2149" i="34" a="1"/>
  <c r="N2149" i="34"/>
  <c r="O2149" i="34" a="1"/>
  <c r="O2149" i="34"/>
  <c r="P2149" i="34" a="1"/>
  <c r="P2149" i="34"/>
  <c r="Q2149" i="34" a="1"/>
  <c r="Q2149" i="34"/>
  <c r="I2150" i="34" a="1"/>
  <c r="I2150" i="34"/>
  <c r="J2150" i="34" a="1"/>
  <c r="J2150" i="34"/>
  <c r="K2150" i="34" a="1"/>
  <c r="K2150" i="34"/>
  <c r="L2150" i="34" a="1"/>
  <c r="L2150" i="34"/>
  <c r="M2150" i="34" a="1"/>
  <c r="M2150" i="34"/>
  <c r="N2150" i="34" a="1"/>
  <c r="N2150" i="34"/>
  <c r="O2150" i="34" a="1"/>
  <c r="O2150" i="34"/>
  <c r="P2150" i="34" a="1"/>
  <c r="P2150" i="34"/>
  <c r="Q2150" i="34" a="1"/>
  <c r="Q2150" i="34"/>
  <c r="I2151" i="34" a="1"/>
  <c r="I2151" i="34"/>
  <c r="J2151" i="34" a="1"/>
  <c r="J2151" i="34"/>
  <c r="K2151" i="34" a="1"/>
  <c r="K2151" i="34"/>
  <c r="L2151" i="34" a="1"/>
  <c r="L2151" i="34"/>
  <c r="M2151" i="34" a="1"/>
  <c r="M2151" i="34"/>
  <c r="N2151" i="34" a="1"/>
  <c r="N2151" i="34"/>
  <c r="O2151" i="34" a="1"/>
  <c r="O2151" i="34"/>
  <c r="P2151" i="34" a="1"/>
  <c r="P2151" i="34"/>
  <c r="Q2151" i="34" a="1"/>
  <c r="Q2151" i="34"/>
  <c r="I2152" i="34" a="1"/>
  <c r="I2152" i="34"/>
  <c r="J2152" i="34" a="1"/>
  <c r="J2152" i="34"/>
  <c r="K2152" i="34" a="1"/>
  <c r="K2152" i="34"/>
  <c r="L2152" i="34" a="1"/>
  <c r="L2152" i="34"/>
  <c r="M2152" i="34" a="1"/>
  <c r="M2152" i="34"/>
  <c r="N2152" i="34" a="1"/>
  <c r="N2152" i="34"/>
  <c r="O2152" i="34" a="1"/>
  <c r="O2152" i="34"/>
  <c r="P2152" i="34" a="1"/>
  <c r="P2152" i="34"/>
  <c r="Q2152" i="34" a="1"/>
  <c r="Q2152" i="34"/>
  <c r="I2153" i="34" a="1"/>
  <c r="I2153" i="34"/>
  <c r="J2153" i="34" a="1"/>
  <c r="J2153" i="34"/>
  <c r="K2153" i="34" a="1"/>
  <c r="K2153" i="34"/>
  <c r="L2153" i="34" a="1"/>
  <c r="L2153" i="34"/>
  <c r="M2153" i="34" a="1"/>
  <c r="M2153" i="34"/>
  <c r="N2153" i="34" a="1"/>
  <c r="N2153" i="34"/>
  <c r="O2153" i="34" a="1"/>
  <c r="O2153" i="34"/>
  <c r="P2153" i="34" a="1"/>
  <c r="P2153" i="34"/>
  <c r="Q2153" i="34" a="1"/>
  <c r="Q2153" i="34"/>
  <c r="I2154" i="34" a="1"/>
  <c r="I2154" i="34"/>
  <c r="J2154" i="34" a="1"/>
  <c r="J2154" i="34"/>
  <c r="K2154" i="34" a="1"/>
  <c r="K2154" i="34"/>
  <c r="L2154" i="34" a="1"/>
  <c r="L2154" i="34"/>
  <c r="M2154" i="34" a="1"/>
  <c r="M2154" i="34"/>
  <c r="N2154" i="34" a="1"/>
  <c r="N2154" i="34"/>
  <c r="O2154" i="34" a="1"/>
  <c r="O2154" i="34"/>
  <c r="P2154" i="34" a="1"/>
  <c r="P2154" i="34"/>
  <c r="Q2154" i="34" a="1"/>
  <c r="Q2154" i="34"/>
  <c r="I2155" i="34" a="1"/>
  <c r="I2155" i="34"/>
  <c r="J2155" i="34" a="1"/>
  <c r="J2155" i="34"/>
  <c r="K2155" i="34" a="1"/>
  <c r="K2155" i="34"/>
  <c r="L2155" i="34" a="1"/>
  <c r="L2155" i="34"/>
  <c r="M2155" i="34" a="1"/>
  <c r="M2155" i="34"/>
  <c r="N2155" i="34" a="1"/>
  <c r="N2155" i="34"/>
  <c r="O2155" i="34" a="1"/>
  <c r="O2155" i="34"/>
  <c r="P2155" i="34" a="1"/>
  <c r="P2155" i="34"/>
  <c r="Q2155" i="34" a="1"/>
  <c r="Q2155" i="34"/>
  <c r="I2156" i="34" a="1"/>
  <c r="I2156" i="34"/>
  <c r="J2156" i="34" a="1"/>
  <c r="J2156" i="34"/>
  <c r="K2156" i="34" a="1"/>
  <c r="K2156" i="34"/>
  <c r="L2156" i="34" a="1"/>
  <c r="L2156" i="34"/>
  <c r="M2156" i="34" a="1"/>
  <c r="M2156" i="34"/>
  <c r="N2156" i="34" a="1"/>
  <c r="N2156" i="34"/>
  <c r="O2156" i="34" a="1"/>
  <c r="O2156" i="34"/>
  <c r="P2156" i="34" a="1"/>
  <c r="P2156" i="34"/>
  <c r="Q2156" i="34" a="1"/>
  <c r="Q2156" i="34"/>
  <c r="I2157" i="34" a="1"/>
  <c r="I2157" i="34"/>
  <c r="J2157" i="34" a="1"/>
  <c r="J2157" i="34"/>
  <c r="K2157" i="34" a="1"/>
  <c r="K2157" i="34"/>
  <c r="L2157" i="34" a="1"/>
  <c r="L2157" i="34"/>
  <c r="M2157" i="34" a="1"/>
  <c r="M2157" i="34"/>
  <c r="N2157" i="34" a="1"/>
  <c r="N2157" i="34"/>
  <c r="O2157" i="34" a="1"/>
  <c r="O2157" i="34"/>
  <c r="P2157" i="34" a="1"/>
  <c r="P2157" i="34"/>
  <c r="Q2157" i="34" a="1"/>
  <c r="Q2157" i="34"/>
  <c r="I2158" i="34" a="1"/>
  <c r="I2158" i="34"/>
  <c r="J2158" i="34" a="1"/>
  <c r="J2158" i="34"/>
  <c r="K2158" i="34" a="1"/>
  <c r="K2158" i="34"/>
  <c r="L2158" i="34" a="1"/>
  <c r="L2158" i="34"/>
  <c r="M2158" i="34" a="1"/>
  <c r="M2158" i="34"/>
  <c r="N2158" i="34" a="1"/>
  <c r="N2158" i="34"/>
  <c r="O2158" i="34" a="1"/>
  <c r="O2158" i="34"/>
  <c r="P2158" i="34" a="1"/>
  <c r="P2158" i="34"/>
  <c r="Q2158" i="34" a="1"/>
  <c r="Q2158" i="34"/>
  <c r="I2069" i="34" a="1"/>
  <c r="I2069" i="34"/>
  <c r="I2159" i="34"/>
  <c r="J2069" i="34" a="1"/>
  <c r="J2069" i="34"/>
  <c r="J2159" i="34"/>
  <c r="K2069" i="34" a="1"/>
  <c r="K2069" i="34"/>
  <c r="K2159" i="34"/>
  <c r="L2069" i="34" a="1"/>
  <c r="L2069" i="34"/>
  <c r="L2159" i="34"/>
  <c r="M2069" i="34" a="1"/>
  <c r="M2069" i="34"/>
  <c r="M2159" i="34"/>
  <c r="N2069" i="34" a="1"/>
  <c r="N2069" i="34"/>
  <c r="N2159" i="34"/>
  <c r="O2069" i="34" a="1"/>
  <c r="O2069" i="34"/>
  <c r="O2159" i="34"/>
  <c r="P2069" i="34" a="1"/>
  <c r="P2069" i="34"/>
  <c r="P2159" i="34"/>
  <c r="Q2069" i="34" a="1"/>
  <c r="Q2069" i="34"/>
  <c r="Q2159" i="34"/>
  <c r="I2224" i="34"/>
  <c r="J2224" i="34"/>
  <c r="K2224" i="34"/>
  <c r="L2224" i="34"/>
  <c r="M2224" i="34"/>
  <c r="N2224" i="34"/>
  <c r="O2224" i="34"/>
  <c r="P2224" i="34"/>
  <c r="Q2224" i="34"/>
  <c r="I2225" i="34"/>
  <c r="J2225" i="34"/>
  <c r="K2225" i="34"/>
  <c r="L2225" i="34"/>
  <c r="M2225" i="34"/>
  <c r="N2225" i="34"/>
  <c r="O2225" i="34"/>
  <c r="P2225" i="34"/>
  <c r="Q2225" i="34"/>
  <c r="I2226" i="34"/>
  <c r="J2226" i="34"/>
  <c r="K2226" i="34"/>
  <c r="L2226" i="34"/>
  <c r="M2226" i="34"/>
  <c r="N2226" i="34"/>
  <c r="O2226" i="34"/>
  <c r="P2226" i="34"/>
  <c r="Q2226" i="34"/>
  <c r="I2227" i="34"/>
  <c r="J2227" i="34"/>
  <c r="K2227" i="34"/>
  <c r="L2227" i="34"/>
  <c r="M2227" i="34"/>
  <c r="N2227" i="34"/>
  <c r="O2227" i="34"/>
  <c r="P2227" i="34"/>
  <c r="Q2227" i="34"/>
  <c r="I2228" i="34"/>
  <c r="J2228" i="34"/>
  <c r="K2228" i="34"/>
  <c r="L2228" i="34"/>
  <c r="M2228" i="34"/>
  <c r="N2228" i="34"/>
  <c r="O2228" i="34"/>
  <c r="P2228" i="34"/>
  <c r="Q2228" i="34"/>
  <c r="I2229" i="34"/>
  <c r="J2229" i="34"/>
  <c r="K2229" i="34"/>
  <c r="L2229" i="34"/>
  <c r="M2229" i="34"/>
  <c r="N2229" i="34"/>
  <c r="O2229" i="34"/>
  <c r="P2229" i="34"/>
  <c r="Q2229" i="34"/>
  <c r="I2230" i="34"/>
  <c r="J2230" i="34"/>
  <c r="K2230" i="34"/>
  <c r="L2230" i="34"/>
  <c r="M2230" i="34"/>
  <c r="N2230" i="34"/>
  <c r="O2230" i="34"/>
  <c r="P2230" i="34"/>
  <c r="Q2230" i="34"/>
  <c r="I2231" i="34"/>
  <c r="J2231" i="34"/>
  <c r="K2231" i="34"/>
  <c r="L2231" i="34"/>
  <c r="M2231" i="34"/>
  <c r="N2231" i="34"/>
  <c r="O2231" i="34"/>
  <c r="P2231" i="34"/>
  <c r="Q2231" i="34"/>
  <c r="I2232" i="34"/>
  <c r="J2232" i="34"/>
  <c r="K2232" i="34"/>
  <c r="L2232" i="34"/>
  <c r="M2232" i="34"/>
  <c r="N2232" i="34"/>
  <c r="O2232" i="34"/>
  <c r="P2232" i="34"/>
  <c r="Q2232" i="34"/>
  <c r="I2233" i="34"/>
  <c r="J2233" i="34"/>
  <c r="K2233" i="34"/>
  <c r="L2233" i="34"/>
  <c r="M2233" i="34"/>
  <c r="N2233" i="34"/>
  <c r="O2233" i="34"/>
  <c r="P2233" i="34"/>
  <c r="Q2233" i="34"/>
  <c r="I2234" i="34"/>
  <c r="J2234" i="34"/>
  <c r="K2234" i="34"/>
  <c r="L2234" i="34"/>
  <c r="M2234" i="34"/>
  <c r="N2234" i="34"/>
  <c r="O2234" i="34"/>
  <c r="P2234" i="34"/>
  <c r="Q2234" i="34"/>
  <c r="I2235" i="34"/>
  <c r="J2235" i="34"/>
  <c r="K2235" i="34"/>
  <c r="L2235" i="34"/>
  <c r="M2235" i="34"/>
  <c r="N2235" i="34"/>
  <c r="O2235" i="34"/>
  <c r="P2235" i="34"/>
  <c r="Q2235" i="34"/>
  <c r="I2236" i="34"/>
  <c r="J2236" i="34"/>
  <c r="K2236" i="34"/>
  <c r="L2236" i="34"/>
  <c r="M2236" i="34"/>
  <c r="N2236" i="34"/>
  <c r="O2236" i="34"/>
  <c r="P2236" i="34"/>
  <c r="Q2236" i="34"/>
  <c r="I2237" i="34"/>
  <c r="J2237" i="34"/>
  <c r="K2237" i="34"/>
  <c r="L2237" i="34"/>
  <c r="M2237" i="34"/>
  <c r="N2237" i="34"/>
  <c r="O2237" i="34"/>
  <c r="P2237" i="34"/>
  <c r="Q2237" i="34"/>
  <c r="I2223" i="34"/>
  <c r="I2238" i="34"/>
  <c r="J2223" i="34"/>
  <c r="J2238" i="34"/>
  <c r="K2223" i="34"/>
  <c r="K2238" i="34"/>
  <c r="L2223" i="34"/>
  <c r="L2238" i="34"/>
  <c r="M2223" i="34"/>
  <c r="M2238" i="34"/>
  <c r="N2223" i="34"/>
  <c r="N2238" i="34"/>
  <c r="O2223" i="34"/>
  <c r="O2238" i="34"/>
  <c r="P2223" i="34"/>
  <c r="P2238" i="34"/>
  <c r="Q2223" i="34"/>
  <c r="Q2238" i="34"/>
  <c r="I2244" i="34"/>
  <c r="J2244" i="34"/>
  <c r="K2244" i="34"/>
  <c r="L2244" i="34"/>
  <c r="M2244" i="34"/>
  <c r="N2244" i="34"/>
  <c r="O2244" i="34"/>
  <c r="P2244" i="34"/>
  <c r="Q2244" i="34"/>
  <c r="I2245" i="34"/>
  <c r="J2245" i="34"/>
  <c r="K2245" i="34"/>
  <c r="L2245" i="34"/>
  <c r="M2245" i="34"/>
  <c r="N2245" i="34"/>
  <c r="O2245" i="34"/>
  <c r="P2245" i="34"/>
  <c r="Q2245" i="34"/>
  <c r="I2246" i="34"/>
  <c r="J2246" i="34"/>
  <c r="K2246" i="34"/>
  <c r="L2246" i="34"/>
  <c r="M2246" i="34"/>
  <c r="N2246" i="34"/>
  <c r="O2246" i="34"/>
  <c r="P2246" i="34"/>
  <c r="Q2246" i="34"/>
  <c r="I2247" i="34"/>
  <c r="J2247" i="34"/>
  <c r="K2247" i="34"/>
  <c r="L2247" i="34"/>
  <c r="M2247" i="34"/>
  <c r="N2247" i="34"/>
  <c r="O2247" i="34"/>
  <c r="P2247" i="34"/>
  <c r="Q2247" i="34"/>
  <c r="I2248" i="34"/>
  <c r="J2248" i="34"/>
  <c r="K2248" i="34"/>
  <c r="L2248" i="34"/>
  <c r="M2248" i="34"/>
  <c r="N2248" i="34"/>
  <c r="O2248" i="34"/>
  <c r="P2248" i="34"/>
  <c r="Q2248" i="34"/>
  <c r="I2249" i="34"/>
  <c r="J2249" i="34"/>
  <c r="K2249" i="34"/>
  <c r="L2249" i="34"/>
  <c r="M2249" i="34"/>
  <c r="N2249" i="34"/>
  <c r="O2249" i="34"/>
  <c r="P2249" i="34"/>
  <c r="Q2249" i="34"/>
  <c r="I2250" i="34"/>
  <c r="J2250" i="34"/>
  <c r="K2250" i="34"/>
  <c r="L2250" i="34"/>
  <c r="M2250" i="34"/>
  <c r="N2250" i="34"/>
  <c r="O2250" i="34"/>
  <c r="P2250" i="34"/>
  <c r="Q2250" i="34"/>
  <c r="I2251" i="34"/>
  <c r="J2251" i="34"/>
  <c r="K2251" i="34"/>
  <c r="L2251" i="34"/>
  <c r="M2251" i="34"/>
  <c r="N2251" i="34"/>
  <c r="O2251" i="34"/>
  <c r="P2251" i="34"/>
  <c r="Q2251" i="34"/>
  <c r="I2252" i="34"/>
  <c r="J2252" i="34"/>
  <c r="K2252" i="34"/>
  <c r="L2252" i="34"/>
  <c r="M2252" i="34"/>
  <c r="N2252" i="34"/>
  <c r="O2252" i="34"/>
  <c r="P2252" i="34"/>
  <c r="Q2252" i="34"/>
  <c r="I2253" i="34"/>
  <c r="J2253" i="34"/>
  <c r="K2253" i="34"/>
  <c r="L2253" i="34"/>
  <c r="M2253" i="34"/>
  <c r="N2253" i="34"/>
  <c r="O2253" i="34"/>
  <c r="P2253" i="34"/>
  <c r="Q2253" i="34"/>
  <c r="I2254" i="34"/>
  <c r="J2254" i="34"/>
  <c r="K2254" i="34"/>
  <c r="L2254" i="34"/>
  <c r="M2254" i="34"/>
  <c r="N2254" i="34"/>
  <c r="O2254" i="34"/>
  <c r="P2254" i="34"/>
  <c r="Q2254" i="34"/>
  <c r="I2255" i="34"/>
  <c r="J2255" i="34"/>
  <c r="K2255" i="34"/>
  <c r="L2255" i="34"/>
  <c r="M2255" i="34"/>
  <c r="N2255" i="34"/>
  <c r="O2255" i="34"/>
  <c r="P2255" i="34"/>
  <c r="Q2255" i="34"/>
  <c r="I2256" i="34"/>
  <c r="J2256" i="34"/>
  <c r="K2256" i="34"/>
  <c r="L2256" i="34"/>
  <c r="M2256" i="34"/>
  <c r="N2256" i="34"/>
  <c r="O2256" i="34"/>
  <c r="P2256" i="34"/>
  <c r="Q2256" i="34"/>
  <c r="I2257" i="34"/>
  <c r="J2257" i="34"/>
  <c r="K2257" i="34"/>
  <c r="L2257" i="34"/>
  <c r="M2257" i="34"/>
  <c r="N2257" i="34"/>
  <c r="O2257" i="34"/>
  <c r="P2257" i="34"/>
  <c r="Q2257" i="34"/>
  <c r="I2258" i="34"/>
  <c r="J2258" i="34"/>
  <c r="K2258" i="34"/>
  <c r="L2258" i="34"/>
  <c r="M2258" i="34"/>
  <c r="N2258" i="34"/>
  <c r="O2258" i="34"/>
  <c r="P2258" i="34"/>
  <c r="Q2258" i="34"/>
  <c r="I2263" i="34"/>
  <c r="J2263" i="34"/>
  <c r="K2263" i="34"/>
  <c r="L2263" i="34"/>
  <c r="M2263" i="34"/>
  <c r="N2263" i="34"/>
  <c r="O2263" i="34"/>
  <c r="P2263" i="34"/>
  <c r="Q2263" i="34"/>
  <c r="I2264" i="34"/>
  <c r="J2264" i="34"/>
  <c r="K2264" i="34"/>
  <c r="L2264" i="34"/>
  <c r="M2264" i="34"/>
  <c r="N2264" i="34"/>
  <c r="O2264" i="34"/>
  <c r="P2264" i="34"/>
  <c r="Q2264" i="34"/>
  <c r="I2265" i="34"/>
  <c r="J2265" i="34"/>
  <c r="K2265" i="34"/>
  <c r="L2265" i="34"/>
  <c r="M2265" i="34"/>
  <c r="N2265" i="34"/>
  <c r="O2265" i="34"/>
  <c r="P2265" i="34"/>
  <c r="Q2265" i="34"/>
  <c r="I2266" i="34"/>
  <c r="J2266" i="34"/>
  <c r="K2266" i="34"/>
  <c r="L2266" i="34"/>
  <c r="M2266" i="34"/>
  <c r="N2266" i="34"/>
  <c r="O2266" i="34"/>
  <c r="P2266" i="34"/>
  <c r="Q2266" i="34"/>
  <c r="I2267" i="34"/>
  <c r="J2267" i="34"/>
  <c r="K2267" i="34"/>
  <c r="L2267" i="34"/>
  <c r="M2267" i="34"/>
  <c r="N2267" i="34"/>
  <c r="O2267" i="34"/>
  <c r="P2267" i="34"/>
  <c r="Q2267" i="34"/>
  <c r="I2268" i="34"/>
  <c r="J2268" i="34"/>
  <c r="K2268" i="34"/>
  <c r="L2268" i="34"/>
  <c r="M2268" i="34"/>
  <c r="N2268" i="34"/>
  <c r="O2268" i="34"/>
  <c r="P2268" i="34"/>
  <c r="Q2268" i="34"/>
  <c r="I2269" i="34"/>
  <c r="J2269" i="34"/>
  <c r="K2269" i="34"/>
  <c r="L2269" i="34"/>
  <c r="M2269" i="34"/>
  <c r="N2269" i="34"/>
  <c r="O2269" i="34"/>
  <c r="P2269" i="34"/>
  <c r="Q2269" i="34"/>
  <c r="I2270" i="34"/>
  <c r="J2270" i="34"/>
  <c r="K2270" i="34"/>
  <c r="L2270" i="34"/>
  <c r="M2270" i="34"/>
  <c r="N2270" i="34"/>
  <c r="O2270" i="34"/>
  <c r="P2270" i="34"/>
  <c r="Q2270" i="34"/>
  <c r="I2271" i="34"/>
  <c r="J2271" i="34"/>
  <c r="K2271" i="34"/>
  <c r="L2271" i="34"/>
  <c r="M2271" i="34"/>
  <c r="N2271" i="34"/>
  <c r="O2271" i="34"/>
  <c r="P2271" i="34"/>
  <c r="Q2271" i="34"/>
  <c r="I2272" i="34"/>
  <c r="J2272" i="34"/>
  <c r="K2272" i="34"/>
  <c r="L2272" i="34"/>
  <c r="M2272" i="34"/>
  <c r="N2272" i="34"/>
  <c r="O2272" i="34"/>
  <c r="P2272" i="34"/>
  <c r="Q2272" i="34"/>
  <c r="I2273" i="34"/>
  <c r="J2273" i="34"/>
  <c r="K2273" i="34"/>
  <c r="L2273" i="34"/>
  <c r="M2273" i="34"/>
  <c r="N2273" i="34"/>
  <c r="O2273" i="34"/>
  <c r="P2273" i="34"/>
  <c r="Q2273" i="34"/>
  <c r="I2274" i="34"/>
  <c r="J2274" i="34"/>
  <c r="K2274" i="34"/>
  <c r="L2274" i="34"/>
  <c r="M2274" i="34"/>
  <c r="N2274" i="34"/>
  <c r="O2274" i="34"/>
  <c r="P2274" i="34"/>
  <c r="Q2274" i="34"/>
  <c r="I2275" i="34"/>
  <c r="J2275" i="34"/>
  <c r="K2275" i="34"/>
  <c r="L2275" i="34"/>
  <c r="M2275" i="34"/>
  <c r="N2275" i="34"/>
  <c r="O2275" i="34"/>
  <c r="P2275" i="34"/>
  <c r="Q2275" i="34"/>
  <c r="I2276" i="34"/>
  <c r="J2276" i="34"/>
  <c r="K2276" i="34"/>
  <c r="L2276" i="34"/>
  <c r="M2276" i="34"/>
  <c r="N2276" i="34"/>
  <c r="O2276" i="34"/>
  <c r="P2276" i="34"/>
  <c r="Q2276" i="34"/>
  <c r="I2277" i="34"/>
  <c r="J2277" i="34"/>
  <c r="K2277" i="34"/>
  <c r="L2277" i="34"/>
  <c r="M2277" i="34"/>
  <c r="N2277" i="34"/>
  <c r="O2277" i="34"/>
  <c r="P2277" i="34"/>
  <c r="Q2277" i="34"/>
  <c r="I2458" i="34" a="1"/>
  <c r="I2458" i="34"/>
  <c r="J2458" i="34" a="1"/>
  <c r="J2458" i="34"/>
  <c r="K2458" i="34" a="1"/>
  <c r="K2458" i="34"/>
  <c r="L2458" i="34" a="1"/>
  <c r="L2458" i="34"/>
  <c r="M2458" i="34" a="1"/>
  <c r="M2458" i="34"/>
  <c r="N2458" i="34" a="1"/>
  <c r="N2458" i="34"/>
  <c r="O2458" i="34" a="1"/>
  <c r="O2458" i="34"/>
  <c r="P2458" i="34" a="1"/>
  <c r="P2458" i="34"/>
  <c r="Q2458" i="34" a="1"/>
  <c r="Q2458" i="34"/>
  <c r="I2459" i="34" a="1"/>
  <c r="I2459" i="34"/>
  <c r="J2459" i="34" a="1"/>
  <c r="J2459" i="34"/>
  <c r="K2459" i="34" a="1"/>
  <c r="K2459" i="34"/>
  <c r="L2459" i="34" a="1"/>
  <c r="L2459" i="34"/>
  <c r="M2459" i="34" a="1"/>
  <c r="M2459" i="34"/>
  <c r="N2459" i="34" a="1"/>
  <c r="N2459" i="34"/>
  <c r="O2459" i="34" a="1"/>
  <c r="O2459" i="34"/>
  <c r="P2459" i="34" a="1"/>
  <c r="P2459" i="34"/>
  <c r="Q2459" i="34" a="1"/>
  <c r="Q2459" i="34"/>
  <c r="I2460" i="34" a="1"/>
  <c r="I2460" i="34"/>
  <c r="J2460" i="34" a="1"/>
  <c r="J2460" i="34"/>
  <c r="K2460" i="34" a="1"/>
  <c r="K2460" i="34"/>
  <c r="L2460" i="34" a="1"/>
  <c r="L2460" i="34"/>
  <c r="M2460" i="34" a="1"/>
  <c r="M2460" i="34"/>
  <c r="N2460" i="34" a="1"/>
  <c r="N2460" i="34"/>
  <c r="O2460" i="34" a="1"/>
  <c r="O2460" i="34"/>
  <c r="P2460" i="34" a="1"/>
  <c r="P2460" i="34"/>
  <c r="Q2460" i="34" a="1"/>
  <c r="Q2460" i="34"/>
  <c r="I2461" i="34" a="1"/>
  <c r="I2461" i="34"/>
  <c r="J2461" i="34" a="1"/>
  <c r="J2461" i="34"/>
  <c r="K2461" i="34" a="1"/>
  <c r="K2461" i="34"/>
  <c r="L2461" i="34" a="1"/>
  <c r="L2461" i="34"/>
  <c r="M2461" i="34" a="1"/>
  <c r="M2461" i="34"/>
  <c r="N2461" i="34" a="1"/>
  <c r="N2461" i="34"/>
  <c r="O2461" i="34" a="1"/>
  <c r="O2461" i="34"/>
  <c r="P2461" i="34" a="1"/>
  <c r="P2461" i="34"/>
  <c r="Q2461" i="34" a="1"/>
  <c r="Q2461" i="34"/>
  <c r="I2462" i="34" a="1"/>
  <c r="I2462" i="34"/>
  <c r="J2462" i="34" a="1"/>
  <c r="J2462" i="34"/>
  <c r="K2462" i="34" a="1"/>
  <c r="K2462" i="34"/>
  <c r="L2462" i="34" a="1"/>
  <c r="L2462" i="34"/>
  <c r="M2462" i="34" a="1"/>
  <c r="M2462" i="34"/>
  <c r="N2462" i="34" a="1"/>
  <c r="N2462" i="34"/>
  <c r="O2462" i="34" a="1"/>
  <c r="O2462" i="34"/>
  <c r="P2462" i="34" a="1"/>
  <c r="P2462" i="34"/>
  <c r="Q2462" i="34" a="1"/>
  <c r="Q2462" i="34"/>
  <c r="I2463" i="34" a="1"/>
  <c r="I2463" i="34"/>
  <c r="J2463" i="34" a="1"/>
  <c r="J2463" i="34"/>
  <c r="K2463" i="34" a="1"/>
  <c r="K2463" i="34"/>
  <c r="L2463" i="34" a="1"/>
  <c r="L2463" i="34"/>
  <c r="M2463" i="34" a="1"/>
  <c r="M2463" i="34"/>
  <c r="N2463" i="34" a="1"/>
  <c r="N2463" i="34"/>
  <c r="O2463" i="34" a="1"/>
  <c r="O2463" i="34"/>
  <c r="P2463" i="34" a="1"/>
  <c r="P2463" i="34"/>
  <c r="Q2463" i="34" a="1"/>
  <c r="Q2463" i="34"/>
  <c r="I2464" i="34" a="1"/>
  <c r="I2464" i="34"/>
  <c r="J2464" i="34" a="1"/>
  <c r="J2464" i="34"/>
  <c r="K2464" i="34" a="1"/>
  <c r="K2464" i="34"/>
  <c r="L2464" i="34" a="1"/>
  <c r="L2464" i="34"/>
  <c r="M2464" i="34" a="1"/>
  <c r="M2464" i="34"/>
  <c r="N2464" i="34" a="1"/>
  <c r="N2464" i="34"/>
  <c r="O2464" i="34" a="1"/>
  <c r="O2464" i="34"/>
  <c r="P2464" i="34" a="1"/>
  <c r="P2464" i="34"/>
  <c r="Q2464" i="34" a="1"/>
  <c r="Q2464" i="34"/>
  <c r="I2465" i="34" a="1"/>
  <c r="I2465" i="34"/>
  <c r="J2465" i="34" a="1"/>
  <c r="J2465" i="34"/>
  <c r="K2465" i="34" a="1"/>
  <c r="K2465" i="34"/>
  <c r="L2465" i="34" a="1"/>
  <c r="L2465" i="34"/>
  <c r="M2465" i="34" a="1"/>
  <c r="M2465" i="34"/>
  <c r="N2465" i="34" a="1"/>
  <c r="N2465" i="34"/>
  <c r="O2465" i="34" a="1"/>
  <c r="O2465" i="34"/>
  <c r="P2465" i="34" a="1"/>
  <c r="P2465" i="34"/>
  <c r="Q2465" i="34" a="1"/>
  <c r="Q2465" i="34"/>
  <c r="I2466" i="34" a="1"/>
  <c r="I2466" i="34"/>
  <c r="J2466" i="34" a="1"/>
  <c r="J2466" i="34"/>
  <c r="K2466" i="34" a="1"/>
  <c r="K2466" i="34"/>
  <c r="L2466" i="34" a="1"/>
  <c r="L2466" i="34"/>
  <c r="M2466" i="34" a="1"/>
  <c r="M2466" i="34"/>
  <c r="N2466" i="34" a="1"/>
  <c r="N2466" i="34"/>
  <c r="O2466" i="34" a="1"/>
  <c r="O2466" i="34"/>
  <c r="P2466" i="34" a="1"/>
  <c r="P2466" i="34"/>
  <c r="Q2466" i="34" a="1"/>
  <c r="Q2466" i="34"/>
  <c r="I2467" i="34" a="1"/>
  <c r="I2467" i="34"/>
  <c r="J2467" i="34" a="1"/>
  <c r="J2467" i="34"/>
  <c r="K2467" i="34" a="1"/>
  <c r="K2467" i="34"/>
  <c r="L2467" i="34" a="1"/>
  <c r="L2467" i="34"/>
  <c r="M2467" i="34" a="1"/>
  <c r="M2467" i="34"/>
  <c r="N2467" i="34" a="1"/>
  <c r="N2467" i="34"/>
  <c r="O2467" i="34" a="1"/>
  <c r="O2467" i="34"/>
  <c r="P2467" i="34" a="1"/>
  <c r="P2467" i="34"/>
  <c r="Q2467" i="34" a="1"/>
  <c r="Q2467" i="34"/>
  <c r="I2468" i="34" a="1"/>
  <c r="I2468" i="34"/>
  <c r="J2468" i="34" a="1"/>
  <c r="J2468" i="34"/>
  <c r="K2468" i="34" a="1"/>
  <c r="K2468" i="34"/>
  <c r="L2468" i="34" a="1"/>
  <c r="L2468" i="34"/>
  <c r="M2468" i="34" a="1"/>
  <c r="M2468" i="34"/>
  <c r="N2468" i="34" a="1"/>
  <c r="N2468" i="34"/>
  <c r="O2468" i="34" a="1"/>
  <c r="O2468" i="34"/>
  <c r="P2468" i="34" a="1"/>
  <c r="P2468" i="34"/>
  <c r="Q2468" i="34" a="1"/>
  <c r="Q2468" i="34"/>
  <c r="I2469" i="34" a="1"/>
  <c r="I2469" i="34"/>
  <c r="J2469" i="34" a="1"/>
  <c r="J2469" i="34"/>
  <c r="K2469" i="34" a="1"/>
  <c r="K2469" i="34"/>
  <c r="L2469" i="34" a="1"/>
  <c r="L2469" i="34"/>
  <c r="M2469" i="34" a="1"/>
  <c r="M2469" i="34"/>
  <c r="N2469" i="34" a="1"/>
  <c r="N2469" i="34"/>
  <c r="O2469" i="34" a="1"/>
  <c r="O2469" i="34"/>
  <c r="P2469" i="34" a="1"/>
  <c r="P2469" i="34"/>
  <c r="Q2469" i="34" a="1"/>
  <c r="Q2469" i="34"/>
  <c r="I2470" i="34" a="1"/>
  <c r="I2470" i="34"/>
  <c r="J2470" i="34" a="1"/>
  <c r="J2470" i="34"/>
  <c r="K2470" i="34" a="1"/>
  <c r="K2470" i="34"/>
  <c r="L2470" i="34" a="1"/>
  <c r="L2470" i="34"/>
  <c r="M2470" i="34" a="1"/>
  <c r="M2470" i="34"/>
  <c r="N2470" i="34" a="1"/>
  <c r="N2470" i="34"/>
  <c r="O2470" i="34" a="1"/>
  <c r="O2470" i="34"/>
  <c r="P2470" i="34" a="1"/>
  <c r="P2470" i="34"/>
  <c r="Q2470" i="34" a="1"/>
  <c r="Q2470" i="34"/>
  <c r="I2471" i="34" a="1"/>
  <c r="I2471" i="34"/>
  <c r="J2471" i="34" a="1"/>
  <c r="J2471" i="34"/>
  <c r="K2471" i="34" a="1"/>
  <c r="K2471" i="34"/>
  <c r="L2471" i="34" a="1"/>
  <c r="L2471" i="34"/>
  <c r="M2471" i="34" a="1"/>
  <c r="M2471" i="34"/>
  <c r="N2471" i="34" a="1"/>
  <c r="N2471" i="34"/>
  <c r="O2471" i="34" a="1"/>
  <c r="O2471" i="34"/>
  <c r="P2471" i="34" a="1"/>
  <c r="P2471" i="34"/>
  <c r="Q2471" i="34" a="1"/>
  <c r="Q2471" i="34"/>
  <c r="I2457" i="34" a="1"/>
  <c r="I2457" i="34"/>
  <c r="I2472" i="34"/>
  <c r="J2457" i="34" a="1"/>
  <c r="J2457" i="34"/>
  <c r="J2472" i="34"/>
  <c r="K2457" i="34" a="1"/>
  <c r="K2457" i="34"/>
  <c r="K2472" i="34"/>
  <c r="L2457" i="34" a="1"/>
  <c r="L2457" i="34"/>
  <c r="L2472" i="34"/>
  <c r="M2457" i="34" a="1"/>
  <c r="M2457" i="34"/>
  <c r="M2472" i="34"/>
  <c r="N2457" i="34" a="1"/>
  <c r="N2457" i="34"/>
  <c r="N2472" i="34"/>
  <c r="O2457" i="34" a="1"/>
  <c r="O2457" i="34"/>
  <c r="O2472" i="34"/>
  <c r="P2457" i="34" a="1"/>
  <c r="P2457" i="34"/>
  <c r="P2472" i="34"/>
  <c r="Q2457" i="34" a="1"/>
  <c r="Q2457" i="34"/>
  <c r="Q2472" i="34"/>
  <c r="I2478" i="34" a="1"/>
  <c r="I2478" i="34"/>
  <c r="J2478" i="34" a="1"/>
  <c r="J2478" i="34"/>
  <c r="K2478" i="34" a="1"/>
  <c r="K2478" i="34"/>
  <c r="L2478" i="34" a="1"/>
  <c r="L2478" i="34"/>
  <c r="M2478" i="34" a="1"/>
  <c r="M2478" i="34"/>
  <c r="N2478" i="34" a="1"/>
  <c r="N2478" i="34"/>
  <c r="O2478" i="34" a="1"/>
  <c r="O2478" i="34"/>
  <c r="P2478" i="34" a="1"/>
  <c r="P2478" i="34"/>
  <c r="Q2478" i="34" a="1"/>
  <c r="Q2478" i="34"/>
  <c r="I2479" i="34" a="1"/>
  <c r="I2479" i="34"/>
  <c r="J2479" i="34" a="1"/>
  <c r="J2479" i="34"/>
  <c r="K2479" i="34" a="1"/>
  <c r="K2479" i="34"/>
  <c r="L2479" i="34" a="1"/>
  <c r="L2479" i="34"/>
  <c r="M2479" i="34" a="1"/>
  <c r="M2479" i="34"/>
  <c r="N2479" i="34" a="1"/>
  <c r="N2479" i="34"/>
  <c r="O2479" i="34" a="1"/>
  <c r="O2479" i="34"/>
  <c r="P2479" i="34" a="1"/>
  <c r="P2479" i="34"/>
  <c r="Q2479" i="34" a="1"/>
  <c r="Q2479" i="34"/>
  <c r="I2480" i="34" a="1"/>
  <c r="I2480" i="34"/>
  <c r="J2480" i="34" a="1"/>
  <c r="J2480" i="34"/>
  <c r="K2480" i="34" a="1"/>
  <c r="K2480" i="34"/>
  <c r="L2480" i="34" a="1"/>
  <c r="L2480" i="34"/>
  <c r="M2480" i="34" a="1"/>
  <c r="M2480" i="34"/>
  <c r="N2480" i="34" a="1"/>
  <c r="N2480" i="34"/>
  <c r="O2480" i="34" a="1"/>
  <c r="O2480" i="34"/>
  <c r="P2480" i="34" a="1"/>
  <c r="P2480" i="34"/>
  <c r="Q2480" i="34" a="1"/>
  <c r="Q2480" i="34"/>
  <c r="I2481" i="34" a="1"/>
  <c r="I2481" i="34"/>
  <c r="J2481" i="34" a="1"/>
  <c r="J2481" i="34"/>
  <c r="K2481" i="34" a="1"/>
  <c r="K2481" i="34"/>
  <c r="L2481" i="34" a="1"/>
  <c r="L2481" i="34"/>
  <c r="M2481" i="34" a="1"/>
  <c r="M2481" i="34"/>
  <c r="N2481" i="34" a="1"/>
  <c r="N2481" i="34"/>
  <c r="O2481" i="34" a="1"/>
  <c r="O2481" i="34"/>
  <c r="P2481" i="34" a="1"/>
  <c r="P2481" i="34"/>
  <c r="Q2481" i="34" a="1"/>
  <c r="Q2481" i="34"/>
  <c r="I2482" i="34" a="1"/>
  <c r="I2482" i="34"/>
  <c r="J2482" i="34" a="1"/>
  <c r="J2482" i="34"/>
  <c r="K2482" i="34" a="1"/>
  <c r="K2482" i="34"/>
  <c r="L2482" i="34" a="1"/>
  <c r="L2482" i="34"/>
  <c r="M2482" i="34" a="1"/>
  <c r="M2482" i="34"/>
  <c r="N2482" i="34" a="1"/>
  <c r="N2482" i="34"/>
  <c r="O2482" i="34" a="1"/>
  <c r="O2482" i="34"/>
  <c r="P2482" i="34" a="1"/>
  <c r="P2482" i="34"/>
  <c r="Q2482" i="34" a="1"/>
  <c r="Q2482" i="34"/>
  <c r="I2483" i="34" a="1"/>
  <c r="I2483" i="34"/>
  <c r="J2483" i="34" a="1"/>
  <c r="J2483" i="34"/>
  <c r="K2483" i="34" a="1"/>
  <c r="K2483" i="34"/>
  <c r="L2483" i="34" a="1"/>
  <c r="L2483" i="34"/>
  <c r="M2483" i="34" a="1"/>
  <c r="M2483" i="34"/>
  <c r="N2483" i="34" a="1"/>
  <c r="N2483" i="34"/>
  <c r="O2483" i="34" a="1"/>
  <c r="O2483" i="34"/>
  <c r="P2483" i="34" a="1"/>
  <c r="P2483" i="34"/>
  <c r="Q2483" i="34" a="1"/>
  <c r="Q2483" i="34"/>
  <c r="I2484" i="34" a="1"/>
  <c r="I2484" i="34"/>
  <c r="J2484" i="34" a="1"/>
  <c r="J2484" i="34"/>
  <c r="K2484" i="34" a="1"/>
  <c r="K2484" i="34"/>
  <c r="L2484" i="34" a="1"/>
  <c r="L2484" i="34"/>
  <c r="M2484" i="34" a="1"/>
  <c r="M2484" i="34"/>
  <c r="N2484" i="34" a="1"/>
  <c r="N2484" i="34"/>
  <c r="O2484" i="34" a="1"/>
  <c r="O2484" i="34"/>
  <c r="P2484" i="34" a="1"/>
  <c r="P2484" i="34"/>
  <c r="Q2484" i="34" a="1"/>
  <c r="Q2484" i="34"/>
  <c r="I2485" i="34" a="1"/>
  <c r="I2485" i="34"/>
  <c r="J2485" i="34" a="1"/>
  <c r="J2485" i="34"/>
  <c r="K2485" i="34" a="1"/>
  <c r="K2485" i="34"/>
  <c r="L2485" i="34" a="1"/>
  <c r="L2485" i="34"/>
  <c r="M2485" i="34" a="1"/>
  <c r="M2485" i="34"/>
  <c r="N2485" i="34" a="1"/>
  <c r="N2485" i="34"/>
  <c r="O2485" i="34" a="1"/>
  <c r="O2485" i="34"/>
  <c r="P2485" i="34" a="1"/>
  <c r="P2485" i="34"/>
  <c r="Q2485" i="34" a="1"/>
  <c r="Q2485" i="34"/>
  <c r="I2486" i="34" a="1"/>
  <c r="I2486" i="34"/>
  <c r="J2486" i="34" a="1"/>
  <c r="J2486" i="34"/>
  <c r="K2486" i="34" a="1"/>
  <c r="K2486" i="34"/>
  <c r="L2486" i="34" a="1"/>
  <c r="L2486" i="34"/>
  <c r="M2486" i="34" a="1"/>
  <c r="M2486" i="34"/>
  <c r="N2486" i="34" a="1"/>
  <c r="N2486" i="34"/>
  <c r="O2486" i="34" a="1"/>
  <c r="O2486" i="34"/>
  <c r="P2486" i="34" a="1"/>
  <c r="P2486" i="34"/>
  <c r="Q2486" i="34" a="1"/>
  <c r="Q2486" i="34"/>
  <c r="I2487" i="34" a="1"/>
  <c r="I2487" i="34"/>
  <c r="J2487" i="34" a="1"/>
  <c r="J2487" i="34"/>
  <c r="K2487" i="34" a="1"/>
  <c r="K2487" i="34"/>
  <c r="L2487" i="34" a="1"/>
  <c r="L2487" i="34"/>
  <c r="M2487" i="34" a="1"/>
  <c r="M2487" i="34"/>
  <c r="N2487" i="34" a="1"/>
  <c r="N2487" i="34"/>
  <c r="O2487" i="34" a="1"/>
  <c r="O2487" i="34"/>
  <c r="P2487" i="34" a="1"/>
  <c r="P2487" i="34"/>
  <c r="Q2487" i="34" a="1"/>
  <c r="Q2487" i="34"/>
  <c r="I2488" i="34" a="1"/>
  <c r="I2488" i="34"/>
  <c r="J2488" i="34" a="1"/>
  <c r="J2488" i="34"/>
  <c r="K2488" i="34" a="1"/>
  <c r="K2488" i="34"/>
  <c r="L2488" i="34" a="1"/>
  <c r="L2488" i="34"/>
  <c r="M2488" i="34" a="1"/>
  <c r="M2488" i="34"/>
  <c r="N2488" i="34" a="1"/>
  <c r="N2488" i="34"/>
  <c r="O2488" i="34" a="1"/>
  <c r="O2488" i="34"/>
  <c r="P2488" i="34" a="1"/>
  <c r="P2488" i="34"/>
  <c r="Q2488" i="34" a="1"/>
  <c r="Q2488" i="34"/>
  <c r="I2489" i="34" a="1"/>
  <c r="I2489" i="34"/>
  <c r="J2489" i="34" a="1"/>
  <c r="J2489" i="34"/>
  <c r="K2489" i="34" a="1"/>
  <c r="K2489" i="34"/>
  <c r="L2489" i="34" a="1"/>
  <c r="L2489" i="34"/>
  <c r="M2489" i="34" a="1"/>
  <c r="M2489" i="34"/>
  <c r="N2489" i="34" a="1"/>
  <c r="N2489" i="34"/>
  <c r="O2489" i="34" a="1"/>
  <c r="O2489" i="34"/>
  <c r="P2489" i="34" a="1"/>
  <c r="P2489" i="34"/>
  <c r="Q2489" i="34" a="1"/>
  <c r="Q2489" i="34"/>
  <c r="I2490" i="34" a="1"/>
  <c r="I2490" i="34"/>
  <c r="J2490" i="34" a="1"/>
  <c r="J2490" i="34"/>
  <c r="K2490" i="34" a="1"/>
  <c r="K2490" i="34"/>
  <c r="L2490" i="34" a="1"/>
  <c r="L2490" i="34"/>
  <c r="M2490" i="34" a="1"/>
  <c r="M2490" i="34"/>
  <c r="N2490" i="34" a="1"/>
  <c r="N2490" i="34"/>
  <c r="O2490" i="34" a="1"/>
  <c r="O2490" i="34"/>
  <c r="P2490" i="34" a="1"/>
  <c r="P2490" i="34"/>
  <c r="Q2490" i="34" a="1"/>
  <c r="Q2490" i="34"/>
  <c r="I2491" i="34" a="1"/>
  <c r="I2491" i="34"/>
  <c r="J2491" i="34" a="1"/>
  <c r="J2491" i="34"/>
  <c r="K2491" i="34" a="1"/>
  <c r="K2491" i="34"/>
  <c r="L2491" i="34" a="1"/>
  <c r="L2491" i="34"/>
  <c r="M2491" i="34" a="1"/>
  <c r="M2491" i="34"/>
  <c r="N2491" i="34" a="1"/>
  <c r="N2491" i="34"/>
  <c r="O2491" i="34" a="1"/>
  <c r="O2491" i="34"/>
  <c r="P2491" i="34" a="1"/>
  <c r="P2491" i="34"/>
  <c r="Q2491" i="34" a="1"/>
  <c r="Q2491" i="34"/>
  <c r="I2477" i="34" a="1"/>
  <c r="I2477" i="34"/>
  <c r="I2492" i="34"/>
  <c r="J2477" i="34" a="1"/>
  <c r="J2477" i="34"/>
  <c r="J2492" i="34"/>
  <c r="K2477" i="34" a="1"/>
  <c r="K2477" i="34"/>
  <c r="K2492" i="34"/>
  <c r="L2477" i="34" a="1"/>
  <c r="L2477" i="34"/>
  <c r="L2492" i="34"/>
  <c r="M2477" i="34" a="1"/>
  <c r="M2477" i="34"/>
  <c r="M2492" i="34"/>
  <c r="N2477" i="34" a="1"/>
  <c r="N2477" i="34"/>
  <c r="N2492" i="34"/>
  <c r="O2477" i="34" a="1"/>
  <c r="O2477" i="34"/>
  <c r="O2492" i="34"/>
  <c r="P2477" i="34" a="1"/>
  <c r="P2477" i="34"/>
  <c r="P2492" i="34"/>
  <c r="Q2477" i="34" a="1"/>
  <c r="Q2477" i="34"/>
  <c r="Q2492" i="34"/>
  <c r="I2499" i="34" a="1"/>
  <c r="I2499" i="34"/>
  <c r="J2499" i="34" a="1"/>
  <c r="J2499" i="34"/>
  <c r="K2499" i="34" a="1"/>
  <c r="K2499" i="34"/>
  <c r="L2499" i="34" a="1"/>
  <c r="L2499" i="34"/>
  <c r="M2499" i="34" a="1"/>
  <c r="M2499" i="34"/>
  <c r="N2499" i="34" a="1"/>
  <c r="N2499" i="34"/>
  <c r="O2499" i="34" a="1"/>
  <c r="O2499" i="34"/>
  <c r="P2499" i="34" a="1"/>
  <c r="P2499" i="34"/>
  <c r="Q2499" i="34" a="1"/>
  <c r="Q2499" i="34"/>
  <c r="I2500" i="34" a="1"/>
  <c r="I2500" i="34"/>
  <c r="J2500" i="34" a="1"/>
  <c r="J2500" i="34"/>
  <c r="K2500" i="34" a="1"/>
  <c r="K2500" i="34"/>
  <c r="L2500" i="34" a="1"/>
  <c r="L2500" i="34"/>
  <c r="M2500" i="34" a="1"/>
  <c r="M2500" i="34"/>
  <c r="N2500" i="34" a="1"/>
  <c r="N2500" i="34"/>
  <c r="O2500" i="34" a="1"/>
  <c r="O2500" i="34"/>
  <c r="P2500" i="34" a="1"/>
  <c r="P2500" i="34"/>
  <c r="Q2500" i="34" a="1"/>
  <c r="Q2500" i="34"/>
  <c r="I2501" i="34" a="1"/>
  <c r="I2501" i="34"/>
  <c r="J2501" i="34" a="1"/>
  <c r="J2501" i="34"/>
  <c r="K2501" i="34" a="1"/>
  <c r="K2501" i="34"/>
  <c r="L2501" i="34" a="1"/>
  <c r="L2501" i="34"/>
  <c r="M2501" i="34" a="1"/>
  <c r="M2501" i="34"/>
  <c r="N2501" i="34" a="1"/>
  <c r="N2501" i="34"/>
  <c r="O2501" i="34" a="1"/>
  <c r="O2501" i="34"/>
  <c r="P2501" i="34" a="1"/>
  <c r="P2501" i="34"/>
  <c r="Q2501" i="34" a="1"/>
  <c r="Q2501" i="34"/>
  <c r="I2502" i="34" a="1"/>
  <c r="I2502" i="34"/>
  <c r="J2502" i="34" a="1"/>
  <c r="J2502" i="34"/>
  <c r="K2502" i="34" a="1"/>
  <c r="K2502" i="34"/>
  <c r="L2502" i="34" a="1"/>
  <c r="L2502" i="34"/>
  <c r="M2502" i="34" a="1"/>
  <c r="M2502" i="34"/>
  <c r="N2502" i="34" a="1"/>
  <c r="N2502" i="34"/>
  <c r="O2502" i="34" a="1"/>
  <c r="O2502" i="34"/>
  <c r="P2502" i="34" a="1"/>
  <c r="P2502" i="34"/>
  <c r="Q2502" i="34" a="1"/>
  <c r="Q2502" i="34"/>
  <c r="I2503" i="34" a="1"/>
  <c r="I2503" i="34"/>
  <c r="J2503" i="34" a="1"/>
  <c r="J2503" i="34"/>
  <c r="K2503" i="34" a="1"/>
  <c r="K2503" i="34"/>
  <c r="L2503" i="34" a="1"/>
  <c r="L2503" i="34"/>
  <c r="M2503" i="34" a="1"/>
  <c r="M2503" i="34"/>
  <c r="N2503" i="34" a="1"/>
  <c r="N2503" i="34"/>
  <c r="O2503" i="34" a="1"/>
  <c r="O2503" i="34"/>
  <c r="P2503" i="34" a="1"/>
  <c r="P2503" i="34"/>
  <c r="Q2503" i="34" a="1"/>
  <c r="Q2503" i="34"/>
  <c r="I2504" i="34" a="1"/>
  <c r="I2504" i="34"/>
  <c r="J2504" i="34" a="1"/>
  <c r="J2504" i="34"/>
  <c r="K2504" i="34" a="1"/>
  <c r="K2504" i="34"/>
  <c r="L2504" i="34" a="1"/>
  <c r="L2504" i="34"/>
  <c r="M2504" i="34" a="1"/>
  <c r="M2504" i="34"/>
  <c r="N2504" i="34" a="1"/>
  <c r="N2504" i="34"/>
  <c r="O2504" i="34" a="1"/>
  <c r="O2504" i="34"/>
  <c r="P2504" i="34" a="1"/>
  <c r="P2504" i="34"/>
  <c r="Q2504" i="34" a="1"/>
  <c r="Q2504" i="34"/>
  <c r="I2505" i="34" a="1"/>
  <c r="I2505" i="34"/>
  <c r="J2505" i="34" a="1"/>
  <c r="J2505" i="34"/>
  <c r="K2505" i="34" a="1"/>
  <c r="K2505" i="34"/>
  <c r="L2505" i="34" a="1"/>
  <c r="L2505" i="34"/>
  <c r="M2505" i="34" a="1"/>
  <c r="M2505" i="34"/>
  <c r="N2505" i="34" a="1"/>
  <c r="N2505" i="34"/>
  <c r="O2505" i="34" a="1"/>
  <c r="O2505" i="34"/>
  <c r="P2505" i="34" a="1"/>
  <c r="P2505" i="34"/>
  <c r="Q2505" i="34" a="1"/>
  <c r="Q2505" i="34"/>
  <c r="I2506" i="34" a="1"/>
  <c r="I2506" i="34"/>
  <c r="J2506" i="34" a="1"/>
  <c r="J2506" i="34"/>
  <c r="K2506" i="34" a="1"/>
  <c r="K2506" i="34"/>
  <c r="L2506" i="34" a="1"/>
  <c r="L2506" i="34"/>
  <c r="M2506" i="34" a="1"/>
  <c r="M2506" i="34"/>
  <c r="N2506" i="34" a="1"/>
  <c r="N2506" i="34"/>
  <c r="O2506" i="34" a="1"/>
  <c r="O2506" i="34"/>
  <c r="P2506" i="34" a="1"/>
  <c r="P2506" i="34"/>
  <c r="Q2506" i="34" a="1"/>
  <c r="Q2506" i="34"/>
  <c r="I2507" i="34" a="1"/>
  <c r="I2507" i="34"/>
  <c r="J2507" i="34" a="1"/>
  <c r="J2507" i="34"/>
  <c r="K2507" i="34" a="1"/>
  <c r="K2507" i="34"/>
  <c r="L2507" i="34" a="1"/>
  <c r="L2507" i="34"/>
  <c r="M2507" i="34" a="1"/>
  <c r="M2507" i="34"/>
  <c r="N2507" i="34" a="1"/>
  <c r="N2507" i="34"/>
  <c r="O2507" i="34" a="1"/>
  <c r="O2507" i="34"/>
  <c r="P2507" i="34" a="1"/>
  <c r="P2507" i="34"/>
  <c r="Q2507" i="34" a="1"/>
  <c r="Q2507" i="34"/>
  <c r="I2508" i="34" a="1"/>
  <c r="I2508" i="34"/>
  <c r="J2508" i="34" a="1"/>
  <c r="J2508" i="34"/>
  <c r="K2508" i="34" a="1"/>
  <c r="K2508" i="34"/>
  <c r="L2508" i="34" a="1"/>
  <c r="L2508" i="34"/>
  <c r="M2508" i="34" a="1"/>
  <c r="M2508" i="34"/>
  <c r="N2508" i="34" a="1"/>
  <c r="N2508" i="34"/>
  <c r="O2508" i="34" a="1"/>
  <c r="O2508" i="34"/>
  <c r="P2508" i="34" a="1"/>
  <c r="P2508" i="34"/>
  <c r="Q2508" i="34" a="1"/>
  <c r="Q2508" i="34"/>
  <c r="I2509" i="34" a="1"/>
  <c r="I2509" i="34"/>
  <c r="J2509" i="34" a="1"/>
  <c r="J2509" i="34"/>
  <c r="K2509" i="34" a="1"/>
  <c r="K2509" i="34"/>
  <c r="L2509" i="34" a="1"/>
  <c r="L2509" i="34"/>
  <c r="M2509" i="34" a="1"/>
  <c r="M2509" i="34"/>
  <c r="N2509" i="34" a="1"/>
  <c r="N2509" i="34"/>
  <c r="O2509" i="34" a="1"/>
  <c r="O2509" i="34"/>
  <c r="P2509" i="34" a="1"/>
  <c r="P2509" i="34"/>
  <c r="Q2509" i="34" a="1"/>
  <c r="Q2509" i="34"/>
  <c r="I2510" i="34" a="1"/>
  <c r="I2510" i="34"/>
  <c r="J2510" i="34" a="1"/>
  <c r="J2510" i="34"/>
  <c r="K2510" i="34" a="1"/>
  <c r="K2510" i="34"/>
  <c r="L2510" i="34" a="1"/>
  <c r="L2510" i="34"/>
  <c r="M2510" i="34" a="1"/>
  <c r="M2510" i="34"/>
  <c r="N2510" i="34" a="1"/>
  <c r="N2510" i="34"/>
  <c r="O2510" i="34" a="1"/>
  <c r="O2510" i="34"/>
  <c r="P2510" i="34" a="1"/>
  <c r="P2510" i="34"/>
  <c r="Q2510" i="34" a="1"/>
  <c r="Q2510" i="34"/>
  <c r="I2511" i="34" a="1"/>
  <c r="I2511" i="34"/>
  <c r="J2511" i="34" a="1"/>
  <c r="J2511" i="34"/>
  <c r="K2511" i="34" a="1"/>
  <c r="K2511" i="34"/>
  <c r="L2511" i="34" a="1"/>
  <c r="L2511" i="34"/>
  <c r="M2511" i="34" a="1"/>
  <c r="M2511" i="34"/>
  <c r="N2511" i="34" a="1"/>
  <c r="N2511" i="34"/>
  <c r="O2511" i="34" a="1"/>
  <c r="O2511" i="34"/>
  <c r="P2511" i="34" a="1"/>
  <c r="P2511" i="34"/>
  <c r="Q2511" i="34" a="1"/>
  <c r="Q2511" i="34"/>
  <c r="I2512" i="34" a="1"/>
  <c r="I2512" i="34"/>
  <c r="J2512" i="34" a="1"/>
  <c r="J2512" i="34"/>
  <c r="K2512" i="34" a="1"/>
  <c r="K2512" i="34"/>
  <c r="L2512" i="34" a="1"/>
  <c r="L2512" i="34"/>
  <c r="M2512" i="34" a="1"/>
  <c r="M2512" i="34"/>
  <c r="N2512" i="34" a="1"/>
  <c r="N2512" i="34"/>
  <c r="O2512" i="34" a="1"/>
  <c r="O2512" i="34"/>
  <c r="P2512" i="34" a="1"/>
  <c r="P2512" i="34"/>
  <c r="Q2512" i="34" a="1"/>
  <c r="Q2512" i="34"/>
  <c r="I2498" i="34" a="1"/>
  <c r="I2498" i="34"/>
  <c r="I2513" i="34"/>
  <c r="J2498" i="34" a="1"/>
  <c r="J2498" i="34"/>
  <c r="J2513" i="34"/>
  <c r="K2498" i="34" a="1"/>
  <c r="K2498" i="34"/>
  <c r="K2513" i="34"/>
  <c r="L2498" i="34" a="1"/>
  <c r="L2498" i="34"/>
  <c r="L2513" i="34"/>
  <c r="M2498" i="34" a="1"/>
  <c r="M2498" i="34"/>
  <c r="M2513" i="34"/>
  <c r="N2498" i="34" a="1"/>
  <c r="N2498" i="34"/>
  <c r="N2513" i="34"/>
  <c r="O2498" i="34" a="1"/>
  <c r="O2498" i="34"/>
  <c r="O2513" i="34"/>
  <c r="P2498" i="34" a="1"/>
  <c r="P2498" i="34"/>
  <c r="P2513" i="34"/>
  <c r="Q2498" i="34" a="1"/>
  <c r="Q2498" i="34"/>
  <c r="Q2513" i="34"/>
  <c r="I1553" i="34"/>
  <c r="K1263" i="34"/>
  <c r="O1263" i="34"/>
  <c r="Q1609" i="34"/>
  <c r="Q1807" i="34" a="1"/>
  <c r="Q1807" i="34"/>
  <c r="P1609" i="34"/>
  <c r="P1807" i="34" a="1"/>
  <c r="P1807" i="34"/>
  <c r="O1609" i="34"/>
  <c r="O1807" i="34" a="1"/>
  <c r="O1807" i="34"/>
  <c r="N1609" i="34"/>
  <c r="N1807" i="34" a="1"/>
  <c r="N1807" i="34"/>
  <c r="M1609" i="34"/>
  <c r="M1807" i="34" a="1"/>
  <c r="M1807" i="34"/>
  <c r="L1609" i="34"/>
  <c r="L1807" i="34" a="1"/>
  <c r="L1807" i="34"/>
  <c r="K1609" i="34"/>
  <c r="K1807" i="34" a="1"/>
  <c r="K1807" i="34"/>
  <c r="J1609" i="34"/>
  <c r="J1807" i="34" a="1"/>
  <c r="J1807" i="34"/>
  <c r="I1609" i="34"/>
  <c r="I1807" i="34" a="1"/>
  <c r="I1807" i="34"/>
  <c r="Q1806" i="34" a="1"/>
  <c r="Q1806" i="34"/>
  <c r="P1806" i="34" a="1"/>
  <c r="P1806" i="34"/>
  <c r="O1806" i="34" a="1"/>
  <c r="O1806" i="34"/>
  <c r="N1806" i="34" a="1"/>
  <c r="N1806" i="34"/>
  <c r="M1806" i="34" a="1"/>
  <c r="M1806" i="34"/>
  <c r="L1806" i="34" a="1"/>
  <c r="L1806" i="34"/>
  <c r="K1806" i="34" a="1"/>
  <c r="K1806" i="34"/>
  <c r="J1806" i="34" a="1"/>
  <c r="J1806" i="34"/>
  <c r="I1806" i="34" a="1"/>
  <c r="I1806" i="34"/>
  <c r="Q1805" i="34" a="1"/>
  <c r="Q1805" i="34"/>
  <c r="P1805" i="34" a="1"/>
  <c r="P1805" i="34"/>
  <c r="O1805" i="34" a="1"/>
  <c r="O1805" i="34"/>
  <c r="N1805" i="34" a="1"/>
  <c r="N1805" i="34"/>
  <c r="M1805" i="34" a="1"/>
  <c r="M1805" i="34"/>
  <c r="L1805" i="34" a="1"/>
  <c r="L1805" i="34"/>
  <c r="K1805" i="34" a="1"/>
  <c r="K1805" i="34"/>
  <c r="J1805" i="34" a="1"/>
  <c r="J1805" i="34"/>
  <c r="I1805" i="34" a="1"/>
  <c r="I1805" i="34"/>
  <c r="Q1804" i="34" a="1"/>
  <c r="Q1804" i="34"/>
  <c r="P1804" i="34" a="1"/>
  <c r="P1804" i="34"/>
  <c r="O1804" i="34" a="1"/>
  <c r="O1804" i="34"/>
  <c r="N1804" i="34" a="1"/>
  <c r="N1804" i="34"/>
  <c r="M1804" i="34" a="1"/>
  <c r="M1804" i="34"/>
  <c r="L1804" i="34" a="1"/>
  <c r="L1804" i="34"/>
  <c r="K1804" i="34" a="1"/>
  <c r="K1804" i="34"/>
  <c r="J1804" i="34" a="1"/>
  <c r="J1804" i="34"/>
  <c r="I1804" i="34" a="1"/>
  <c r="I1804" i="34"/>
  <c r="Q1803" i="34" a="1"/>
  <c r="Q1803" i="34"/>
  <c r="P1803" i="34" a="1"/>
  <c r="P1803" i="34"/>
  <c r="O1803" i="34" a="1"/>
  <c r="O1803" i="34"/>
  <c r="N1803" i="34" a="1"/>
  <c r="N1803" i="34"/>
  <c r="M1803" i="34" a="1"/>
  <c r="M1803" i="34"/>
  <c r="L1803" i="34" a="1"/>
  <c r="L1803" i="34"/>
  <c r="K1803" i="34" a="1"/>
  <c r="K1803" i="34"/>
  <c r="J1803" i="34" a="1"/>
  <c r="J1803" i="34"/>
  <c r="I1803" i="34" a="1"/>
  <c r="I1803" i="34"/>
  <c r="Q1802" i="34" a="1"/>
  <c r="Q1802" i="34"/>
  <c r="P1802" i="34" a="1"/>
  <c r="P1802" i="34"/>
  <c r="O1802" i="34" a="1"/>
  <c r="O1802" i="34"/>
  <c r="N1802" i="34" a="1"/>
  <c r="N1802" i="34"/>
  <c r="M1802" i="34" a="1"/>
  <c r="M1802" i="34"/>
  <c r="L1802" i="34" a="1"/>
  <c r="L1802" i="34"/>
  <c r="K1802" i="34" a="1"/>
  <c r="K1802" i="34"/>
  <c r="J1802" i="34" a="1"/>
  <c r="J1802" i="34"/>
  <c r="I1802" i="34" a="1"/>
  <c r="I1802" i="34"/>
  <c r="Q1801" i="34" a="1"/>
  <c r="Q1801" i="34"/>
  <c r="P1801" i="34" a="1"/>
  <c r="P1801" i="34"/>
  <c r="O1801" i="34" a="1"/>
  <c r="O1801" i="34"/>
  <c r="N1801" i="34" a="1"/>
  <c r="N1801" i="34"/>
  <c r="M1801" i="34" a="1"/>
  <c r="M1801" i="34"/>
  <c r="L1801" i="34" a="1"/>
  <c r="L1801" i="34"/>
  <c r="K1801" i="34" a="1"/>
  <c r="K1801" i="34"/>
  <c r="J1801" i="34" a="1"/>
  <c r="J1801" i="34"/>
  <c r="I1801" i="34" a="1"/>
  <c r="I1801" i="34"/>
  <c r="Q1800" i="34" a="1"/>
  <c r="Q1800" i="34"/>
  <c r="P1800" i="34" a="1"/>
  <c r="P1800" i="34"/>
  <c r="O1800" i="34" a="1"/>
  <c r="O1800" i="34"/>
  <c r="N1800" i="34" a="1"/>
  <c r="N1800" i="34"/>
  <c r="M1800" i="34" a="1"/>
  <c r="M1800" i="34"/>
  <c r="L1800" i="34" a="1"/>
  <c r="L1800" i="34"/>
  <c r="K1800" i="34" a="1"/>
  <c r="K1800" i="34"/>
  <c r="J1800" i="34" a="1"/>
  <c r="J1800" i="34"/>
  <c r="I1800" i="34" a="1"/>
  <c r="I1800" i="34"/>
  <c r="Q1799" i="34" a="1"/>
  <c r="Q1799" i="34"/>
  <c r="P1799" i="34" a="1"/>
  <c r="P1799" i="34"/>
  <c r="O1799" i="34" a="1"/>
  <c r="O1799" i="34"/>
  <c r="N1799" i="34" a="1"/>
  <c r="N1799" i="34"/>
  <c r="M1799" i="34" a="1"/>
  <c r="M1799" i="34"/>
  <c r="L1799" i="34" a="1"/>
  <c r="L1799" i="34"/>
  <c r="K1799" i="34" a="1"/>
  <c r="K1799" i="34"/>
  <c r="J1799" i="34" a="1"/>
  <c r="J1799" i="34"/>
  <c r="I1799" i="34" a="1"/>
  <c r="I1799" i="34"/>
  <c r="Q1798" i="34" a="1"/>
  <c r="Q1798" i="34"/>
  <c r="P1798" i="34" a="1"/>
  <c r="P1798" i="34"/>
  <c r="O1798" i="34" a="1"/>
  <c r="O1798" i="34"/>
  <c r="N1798" i="34" a="1"/>
  <c r="N1798" i="34"/>
  <c r="M1798" i="34" a="1"/>
  <c r="M1798" i="34"/>
  <c r="L1798" i="34" a="1"/>
  <c r="L1798" i="34"/>
  <c r="K1798" i="34" a="1"/>
  <c r="K1798" i="34"/>
  <c r="J1798" i="34" a="1"/>
  <c r="J1798" i="34"/>
  <c r="I1798" i="34" a="1"/>
  <c r="I1798" i="34"/>
  <c r="Q1797" i="34" a="1"/>
  <c r="Q1797" i="34"/>
  <c r="P1797" i="34" a="1"/>
  <c r="P1797" i="34"/>
  <c r="O1797" i="34" a="1"/>
  <c r="O1797" i="34"/>
  <c r="N1797" i="34" a="1"/>
  <c r="N1797" i="34"/>
  <c r="M1797" i="34" a="1"/>
  <c r="M1797" i="34"/>
  <c r="L1797" i="34" a="1"/>
  <c r="L1797" i="34"/>
  <c r="K1797" i="34" a="1"/>
  <c r="K1797" i="34"/>
  <c r="J1797" i="34" a="1"/>
  <c r="J1797" i="34"/>
  <c r="I1797" i="34" a="1"/>
  <c r="I1797" i="34"/>
  <c r="Q1796" i="34" a="1"/>
  <c r="Q1796" i="34"/>
  <c r="P1796" i="34" a="1"/>
  <c r="P1796" i="34"/>
  <c r="O1796" i="34" a="1"/>
  <c r="O1796" i="34"/>
  <c r="N1796" i="34" a="1"/>
  <c r="N1796" i="34"/>
  <c r="M1796" i="34" a="1"/>
  <c r="M1796" i="34"/>
  <c r="L1796" i="34" a="1"/>
  <c r="L1796" i="34"/>
  <c r="K1796" i="34" a="1"/>
  <c r="K1796" i="34"/>
  <c r="J1796" i="34" a="1"/>
  <c r="J1796" i="34"/>
  <c r="I1796" i="34" a="1"/>
  <c r="I1796" i="34"/>
  <c r="Q1795" i="34" a="1"/>
  <c r="Q1795" i="34"/>
  <c r="P1795" i="34" a="1"/>
  <c r="P1795" i="34"/>
  <c r="O1795" i="34" a="1"/>
  <c r="O1795" i="34"/>
  <c r="N1795" i="34" a="1"/>
  <c r="N1795" i="34"/>
  <c r="M1795" i="34" a="1"/>
  <c r="M1795" i="34"/>
  <c r="L1795" i="34" a="1"/>
  <c r="L1795" i="34"/>
  <c r="K1795" i="34" a="1"/>
  <c r="K1795" i="34"/>
  <c r="J1795" i="34" a="1"/>
  <c r="J1795" i="34"/>
  <c r="I1795" i="34" a="1"/>
  <c r="I1795" i="34"/>
  <c r="Q1793" i="34" a="1"/>
  <c r="Q1793" i="34"/>
  <c r="Q1794" i="34"/>
  <c r="P1793" i="34" a="1"/>
  <c r="P1793" i="34"/>
  <c r="P1794" i="34"/>
  <c r="O1793" i="34" a="1"/>
  <c r="O1793" i="34"/>
  <c r="O1794" i="34"/>
  <c r="N1793" i="34" a="1"/>
  <c r="N1793" i="34"/>
  <c r="N1794" i="34"/>
  <c r="M1793" i="34" a="1"/>
  <c r="M1793" i="34"/>
  <c r="M1794" i="34"/>
  <c r="L1793" i="34" a="1"/>
  <c r="L1793" i="34"/>
  <c r="L1794" i="34"/>
  <c r="K1793" i="34" a="1"/>
  <c r="K1793" i="34"/>
  <c r="K1794" i="34"/>
  <c r="J1793" i="34" a="1"/>
  <c r="J1793" i="34"/>
  <c r="J1794" i="34"/>
  <c r="I1793" i="34" a="1"/>
  <c r="I1793" i="34"/>
  <c r="I1794" i="34"/>
  <c r="I1534" i="34"/>
  <c r="J1263" i="34"/>
  <c r="N1263" i="34"/>
  <c r="Q1591" i="34"/>
  <c r="Q1788" i="34" a="1"/>
  <c r="Q1788" i="34"/>
  <c r="P1591" i="34"/>
  <c r="P1788" i="34" a="1"/>
  <c r="P1788" i="34"/>
  <c r="O1591" i="34"/>
  <c r="O1788" i="34" a="1"/>
  <c r="O1788" i="34"/>
  <c r="N1591" i="34"/>
  <c r="N1788" i="34" a="1"/>
  <c r="N1788" i="34"/>
  <c r="M1591" i="34"/>
  <c r="M1788" i="34" a="1"/>
  <c r="M1788" i="34"/>
  <c r="L1591" i="34"/>
  <c r="L1788" i="34" a="1"/>
  <c r="L1788" i="34"/>
  <c r="K1591" i="34"/>
  <c r="K1788" i="34" a="1"/>
  <c r="K1788" i="34"/>
  <c r="J1591" i="34"/>
  <c r="J1788" i="34" a="1"/>
  <c r="J1788" i="34"/>
  <c r="I1591" i="34"/>
  <c r="I1788" i="34" a="1"/>
  <c r="I1788" i="34"/>
  <c r="Q1787" i="34" a="1"/>
  <c r="Q1787" i="34"/>
  <c r="P1787" i="34" a="1"/>
  <c r="P1787" i="34"/>
  <c r="O1787" i="34" a="1"/>
  <c r="O1787" i="34"/>
  <c r="N1787" i="34" a="1"/>
  <c r="N1787" i="34"/>
  <c r="M1787" i="34" a="1"/>
  <c r="M1787" i="34"/>
  <c r="L1787" i="34" a="1"/>
  <c r="L1787" i="34"/>
  <c r="K1787" i="34" a="1"/>
  <c r="K1787" i="34"/>
  <c r="J1787" i="34" a="1"/>
  <c r="J1787" i="34"/>
  <c r="I1787" i="34" a="1"/>
  <c r="I1787" i="34"/>
  <c r="Q1786" i="34" a="1"/>
  <c r="Q1786" i="34"/>
  <c r="P1786" i="34" a="1"/>
  <c r="P1786" i="34"/>
  <c r="O1786" i="34" a="1"/>
  <c r="O1786" i="34"/>
  <c r="N1786" i="34" a="1"/>
  <c r="N1786" i="34"/>
  <c r="M1786" i="34" a="1"/>
  <c r="M1786" i="34"/>
  <c r="L1786" i="34" a="1"/>
  <c r="L1786" i="34"/>
  <c r="K1786" i="34" a="1"/>
  <c r="K1786" i="34"/>
  <c r="J1786" i="34" a="1"/>
  <c r="J1786" i="34"/>
  <c r="I1786" i="34" a="1"/>
  <c r="I1786" i="34"/>
  <c r="Q1785" i="34" a="1"/>
  <c r="Q1785" i="34"/>
  <c r="P1785" i="34" a="1"/>
  <c r="P1785" i="34"/>
  <c r="O1785" i="34" a="1"/>
  <c r="O1785" i="34"/>
  <c r="N1785" i="34" a="1"/>
  <c r="N1785" i="34"/>
  <c r="M1785" i="34" a="1"/>
  <c r="M1785" i="34"/>
  <c r="L1785" i="34" a="1"/>
  <c r="L1785" i="34"/>
  <c r="K1785" i="34" a="1"/>
  <c r="K1785" i="34"/>
  <c r="J1785" i="34" a="1"/>
  <c r="J1785" i="34"/>
  <c r="I1785" i="34" a="1"/>
  <c r="I1785" i="34"/>
  <c r="Q1784" i="34" a="1"/>
  <c r="Q1784" i="34"/>
  <c r="P1784" i="34" a="1"/>
  <c r="P1784" i="34"/>
  <c r="O1784" i="34" a="1"/>
  <c r="O1784" i="34"/>
  <c r="N1784" i="34" a="1"/>
  <c r="N1784" i="34"/>
  <c r="M1784" i="34" a="1"/>
  <c r="M1784" i="34"/>
  <c r="L1784" i="34" a="1"/>
  <c r="L1784" i="34"/>
  <c r="K1784" i="34" a="1"/>
  <c r="K1784" i="34"/>
  <c r="J1784" i="34" a="1"/>
  <c r="J1784" i="34"/>
  <c r="I1784" i="34" a="1"/>
  <c r="I1784" i="34"/>
  <c r="Q1783" i="34" a="1"/>
  <c r="Q1783" i="34"/>
  <c r="P1783" i="34" a="1"/>
  <c r="P1783" i="34"/>
  <c r="O1783" i="34" a="1"/>
  <c r="O1783" i="34"/>
  <c r="N1783" i="34" a="1"/>
  <c r="N1783" i="34"/>
  <c r="M1783" i="34" a="1"/>
  <c r="M1783" i="34"/>
  <c r="L1783" i="34" a="1"/>
  <c r="L1783" i="34"/>
  <c r="K1783" i="34" a="1"/>
  <c r="K1783" i="34"/>
  <c r="J1783" i="34" a="1"/>
  <c r="J1783" i="34"/>
  <c r="I1783" i="34" a="1"/>
  <c r="I1783" i="34"/>
  <c r="Q1782" i="34" a="1"/>
  <c r="Q1782" i="34"/>
  <c r="P1782" i="34" a="1"/>
  <c r="P1782" i="34"/>
  <c r="O1782" i="34" a="1"/>
  <c r="O1782" i="34"/>
  <c r="N1782" i="34" a="1"/>
  <c r="N1782" i="34"/>
  <c r="M1782" i="34" a="1"/>
  <c r="M1782" i="34"/>
  <c r="L1782" i="34" a="1"/>
  <c r="L1782" i="34"/>
  <c r="K1782" i="34" a="1"/>
  <c r="K1782" i="34"/>
  <c r="J1782" i="34" a="1"/>
  <c r="J1782" i="34"/>
  <c r="I1782" i="34" a="1"/>
  <c r="I1782" i="34"/>
  <c r="Q1781" i="34" a="1"/>
  <c r="Q1781" i="34"/>
  <c r="P1781" i="34" a="1"/>
  <c r="P1781" i="34"/>
  <c r="O1781" i="34" a="1"/>
  <c r="O1781" i="34"/>
  <c r="N1781" i="34" a="1"/>
  <c r="N1781" i="34"/>
  <c r="M1781" i="34" a="1"/>
  <c r="M1781" i="34"/>
  <c r="L1781" i="34" a="1"/>
  <c r="L1781" i="34"/>
  <c r="K1781" i="34" a="1"/>
  <c r="K1781" i="34"/>
  <c r="J1781" i="34" a="1"/>
  <c r="J1781" i="34"/>
  <c r="I1781" i="34" a="1"/>
  <c r="I1781" i="34"/>
  <c r="Q1780" i="34" a="1"/>
  <c r="Q1780" i="34"/>
  <c r="P1780" i="34" a="1"/>
  <c r="P1780" i="34"/>
  <c r="O1780" i="34" a="1"/>
  <c r="O1780" i="34"/>
  <c r="N1780" i="34" a="1"/>
  <c r="N1780" i="34"/>
  <c r="M1780" i="34" a="1"/>
  <c r="M1780" i="34"/>
  <c r="L1780" i="34" a="1"/>
  <c r="L1780" i="34"/>
  <c r="K1780" i="34" a="1"/>
  <c r="K1780" i="34"/>
  <c r="J1780" i="34" a="1"/>
  <c r="J1780" i="34"/>
  <c r="I1780" i="34" a="1"/>
  <c r="I1780" i="34"/>
  <c r="Q1779" i="34" a="1"/>
  <c r="Q1779" i="34"/>
  <c r="P1779" i="34" a="1"/>
  <c r="P1779" i="34"/>
  <c r="O1779" i="34" a="1"/>
  <c r="O1779" i="34"/>
  <c r="N1779" i="34" a="1"/>
  <c r="N1779" i="34"/>
  <c r="M1779" i="34" a="1"/>
  <c r="M1779" i="34"/>
  <c r="L1779" i="34" a="1"/>
  <c r="L1779" i="34"/>
  <c r="K1779" i="34" a="1"/>
  <c r="K1779" i="34"/>
  <c r="J1779" i="34" a="1"/>
  <c r="J1779" i="34"/>
  <c r="I1779" i="34" a="1"/>
  <c r="I1779" i="34"/>
  <c r="Q1778" i="34" a="1"/>
  <c r="Q1778" i="34"/>
  <c r="P1778" i="34" a="1"/>
  <c r="P1778" i="34"/>
  <c r="O1778" i="34" a="1"/>
  <c r="O1778" i="34"/>
  <c r="N1778" i="34" a="1"/>
  <c r="N1778" i="34"/>
  <c r="M1778" i="34" a="1"/>
  <c r="M1778" i="34"/>
  <c r="L1778" i="34" a="1"/>
  <c r="L1778" i="34"/>
  <c r="K1778" i="34" a="1"/>
  <c r="K1778" i="34"/>
  <c r="J1778" i="34" a="1"/>
  <c r="J1778" i="34"/>
  <c r="I1778" i="34" a="1"/>
  <c r="I1778" i="34"/>
  <c r="Q1777" i="34" a="1"/>
  <c r="Q1777" i="34"/>
  <c r="P1777" i="34" a="1"/>
  <c r="P1777" i="34"/>
  <c r="O1777" i="34" a="1"/>
  <c r="O1777" i="34"/>
  <c r="N1777" i="34" a="1"/>
  <c r="N1777" i="34"/>
  <c r="M1777" i="34" a="1"/>
  <c r="M1777" i="34"/>
  <c r="L1777" i="34" a="1"/>
  <c r="L1777" i="34"/>
  <c r="K1777" i="34" a="1"/>
  <c r="K1777" i="34"/>
  <c r="J1777" i="34" a="1"/>
  <c r="J1777" i="34"/>
  <c r="I1777" i="34" a="1"/>
  <c r="I1777" i="34"/>
  <c r="Q1776" i="34" a="1"/>
  <c r="Q1776" i="34"/>
  <c r="P1776" i="34" a="1"/>
  <c r="P1776" i="34"/>
  <c r="O1776" i="34" a="1"/>
  <c r="O1776" i="34"/>
  <c r="N1776" i="34" a="1"/>
  <c r="N1776" i="34"/>
  <c r="M1776" i="34" a="1"/>
  <c r="M1776" i="34"/>
  <c r="L1776" i="34" a="1"/>
  <c r="L1776" i="34"/>
  <c r="K1776" i="34" a="1"/>
  <c r="K1776" i="34"/>
  <c r="J1776" i="34" a="1"/>
  <c r="J1776" i="34"/>
  <c r="I1776" i="34" a="1"/>
  <c r="I1776" i="34"/>
  <c r="Q1774" i="34" a="1"/>
  <c r="Q1774" i="34"/>
  <c r="Q1775" i="34"/>
  <c r="P1774" i="34" a="1"/>
  <c r="P1774" i="34"/>
  <c r="P1775" i="34"/>
  <c r="O1774" i="34" a="1"/>
  <c r="O1774" i="34"/>
  <c r="O1775" i="34"/>
  <c r="N1774" i="34" a="1"/>
  <c r="N1774" i="34"/>
  <c r="N1775" i="34"/>
  <c r="M1774" i="34" a="1"/>
  <c r="M1774" i="34"/>
  <c r="M1775" i="34"/>
  <c r="L1774" i="34" a="1"/>
  <c r="L1774" i="34"/>
  <c r="L1775" i="34"/>
  <c r="K1774" i="34" a="1"/>
  <c r="K1774" i="34"/>
  <c r="K1775" i="34"/>
  <c r="J1774" i="34" a="1"/>
  <c r="J1774" i="34"/>
  <c r="J1775" i="34"/>
  <c r="I1774" i="34" a="1"/>
  <c r="I1774" i="34"/>
  <c r="I1775" i="34"/>
  <c r="I1515" i="34"/>
  <c r="I1263" i="34"/>
  <c r="M1263" i="34"/>
  <c r="Q1573" i="34"/>
  <c r="Q1769" i="34" a="1"/>
  <c r="Q1769" i="34"/>
  <c r="P1573" i="34"/>
  <c r="P1769" i="34" a="1"/>
  <c r="P1769" i="34"/>
  <c r="O1573" i="34"/>
  <c r="O1769" i="34" a="1"/>
  <c r="O1769" i="34"/>
  <c r="N1573" i="34"/>
  <c r="N1769" i="34" a="1"/>
  <c r="N1769" i="34"/>
  <c r="M1573" i="34"/>
  <c r="M1769" i="34" a="1"/>
  <c r="M1769" i="34"/>
  <c r="L1573" i="34"/>
  <c r="L1769" i="34" a="1"/>
  <c r="L1769" i="34"/>
  <c r="K1573" i="34"/>
  <c r="K1769" i="34" a="1"/>
  <c r="K1769" i="34"/>
  <c r="J1573" i="34"/>
  <c r="J1769" i="34" a="1"/>
  <c r="J1769" i="34"/>
  <c r="I1573" i="34"/>
  <c r="I1769" i="34" a="1"/>
  <c r="I1769" i="34"/>
  <c r="Q1768" i="34" a="1"/>
  <c r="Q1768" i="34"/>
  <c r="P1768" i="34" a="1"/>
  <c r="P1768" i="34"/>
  <c r="O1768" i="34" a="1"/>
  <c r="O1768" i="34"/>
  <c r="N1768" i="34" a="1"/>
  <c r="N1768" i="34"/>
  <c r="M1768" i="34" a="1"/>
  <c r="M1768" i="34"/>
  <c r="L1768" i="34" a="1"/>
  <c r="L1768" i="34"/>
  <c r="K1768" i="34" a="1"/>
  <c r="K1768" i="34"/>
  <c r="J1768" i="34" a="1"/>
  <c r="J1768" i="34"/>
  <c r="I1768" i="34" a="1"/>
  <c r="I1768" i="34"/>
  <c r="Q1767" i="34" a="1"/>
  <c r="Q1767" i="34"/>
  <c r="P1767" i="34" a="1"/>
  <c r="P1767" i="34"/>
  <c r="O1767" i="34" a="1"/>
  <c r="O1767" i="34"/>
  <c r="N1767" i="34" a="1"/>
  <c r="N1767" i="34"/>
  <c r="M1767" i="34" a="1"/>
  <c r="M1767" i="34"/>
  <c r="L1767" i="34" a="1"/>
  <c r="L1767" i="34"/>
  <c r="K1767" i="34" a="1"/>
  <c r="K1767" i="34"/>
  <c r="J1767" i="34" a="1"/>
  <c r="J1767" i="34"/>
  <c r="I1767" i="34" a="1"/>
  <c r="I1767" i="34"/>
  <c r="Q1766" i="34" a="1"/>
  <c r="Q1766" i="34"/>
  <c r="P1766" i="34" a="1"/>
  <c r="P1766" i="34"/>
  <c r="O1766" i="34" a="1"/>
  <c r="O1766" i="34"/>
  <c r="N1766" i="34" a="1"/>
  <c r="N1766" i="34"/>
  <c r="M1766" i="34" a="1"/>
  <c r="M1766" i="34"/>
  <c r="L1766" i="34" a="1"/>
  <c r="L1766" i="34"/>
  <c r="K1766" i="34" a="1"/>
  <c r="K1766" i="34"/>
  <c r="J1766" i="34" a="1"/>
  <c r="J1766" i="34"/>
  <c r="I1766" i="34" a="1"/>
  <c r="I1766" i="34"/>
  <c r="Q1765" i="34" a="1"/>
  <c r="Q1765" i="34"/>
  <c r="P1765" i="34" a="1"/>
  <c r="P1765" i="34"/>
  <c r="O1765" i="34" a="1"/>
  <c r="O1765" i="34"/>
  <c r="N1765" i="34" a="1"/>
  <c r="N1765" i="34"/>
  <c r="M1765" i="34" a="1"/>
  <c r="M1765" i="34"/>
  <c r="L1765" i="34" a="1"/>
  <c r="L1765" i="34"/>
  <c r="K1765" i="34" a="1"/>
  <c r="K1765" i="34"/>
  <c r="J1765" i="34" a="1"/>
  <c r="J1765" i="34"/>
  <c r="I1765" i="34" a="1"/>
  <c r="I1765" i="34"/>
  <c r="Q1764" i="34" a="1"/>
  <c r="Q1764" i="34"/>
  <c r="P1764" i="34" a="1"/>
  <c r="P1764" i="34"/>
  <c r="O1764" i="34" a="1"/>
  <c r="O1764" i="34"/>
  <c r="N1764" i="34" a="1"/>
  <c r="N1764" i="34"/>
  <c r="M1764" i="34" a="1"/>
  <c r="M1764" i="34"/>
  <c r="L1764" i="34" a="1"/>
  <c r="L1764" i="34"/>
  <c r="K1764" i="34" a="1"/>
  <c r="K1764" i="34"/>
  <c r="J1764" i="34" a="1"/>
  <c r="J1764" i="34"/>
  <c r="I1764" i="34" a="1"/>
  <c r="I1764" i="34"/>
  <c r="Q1763" i="34" a="1"/>
  <c r="Q1763" i="34"/>
  <c r="P1763" i="34" a="1"/>
  <c r="P1763" i="34"/>
  <c r="O1763" i="34" a="1"/>
  <c r="O1763" i="34"/>
  <c r="N1763" i="34" a="1"/>
  <c r="N1763" i="34"/>
  <c r="M1763" i="34" a="1"/>
  <c r="M1763" i="34"/>
  <c r="L1763" i="34" a="1"/>
  <c r="L1763" i="34"/>
  <c r="K1763" i="34" a="1"/>
  <c r="K1763" i="34"/>
  <c r="J1763" i="34" a="1"/>
  <c r="J1763" i="34"/>
  <c r="I1763" i="34" a="1"/>
  <c r="I1763" i="34"/>
  <c r="Q1762" i="34" a="1"/>
  <c r="Q1762" i="34"/>
  <c r="P1762" i="34" a="1"/>
  <c r="P1762" i="34"/>
  <c r="O1762" i="34" a="1"/>
  <c r="O1762" i="34"/>
  <c r="N1762" i="34" a="1"/>
  <c r="N1762" i="34"/>
  <c r="M1762" i="34" a="1"/>
  <c r="M1762" i="34"/>
  <c r="L1762" i="34" a="1"/>
  <c r="L1762" i="34"/>
  <c r="K1762" i="34" a="1"/>
  <c r="K1762" i="34"/>
  <c r="J1762" i="34" a="1"/>
  <c r="J1762" i="34"/>
  <c r="I1762" i="34" a="1"/>
  <c r="I1762" i="34"/>
  <c r="Q1761" i="34" a="1"/>
  <c r="Q1761" i="34"/>
  <c r="P1761" i="34" a="1"/>
  <c r="P1761" i="34"/>
  <c r="O1761" i="34" a="1"/>
  <c r="O1761" i="34"/>
  <c r="N1761" i="34" a="1"/>
  <c r="N1761" i="34"/>
  <c r="M1761" i="34" a="1"/>
  <c r="M1761" i="34"/>
  <c r="L1761" i="34" a="1"/>
  <c r="L1761" i="34"/>
  <c r="K1761" i="34" a="1"/>
  <c r="K1761" i="34"/>
  <c r="J1761" i="34" a="1"/>
  <c r="J1761" i="34"/>
  <c r="I1761" i="34" a="1"/>
  <c r="I1761" i="34"/>
  <c r="Q1760" i="34" a="1"/>
  <c r="Q1760" i="34"/>
  <c r="P1760" i="34" a="1"/>
  <c r="P1760" i="34"/>
  <c r="O1760" i="34" a="1"/>
  <c r="O1760" i="34"/>
  <c r="N1760" i="34" a="1"/>
  <c r="N1760" i="34"/>
  <c r="M1760" i="34" a="1"/>
  <c r="M1760" i="34"/>
  <c r="L1760" i="34" a="1"/>
  <c r="L1760" i="34"/>
  <c r="K1760" i="34" a="1"/>
  <c r="K1760" i="34"/>
  <c r="J1760" i="34" a="1"/>
  <c r="J1760" i="34"/>
  <c r="I1760" i="34" a="1"/>
  <c r="I1760" i="34"/>
  <c r="Q1759" i="34" a="1"/>
  <c r="Q1759" i="34"/>
  <c r="P1759" i="34" a="1"/>
  <c r="P1759" i="34"/>
  <c r="O1759" i="34" a="1"/>
  <c r="O1759" i="34"/>
  <c r="N1759" i="34" a="1"/>
  <c r="N1759" i="34"/>
  <c r="M1759" i="34" a="1"/>
  <c r="M1759" i="34"/>
  <c r="L1759" i="34" a="1"/>
  <c r="L1759" i="34"/>
  <c r="K1759" i="34" a="1"/>
  <c r="K1759" i="34"/>
  <c r="J1759" i="34" a="1"/>
  <c r="J1759" i="34"/>
  <c r="I1759" i="34" a="1"/>
  <c r="I1759" i="34"/>
  <c r="Q1758" i="34" a="1"/>
  <c r="Q1758" i="34"/>
  <c r="P1758" i="34" a="1"/>
  <c r="P1758" i="34"/>
  <c r="O1758" i="34" a="1"/>
  <c r="O1758" i="34"/>
  <c r="N1758" i="34" a="1"/>
  <c r="N1758" i="34"/>
  <c r="M1758" i="34" a="1"/>
  <c r="M1758" i="34"/>
  <c r="L1758" i="34" a="1"/>
  <c r="L1758" i="34"/>
  <c r="K1758" i="34" a="1"/>
  <c r="K1758" i="34"/>
  <c r="J1758" i="34" a="1"/>
  <c r="J1758" i="34"/>
  <c r="I1758" i="34" a="1"/>
  <c r="I1758" i="34"/>
  <c r="Q1757" i="34" a="1"/>
  <c r="Q1757" i="34"/>
  <c r="P1757" i="34" a="1"/>
  <c r="P1757" i="34"/>
  <c r="O1757" i="34" a="1"/>
  <c r="O1757" i="34"/>
  <c r="N1757" i="34" a="1"/>
  <c r="N1757" i="34"/>
  <c r="M1757" i="34" a="1"/>
  <c r="M1757" i="34"/>
  <c r="L1757" i="34" a="1"/>
  <c r="L1757" i="34"/>
  <c r="K1757" i="34" a="1"/>
  <c r="K1757" i="34"/>
  <c r="J1757" i="34" a="1"/>
  <c r="J1757" i="34"/>
  <c r="I1757" i="34" a="1"/>
  <c r="I1757" i="34"/>
  <c r="Q1755" i="34" a="1"/>
  <c r="Q1755" i="34"/>
  <c r="Q1756" i="34"/>
  <c r="P1755" i="34" a="1"/>
  <c r="P1755" i="34"/>
  <c r="P1756" i="34"/>
  <c r="O1755" i="34" a="1"/>
  <c r="O1755" i="34"/>
  <c r="O1756" i="34"/>
  <c r="N1755" i="34" a="1"/>
  <c r="N1755" i="34"/>
  <c r="N1756" i="34"/>
  <c r="M1755" i="34" a="1"/>
  <c r="M1755" i="34"/>
  <c r="M1756" i="34"/>
  <c r="L1755" i="34" a="1"/>
  <c r="L1755" i="34"/>
  <c r="L1756" i="34"/>
  <c r="K1755" i="34" a="1"/>
  <c r="K1755" i="34"/>
  <c r="K1756" i="34"/>
  <c r="J1755" i="34" a="1"/>
  <c r="J1755" i="34"/>
  <c r="J1756" i="34"/>
  <c r="I1755" i="34" a="1"/>
  <c r="I1755" i="34"/>
  <c r="I1756" i="34"/>
  <c r="I1567" i="34"/>
  <c r="K1277" i="34"/>
  <c r="O1277" i="34"/>
  <c r="I1548" i="34"/>
  <c r="J1277" i="34"/>
  <c r="N1277" i="34"/>
  <c r="I1529" i="34"/>
  <c r="I1277" i="34"/>
  <c r="M1277" i="34"/>
  <c r="I2165" i="34" a="1"/>
  <c r="I2165" i="34"/>
  <c r="J2165" i="34" a="1"/>
  <c r="J2165" i="34"/>
  <c r="K2165" i="34" a="1"/>
  <c r="K2165" i="34"/>
  <c r="L2165" i="34" a="1"/>
  <c r="L2165" i="34"/>
  <c r="M2165" i="34" a="1"/>
  <c r="M2165" i="34"/>
  <c r="N2165" i="34" a="1"/>
  <c r="N2165" i="34"/>
  <c r="O2165" i="34" a="1"/>
  <c r="O2165" i="34"/>
  <c r="P2165" i="34" a="1"/>
  <c r="P2165" i="34"/>
  <c r="Q2165" i="34" a="1"/>
  <c r="Q2165" i="34"/>
  <c r="I2166" i="34" a="1"/>
  <c r="I2166" i="34"/>
  <c r="J2166" i="34" a="1"/>
  <c r="J2166" i="34"/>
  <c r="K2166" i="34" a="1"/>
  <c r="K2166" i="34"/>
  <c r="L2166" i="34" a="1"/>
  <c r="L2166" i="34"/>
  <c r="M2166" i="34" a="1"/>
  <c r="M2166" i="34"/>
  <c r="N2166" i="34" a="1"/>
  <c r="N2166" i="34"/>
  <c r="O2166" i="34" a="1"/>
  <c r="O2166" i="34"/>
  <c r="P2166" i="34" a="1"/>
  <c r="P2166" i="34"/>
  <c r="Q2166" i="34" a="1"/>
  <c r="Q2166" i="34"/>
  <c r="I2167" i="34" a="1"/>
  <c r="I2167" i="34"/>
  <c r="J2167" i="34" a="1"/>
  <c r="J2167" i="34"/>
  <c r="K2167" i="34" a="1"/>
  <c r="K2167" i="34"/>
  <c r="L2167" i="34" a="1"/>
  <c r="L2167" i="34"/>
  <c r="M2167" i="34" a="1"/>
  <c r="M2167" i="34"/>
  <c r="N2167" i="34" a="1"/>
  <c r="N2167" i="34"/>
  <c r="O2167" i="34" a="1"/>
  <c r="O2167" i="34"/>
  <c r="P2167" i="34" a="1"/>
  <c r="P2167" i="34"/>
  <c r="Q2167" i="34" a="1"/>
  <c r="Q2167" i="34"/>
  <c r="I2168" i="34" a="1"/>
  <c r="I2168" i="34"/>
  <c r="J2168" i="34" a="1"/>
  <c r="J2168" i="34"/>
  <c r="K2168" i="34" a="1"/>
  <c r="K2168" i="34"/>
  <c r="L2168" i="34" a="1"/>
  <c r="L2168" i="34"/>
  <c r="M2168" i="34" a="1"/>
  <c r="M2168" i="34"/>
  <c r="N2168" i="34" a="1"/>
  <c r="N2168" i="34"/>
  <c r="O2168" i="34" a="1"/>
  <c r="O2168" i="34"/>
  <c r="P2168" i="34" a="1"/>
  <c r="P2168" i="34"/>
  <c r="Q2168" i="34" a="1"/>
  <c r="Q2168" i="34"/>
  <c r="I2169" i="34" a="1"/>
  <c r="I2169" i="34"/>
  <c r="J2169" i="34" a="1"/>
  <c r="J2169" i="34"/>
  <c r="K2169" i="34" a="1"/>
  <c r="K2169" i="34"/>
  <c r="L2169" i="34" a="1"/>
  <c r="L2169" i="34"/>
  <c r="M2169" i="34" a="1"/>
  <c r="M2169" i="34"/>
  <c r="N2169" i="34" a="1"/>
  <c r="N2169" i="34"/>
  <c r="O2169" i="34" a="1"/>
  <c r="O2169" i="34"/>
  <c r="P2169" i="34" a="1"/>
  <c r="P2169" i="34"/>
  <c r="Q2169" i="34" a="1"/>
  <c r="Q2169" i="34"/>
  <c r="I2170" i="34" a="1"/>
  <c r="I2170" i="34"/>
  <c r="J2170" i="34" a="1"/>
  <c r="J2170" i="34"/>
  <c r="K2170" i="34" a="1"/>
  <c r="K2170" i="34"/>
  <c r="L2170" i="34" a="1"/>
  <c r="L2170" i="34"/>
  <c r="M2170" i="34" a="1"/>
  <c r="M2170" i="34"/>
  <c r="N2170" i="34" a="1"/>
  <c r="N2170" i="34"/>
  <c r="O2170" i="34" a="1"/>
  <c r="O2170" i="34"/>
  <c r="P2170" i="34" a="1"/>
  <c r="P2170" i="34"/>
  <c r="Q2170" i="34" a="1"/>
  <c r="Q2170" i="34"/>
  <c r="I2171" i="34" a="1"/>
  <c r="I2171" i="34"/>
  <c r="J2171" i="34" a="1"/>
  <c r="J2171" i="34"/>
  <c r="K2171" i="34" a="1"/>
  <c r="K2171" i="34"/>
  <c r="L2171" i="34" a="1"/>
  <c r="L2171" i="34"/>
  <c r="M2171" i="34" a="1"/>
  <c r="M2171" i="34"/>
  <c r="N2171" i="34" a="1"/>
  <c r="N2171" i="34"/>
  <c r="O2171" i="34" a="1"/>
  <c r="O2171" i="34"/>
  <c r="P2171" i="34" a="1"/>
  <c r="P2171" i="34"/>
  <c r="Q2171" i="34" a="1"/>
  <c r="Q2171" i="34"/>
  <c r="I2172" i="34" a="1"/>
  <c r="I2172" i="34"/>
  <c r="J2172" i="34" a="1"/>
  <c r="J2172" i="34"/>
  <c r="K2172" i="34" a="1"/>
  <c r="K2172" i="34"/>
  <c r="L2172" i="34" a="1"/>
  <c r="L2172" i="34"/>
  <c r="M2172" i="34" a="1"/>
  <c r="M2172" i="34"/>
  <c r="N2172" i="34" a="1"/>
  <c r="N2172" i="34"/>
  <c r="O2172" i="34" a="1"/>
  <c r="O2172" i="34"/>
  <c r="P2172" i="34" a="1"/>
  <c r="P2172" i="34"/>
  <c r="Q2172" i="34" a="1"/>
  <c r="Q2172" i="34"/>
  <c r="I2173" i="34" a="1"/>
  <c r="I2173" i="34"/>
  <c r="J2173" i="34" a="1"/>
  <c r="J2173" i="34"/>
  <c r="K2173" i="34" a="1"/>
  <c r="K2173" i="34"/>
  <c r="L2173" i="34" a="1"/>
  <c r="L2173" i="34"/>
  <c r="M2173" i="34" a="1"/>
  <c r="M2173" i="34"/>
  <c r="N2173" i="34" a="1"/>
  <c r="N2173" i="34"/>
  <c r="O2173" i="34" a="1"/>
  <c r="O2173" i="34"/>
  <c r="P2173" i="34" a="1"/>
  <c r="P2173" i="34"/>
  <c r="Q2173" i="34" a="1"/>
  <c r="Q2173" i="34"/>
  <c r="I2174" i="34" a="1"/>
  <c r="I2174" i="34"/>
  <c r="J2174" i="34" a="1"/>
  <c r="J2174" i="34"/>
  <c r="K2174" i="34" a="1"/>
  <c r="K2174" i="34"/>
  <c r="L2174" i="34" a="1"/>
  <c r="L2174" i="34"/>
  <c r="M2174" i="34" a="1"/>
  <c r="M2174" i="34"/>
  <c r="N2174" i="34" a="1"/>
  <c r="N2174" i="34"/>
  <c r="O2174" i="34" a="1"/>
  <c r="O2174" i="34"/>
  <c r="P2174" i="34" a="1"/>
  <c r="P2174" i="34"/>
  <c r="Q2174" i="34" a="1"/>
  <c r="Q2174" i="34"/>
  <c r="I2175" i="34" a="1"/>
  <c r="I2175" i="34"/>
  <c r="J2175" i="34" a="1"/>
  <c r="J2175" i="34"/>
  <c r="K2175" i="34" a="1"/>
  <c r="K2175" i="34"/>
  <c r="L2175" i="34" a="1"/>
  <c r="L2175" i="34"/>
  <c r="M2175" i="34" a="1"/>
  <c r="M2175" i="34"/>
  <c r="N2175" i="34" a="1"/>
  <c r="N2175" i="34"/>
  <c r="O2175" i="34" a="1"/>
  <c r="O2175" i="34"/>
  <c r="P2175" i="34" a="1"/>
  <c r="P2175" i="34"/>
  <c r="Q2175" i="34" a="1"/>
  <c r="Q2175" i="34"/>
  <c r="I2176" i="34" a="1"/>
  <c r="I2176" i="34"/>
  <c r="J2176" i="34" a="1"/>
  <c r="J2176" i="34"/>
  <c r="K2176" i="34" a="1"/>
  <c r="K2176" i="34"/>
  <c r="L2176" i="34" a="1"/>
  <c r="L2176" i="34"/>
  <c r="M2176" i="34" a="1"/>
  <c r="M2176" i="34"/>
  <c r="N2176" i="34" a="1"/>
  <c r="N2176" i="34"/>
  <c r="O2176" i="34" a="1"/>
  <c r="O2176" i="34"/>
  <c r="P2176" i="34" a="1"/>
  <c r="P2176" i="34"/>
  <c r="Q2176" i="34" a="1"/>
  <c r="Q2176" i="34"/>
  <c r="I2177" i="34" a="1"/>
  <c r="I2177" i="34"/>
  <c r="J2177" i="34" a="1"/>
  <c r="J2177" i="34"/>
  <c r="K2177" i="34" a="1"/>
  <c r="K2177" i="34"/>
  <c r="L2177" i="34" a="1"/>
  <c r="L2177" i="34"/>
  <c r="M2177" i="34" a="1"/>
  <c r="M2177" i="34"/>
  <c r="N2177" i="34" a="1"/>
  <c r="N2177" i="34"/>
  <c r="O2177" i="34" a="1"/>
  <c r="O2177" i="34"/>
  <c r="P2177" i="34" a="1"/>
  <c r="P2177" i="34"/>
  <c r="Q2177" i="34" a="1"/>
  <c r="Q2177" i="34"/>
  <c r="I2178" i="34" a="1"/>
  <c r="I2178" i="34"/>
  <c r="J2178" i="34" a="1"/>
  <c r="J2178" i="34"/>
  <c r="K2178" i="34" a="1"/>
  <c r="K2178" i="34"/>
  <c r="L2178" i="34" a="1"/>
  <c r="L2178" i="34"/>
  <c r="M2178" i="34" a="1"/>
  <c r="M2178" i="34"/>
  <c r="N2178" i="34" a="1"/>
  <c r="N2178" i="34"/>
  <c r="O2178" i="34" a="1"/>
  <c r="O2178" i="34"/>
  <c r="P2178" i="34" a="1"/>
  <c r="P2178" i="34"/>
  <c r="Q2178" i="34" a="1"/>
  <c r="Q2178" i="34"/>
  <c r="I2179" i="34" a="1"/>
  <c r="I2179" i="34"/>
  <c r="J2179" i="34" a="1"/>
  <c r="J2179" i="34"/>
  <c r="K2179" i="34" a="1"/>
  <c r="K2179" i="34"/>
  <c r="L2179" i="34" a="1"/>
  <c r="L2179" i="34"/>
  <c r="M2179" i="34" a="1"/>
  <c r="M2179" i="34"/>
  <c r="N2179" i="34" a="1"/>
  <c r="N2179" i="34"/>
  <c r="O2179" i="34" a="1"/>
  <c r="O2179" i="34"/>
  <c r="P2179" i="34" a="1"/>
  <c r="P2179" i="34"/>
  <c r="Q2179" i="34" a="1"/>
  <c r="Q2179" i="34"/>
  <c r="I2184" i="34" a="1"/>
  <c r="I2184" i="34"/>
  <c r="J2184" i="34" a="1"/>
  <c r="J2184" i="34"/>
  <c r="K2184" i="34" a="1"/>
  <c r="K2184" i="34"/>
  <c r="L2184" i="34" a="1"/>
  <c r="L2184" i="34"/>
  <c r="M2184" i="34" a="1"/>
  <c r="M2184" i="34"/>
  <c r="N2184" i="34" a="1"/>
  <c r="N2184" i="34"/>
  <c r="O2184" i="34" a="1"/>
  <c r="O2184" i="34"/>
  <c r="P2184" i="34" a="1"/>
  <c r="P2184" i="34"/>
  <c r="Q2184" i="34" a="1"/>
  <c r="Q2184" i="34"/>
  <c r="I2185" i="34" a="1"/>
  <c r="I2185" i="34"/>
  <c r="J2185" i="34" a="1"/>
  <c r="J2185" i="34"/>
  <c r="K2185" i="34" a="1"/>
  <c r="K2185" i="34"/>
  <c r="L2185" i="34" a="1"/>
  <c r="L2185" i="34"/>
  <c r="M2185" i="34" a="1"/>
  <c r="M2185" i="34"/>
  <c r="N2185" i="34" a="1"/>
  <c r="N2185" i="34"/>
  <c r="O2185" i="34" a="1"/>
  <c r="O2185" i="34"/>
  <c r="P2185" i="34" a="1"/>
  <c r="P2185" i="34"/>
  <c r="Q2185" i="34" a="1"/>
  <c r="Q2185" i="34"/>
  <c r="I2186" i="34" a="1"/>
  <c r="I2186" i="34"/>
  <c r="J2186" i="34" a="1"/>
  <c r="J2186" i="34"/>
  <c r="K2186" i="34" a="1"/>
  <c r="K2186" i="34"/>
  <c r="L2186" i="34" a="1"/>
  <c r="L2186" i="34"/>
  <c r="M2186" i="34" a="1"/>
  <c r="M2186" i="34"/>
  <c r="N2186" i="34" a="1"/>
  <c r="N2186" i="34"/>
  <c r="O2186" i="34" a="1"/>
  <c r="O2186" i="34"/>
  <c r="P2186" i="34" a="1"/>
  <c r="P2186" i="34"/>
  <c r="Q2186" i="34" a="1"/>
  <c r="Q2186" i="34"/>
  <c r="I2187" i="34" a="1"/>
  <c r="I2187" i="34"/>
  <c r="J2187" i="34" a="1"/>
  <c r="J2187" i="34"/>
  <c r="K2187" i="34" a="1"/>
  <c r="K2187" i="34"/>
  <c r="L2187" i="34" a="1"/>
  <c r="L2187" i="34"/>
  <c r="M2187" i="34" a="1"/>
  <c r="M2187" i="34"/>
  <c r="N2187" i="34" a="1"/>
  <c r="N2187" i="34"/>
  <c r="O2187" i="34" a="1"/>
  <c r="O2187" i="34"/>
  <c r="P2187" i="34" a="1"/>
  <c r="P2187" i="34"/>
  <c r="Q2187" i="34" a="1"/>
  <c r="Q2187" i="34"/>
  <c r="I2188" i="34" a="1"/>
  <c r="I2188" i="34"/>
  <c r="J2188" i="34" a="1"/>
  <c r="J2188" i="34"/>
  <c r="K2188" i="34" a="1"/>
  <c r="K2188" i="34"/>
  <c r="L2188" i="34" a="1"/>
  <c r="L2188" i="34"/>
  <c r="M2188" i="34" a="1"/>
  <c r="M2188" i="34"/>
  <c r="N2188" i="34" a="1"/>
  <c r="N2188" i="34"/>
  <c r="O2188" i="34" a="1"/>
  <c r="O2188" i="34"/>
  <c r="P2188" i="34" a="1"/>
  <c r="P2188" i="34"/>
  <c r="Q2188" i="34" a="1"/>
  <c r="Q2188" i="34"/>
  <c r="I2189" i="34" a="1"/>
  <c r="I2189" i="34"/>
  <c r="J2189" i="34" a="1"/>
  <c r="J2189" i="34"/>
  <c r="K2189" i="34" a="1"/>
  <c r="K2189" i="34"/>
  <c r="L2189" i="34" a="1"/>
  <c r="L2189" i="34"/>
  <c r="M2189" i="34" a="1"/>
  <c r="M2189" i="34"/>
  <c r="N2189" i="34" a="1"/>
  <c r="N2189" i="34"/>
  <c r="O2189" i="34" a="1"/>
  <c r="O2189" i="34"/>
  <c r="P2189" i="34" a="1"/>
  <c r="P2189" i="34"/>
  <c r="Q2189" i="34" a="1"/>
  <c r="Q2189" i="34"/>
  <c r="I2190" i="34" a="1"/>
  <c r="I2190" i="34"/>
  <c r="J2190" i="34" a="1"/>
  <c r="J2190" i="34"/>
  <c r="K2190" i="34" a="1"/>
  <c r="K2190" i="34"/>
  <c r="L2190" i="34" a="1"/>
  <c r="L2190" i="34"/>
  <c r="M2190" i="34" a="1"/>
  <c r="M2190" i="34"/>
  <c r="N2190" i="34" a="1"/>
  <c r="N2190" i="34"/>
  <c r="O2190" i="34" a="1"/>
  <c r="O2190" i="34"/>
  <c r="P2190" i="34" a="1"/>
  <c r="P2190" i="34"/>
  <c r="Q2190" i="34" a="1"/>
  <c r="Q2190" i="34"/>
  <c r="I2191" i="34" a="1"/>
  <c r="I2191" i="34"/>
  <c r="J2191" i="34" a="1"/>
  <c r="J2191" i="34"/>
  <c r="K2191" i="34" a="1"/>
  <c r="K2191" i="34"/>
  <c r="L2191" i="34" a="1"/>
  <c r="L2191" i="34"/>
  <c r="M2191" i="34" a="1"/>
  <c r="M2191" i="34"/>
  <c r="N2191" i="34" a="1"/>
  <c r="N2191" i="34"/>
  <c r="O2191" i="34" a="1"/>
  <c r="O2191" i="34"/>
  <c r="P2191" i="34" a="1"/>
  <c r="P2191" i="34"/>
  <c r="Q2191" i="34" a="1"/>
  <c r="Q2191" i="34"/>
  <c r="I2192" i="34" a="1"/>
  <c r="I2192" i="34"/>
  <c r="J2192" i="34" a="1"/>
  <c r="J2192" i="34"/>
  <c r="K2192" i="34" a="1"/>
  <c r="K2192" i="34"/>
  <c r="L2192" i="34" a="1"/>
  <c r="L2192" i="34"/>
  <c r="M2192" i="34" a="1"/>
  <c r="M2192" i="34"/>
  <c r="N2192" i="34" a="1"/>
  <c r="N2192" i="34"/>
  <c r="O2192" i="34" a="1"/>
  <c r="O2192" i="34"/>
  <c r="P2192" i="34" a="1"/>
  <c r="P2192" i="34"/>
  <c r="Q2192" i="34" a="1"/>
  <c r="Q2192" i="34"/>
  <c r="I2193" i="34" a="1"/>
  <c r="I2193" i="34"/>
  <c r="J2193" i="34" a="1"/>
  <c r="J2193" i="34"/>
  <c r="K2193" i="34" a="1"/>
  <c r="K2193" i="34"/>
  <c r="L2193" i="34" a="1"/>
  <c r="L2193" i="34"/>
  <c r="M2193" i="34" a="1"/>
  <c r="M2193" i="34"/>
  <c r="N2193" i="34" a="1"/>
  <c r="N2193" i="34"/>
  <c r="O2193" i="34" a="1"/>
  <c r="O2193" i="34"/>
  <c r="P2193" i="34" a="1"/>
  <c r="P2193" i="34"/>
  <c r="Q2193" i="34" a="1"/>
  <c r="Q2193" i="34"/>
  <c r="I2194" i="34" a="1"/>
  <c r="I2194" i="34"/>
  <c r="J2194" i="34" a="1"/>
  <c r="J2194" i="34"/>
  <c r="K2194" i="34" a="1"/>
  <c r="K2194" i="34"/>
  <c r="L2194" i="34" a="1"/>
  <c r="L2194" i="34"/>
  <c r="M2194" i="34" a="1"/>
  <c r="M2194" i="34"/>
  <c r="N2194" i="34" a="1"/>
  <c r="N2194" i="34"/>
  <c r="O2194" i="34" a="1"/>
  <c r="O2194" i="34"/>
  <c r="P2194" i="34" a="1"/>
  <c r="P2194" i="34"/>
  <c r="Q2194" i="34" a="1"/>
  <c r="Q2194" i="34"/>
  <c r="I2195" i="34" a="1"/>
  <c r="I2195" i="34"/>
  <c r="J2195" i="34" a="1"/>
  <c r="J2195" i="34"/>
  <c r="K2195" i="34" a="1"/>
  <c r="K2195" i="34"/>
  <c r="L2195" i="34" a="1"/>
  <c r="L2195" i="34"/>
  <c r="M2195" i="34" a="1"/>
  <c r="M2195" i="34"/>
  <c r="N2195" i="34" a="1"/>
  <c r="N2195" i="34"/>
  <c r="O2195" i="34" a="1"/>
  <c r="O2195" i="34"/>
  <c r="P2195" i="34" a="1"/>
  <c r="P2195" i="34"/>
  <c r="Q2195" i="34" a="1"/>
  <c r="Q2195" i="34"/>
  <c r="I2196" i="34" a="1"/>
  <c r="I2196" i="34"/>
  <c r="J2196" i="34" a="1"/>
  <c r="J2196" i="34"/>
  <c r="K2196" i="34" a="1"/>
  <c r="K2196" i="34"/>
  <c r="L2196" i="34" a="1"/>
  <c r="L2196" i="34"/>
  <c r="M2196" i="34" a="1"/>
  <c r="M2196" i="34"/>
  <c r="N2196" i="34" a="1"/>
  <c r="N2196" i="34"/>
  <c r="O2196" i="34" a="1"/>
  <c r="O2196" i="34"/>
  <c r="P2196" i="34" a="1"/>
  <c r="P2196" i="34"/>
  <c r="Q2196" i="34" a="1"/>
  <c r="Q2196" i="34"/>
  <c r="I2197" i="34" a="1"/>
  <c r="I2197" i="34"/>
  <c r="J2197" i="34" a="1"/>
  <c r="J2197" i="34"/>
  <c r="K2197" i="34" a="1"/>
  <c r="K2197" i="34"/>
  <c r="L2197" i="34" a="1"/>
  <c r="L2197" i="34"/>
  <c r="M2197" i="34" a="1"/>
  <c r="M2197" i="34"/>
  <c r="N2197" i="34" a="1"/>
  <c r="N2197" i="34"/>
  <c r="O2197" i="34" a="1"/>
  <c r="O2197" i="34"/>
  <c r="P2197" i="34" a="1"/>
  <c r="P2197" i="34"/>
  <c r="Q2197" i="34" a="1"/>
  <c r="Q2197" i="34"/>
  <c r="I2198" i="34" a="1"/>
  <c r="I2198" i="34"/>
  <c r="J2198" i="34" a="1"/>
  <c r="J2198" i="34"/>
  <c r="K2198" i="34" a="1"/>
  <c r="K2198" i="34"/>
  <c r="L2198" i="34" a="1"/>
  <c r="L2198" i="34"/>
  <c r="M2198" i="34" a="1"/>
  <c r="M2198" i="34"/>
  <c r="N2198" i="34" a="1"/>
  <c r="N2198" i="34"/>
  <c r="O2198" i="34" a="1"/>
  <c r="O2198" i="34"/>
  <c r="P2198" i="34" a="1"/>
  <c r="P2198" i="34"/>
  <c r="Q2198" i="34" a="1"/>
  <c r="Q2198" i="34"/>
  <c r="I2203" i="34" a="1"/>
  <c r="I2203" i="34"/>
  <c r="J2203" i="34" a="1"/>
  <c r="J2203" i="34"/>
  <c r="K2203" i="34" a="1"/>
  <c r="K2203" i="34"/>
  <c r="L2203" i="34" a="1"/>
  <c r="L2203" i="34"/>
  <c r="M2203" i="34" a="1"/>
  <c r="M2203" i="34"/>
  <c r="N2203" i="34" a="1"/>
  <c r="N2203" i="34"/>
  <c r="O2203" i="34" a="1"/>
  <c r="O2203" i="34"/>
  <c r="P2203" i="34" a="1"/>
  <c r="P2203" i="34"/>
  <c r="Q2203" i="34" a="1"/>
  <c r="Q2203" i="34"/>
  <c r="I2204" i="34" a="1"/>
  <c r="I2204" i="34"/>
  <c r="J2204" i="34" a="1"/>
  <c r="J2204" i="34"/>
  <c r="K2204" i="34" a="1"/>
  <c r="K2204" i="34"/>
  <c r="L2204" i="34" a="1"/>
  <c r="L2204" i="34"/>
  <c r="M2204" i="34" a="1"/>
  <c r="M2204" i="34"/>
  <c r="N2204" i="34" a="1"/>
  <c r="N2204" i="34"/>
  <c r="O2204" i="34" a="1"/>
  <c r="O2204" i="34"/>
  <c r="P2204" i="34" a="1"/>
  <c r="P2204" i="34"/>
  <c r="Q2204" i="34" a="1"/>
  <c r="Q2204" i="34"/>
  <c r="I2205" i="34" a="1"/>
  <c r="I2205" i="34"/>
  <c r="J2205" i="34" a="1"/>
  <c r="J2205" i="34"/>
  <c r="K2205" i="34" a="1"/>
  <c r="K2205" i="34"/>
  <c r="L2205" i="34" a="1"/>
  <c r="L2205" i="34"/>
  <c r="M2205" i="34" a="1"/>
  <c r="M2205" i="34"/>
  <c r="N2205" i="34" a="1"/>
  <c r="N2205" i="34"/>
  <c r="O2205" i="34" a="1"/>
  <c r="O2205" i="34"/>
  <c r="P2205" i="34" a="1"/>
  <c r="P2205" i="34"/>
  <c r="Q2205" i="34" a="1"/>
  <c r="Q2205" i="34"/>
  <c r="I2206" i="34" a="1"/>
  <c r="I2206" i="34"/>
  <c r="J2206" i="34" a="1"/>
  <c r="J2206" i="34"/>
  <c r="K2206" i="34" a="1"/>
  <c r="K2206" i="34"/>
  <c r="L2206" i="34" a="1"/>
  <c r="L2206" i="34"/>
  <c r="M2206" i="34" a="1"/>
  <c r="M2206" i="34"/>
  <c r="N2206" i="34" a="1"/>
  <c r="N2206" i="34"/>
  <c r="O2206" i="34" a="1"/>
  <c r="O2206" i="34"/>
  <c r="P2206" i="34" a="1"/>
  <c r="P2206" i="34"/>
  <c r="Q2206" i="34" a="1"/>
  <c r="Q2206" i="34"/>
  <c r="I2207" i="34" a="1"/>
  <c r="I2207" i="34"/>
  <c r="J2207" i="34" a="1"/>
  <c r="J2207" i="34"/>
  <c r="K2207" i="34" a="1"/>
  <c r="K2207" i="34"/>
  <c r="L2207" i="34" a="1"/>
  <c r="L2207" i="34"/>
  <c r="M2207" i="34" a="1"/>
  <c r="M2207" i="34"/>
  <c r="N2207" i="34" a="1"/>
  <c r="N2207" i="34"/>
  <c r="O2207" i="34" a="1"/>
  <c r="O2207" i="34"/>
  <c r="P2207" i="34" a="1"/>
  <c r="P2207" i="34"/>
  <c r="Q2207" i="34" a="1"/>
  <c r="Q2207" i="34"/>
  <c r="I2208" i="34" a="1"/>
  <c r="I2208" i="34"/>
  <c r="J2208" i="34" a="1"/>
  <c r="J2208" i="34"/>
  <c r="K2208" i="34" a="1"/>
  <c r="K2208" i="34"/>
  <c r="L2208" i="34" a="1"/>
  <c r="L2208" i="34"/>
  <c r="M2208" i="34" a="1"/>
  <c r="M2208" i="34"/>
  <c r="N2208" i="34" a="1"/>
  <c r="N2208" i="34"/>
  <c r="O2208" i="34" a="1"/>
  <c r="O2208" i="34"/>
  <c r="P2208" i="34" a="1"/>
  <c r="P2208" i="34"/>
  <c r="Q2208" i="34" a="1"/>
  <c r="Q2208" i="34"/>
  <c r="I2209" i="34" a="1"/>
  <c r="I2209" i="34"/>
  <c r="J2209" i="34" a="1"/>
  <c r="J2209" i="34"/>
  <c r="K2209" i="34" a="1"/>
  <c r="K2209" i="34"/>
  <c r="L2209" i="34" a="1"/>
  <c r="L2209" i="34"/>
  <c r="M2209" i="34" a="1"/>
  <c r="M2209" i="34"/>
  <c r="N2209" i="34" a="1"/>
  <c r="N2209" i="34"/>
  <c r="O2209" i="34" a="1"/>
  <c r="O2209" i="34"/>
  <c r="P2209" i="34" a="1"/>
  <c r="P2209" i="34"/>
  <c r="Q2209" i="34" a="1"/>
  <c r="Q2209" i="34"/>
  <c r="I2210" i="34" a="1"/>
  <c r="I2210" i="34"/>
  <c r="J2210" i="34" a="1"/>
  <c r="J2210" i="34"/>
  <c r="K2210" i="34" a="1"/>
  <c r="K2210" i="34"/>
  <c r="L2210" i="34" a="1"/>
  <c r="L2210" i="34"/>
  <c r="M2210" i="34" a="1"/>
  <c r="M2210" i="34"/>
  <c r="N2210" i="34" a="1"/>
  <c r="N2210" i="34"/>
  <c r="O2210" i="34" a="1"/>
  <c r="O2210" i="34"/>
  <c r="P2210" i="34" a="1"/>
  <c r="P2210" i="34"/>
  <c r="Q2210" i="34" a="1"/>
  <c r="Q2210" i="34"/>
  <c r="I2211" i="34" a="1"/>
  <c r="I2211" i="34"/>
  <c r="J2211" i="34" a="1"/>
  <c r="J2211" i="34"/>
  <c r="K2211" i="34" a="1"/>
  <c r="K2211" i="34"/>
  <c r="L2211" i="34" a="1"/>
  <c r="L2211" i="34"/>
  <c r="M2211" i="34" a="1"/>
  <c r="M2211" i="34"/>
  <c r="N2211" i="34" a="1"/>
  <c r="N2211" i="34"/>
  <c r="O2211" i="34" a="1"/>
  <c r="O2211" i="34"/>
  <c r="P2211" i="34" a="1"/>
  <c r="P2211" i="34"/>
  <c r="Q2211" i="34" a="1"/>
  <c r="Q2211" i="34"/>
  <c r="I2212" i="34" a="1"/>
  <c r="I2212" i="34"/>
  <c r="J2212" i="34" a="1"/>
  <c r="J2212" i="34"/>
  <c r="K2212" i="34" a="1"/>
  <c r="K2212" i="34"/>
  <c r="L2212" i="34" a="1"/>
  <c r="L2212" i="34"/>
  <c r="M2212" i="34" a="1"/>
  <c r="M2212" i="34"/>
  <c r="N2212" i="34" a="1"/>
  <c r="N2212" i="34"/>
  <c r="O2212" i="34" a="1"/>
  <c r="O2212" i="34"/>
  <c r="P2212" i="34" a="1"/>
  <c r="P2212" i="34"/>
  <c r="Q2212" i="34" a="1"/>
  <c r="Q2212" i="34"/>
  <c r="I2213" i="34" a="1"/>
  <c r="I2213" i="34"/>
  <c r="J2213" i="34" a="1"/>
  <c r="J2213" i="34"/>
  <c r="K2213" i="34" a="1"/>
  <c r="K2213" i="34"/>
  <c r="L2213" i="34" a="1"/>
  <c r="L2213" i="34"/>
  <c r="M2213" i="34" a="1"/>
  <c r="M2213" i="34"/>
  <c r="N2213" i="34" a="1"/>
  <c r="N2213" i="34"/>
  <c r="O2213" i="34" a="1"/>
  <c r="O2213" i="34"/>
  <c r="P2213" i="34" a="1"/>
  <c r="P2213" i="34"/>
  <c r="Q2213" i="34" a="1"/>
  <c r="Q2213" i="34"/>
  <c r="I2214" i="34" a="1"/>
  <c r="I2214" i="34"/>
  <c r="J2214" i="34" a="1"/>
  <c r="J2214" i="34"/>
  <c r="K2214" i="34" a="1"/>
  <c r="K2214" i="34"/>
  <c r="L2214" i="34" a="1"/>
  <c r="L2214" i="34"/>
  <c r="M2214" i="34" a="1"/>
  <c r="M2214" i="34"/>
  <c r="N2214" i="34" a="1"/>
  <c r="N2214" i="34"/>
  <c r="O2214" i="34" a="1"/>
  <c r="O2214" i="34"/>
  <c r="P2214" i="34" a="1"/>
  <c r="P2214" i="34"/>
  <c r="Q2214" i="34" a="1"/>
  <c r="Q2214" i="34"/>
  <c r="I2215" i="34" a="1"/>
  <c r="I2215" i="34"/>
  <c r="J2215" i="34" a="1"/>
  <c r="J2215" i="34"/>
  <c r="K2215" i="34" a="1"/>
  <c r="K2215" i="34"/>
  <c r="L2215" i="34" a="1"/>
  <c r="L2215" i="34"/>
  <c r="M2215" i="34" a="1"/>
  <c r="M2215" i="34"/>
  <c r="N2215" i="34" a="1"/>
  <c r="N2215" i="34"/>
  <c r="O2215" i="34" a="1"/>
  <c r="O2215" i="34"/>
  <c r="P2215" i="34" a="1"/>
  <c r="P2215" i="34"/>
  <c r="Q2215" i="34" a="1"/>
  <c r="Q2215" i="34"/>
  <c r="I2216" i="34" a="1"/>
  <c r="I2216" i="34"/>
  <c r="J2216" i="34" a="1"/>
  <c r="J2216" i="34"/>
  <c r="K2216" i="34" a="1"/>
  <c r="K2216" i="34"/>
  <c r="L2216" i="34" a="1"/>
  <c r="L2216" i="34"/>
  <c r="M2216" i="34" a="1"/>
  <c r="M2216" i="34"/>
  <c r="N2216" i="34" a="1"/>
  <c r="N2216" i="34"/>
  <c r="O2216" i="34" a="1"/>
  <c r="O2216" i="34"/>
  <c r="P2216" i="34" a="1"/>
  <c r="P2216" i="34"/>
  <c r="Q2216" i="34" a="1"/>
  <c r="Q2216" i="34"/>
  <c r="I2217" i="34" a="1"/>
  <c r="I2217" i="34"/>
  <c r="J2217" i="34" a="1"/>
  <c r="J2217" i="34"/>
  <c r="K2217" i="34" a="1"/>
  <c r="K2217" i="34"/>
  <c r="L2217" i="34" a="1"/>
  <c r="L2217" i="34"/>
  <c r="M2217" i="34" a="1"/>
  <c r="M2217" i="34"/>
  <c r="N2217" i="34" a="1"/>
  <c r="N2217" i="34"/>
  <c r="O2217" i="34" a="1"/>
  <c r="O2217" i="34"/>
  <c r="P2217" i="34" a="1"/>
  <c r="P2217" i="34"/>
  <c r="Q2217" i="34" a="1"/>
  <c r="Q2217" i="34"/>
  <c r="I2399" i="34" a="1"/>
  <c r="I2399" i="34"/>
  <c r="J2399" i="34" a="1"/>
  <c r="J2399" i="34"/>
  <c r="K2399" i="34" a="1"/>
  <c r="K2399" i="34"/>
  <c r="L2399" i="34" a="1"/>
  <c r="L2399" i="34"/>
  <c r="M2399" i="34" a="1"/>
  <c r="M2399" i="34"/>
  <c r="N2399" i="34" a="1"/>
  <c r="N2399" i="34"/>
  <c r="O2399" i="34" a="1"/>
  <c r="O2399" i="34"/>
  <c r="P2399" i="34" a="1"/>
  <c r="P2399" i="34"/>
  <c r="Q2399" i="34" a="1"/>
  <c r="Q2399" i="34"/>
  <c r="I2400" i="34" a="1"/>
  <c r="I2400" i="34"/>
  <c r="J2400" i="34" a="1"/>
  <c r="J2400" i="34"/>
  <c r="K2400" i="34" a="1"/>
  <c r="K2400" i="34"/>
  <c r="L2400" i="34" a="1"/>
  <c r="L2400" i="34"/>
  <c r="M2400" i="34" a="1"/>
  <c r="M2400" i="34"/>
  <c r="N2400" i="34" a="1"/>
  <c r="N2400" i="34"/>
  <c r="O2400" i="34" a="1"/>
  <c r="O2400" i="34"/>
  <c r="P2400" i="34" a="1"/>
  <c r="P2400" i="34"/>
  <c r="Q2400" i="34" a="1"/>
  <c r="Q2400" i="34"/>
  <c r="I2401" i="34" a="1"/>
  <c r="I2401" i="34"/>
  <c r="J2401" i="34" a="1"/>
  <c r="J2401" i="34"/>
  <c r="K2401" i="34" a="1"/>
  <c r="K2401" i="34"/>
  <c r="L2401" i="34" a="1"/>
  <c r="L2401" i="34"/>
  <c r="M2401" i="34" a="1"/>
  <c r="M2401" i="34"/>
  <c r="N2401" i="34" a="1"/>
  <c r="N2401" i="34"/>
  <c r="O2401" i="34" a="1"/>
  <c r="O2401" i="34"/>
  <c r="P2401" i="34" a="1"/>
  <c r="P2401" i="34"/>
  <c r="Q2401" i="34" a="1"/>
  <c r="Q2401" i="34"/>
  <c r="I2402" i="34" a="1"/>
  <c r="I2402" i="34"/>
  <c r="J2402" i="34" a="1"/>
  <c r="J2402" i="34"/>
  <c r="K2402" i="34" a="1"/>
  <c r="K2402" i="34"/>
  <c r="L2402" i="34" a="1"/>
  <c r="L2402" i="34"/>
  <c r="M2402" i="34" a="1"/>
  <c r="M2402" i="34"/>
  <c r="N2402" i="34" a="1"/>
  <c r="N2402" i="34"/>
  <c r="O2402" i="34" a="1"/>
  <c r="O2402" i="34"/>
  <c r="P2402" i="34" a="1"/>
  <c r="P2402" i="34"/>
  <c r="Q2402" i="34" a="1"/>
  <c r="Q2402" i="34"/>
  <c r="I2403" i="34" a="1"/>
  <c r="I2403" i="34"/>
  <c r="J2403" i="34" a="1"/>
  <c r="J2403" i="34"/>
  <c r="K2403" i="34" a="1"/>
  <c r="K2403" i="34"/>
  <c r="L2403" i="34" a="1"/>
  <c r="L2403" i="34"/>
  <c r="M2403" i="34" a="1"/>
  <c r="M2403" i="34"/>
  <c r="N2403" i="34" a="1"/>
  <c r="N2403" i="34"/>
  <c r="O2403" i="34" a="1"/>
  <c r="O2403" i="34"/>
  <c r="P2403" i="34" a="1"/>
  <c r="P2403" i="34"/>
  <c r="Q2403" i="34" a="1"/>
  <c r="Q2403" i="34"/>
  <c r="I2404" i="34" a="1"/>
  <c r="I2404" i="34"/>
  <c r="J2404" i="34" a="1"/>
  <c r="J2404" i="34"/>
  <c r="K2404" i="34" a="1"/>
  <c r="K2404" i="34"/>
  <c r="L2404" i="34" a="1"/>
  <c r="L2404" i="34"/>
  <c r="M2404" i="34" a="1"/>
  <c r="M2404" i="34"/>
  <c r="N2404" i="34" a="1"/>
  <c r="N2404" i="34"/>
  <c r="O2404" i="34" a="1"/>
  <c r="O2404" i="34"/>
  <c r="P2404" i="34" a="1"/>
  <c r="P2404" i="34"/>
  <c r="Q2404" i="34" a="1"/>
  <c r="Q2404" i="34"/>
  <c r="I2405" i="34" a="1"/>
  <c r="I2405" i="34"/>
  <c r="J2405" i="34" a="1"/>
  <c r="J2405" i="34"/>
  <c r="K2405" i="34" a="1"/>
  <c r="K2405" i="34"/>
  <c r="L2405" i="34" a="1"/>
  <c r="L2405" i="34"/>
  <c r="M2405" i="34" a="1"/>
  <c r="M2405" i="34"/>
  <c r="N2405" i="34" a="1"/>
  <c r="N2405" i="34"/>
  <c r="O2405" i="34" a="1"/>
  <c r="O2405" i="34"/>
  <c r="P2405" i="34" a="1"/>
  <c r="P2405" i="34"/>
  <c r="Q2405" i="34" a="1"/>
  <c r="Q2405" i="34"/>
  <c r="I2406" i="34" a="1"/>
  <c r="I2406" i="34"/>
  <c r="J2406" i="34" a="1"/>
  <c r="J2406" i="34"/>
  <c r="K2406" i="34" a="1"/>
  <c r="K2406" i="34"/>
  <c r="L2406" i="34" a="1"/>
  <c r="L2406" i="34"/>
  <c r="M2406" i="34" a="1"/>
  <c r="M2406" i="34"/>
  <c r="N2406" i="34" a="1"/>
  <c r="N2406" i="34"/>
  <c r="O2406" i="34" a="1"/>
  <c r="O2406" i="34"/>
  <c r="P2406" i="34" a="1"/>
  <c r="P2406" i="34"/>
  <c r="Q2406" i="34" a="1"/>
  <c r="Q2406" i="34"/>
  <c r="I2407" i="34" a="1"/>
  <c r="I2407" i="34"/>
  <c r="J2407" i="34" a="1"/>
  <c r="J2407" i="34"/>
  <c r="K2407" i="34" a="1"/>
  <c r="K2407" i="34"/>
  <c r="L2407" i="34" a="1"/>
  <c r="L2407" i="34"/>
  <c r="M2407" i="34" a="1"/>
  <c r="M2407" i="34"/>
  <c r="N2407" i="34" a="1"/>
  <c r="N2407" i="34"/>
  <c r="O2407" i="34" a="1"/>
  <c r="O2407" i="34"/>
  <c r="P2407" i="34" a="1"/>
  <c r="P2407" i="34"/>
  <c r="Q2407" i="34" a="1"/>
  <c r="Q2407" i="34"/>
  <c r="I2408" i="34" a="1"/>
  <c r="I2408" i="34"/>
  <c r="J2408" i="34" a="1"/>
  <c r="J2408" i="34"/>
  <c r="K2408" i="34" a="1"/>
  <c r="K2408" i="34"/>
  <c r="L2408" i="34" a="1"/>
  <c r="L2408" i="34"/>
  <c r="M2408" i="34" a="1"/>
  <c r="M2408" i="34"/>
  <c r="N2408" i="34" a="1"/>
  <c r="N2408" i="34"/>
  <c r="O2408" i="34" a="1"/>
  <c r="O2408" i="34"/>
  <c r="P2408" i="34" a="1"/>
  <c r="P2408" i="34"/>
  <c r="Q2408" i="34" a="1"/>
  <c r="Q2408" i="34"/>
  <c r="I2409" i="34" a="1"/>
  <c r="I2409" i="34"/>
  <c r="J2409" i="34" a="1"/>
  <c r="J2409" i="34"/>
  <c r="K2409" i="34" a="1"/>
  <c r="K2409" i="34"/>
  <c r="L2409" i="34" a="1"/>
  <c r="L2409" i="34"/>
  <c r="M2409" i="34" a="1"/>
  <c r="M2409" i="34"/>
  <c r="N2409" i="34" a="1"/>
  <c r="N2409" i="34"/>
  <c r="O2409" i="34" a="1"/>
  <c r="O2409" i="34"/>
  <c r="P2409" i="34" a="1"/>
  <c r="P2409" i="34"/>
  <c r="Q2409" i="34" a="1"/>
  <c r="Q2409" i="34"/>
  <c r="I2410" i="34" a="1"/>
  <c r="I2410" i="34"/>
  <c r="J2410" i="34" a="1"/>
  <c r="J2410" i="34"/>
  <c r="K2410" i="34" a="1"/>
  <c r="K2410" i="34"/>
  <c r="L2410" i="34" a="1"/>
  <c r="L2410" i="34"/>
  <c r="M2410" i="34" a="1"/>
  <c r="M2410" i="34"/>
  <c r="N2410" i="34" a="1"/>
  <c r="N2410" i="34"/>
  <c r="O2410" i="34" a="1"/>
  <c r="O2410" i="34"/>
  <c r="P2410" i="34" a="1"/>
  <c r="P2410" i="34"/>
  <c r="Q2410" i="34" a="1"/>
  <c r="Q2410" i="34"/>
  <c r="I2411" i="34" a="1"/>
  <c r="I2411" i="34"/>
  <c r="J2411" i="34" a="1"/>
  <c r="J2411" i="34"/>
  <c r="K2411" i="34" a="1"/>
  <c r="K2411" i="34"/>
  <c r="L2411" i="34" a="1"/>
  <c r="L2411" i="34"/>
  <c r="M2411" i="34" a="1"/>
  <c r="M2411" i="34"/>
  <c r="N2411" i="34" a="1"/>
  <c r="N2411" i="34"/>
  <c r="O2411" i="34" a="1"/>
  <c r="O2411" i="34"/>
  <c r="P2411" i="34" a="1"/>
  <c r="P2411" i="34"/>
  <c r="Q2411" i="34" a="1"/>
  <c r="Q2411" i="34"/>
  <c r="I2412" i="34" a="1"/>
  <c r="I2412" i="34"/>
  <c r="J2412" i="34" a="1"/>
  <c r="J2412" i="34"/>
  <c r="K2412" i="34" a="1"/>
  <c r="K2412" i="34"/>
  <c r="L2412" i="34" a="1"/>
  <c r="L2412" i="34"/>
  <c r="M2412" i="34" a="1"/>
  <c r="M2412" i="34"/>
  <c r="N2412" i="34" a="1"/>
  <c r="N2412" i="34"/>
  <c r="O2412" i="34" a="1"/>
  <c r="O2412" i="34"/>
  <c r="P2412" i="34" a="1"/>
  <c r="P2412" i="34"/>
  <c r="Q2412" i="34" a="1"/>
  <c r="Q2412" i="34"/>
  <c r="I2413" i="34" a="1"/>
  <c r="I2413" i="34"/>
  <c r="J2413" i="34" a="1"/>
  <c r="J2413" i="34"/>
  <c r="K2413" i="34" a="1"/>
  <c r="K2413" i="34"/>
  <c r="L2413" i="34" a="1"/>
  <c r="L2413" i="34"/>
  <c r="M2413" i="34" a="1"/>
  <c r="M2413" i="34"/>
  <c r="N2413" i="34" a="1"/>
  <c r="N2413" i="34"/>
  <c r="O2413" i="34" a="1"/>
  <c r="O2413" i="34"/>
  <c r="P2413" i="34" a="1"/>
  <c r="P2413" i="34"/>
  <c r="Q2413" i="34" a="1"/>
  <c r="Q2413" i="34"/>
  <c r="I2418" i="34" a="1"/>
  <c r="I2418" i="34"/>
  <c r="J2418" i="34" a="1"/>
  <c r="J2418" i="34"/>
  <c r="K2418" i="34" a="1"/>
  <c r="K2418" i="34"/>
  <c r="L2418" i="34" a="1"/>
  <c r="L2418" i="34"/>
  <c r="M2418" i="34" a="1"/>
  <c r="M2418" i="34"/>
  <c r="N2418" i="34" a="1"/>
  <c r="N2418" i="34"/>
  <c r="O2418" i="34" a="1"/>
  <c r="O2418" i="34"/>
  <c r="P2418" i="34" a="1"/>
  <c r="P2418" i="34"/>
  <c r="Q2418" i="34" a="1"/>
  <c r="Q2418" i="34"/>
  <c r="I2419" i="34" a="1"/>
  <c r="I2419" i="34"/>
  <c r="J2419" i="34" a="1"/>
  <c r="J2419" i="34"/>
  <c r="K2419" i="34" a="1"/>
  <c r="K2419" i="34"/>
  <c r="L2419" i="34" a="1"/>
  <c r="L2419" i="34"/>
  <c r="M2419" i="34" a="1"/>
  <c r="M2419" i="34"/>
  <c r="N2419" i="34" a="1"/>
  <c r="N2419" i="34"/>
  <c r="O2419" i="34" a="1"/>
  <c r="O2419" i="34"/>
  <c r="P2419" i="34" a="1"/>
  <c r="P2419" i="34"/>
  <c r="Q2419" i="34" a="1"/>
  <c r="Q2419" i="34"/>
  <c r="I2420" i="34" a="1"/>
  <c r="I2420" i="34"/>
  <c r="J2420" i="34" a="1"/>
  <c r="J2420" i="34"/>
  <c r="K2420" i="34" a="1"/>
  <c r="K2420" i="34"/>
  <c r="L2420" i="34" a="1"/>
  <c r="L2420" i="34"/>
  <c r="M2420" i="34" a="1"/>
  <c r="M2420" i="34"/>
  <c r="N2420" i="34" a="1"/>
  <c r="N2420" i="34"/>
  <c r="O2420" i="34" a="1"/>
  <c r="O2420" i="34"/>
  <c r="P2420" i="34" a="1"/>
  <c r="P2420" i="34"/>
  <c r="Q2420" i="34" a="1"/>
  <c r="Q2420" i="34"/>
  <c r="I2421" i="34" a="1"/>
  <c r="I2421" i="34"/>
  <c r="J2421" i="34" a="1"/>
  <c r="J2421" i="34"/>
  <c r="K2421" i="34" a="1"/>
  <c r="K2421" i="34"/>
  <c r="L2421" i="34" a="1"/>
  <c r="L2421" i="34"/>
  <c r="M2421" i="34" a="1"/>
  <c r="M2421" i="34"/>
  <c r="N2421" i="34" a="1"/>
  <c r="N2421" i="34"/>
  <c r="O2421" i="34" a="1"/>
  <c r="O2421" i="34"/>
  <c r="P2421" i="34" a="1"/>
  <c r="P2421" i="34"/>
  <c r="Q2421" i="34" a="1"/>
  <c r="Q2421" i="34"/>
  <c r="I2422" i="34" a="1"/>
  <c r="I2422" i="34"/>
  <c r="J2422" i="34" a="1"/>
  <c r="J2422" i="34"/>
  <c r="K2422" i="34" a="1"/>
  <c r="K2422" i="34"/>
  <c r="L2422" i="34" a="1"/>
  <c r="L2422" i="34"/>
  <c r="M2422" i="34" a="1"/>
  <c r="M2422" i="34"/>
  <c r="N2422" i="34" a="1"/>
  <c r="N2422" i="34"/>
  <c r="O2422" i="34" a="1"/>
  <c r="O2422" i="34"/>
  <c r="P2422" i="34" a="1"/>
  <c r="P2422" i="34"/>
  <c r="Q2422" i="34" a="1"/>
  <c r="Q2422" i="34"/>
  <c r="I2423" i="34" a="1"/>
  <c r="I2423" i="34"/>
  <c r="J2423" i="34" a="1"/>
  <c r="J2423" i="34"/>
  <c r="K2423" i="34" a="1"/>
  <c r="K2423" i="34"/>
  <c r="L2423" i="34" a="1"/>
  <c r="L2423" i="34"/>
  <c r="M2423" i="34" a="1"/>
  <c r="M2423" i="34"/>
  <c r="N2423" i="34" a="1"/>
  <c r="N2423" i="34"/>
  <c r="O2423" i="34" a="1"/>
  <c r="O2423" i="34"/>
  <c r="P2423" i="34" a="1"/>
  <c r="P2423" i="34"/>
  <c r="Q2423" i="34" a="1"/>
  <c r="Q2423" i="34"/>
  <c r="I2424" i="34" a="1"/>
  <c r="I2424" i="34"/>
  <c r="J2424" i="34" a="1"/>
  <c r="J2424" i="34"/>
  <c r="K2424" i="34" a="1"/>
  <c r="K2424" i="34"/>
  <c r="L2424" i="34" a="1"/>
  <c r="L2424" i="34"/>
  <c r="M2424" i="34" a="1"/>
  <c r="M2424" i="34"/>
  <c r="N2424" i="34" a="1"/>
  <c r="N2424" i="34"/>
  <c r="O2424" i="34" a="1"/>
  <c r="O2424" i="34"/>
  <c r="P2424" i="34" a="1"/>
  <c r="P2424" i="34"/>
  <c r="Q2424" i="34" a="1"/>
  <c r="Q2424" i="34"/>
  <c r="I2425" i="34" a="1"/>
  <c r="I2425" i="34"/>
  <c r="J2425" i="34" a="1"/>
  <c r="J2425" i="34"/>
  <c r="K2425" i="34" a="1"/>
  <c r="K2425" i="34"/>
  <c r="L2425" i="34" a="1"/>
  <c r="L2425" i="34"/>
  <c r="M2425" i="34" a="1"/>
  <c r="M2425" i="34"/>
  <c r="N2425" i="34" a="1"/>
  <c r="N2425" i="34"/>
  <c r="O2425" i="34" a="1"/>
  <c r="O2425" i="34"/>
  <c r="P2425" i="34" a="1"/>
  <c r="P2425" i="34"/>
  <c r="Q2425" i="34" a="1"/>
  <c r="Q2425" i="34"/>
  <c r="I2426" i="34" a="1"/>
  <c r="I2426" i="34"/>
  <c r="J2426" i="34" a="1"/>
  <c r="J2426" i="34"/>
  <c r="K2426" i="34" a="1"/>
  <c r="K2426" i="34"/>
  <c r="L2426" i="34" a="1"/>
  <c r="L2426" i="34"/>
  <c r="M2426" i="34" a="1"/>
  <c r="M2426" i="34"/>
  <c r="N2426" i="34" a="1"/>
  <c r="N2426" i="34"/>
  <c r="O2426" i="34" a="1"/>
  <c r="O2426" i="34"/>
  <c r="P2426" i="34" a="1"/>
  <c r="P2426" i="34"/>
  <c r="Q2426" i="34" a="1"/>
  <c r="Q2426" i="34"/>
  <c r="I2427" i="34" a="1"/>
  <c r="I2427" i="34"/>
  <c r="J2427" i="34" a="1"/>
  <c r="J2427" i="34"/>
  <c r="K2427" i="34" a="1"/>
  <c r="K2427" i="34"/>
  <c r="L2427" i="34" a="1"/>
  <c r="L2427" i="34"/>
  <c r="M2427" i="34" a="1"/>
  <c r="M2427" i="34"/>
  <c r="N2427" i="34" a="1"/>
  <c r="N2427" i="34"/>
  <c r="O2427" i="34" a="1"/>
  <c r="O2427" i="34"/>
  <c r="P2427" i="34" a="1"/>
  <c r="P2427" i="34"/>
  <c r="Q2427" i="34" a="1"/>
  <c r="Q2427" i="34"/>
  <c r="I2428" i="34" a="1"/>
  <c r="I2428" i="34"/>
  <c r="J2428" i="34" a="1"/>
  <c r="J2428" i="34"/>
  <c r="K2428" i="34" a="1"/>
  <c r="K2428" i="34"/>
  <c r="L2428" i="34" a="1"/>
  <c r="L2428" i="34"/>
  <c r="M2428" i="34" a="1"/>
  <c r="M2428" i="34"/>
  <c r="N2428" i="34" a="1"/>
  <c r="N2428" i="34"/>
  <c r="O2428" i="34" a="1"/>
  <c r="O2428" i="34"/>
  <c r="P2428" i="34" a="1"/>
  <c r="P2428" i="34"/>
  <c r="Q2428" i="34" a="1"/>
  <c r="Q2428" i="34"/>
  <c r="I2429" i="34" a="1"/>
  <c r="I2429" i="34"/>
  <c r="J2429" i="34" a="1"/>
  <c r="J2429" i="34"/>
  <c r="K2429" i="34" a="1"/>
  <c r="K2429" i="34"/>
  <c r="L2429" i="34" a="1"/>
  <c r="L2429" i="34"/>
  <c r="M2429" i="34" a="1"/>
  <c r="M2429" i="34"/>
  <c r="N2429" i="34" a="1"/>
  <c r="N2429" i="34"/>
  <c r="O2429" i="34" a="1"/>
  <c r="O2429" i="34"/>
  <c r="P2429" i="34" a="1"/>
  <c r="P2429" i="34"/>
  <c r="Q2429" i="34" a="1"/>
  <c r="Q2429" i="34"/>
  <c r="I2430" i="34" a="1"/>
  <c r="I2430" i="34"/>
  <c r="J2430" i="34" a="1"/>
  <c r="J2430" i="34"/>
  <c r="K2430" i="34" a="1"/>
  <c r="K2430" i="34"/>
  <c r="L2430" i="34" a="1"/>
  <c r="L2430" i="34"/>
  <c r="M2430" i="34" a="1"/>
  <c r="M2430" i="34"/>
  <c r="N2430" i="34" a="1"/>
  <c r="N2430" i="34"/>
  <c r="O2430" i="34" a="1"/>
  <c r="O2430" i="34"/>
  <c r="P2430" i="34" a="1"/>
  <c r="P2430" i="34"/>
  <c r="Q2430" i="34" a="1"/>
  <c r="Q2430" i="34"/>
  <c r="I2431" i="34" a="1"/>
  <c r="I2431" i="34"/>
  <c r="J2431" i="34" a="1"/>
  <c r="J2431" i="34"/>
  <c r="K2431" i="34" a="1"/>
  <c r="K2431" i="34"/>
  <c r="L2431" i="34" a="1"/>
  <c r="L2431" i="34"/>
  <c r="M2431" i="34" a="1"/>
  <c r="M2431" i="34"/>
  <c r="N2431" i="34" a="1"/>
  <c r="N2431" i="34"/>
  <c r="O2431" i="34" a="1"/>
  <c r="O2431" i="34"/>
  <c r="P2431" i="34" a="1"/>
  <c r="P2431" i="34"/>
  <c r="Q2431" i="34" a="1"/>
  <c r="Q2431" i="34"/>
  <c r="I2432" i="34" a="1"/>
  <c r="I2432" i="34"/>
  <c r="J2432" i="34" a="1"/>
  <c r="J2432" i="34"/>
  <c r="K2432" i="34" a="1"/>
  <c r="K2432" i="34"/>
  <c r="L2432" i="34" a="1"/>
  <c r="L2432" i="34"/>
  <c r="M2432" i="34" a="1"/>
  <c r="M2432" i="34"/>
  <c r="N2432" i="34" a="1"/>
  <c r="N2432" i="34"/>
  <c r="O2432" i="34" a="1"/>
  <c r="O2432" i="34"/>
  <c r="P2432" i="34" a="1"/>
  <c r="P2432" i="34"/>
  <c r="Q2432" i="34" a="1"/>
  <c r="Q2432" i="34"/>
  <c r="I2437" i="34" a="1"/>
  <c r="I2437" i="34"/>
  <c r="J2437" i="34" a="1"/>
  <c r="J2437" i="34"/>
  <c r="K2437" i="34" a="1"/>
  <c r="K2437" i="34"/>
  <c r="L2437" i="34" a="1"/>
  <c r="L2437" i="34"/>
  <c r="M2437" i="34" a="1"/>
  <c r="M2437" i="34"/>
  <c r="N2437" i="34" a="1"/>
  <c r="N2437" i="34"/>
  <c r="O2437" i="34" a="1"/>
  <c r="O2437" i="34"/>
  <c r="P2437" i="34" a="1"/>
  <c r="P2437" i="34"/>
  <c r="Q2437" i="34" a="1"/>
  <c r="Q2437" i="34"/>
  <c r="I2438" i="34" a="1"/>
  <c r="I2438" i="34"/>
  <c r="J2438" i="34" a="1"/>
  <c r="J2438" i="34"/>
  <c r="K2438" i="34" a="1"/>
  <c r="K2438" i="34"/>
  <c r="L2438" i="34" a="1"/>
  <c r="L2438" i="34"/>
  <c r="M2438" i="34" a="1"/>
  <c r="M2438" i="34"/>
  <c r="N2438" i="34" a="1"/>
  <c r="N2438" i="34"/>
  <c r="O2438" i="34" a="1"/>
  <c r="O2438" i="34"/>
  <c r="P2438" i="34" a="1"/>
  <c r="P2438" i="34"/>
  <c r="Q2438" i="34" a="1"/>
  <c r="Q2438" i="34"/>
  <c r="I2439" i="34" a="1"/>
  <c r="I2439" i="34"/>
  <c r="J2439" i="34" a="1"/>
  <c r="J2439" i="34"/>
  <c r="K2439" i="34" a="1"/>
  <c r="K2439" i="34"/>
  <c r="L2439" i="34" a="1"/>
  <c r="L2439" i="34"/>
  <c r="M2439" i="34" a="1"/>
  <c r="M2439" i="34"/>
  <c r="N2439" i="34" a="1"/>
  <c r="N2439" i="34"/>
  <c r="O2439" i="34" a="1"/>
  <c r="O2439" i="34"/>
  <c r="P2439" i="34" a="1"/>
  <c r="P2439" i="34"/>
  <c r="Q2439" i="34" a="1"/>
  <c r="Q2439" i="34"/>
  <c r="I2440" i="34" a="1"/>
  <c r="I2440" i="34"/>
  <c r="J2440" i="34" a="1"/>
  <c r="J2440" i="34"/>
  <c r="K2440" i="34" a="1"/>
  <c r="K2440" i="34"/>
  <c r="L2440" i="34" a="1"/>
  <c r="L2440" i="34"/>
  <c r="M2440" i="34" a="1"/>
  <c r="M2440" i="34"/>
  <c r="N2440" i="34" a="1"/>
  <c r="N2440" i="34"/>
  <c r="O2440" i="34" a="1"/>
  <c r="O2440" i="34"/>
  <c r="P2440" i="34" a="1"/>
  <c r="P2440" i="34"/>
  <c r="Q2440" i="34" a="1"/>
  <c r="Q2440" i="34"/>
  <c r="I2441" i="34" a="1"/>
  <c r="I2441" i="34"/>
  <c r="J2441" i="34" a="1"/>
  <c r="J2441" i="34"/>
  <c r="K2441" i="34" a="1"/>
  <c r="K2441" i="34"/>
  <c r="L2441" i="34" a="1"/>
  <c r="L2441" i="34"/>
  <c r="M2441" i="34" a="1"/>
  <c r="M2441" i="34"/>
  <c r="N2441" i="34" a="1"/>
  <c r="N2441" i="34"/>
  <c r="O2441" i="34" a="1"/>
  <c r="O2441" i="34"/>
  <c r="P2441" i="34" a="1"/>
  <c r="P2441" i="34"/>
  <c r="Q2441" i="34" a="1"/>
  <c r="Q2441" i="34"/>
  <c r="I2442" i="34" a="1"/>
  <c r="I2442" i="34"/>
  <c r="J2442" i="34" a="1"/>
  <c r="J2442" i="34"/>
  <c r="K2442" i="34" a="1"/>
  <c r="K2442" i="34"/>
  <c r="L2442" i="34" a="1"/>
  <c r="L2442" i="34"/>
  <c r="M2442" i="34" a="1"/>
  <c r="M2442" i="34"/>
  <c r="N2442" i="34" a="1"/>
  <c r="N2442" i="34"/>
  <c r="O2442" i="34" a="1"/>
  <c r="O2442" i="34"/>
  <c r="P2442" i="34" a="1"/>
  <c r="P2442" i="34"/>
  <c r="Q2442" i="34" a="1"/>
  <c r="Q2442" i="34"/>
  <c r="I2443" i="34" a="1"/>
  <c r="I2443" i="34"/>
  <c r="J2443" i="34" a="1"/>
  <c r="J2443" i="34"/>
  <c r="K2443" i="34" a="1"/>
  <c r="K2443" i="34"/>
  <c r="L2443" i="34" a="1"/>
  <c r="L2443" i="34"/>
  <c r="M2443" i="34" a="1"/>
  <c r="M2443" i="34"/>
  <c r="N2443" i="34" a="1"/>
  <c r="N2443" i="34"/>
  <c r="O2443" i="34" a="1"/>
  <c r="O2443" i="34"/>
  <c r="P2443" i="34" a="1"/>
  <c r="P2443" i="34"/>
  <c r="Q2443" i="34" a="1"/>
  <c r="Q2443" i="34"/>
  <c r="I2444" i="34" a="1"/>
  <c r="I2444" i="34"/>
  <c r="J2444" i="34" a="1"/>
  <c r="J2444" i="34"/>
  <c r="K2444" i="34" a="1"/>
  <c r="K2444" i="34"/>
  <c r="L2444" i="34" a="1"/>
  <c r="L2444" i="34"/>
  <c r="M2444" i="34" a="1"/>
  <c r="M2444" i="34"/>
  <c r="N2444" i="34" a="1"/>
  <c r="N2444" i="34"/>
  <c r="O2444" i="34" a="1"/>
  <c r="O2444" i="34"/>
  <c r="P2444" i="34" a="1"/>
  <c r="P2444" i="34"/>
  <c r="Q2444" i="34" a="1"/>
  <c r="Q2444" i="34"/>
  <c r="I2445" i="34" a="1"/>
  <c r="I2445" i="34"/>
  <c r="J2445" i="34" a="1"/>
  <c r="J2445" i="34"/>
  <c r="K2445" i="34" a="1"/>
  <c r="K2445" i="34"/>
  <c r="L2445" i="34" a="1"/>
  <c r="L2445" i="34"/>
  <c r="M2445" i="34" a="1"/>
  <c r="M2445" i="34"/>
  <c r="N2445" i="34" a="1"/>
  <c r="N2445" i="34"/>
  <c r="O2445" i="34" a="1"/>
  <c r="O2445" i="34"/>
  <c r="P2445" i="34" a="1"/>
  <c r="P2445" i="34"/>
  <c r="Q2445" i="34" a="1"/>
  <c r="Q2445" i="34"/>
  <c r="I2446" i="34" a="1"/>
  <c r="I2446" i="34"/>
  <c r="J2446" i="34" a="1"/>
  <c r="J2446" i="34"/>
  <c r="K2446" i="34" a="1"/>
  <c r="K2446" i="34"/>
  <c r="L2446" i="34" a="1"/>
  <c r="L2446" i="34"/>
  <c r="M2446" i="34" a="1"/>
  <c r="M2446" i="34"/>
  <c r="N2446" i="34" a="1"/>
  <c r="N2446" i="34"/>
  <c r="O2446" i="34" a="1"/>
  <c r="O2446" i="34"/>
  <c r="P2446" i="34" a="1"/>
  <c r="P2446" i="34"/>
  <c r="Q2446" i="34" a="1"/>
  <c r="Q2446" i="34"/>
  <c r="I2447" i="34" a="1"/>
  <c r="I2447" i="34"/>
  <c r="J2447" i="34" a="1"/>
  <c r="J2447" i="34"/>
  <c r="K2447" i="34" a="1"/>
  <c r="K2447" i="34"/>
  <c r="L2447" i="34" a="1"/>
  <c r="L2447" i="34"/>
  <c r="M2447" i="34" a="1"/>
  <c r="M2447" i="34"/>
  <c r="N2447" i="34" a="1"/>
  <c r="N2447" i="34"/>
  <c r="O2447" i="34" a="1"/>
  <c r="O2447" i="34"/>
  <c r="P2447" i="34" a="1"/>
  <c r="P2447" i="34"/>
  <c r="Q2447" i="34" a="1"/>
  <c r="Q2447" i="34"/>
  <c r="I2448" i="34" a="1"/>
  <c r="I2448" i="34"/>
  <c r="J2448" i="34" a="1"/>
  <c r="J2448" i="34"/>
  <c r="K2448" i="34" a="1"/>
  <c r="K2448" i="34"/>
  <c r="L2448" i="34" a="1"/>
  <c r="L2448" i="34"/>
  <c r="M2448" i="34" a="1"/>
  <c r="M2448" i="34"/>
  <c r="N2448" i="34" a="1"/>
  <c r="N2448" i="34"/>
  <c r="O2448" i="34" a="1"/>
  <c r="O2448" i="34"/>
  <c r="P2448" i="34" a="1"/>
  <c r="P2448" i="34"/>
  <c r="Q2448" i="34" a="1"/>
  <c r="Q2448" i="34"/>
  <c r="I2449" i="34" a="1"/>
  <c r="I2449" i="34"/>
  <c r="J2449" i="34" a="1"/>
  <c r="J2449" i="34"/>
  <c r="K2449" i="34" a="1"/>
  <c r="K2449" i="34"/>
  <c r="L2449" i="34" a="1"/>
  <c r="L2449" i="34"/>
  <c r="M2449" i="34" a="1"/>
  <c r="M2449" i="34"/>
  <c r="N2449" i="34" a="1"/>
  <c r="N2449" i="34"/>
  <c r="O2449" i="34" a="1"/>
  <c r="O2449" i="34"/>
  <c r="P2449" i="34" a="1"/>
  <c r="P2449" i="34"/>
  <c r="Q2449" i="34" a="1"/>
  <c r="Q2449" i="34"/>
  <c r="I2450" i="34" a="1"/>
  <c r="I2450" i="34"/>
  <c r="J2450" i="34" a="1"/>
  <c r="J2450" i="34"/>
  <c r="K2450" i="34" a="1"/>
  <c r="K2450" i="34"/>
  <c r="L2450" i="34" a="1"/>
  <c r="L2450" i="34"/>
  <c r="M2450" i="34" a="1"/>
  <c r="M2450" i="34"/>
  <c r="N2450" i="34" a="1"/>
  <c r="N2450" i="34"/>
  <c r="O2450" i="34" a="1"/>
  <c r="O2450" i="34"/>
  <c r="P2450" i="34" a="1"/>
  <c r="P2450" i="34"/>
  <c r="Q2450" i="34" a="1"/>
  <c r="Q2450" i="34"/>
  <c r="I2451" i="34" a="1"/>
  <c r="I2451" i="34"/>
  <c r="J2451" i="34" a="1"/>
  <c r="J2451" i="34"/>
  <c r="K2451" i="34" a="1"/>
  <c r="K2451" i="34"/>
  <c r="L2451" i="34" a="1"/>
  <c r="L2451" i="34"/>
  <c r="M2451" i="34" a="1"/>
  <c r="M2451" i="34"/>
  <c r="N2451" i="34" a="1"/>
  <c r="N2451" i="34"/>
  <c r="O2451" i="34" a="1"/>
  <c r="O2451" i="34"/>
  <c r="P2451" i="34" a="1"/>
  <c r="P2451" i="34"/>
  <c r="Q2451" i="34" a="1"/>
  <c r="Q2451" i="34"/>
  <c r="I2519" i="34" a="1"/>
  <c r="I2519" i="34"/>
  <c r="J2519" i="34" a="1"/>
  <c r="J2519" i="34"/>
  <c r="K2519" i="34" a="1"/>
  <c r="K2519" i="34"/>
  <c r="L2519" i="34" a="1"/>
  <c r="L2519" i="34"/>
  <c r="M2519" i="34" a="1"/>
  <c r="M2519" i="34"/>
  <c r="N2519" i="34" a="1"/>
  <c r="N2519" i="34"/>
  <c r="O2519" i="34" a="1"/>
  <c r="O2519" i="34"/>
  <c r="P2519" i="34" a="1"/>
  <c r="P2519" i="34"/>
  <c r="Q2519" i="34" a="1"/>
  <c r="Q2519" i="34"/>
  <c r="I2520" i="34" a="1"/>
  <c r="I2520" i="34"/>
  <c r="J2520" i="34" a="1"/>
  <c r="J2520" i="34"/>
  <c r="K2520" i="34" a="1"/>
  <c r="K2520" i="34"/>
  <c r="L2520" i="34" a="1"/>
  <c r="L2520" i="34"/>
  <c r="M2520" i="34" a="1"/>
  <c r="M2520" i="34"/>
  <c r="N2520" i="34" a="1"/>
  <c r="N2520" i="34"/>
  <c r="O2520" i="34" a="1"/>
  <c r="O2520" i="34"/>
  <c r="P2520" i="34" a="1"/>
  <c r="P2520" i="34"/>
  <c r="Q2520" i="34" a="1"/>
  <c r="Q2520" i="34"/>
  <c r="I2521" i="34" a="1"/>
  <c r="I2521" i="34"/>
  <c r="J2521" i="34" a="1"/>
  <c r="J2521" i="34"/>
  <c r="K2521" i="34" a="1"/>
  <c r="K2521" i="34"/>
  <c r="L2521" i="34" a="1"/>
  <c r="L2521" i="34"/>
  <c r="M2521" i="34" a="1"/>
  <c r="M2521" i="34"/>
  <c r="N2521" i="34" a="1"/>
  <c r="N2521" i="34"/>
  <c r="O2521" i="34" a="1"/>
  <c r="O2521" i="34"/>
  <c r="P2521" i="34" a="1"/>
  <c r="P2521" i="34"/>
  <c r="Q2521" i="34" a="1"/>
  <c r="Q2521" i="34"/>
  <c r="I2522" i="34" a="1"/>
  <c r="I2522" i="34"/>
  <c r="J2522" i="34" a="1"/>
  <c r="J2522" i="34"/>
  <c r="K2522" i="34" a="1"/>
  <c r="K2522" i="34"/>
  <c r="L2522" i="34" a="1"/>
  <c r="L2522" i="34"/>
  <c r="M2522" i="34" a="1"/>
  <c r="M2522" i="34"/>
  <c r="N2522" i="34" a="1"/>
  <c r="N2522" i="34"/>
  <c r="O2522" i="34" a="1"/>
  <c r="O2522" i="34"/>
  <c r="P2522" i="34" a="1"/>
  <c r="P2522" i="34"/>
  <c r="Q2522" i="34" a="1"/>
  <c r="Q2522" i="34"/>
  <c r="I2523" i="34" a="1"/>
  <c r="I2523" i="34"/>
  <c r="J2523" i="34" a="1"/>
  <c r="J2523" i="34"/>
  <c r="K2523" i="34" a="1"/>
  <c r="K2523" i="34"/>
  <c r="L2523" i="34" a="1"/>
  <c r="L2523" i="34"/>
  <c r="M2523" i="34" a="1"/>
  <c r="M2523" i="34"/>
  <c r="N2523" i="34" a="1"/>
  <c r="N2523" i="34"/>
  <c r="O2523" i="34" a="1"/>
  <c r="O2523" i="34"/>
  <c r="P2523" i="34" a="1"/>
  <c r="P2523" i="34"/>
  <c r="Q2523" i="34" a="1"/>
  <c r="Q2523" i="34"/>
  <c r="I2524" i="34" a="1"/>
  <c r="I2524" i="34"/>
  <c r="J2524" i="34" a="1"/>
  <c r="J2524" i="34"/>
  <c r="K2524" i="34" a="1"/>
  <c r="K2524" i="34"/>
  <c r="L2524" i="34" a="1"/>
  <c r="L2524" i="34"/>
  <c r="M2524" i="34" a="1"/>
  <c r="M2524" i="34"/>
  <c r="N2524" i="34" a="1"/>
  <c r="N2524" i="34"/>
  <c r="O2524" i="34" a="1"/>
  <c r="O2524" i="34"/>
  <c r="P2524" i="34" a="1"/>
  <c r="P2524" i="34"/>
  <c r="Q2524" i="34" a="1"/>
  <c r="Q2524" i="34"/>
  <c r="I2525" i="34" a="1"/>
  <c r="I2525" i="34"/>
  <c r="J2525" i="34" a="1"/>
  <c r="J2525" i="34"/>
  <c r="K2525" i="34" a="1"/>
  <c r="K2525" i="34"/>
  <c r="L2525" i="34" a="1"/>
  <c r="L2525" i="34"/>
  <c r="M2525" i="34" a="1"/>
  <c r="M2525" i="34"/>
  <c r="N2525" i="34" a="1"/>
  <c r="N2525" i="34"/>
  <c r="O2525" i="34" a="1"/>
  <c r="O2525" i="34"/>
  <c r="P2525" i="34" a="1"/>
  <c r="P2525" i="34"/>
  <c r="Q2525" i="34" a="1"/>
  <c r="Q2525" i="34"/>
  <c r="I2526" i="34" a="1"/>
  <c r="I2526" i="34"/>
  <c r="J2526" i="34" a="1"/>
  <c r="J2526" i="34"/>
  <c r="K2526" i="34" a="1"/>
  <c r="K2526" i="34"/>
  <c r="L2526" i="34" a="1"/>
  <c r="L2526" i="34"/>
  <c r="M2526" i="34" a="1"/>
  <c r="M2526" i="34"/>
  <c r="N2526" i="34" a="1"/>
  <c r="N2526" i="34"/>
  <c r="O2526" i="34" a="1"/>
  <c r="O2526" i="34"/>
  <c r="P2526" i="34" a="1"/>
  <c r="P2526" i="34"/>
  <c r="Q2526" i="34" a="1"/>
  <c r="Q2526" i="34"/>
  <c r="I2527" i="34" a="1"/>
  <c r="I2527" i="34"/>
  <c r="J2527" i="34" a="1"/>
  <c r="J2527" i="34"/>
  <c r="K2527" i="34" a="1"/>
  <c r="K2527" i="34"/>
  <c r="L2527" i="34" a="1"/>
  <c r="L2527" i="34"/>
  <c r="M2527" i="34" a="1"/>
  <c r="M2527" i="34"/>
  <c r="N2527" i="34" a="1"/>
  <c r="N2527" i="34"/>
  <c r="O2527" i="34" a="1"/>
  <c r="O2527" i="34"/>
  <c r="P2527" i="34" a="1"/>
  <c r="P2527" i="34"/>
  <c r="Q2527" i="34" a="1"/>
  <c r="Q2527" i="34"/>
  <c r="I2528" i="34" a="1"/>
  <c r="I2528" i="34"/>
  <c r="J2528" i="34" a="1"/>
  <c r="J2528" i="34"/>
  <c r="K2528" i="34" a="1"/>
  <c r="K2528" i="34"/>
  <c r="L2528" i="34" a="1"/>
  <c r="L2528" i="34"/>
  <c r="M2528" i="34" a="1"/>
  <c r="M2528" i="34"/>
  <c r="N2528" i="34" a="1"/>
  <c r="N2528" i="34"/>
  <c r="O2528" i="34" a="1"/>
  <c r="O2528" i="34"/>
  <c r="P2528" i="34" a="1"/>
  <c r="P2528" i="34"/>
  <c r="Q2528" i="34" a="1"/>
  <c r="Q2528" i="34"/>
  <c r="I2529" i="34" a="1"/>
  <c r="I2529" i="34"/>
  <c r="J2529" i="34" a="1"/>
  <c r="J2529" i="34"/>
  <c r="K2529" i="34" a="1"/>
  <c r="K2529" i="34"/>
  <c r="L2529" i="34" a="1"/>
  <c r="L2529" i="34"/>
  <c r="M2529" i="34" a="1"/>
  <c r="M2529" i="34"/>
  <c r="N2529" i="34" a="1"/>
  <c r="N2529" i="34"/>
  <c r="O2529" i="34" a="1"/>
  <c r="O2529" i="34"/>
  <c r="P2529" i="34" a="1"/>
  <c r="P2529" i="34"/>
  <c r="Q2529" i="34" a="1"/>
  <c r="Q2529" i="34"/>
  <c r="I2530" i="34" a="1"/>
  <c r="I2530" i="34"/>
  <c r="J2530" i="34" a="1"/>
  <c r="J2530" i="34"/>
  <c r="K2530" i="34" a="1"/>
  <c r="K2530" i="34"/>
  <c r="L2530" i="34" a="1"/>
  <c r="L2530" i="34"/>
  <c r="M2530" i="34" a="1"/>
  <c r="M2530" i="34"/>
  <c r="N2530" i="34" a="1"/>
  <c r="N2530" i="34"/>
  <c r="O2530" i="34" a="1"/>
  <c r="O2530" i="34"/>
  <c r="P2530" i="34" a="1"/>
  <c r="P2530" i="34"/>
  <c r="Q2530" i="34" a="1"/>
  <c r="Q2530" i="34"/>
  <c r="I2531" i="34" a="1"/>
  <c r="I2531" i="34"/>
  <c r="J2531" i="34" a="1"/>
  <c r="J2531" i="34"/>
  <c r="K2531" i="34" a="1"/>
  <c r="K2531" i="34"/>
  <c r="L2531" i="34" a="1"/>
  <c r="L2531" i="34"/>
  <c r="M2531" i="34" a="1"/>
  <c r="M2531" i="34"/>
  <c r="N2531" i="34" a="1"/>
  <c r="N2531" i="34"/>
  <c r="O2531" i="34" a="1"/>
  <c r="O2531" i="34"/>
  <c r="P2531" i="34" a="1"/>
  <c r="P2531" i="34"/>
  <c r="Q2531" i="34" a="1"/>
  <c r="Q2531" i="34"/>
  <c r="I2532" i="34" a="1"/>
  <c r="I2532" i="34"/>
  <c r="J2532" i="34" a="1"/>
  <c r="J2532" i="34"/>
  <c r="K2532" i="34" a="1"/>
  <c r="K2532" i="34"/>
  <c r="L2532" i="34" a="1"/>
  <c r="L2532" i="34"/>
  <c r="M2532" i="34" a="1"/>
  <c r="M2532" i="34"/>
  <c r="N2532" i="34" a="1"/>
  <c r="N2532" i="34"/>
  <c r="O2532" i="34" a="1"/>
  <c r="O2532" i="34"/>
  <c r="P2532" i="34" a="1"/>
  <c r="P2532" i="34"/>
  <c r="Q2532" i="34" a="1"/>
  <c r="Q2532" i="34"/>
  <c r="I2518" i="34" a="1"/>
  <c r="I2518" i="34"/>
  <c r="I2533" i="34"/>
  <c r="J2518" i="34" a="1"/>
  <c r="J2518" i="34"/>
  <c r="J2533" i="34"/>
  <c r="K2518" i="34" a="1"/>
  <c r="K2518" i="34"/>
  <c r="K2533" i="34"/>
  <c r="L2518" i="34" a="1"/>
  <c r="L2518" i="34"/>
  <c r="L2533" i="34"/>
  <c r="M2518" i="34" a="1"/>
  <c r="M2518" i="34"/>
  <c r="M2533" i="34"/>
  <c r="N2518" i="34" a="1"/>
  <c r="N2518" i="34"/>
  <c r="N2533" i="34"/>
  <c r="O2518" i="34" a="1"/>
  <c r="O2518" i="34"/>
  <c r="O2533" i="34"/>
  <c r="P2518" i="34" a="1"/>
  <c r="P2518" i="34"/>
  <c r="P2533" i="34"/>
  <c r="Q2518" i="34" a="1"/>
  <c r="Q2518" i="34"/>
  <c r="Q2533" i="34"/>
  <c r="Q2302" i="34" a="1"/>
  <c r="Q2302" i="34"/>
  <c r="Q2303" i="34" a="1"/>
  <c r="Q2303" i="34"/>
  <c r="Q2304" i="34" a="1"/>
  <c r="Q2305" i="34" a="1"/>
  <c r="Q2306" i="34" a="1"/>
  <c r="Q2307" i="34" a="1"/>
  <c r="Q2308" i="34" a="1"/>
  <c r="Q2309" i="34" a="1"/>
  <c r="Q2310" i="34" a="1"/>
  <c r="Q2311" i="34" a="1"/>
  <c r="Q2312" i="34" a="1"/>
  <c r="Q2313" i="34" a="1"/>
  <c r="Q2314" i="34" a="1"/>
  <c r="Q2315" i="34" a="1"/>
  <c r="Q2316" i="34" a="1"/>
  <c r="Q2317" i="34" a="1"/>
  <c r="Q2318" i="34" a="1"/>
  <c r="Q2319" i="34" a="1"/>
  <c r="Q2320" i="34" a="1"/>
  <c r="Q2321" i="34" a="1"/>
  <c r="Q2322" i="34" a="1"/>
  <c r="Q2323" i="34" a="1"/>
  <c r="Q2324" i="34" a="1"/>
  <c r="Q2325" i="34" a="1"/>
  <c r="Q2326" i="34" a="1"/>
  <c r="Q2327" i="34" a="1"/>
  <c r="Q2328" i="34" a="1"/>
  <c r="Q2329" i="34" a="1"/>
  <c r="Q2330" i="34" a="1"/>
  <c r="Q2331" i="34" a="1"/>
  <c r="Q2332" i="34" a="1"/>
  <c r="Q2333" i="34" a="1"/>
  <c r="Q2334" i="34" a="1"/>
  <c r="Q2335" i="34" a="1"/>
  <c r="Q2336" i="34" a="1"/>
  <c r="Q2337" i="34" a="1"/>
  <c r="Q2338" i="34" a="1"/>
  <c r="Q2339" i="34" a="1"/>
  <c r="Q2340" i="34" a="1"/>
  <c r="Q2341" i="34" a="1"/>
  <c r="Q2342" i="34" a="1"/>
  <c r="Q2343" i="34" a="1"/>
  <c r="Q2344" i="34" a="1"/>
  <c r="Q2345" i="34" a="1"/>
  <c r="Q2346" i="34" a="1"/>
  <c r="Q2347" i="34" a="1"/>
  <c r="Q2348" i="34" a="1"/>
  <c r="Q2349" i="34" a="1"/>
  <c r="Q2350" i="34" a="1"/>
  <c r="Q2351" i="34" a="1"/>
  <c r="Q2352" i="34" a="1"/>
  <c r="Q2353" i="34" a="1"/>
  <c r="Q2354" i="34" a="1"/>
  <c r="Q2355" i="34" a="1"/>
  <c r="Q2356" i="34" a="1"/>
  <c r="Q2357" i="34" a="1"/>
  <c r="Q2358" i="34" a="1"/>
  <c r="Q2359" i="34" a="1"/>
  <c r="Q2360" i="34" a="1"/>
  <c r="Q2361" i="34" a="1"/>
  <c r="Q2362" i="34" a="1"/>
  <c r="Q2363" i="34" a="1"/>
  <c r="Q2364" i="34" a="1"/>
  <c r="Q2365" i="34" a="1"/>
  <c r="Q2366" i="34" a="1"/>
  <c r="Q2367" i="34" a="1"/>
  <c r="Q2368" i="34" a="1"/>
  <c r="Q2369" i="34" a="1"/>
  <c r="Q2370" i="34" a="1"/>
  <c r="Q2371" i="34" a="1"/>
  <c r="Q2372" i="34" a="1"/>
  <c r="Q2373" i="34" a="1"/>
  <c r="Q2374" i="34" a="1"/>
  <c r="Q2375" i="34" a="1"/>
  <c r="Q2376" i="34" a="1"/>
  <c r="Q2377" i="34" a="1"/>
  <c r="Q2378" i="34" a="1"/>
  <c r="Q2379" i="34" a="1"/>
  <c r="Q2380" i="34" a="1"/>
  <c r="Q2381" i="34" a="1"/>
  <c r="Q2382" i="34" a="1"/>
  <c r="Q2383" i="34" a="1"/>
  <c r="Q2384" i="34" a="1"/>
  <c r="Q2385" i="34" a="1"/>
  <c r="Q2386" i="34" a="1"/>
  <c r="Q2387" i="34" a="1"/>
  <c r="Q2388" i="34" a="1"/>
  <c r="Q2389" i="34" a="1"/>
  <c r="Q2390" i="34" a="1"/>
  <c r="Q2391" i="34" a="1"/>
  <c r="Q2304" i="34"/>
  <c r="Q2305" i="34"/>
  <c r="Q2306" i="34"/>
  <c r="Q2307" i="34"/>
  <c r="Q2308" i="34"/>
  <c r="Q2309" i="34"/>
  <c r="Q2310" i="34"/>
  <c r="Q2311" i="34"/>
  <c r="Q2312" i="34"/>
  <c r="Q2313" i="34"/>
  <c r="Q2314" i="34"/>
  <c r="Q2315" i="34"/>
  <c r="Q2316" i="34"/>
  <c r="Q2317" i="34"/>
  <c r="Q2318" i="34"/>
  <c r="Q2319" i="34"/>
  <c r="Q2320" i="34"/>
  <c r="Q2321" i="34"/>
  <c r="Q2322" i="34"/>
  <c r="Q2323" i="34"/>
  <c r="Q2324" i="34"/>
  <c r="Q2325" i="34"/>
  <c r="Q2326" i="34"/>
  <c r="Q2327" i="34"/>
  <c r="Q2328" i="34"/>
  <c r="Q2329" i="34"/>
  <c r="Q2330" i="34"/>
  <c r="Q2331" i="34"/>
  <c r="Q2332" i="34"/>
  <c r="Q2333" i="34"/>
  <c r="Q2334" i="34"/>
  <c r="Q2335" i="34"/>
  <c r="Q2336" i="34"/>
  <c r="Q2337" i="34"/>
  <c r="Q2338" i="34"/>
  <c r="Q2339" i="34"/>
  <c r="Q2340" i="34"/>
  <c r="Q2341" i="34"/>
  <c r="Q2342" i="34"/>
  <c r="Q2343" i="34"/>
  <c r="Q2344" i="34"/>
  <c r="Q2345" i="34"/>
  <c r="Q2346" i="34"/>
  <c r="Q2347" i="34"/>
  <c r="Q2348" i="34"/>
  <c r="Q2349" i="34"/>
  <c r="Q2350" i="34"/>
  <c r="Q2351" i="34"/>
  <c r="Q2352" i="34"/>
  <c r="Q2353" i="34"/>
  <c r="Q2354" i="34"/>
  <c r="Q2355" i="34"/>
  <c r="Q2356" i="34"/>
  <c r="Q2357" i="34"/>
  <c r="Q2358" i="34"/>
  <c r="Q2359" i="34"/>
  <c r="Q2360" i="34"/>
  <c r="Q2361" i="34"/>
  <c r="Q2362" i="34"/>
  <c r="Q2363" i="34"/>
  <c r="Q2364" i="34"/>
  <c r="Q2365" i="34"/>
  <c r="Q2366" i="34"/>
  <c r="Q2367" i="34"/>
  <c r="Q2368" i="34"/>
  <c r="Q2369" i="34"/>
  <c r="Q2370" i="34"/>
  <c r="Q2371" i="34"/>
  <c r="Q2372" i="34"/>
  <c r="Q2373" i="34"/>
  <c r="Q2374" i="34"/>
  <c r="Q2375" i="34"/>
  <c r="Q2376" i="34"/>
  <c r="Q2377" i="34"/>
  <c r="Q2378" i="34"/>
  <c r="Q2379" i="34"/>
  <c r="Q2380" i="34"/>
  <c r="Q2381" i="34"/>
  <c r="Q2382" i="34"/>
  <c r="Q2383" i="34"/>
  <c r="Q2384" i="34"/>
  <c r="Q2385" i="34"/>
  <c r="Q2386" i="34"/>
  <c r="Q2387" i="34"/>
  <c r="Q2388" i="34"/>
  <c r="Q2389" i="34"/>
  <c r="Q2390" i="34"/>
  <c r="Q2391" i="34"/>
  <c r="Q2392" i="34"/>
  <c r="P2302" i="34" a="1"/>
  <c r="P2302" i="34"/>
  <c r="P2303" i="34" a="1"/>
  <c r="P2303" i="34"/>
  <c r="P2304" i="34" a="1"/>
  <c r="P2305" i="34" a="1"/>
  <c r="P2306" i="34" a="1"/>
  <c r="P2307" i="34" a="1"/>
  <c r="P2308" i="34" a="1"/>
  <c r="P2309" i="34" a="1"/>
  <c r="P2310" i="34" a="1"/>
  <c r="P2311" i="34" a="1"/>
  <c r="P2312" i="34" a="1"/>
  <c r="P2313" i="34" a="1"/>
  <c r="P2314" i="34" a="1"/>
  <c r="P2315" i="34" a="1"/>
  <c r="P2316" i="34" a="1"/>
  <c r="P2317" i="34" a="1"/>
  <c r="P2318" i="34" a="1"/>
  <c r="P2319" i="34" a="1"/>
  <c r="P2320" i="34" a="1"/>
  <c r="P2321" i="34" a="1"/>
  <c r="P2322" i="34" a="1"/>
  <c r="P2323" i="34" a="1"/>
  <c r="P2324" i="34" a="1"/>
  <c r="P2325" i="34" a="1"/>
  <c r="P2326" i="34" a="1"/>
  <c r="P2327" i="34" a="1"/>
  <c r="P2328" i="34" a="1"/>
  <c r="P2329" i="34" a="1"/>
  <c r="P2330" i="34" a="1"/>
  <c r="P2331" i="34" a="1"/>
  <c r="P2332" i="34" a="1"/>
  <c r="P2333" i="34" a="1"/>
  <c r="P2334" i="34" a="1"/>
  <c r="P2335" i="34" a="1"/>
  <c r="P2336" i="34" a="1"/>
  <c r="P2337" i="34" a="1"/>
  <c r="P2338" i="34" a="1"/>
  <c r="P2339" i="34" a="1"/>
  <c r="P2340" i="34" a="1"/>
  <c r="P2341" i="34" a="1"/>
  <c r="P2342" i="34" a="1"/>
  <c r="P2343" i="34" a="1"/>
  <c r="P2344" i="34" a="1"/>
  <c r="P2345" i="34" a="1"/>
  <c r="P2346" i="34" a="1"/>
  <c r="P2347" i="34" a="1"/>
  <c r="P2348" i="34" a="1"/>
  <c r="P2349" i="34" a="1"/>
  <c r="P2350" i="34" a="1"/>
  <c r="P2351" i="34" a="1"/>
  <c r="P2352" i="34" a="1"/>
  <c r="P2353" i="34" a="1"/>
  <c r="P2354" i="34" a="1"/>
  <c r="P2355" i="34" a="1"/>
  <c r="P2356" i="34" a="1"/>
  <c r="P2357" i="34" a="1"/>
  <c r="P2358" i="34" a="1"/>
  <c r="P2359" i="34" a="1"/>
  <c r="P2360" i="34" a="1"/>
  <c r="P2361" i="34" a="1"/>
  <c r="P2362" i="34" a="1"/>
  <c r="P2363" i="34" a="1"/>
  <c r="P2364" i="34" a="1"/>
  <c r="P2365" i="34" a="1"/>
  <c r="P2366" i="34" a="1"/>
  <c r="P2367" i="34" a="1"/>
  <c r="P2368" i="34" a="1"/>
  <c r="P2369" i="34" a="1"/>
  <c r="P2370" i="34" a="1"/>
  <c r="P2371" i="34" a="1"/>
  <c r="P2372" i="34" a="1"/>
  <c r="P2373" i="34" a="1"/>
  <c r="P2374" i="34" a="1"/>
  <c r="P2375" i="34" a="1"/>
  <c r="P2376" i="34" a="1"/>
  <c r="P2377" i="34" a="1"/>
  <c r="P2378" i="34" a="1"/>
  <c r="P2379" i="34" a="1"/>
  <c r="P2380" i="34" a="1"/>
  <c r="P2381" i="34" a="1"/>
  <c r="P2382" i="34" a="1"/>
  <c r="P2383" i="34" a="1"/>
  <c r="P2384" i="34" a="1"/>
  <c r="P2385" i="34" a="1"/>
  <c r="P2386" i="34" a="1"/>
  <c r="P2387" i="34" a="1"/>
  <c r="P2388" i="34" a="1"/>
  <c r="P2389" i="34" a="1"/>
  <c r="P2390" i="34" a="1"/>
  <c r="P2391" i="34" a="1"/>
  <c r="P2304" i="34"/>
  <c r="P2305" i="34"/>
  <c r="P2306" i="34"/>
  <c r="P2307" i="34"/>
  <c r="P2308" i="34"/>
  <c r="P2309" i="34"/>
  <c r="P2310" i="34"/>
  <c r="P2311" i="34"/>
  <c r="P2312" i="34"/>
  <c r="P2313" i="34"/>
  <c r="P2314" i="34"/>
  <c r="P2315" i="34"/>
  <c r="P2316" i="34"/>
  <c r="P2317" i="34"/>
  <c r="P2318" i="34"/>
  <c r="P2319" i="34"/>
  <c r="P2320" i="34"/>
  <c r="P2321" i="34"/>
  <c r="P2322" i="34"/>
  <c r="P2323" i="34"/>
  <c r="P2324" i="34"/>
  <c r="P2325" i="34"/>
  <c r="P2326" i="34"/>
  <c r="P2327" i="34"/>
  <c r="P2328" i="34"/>
  <c r="P2329" i="34"/>
  <c r="P2330" i="34"/>
  <c r="P2331" i="34"/>
  <c r="P2332" i="34"/>
  <c r="P2333" i="34"/>
  <c r="P2334" i="34"/>
  <c r="P2335" i="34"/>
  <c r="P2336" i="34"/>
  <c r="P2337" i="34"/>
  <c r="P2338" i="34"/>
  <c r="P2339" i="34"/>
  <c r="P2340" i="34"/>
  <c r="P2341" i="34"/>
  <c r="P2342" i="34"/>
  <c r="P2343" i="34"/>
  <c r="P2344" i="34"/>
  <c r="P2345" i="34"/>
  <c r="P2346" i="34"/>
  <c r="P2347" i="34"/>
  <c r="P2348" i="34"/>
  <c r="P2349" i="34"/>
  <c r="P2350" i="34"/>
  <c r="P2351" i="34"/>
  <c r="P2352" i="34"/>
  <c r="P2353" i="34"/>
  <c r="P2354" i="34"/>
  <c r="P2355" i="34"/>
  <c r="P2356" i="34"/>
  <c r="P2357" i="34"/>
  <c r="P2358" i="34"/>
  <c r="P2359" i="34"/>
  <c r="P2360" i="34"/>
  <c r="P2361" i="34"/>
  <c r="P2362" i="34"/>
  <c r="P2363" i="34"/>
  <c r="P2364" i="34"/>
  <c r="P2365" i="34"/>
  <c r="P2366" i="34"/>
  <c r="P2367" i="34"/>
  <c r="P2368" i="34"/>
  <c r="P2369" i="34"/>
  <c r="P2370" i="34"/>
  <c r="P2371" i="34"/>
  <c r="P2372" i="34"/>
  <c r="P2373" i="34"/>
  <c r="P2374" i="34"/>
  <c r="P2375" i="34"/>
  <c r="P2376" i="34"/>
  <c r="P2377" i="34"/>
  <c r="P2378" i="34"/>
  <c r="P2379" i="34"/>
  <c r="P2380" i="34"/>
  <c r="P2381" i="34"/>
  <c r="P2382" i="34"/>
  <c r="P2383" i="34"/>
  <c r="P2384" i="34"/>
  <c r="P2385" i="34"/>
  <c r="P2386" i="34"/>
  <c r="P2387" i="34"/>
  <c r="P2388" i="34"/>
  <c r="P2389" i="34"/>
  <c r="P2390" i="34"/>
  <c r="P2391" i="34"/>
  <c r="P2392" i="34"/>
  <c r="O2302" i="34" a="1"/>
  <c r="O2302" i="34"/>
  <c r="O2303" i="34" a="1"/>
  <c r="O2303" i="34"/>
  <c r="O2304" i="34" a="1"/>
  <c r="O2305" i="34" a="1"/>
  <c r="O2306" i="34" a="1"/>
  <c r="O2307" i="34" a="1"/>
  <c r="O2308" i="34" a="1"/>
  <c r="O2309" i="34" a="1"/>
  <c r="O2310" i="34" a="1"/>
  <c r="O2311" i="34" a="1"/>
  <c r="O2312" i="34" a="1"/>
  <c r="O2313" i="34" a="1"/>
  <c r="O2314" i="34" a="1"/>
  <c r="O2315" i="34" a="1"/>
  <c r="O2316" i="34" a="1"/>
  <c r="O2317" i="34" a="1"/>
  <c r="O2318" i="34" a="1"/>
  <c r="O2319" i="34" a="1"/>
  <c r="O2320" i="34" a="1"/>
  <c r="O2321" i="34" a="1"/>
  <c r="O2322" i="34" a="1"/>
  <c r="O2323" i="34" a="1"/>
  <c r="O2324" i="34" a="1"/>
  <c r="O2325" i="34" a="1"/>
  <c r="O2326" i="34" a="1"/>
  <c r="O2327" i="34" a="1"/>
  <c r="O2328" i="34" a="1"/>
  <c r="O2329" i="34" a="1"/>
  <c r="O2330" i="34" a="1"/>
  <c r="O2331" i="34" a="1"/>
  <c r="O2332" i="34" a="1"/>
  <c r="O2333" i="34" a="1"/>
  <c r="O2334" i="34" a="1"/>
  <c r="O2335" i="34" a="1"/>
  <c r="O2336" i="34" a="1"/>
  <c r="O2337" i="34" a="1"/>
  <c r="O2338" i="34" a="1"/>
  <c r="O2339" i="34" a="1"/>
  <c r="O2340" i="34" a="1"/>
  <c r="O2341" i="34" a="1"/>
  <c r="O2342" i="34" a="1"/>
  <c r="O2343" i="34" a="1"/>
  <c r="O2344" i="34" a="1"/>
  <c r="O2345" i="34" a="1"/>
  <c r="O2346" i="34" a="1"/>
  <c r="O2347" i="34" a="1"/>
  <c r="O2348" i="34" a="1"/>
  <c r="O2349" i="34" a="1"/>
  <c r="O2350" i="34" a="1"/>
  <c r="O2351" i="34" a="1"/>
  <c r="O2352" i="34" a="1"/>
  <c r="O2353" i="34" a="1"/>
  <c r="O2354" i="34" a="1"/>
  <c r="O2355" i="34" a="1"/>
  <c r="O2356" i="34" a="1"/>
  <c r="O2357" i="34" a="1"/>
  <c r="O2358" i="34" a="1"/>
  <c r="O2359" i="34" a="1"/>
  <c r="O2360" i="34" a="1"/>
  <c r="O2361" i="34" a="1"/>
  <c r="O2362" i="34" a="1"/>
  <c r="O2363" i="34" a="1"/>
  <c r="O2364" i="34" a="1"/>
  <c r="O2365" i="34" a="1"/>
  <c r="O2366" i="34" a="1"/>
  <c r="O2367" i="34" a="1"/>
  <c r="O2368" i="34" a="1"/>
  <c r="O2369" i="34" a="1"/>
  <c r="O2370" i="34" a="1"/>
  <c r="O2371" i="34" a="1"/>
  <c r="O2372" i="34" a="1"/>
  <c r="O2373" i="34" a="1"/>
  <c r="O2374" i="34" a="1"/>
  <c r="O2375" i="34" a="1"/>
  <c r="O2376" i="34" a="1"/>
  <c r="O2377" i="34" a="1"/>
  <c r="O2378" i="34" a="1"/>
  <c r="O2379" i="34" a="1"/>
  <c r="O2380" i="34" a="1"/>
  <c r="O2381" i="34" a="1"/>
  <c r="O2382" i="34" a="1"/>
  <c r="O2383" i="34" a="1"/>
  <c r="O2384" i="34" a="1"/>
  <c r="O2385" i="34" a="1"/>
  <c r="O2386" i="34" a="1"/>
  <c r="O2387" i="34" a="1"/>
  <c r="O2388" i="34" a="1"/>
  <c r="O2389" i="34" a="1"/>
  <c r="O2390" i="34" a="1"/>
  <c r="O2391" i="34" a="1"/>
  <c r="O2304" i="34"/>
  <c r="O2305" i="34"/>
  <c r="O2306" i="34"/>
  <c r="O2307" i="34"/>
  <c r="O2308" i="34"/>
  <c r="O2309" i="34"/>
  <c r="O2310" i="34"/>
  <c r="O2311" i="34"/>
  <c r="O2312" i="34"/>
  <c r="O2313" i="34"/>
  <c r="O2314" i="34"/>
  <c r="O2315" i="34"/>
  <c r="O2316" i="34"/>
  <c r="O2317" i="34"/>
  <c r="O2318" i="34"/>
  <c r="O2319" i="34"/>
  <c r="O2320" i="34"/>
  <c r="O2321" i="34"/>
  <c r="O2322" i="34"/>
  <c r="O2323" i="34"/>
  <c r="O2324" i="34"/>
  <c r="O2325" i="34"/>
  <c r="O2326" i="34"/>
  <c r="O2327" i="34"/>
  <c r="O2328" i="34"/>
  <c r="O2329" i="34"/>
  <c r="O2330" i="34"/>
  <c r="O2331" i="34"/>
  <c r="O2332" i="34"/>
  <c r="O2333" i="34"/>
  <c r="O2334" i="34"/>
  <c r="O2335" i="34"/>
  <c r="O2336" i="34"/>
  <c r="O2337" i="34"/>
  <c r="O2338" i="34"/>
  <c r="O2339" i="34"/>
  <c r="O2340" i="34"/>
  <c r="O2341" i="34"/>
  <c r="O2342" i="34"/>
  <c r="O2343" i="34"/>
  <c r="O2344" i="34"/>
  <c r="O2345" i="34"/>
  <c r="O2346" i="34"/>
  <c r="O2347" i="34"/>
  <c r="O2348" i="34"/>
  <c r="O2349" i="34"/>
  <c r="O2350" i="34"/>
  <c r="O2351" i="34"/>
  <c r="O2352" i="34"/>
  <c r="O2353" i="34"/>
  <c r="O2354" i="34"/>
  <c r="O2355" i="34"/>
  <c r="O2356" i="34"/>
  <c r="O2357" i="34"/>
  <c r="O2358" i="34"/>
  <c r="O2359" i="34"/>
  <c r="O2360" i="34"/>
  <c r="O2361" i="34"/>
  <c r="O2362" i="34"/>
  <c r="O2363" i="34"/>
  <c r="O2364" i="34"/>
  <c r="O2365" i="34"/>
  <c r="O2366" i="34"/>
  <c r="O2367" i="34"/>
  <c r="O2368" i="34"/>
  <c r="O2369" i="34"/>
  <c r="O2370" i="34"/>
  <c r="O2371" i="34"/>
  <c r="O2372" i="34"/>
  <c r="O2373" i="34"/>
  <c r="O2374" i="34"/>
  <c r="O2375" i="34"/>
  <c r="O2376" i="34"/>
  <c r="O2377" i="34"/>
  <c r="O2378" i="34"/>
  <c r="O2379" i="34"/>
  <c r="O2380" i="34"/>
  <c r="O2381" i="34"/>
  <c r="O2382" i="34"/>
  <c r="O2383" i="34"/>
  <c r="O2384" i="34"/>
  <c r="O2385" i="34"/>
  <c r="O2386" i="34"/>
  <c r="O2387" i="34"/>
  <c r="O2388" i="34"/>
  <c r="O2389" i="34"/>
  <c r="O2390" i="34"/>
  <c r="O2391" i="34"/>
  <c r="O2392" i="34"/>
  <c r="N2302" i="34" a="1"/>
  <c r="N2302" i="34"/>
  <c r="N2303" i="34" a="1"/>
  <c r="N2303" i="34"/>
  <c r="N2304" i="34" a="1"/>
  <c r="N2305" i="34" a="1"/>
  <c r="N2306" i="34" a="1"/>
  <c r="N2307" i="34" a="1"/>
  <c r="N2308" i="34" a="1"/>
  <c r="N2309" i="34" a="1"/>
  <c r="N2310" i="34" a="1"/>
  <c r="N2311" i="34" a="1"/>
  <c r="N2312" i="34" a="1"/>
  <c r="N2313" i="34" a="1"/>
  <c r="N2314" i="34" a="1"/>
  <c r="N2315" i="34" a="1"/>
  <c r="N2316" i="34" a="1"/>
  <c r="N2317" i="34" a="1"/>
  <c r="N2318" i="34" a="1"/>
  <c r="N2319" i="34" a="1"/>
  <c r="N2320" i="34" a="1"/>
  <c r="N2321" i="34" a="1"/>
  <c r="N2322" i="34" a="1"/>
  <c r="N2323" i="34" a="1"/>
  <c r="N2324" i="34" a="1"/>
  <c r="N2325" i="34" a="1"/>
  <c r="N2326" i="34" a="1"/>
  <c r="N2327" i="34" a="1"/>
  <c r="N2328" i="34" a="1"/>
  <c r="N2329" i="34" a="1"/>
  <c r="N2330" i="34" a="1"/>
  <c r="N2331" i="34" a="1"/>
  <c r="N2332" i="34" a="1"/>
  <c r="N2333" i="34" a="1"/>
  <c r="N2334" i="34" a="1"/>
  <c r="N2335" i="34" a="1"/>
  <c r="N2336" i="34" a="1"/>
  <c r="N2337" i="34" a="1"/>
  <c r="N2338" i="34" a="1"/>
  <c r="N2339" i="34" a="1"/>
  <c r="N2340" i="34" a="1"/>
  <c r="N2341" i="34" a="1"/>
  <c r="N2342" i="34" a="1"/>
  <c r="N2343" i="34" a="1"/>
  <c r="N2344" i="34" a="1"/>
  <c r="N2345" i="34" a="1"/>
  <c r="N2346" i="34" a="1"/>
  <c r="N2347" i="34" a="1"/>
  <c r="N2348" i="34" a="1"/>
  <c r="N2349" i="34" a="1"/>
  <c r="N2350" i="34" a="1"/>
  <c r="N2351" i="34" a="1"/>
  <c r="N2352" i="34" a="1"/>
  <c r="N2353" i="34" a="1"/>
  <c r="N2354" i="34" a="1"/>
  <c r="N2355" i="34" a="1"/>
  <c r="N2356" i="34" a="1"/>
  <c r="N2357" i="34" a="1"/>
  <c r="N2358" i="34" a="1"/>
  <c r="N2359" i="34" a="1"/>
  <c r="N2360" i="34" a="1"/>
  <c r="N2361" i="34" a="1"/>
  <c r="N2362" i="34" a="1"/>
  <c r="N2363" i="34" a="1"/>
  <c r="N2364" i="34" a="1"/>
  <c r="N2365" i="34" a="1"/>
  <c r="N2366" i="34" a="1"/>
  <c r="N2367" i="34" a="1"/>
  <c r="N2368" i="34" a="1"/>
  <c r="N2369" i="34" a="1"/>
  <c r="N2370" i="34" a="1"/>
  <c r="N2371" i="34" a="1"/>
  <c r="N2372" i="34" a="1"/>
  <c r="N2373" i="34" a="1"/>
  <c r="N2374" i="34" a="1"/>
  <c r="N2375" i="34" a="1"/>
  <c r="N2376" i="34" a="1"/>
  <c r="N2377" i="34" a="1"/>
  <c r="N2378" i="34" a="1"/>
  <c r="N2379" i="34" a="1"/>
  <c r="N2380" i="34" a="1"/>
  <c r="N2381" i="34" a="1"/>
  <c r="N2382" i="34" a="1"/>
  <c r="N2383" i="34" a="1"/>
  <c r="N2384" i="34" a="1"/>
  <c r="N2385" i="34" a="1"/>
  <c r="N2386" i="34" a="1"/>
  <c r="N2387" i="34" a="1"/>
  <c r="N2388" i="34" a="1"/>
  <c r="N2389" i="34" a="1"/>
  <c r="N2390" i="34" a="1"/>
  <c r="N2391" i="34" a="1"/>
  <c r="N2304" i="34"/>
  <c r="N2305" i="34"/>
  <c r="N2306" i="34"/>
  <c r="N2307" i="34"/>
  <c r="N2308" i="34"/>
  <c r="N2309" i="34"/>
  <c r="N2310" i="34"/>
  <c r="N2311" i="34"/>
  <c r="N2312" i="34"/>
  <c r="N2313" i="34"/>
  <c r="N2314" i="34"/>
  <c r="N2315" i="34"/>
  <c r="N2316" i="34"/>
  <c r="N2317" i="34"/>
  <c r="N2318" i="34"/>
  <c r="N2319" i="34"/>
  <c r="N2320" i="34"/>
  <c r="N2321" i="34"/>
  <c r="N2322" i="34"/>
  <c r="N2323" i="34"/>
  <c r="N2324" i="34"/>
  <c r="N2325" i="34"/>
  <c r="N2326" i="34"/>
  <c r="N2327" i="34"/>
  <c r="N2328" i="34"/>
  <c r="N2329" i="34"/>
  <c r="N2330" i="34"/>
  <c r="N2331" i="34"/>
  <c r="N2332" i="34"/>
  <c r="N2333" i="34"/>
  <c r="N2334" i="34"/>
  <c r="N2335" i="34"/>
  <c r="N2336" i="34"/>
  <c r="N2337" i="34"/>
  <c r="N2338" i="34"/>
  <c r="N2339" i="34"/>
  <c r="N2340" i="34"/>
  <c r="N2341" i="34"/>
  <c r="N2342" i="34"/>
  <c r="N2343" i="34"/>
  <c r="N2344" i="34"/>
  <c r="N2345" i="34"/>
  <c r="N2346" i="34"/>
  <c r="N2347" i="34"/>
  <c r="N2348" i="34"/>
  <c r="N2349" i="34"/>
  <c r="N2350" i="34"/>
  <c r="N2351" i="34"/>
  <c r="N2352" i="34"/>
  <c r="N2353" i="34"/>
  <c r="N2354" i="34"/>
  <c r="N2355" i="34"/>
  <c r="N2356" i="34"/>
  <c r="N2357" i="34"/>
  <c r="N2358" i="34"/>
  <c r="N2359" i="34"/>
  <c r="N2360" i="34"/>
  <c r="N2361" i="34"/>
  <c r="N2362" i="34"/>
  <c r="N2363" i="34"/>
  <c r="N2364" i="34"/>
  <c r="N2365" i="34"/>
  <c r="N2366" i="34"/>
  <c r="N2367" i="34"/>
  <c r="N2368" i="34"/>
  <c r="N2369" i="34"/>
  <c r="N2370" i="34"/>
  <c r="N2371" i="34"/>
  <c r="N2372" i="34"/>
  <c r="N2373" i="34"/>
  <c r="N2374" i="34"/>
  <c r="N2375" i="34"/>
  <c r="N2376" i="34"/>
  <c r="N2377" i="34"/>
  <c r="N2378" i="34"/>
  <c r="N2379" i="34"/>
  <c r="N2380" i="34"/>
  <c r="N2381" i="34"/>
  <c r="N2382" i="34"/>
  <c r="N2383" i="34"/>
  <c r="N2384" i="34"/>
  <c r="N2385" i="34"/>
  <c r="N2386" i="34"/>
  <c r="N2387" i="34"/>
  <c r="N2388" i="34"/>
  <c r="N2389" i="34"/>
  <c r="N2390" i="34"/>
  <c r="N2391" i="34"/>
  <c r="N2392" i="34"/>
  <c r="M2302" i="34" a="1"/>
  <c r="M2302" i="34"/>
  <c r="M2303" i="34" a="1"/>
  <c r="M2303" i="34"/>
  <c r="M2304" i="34" a="1"/>
  <c r="M2305" i="34" a="1"/>
  <c r="M2306" i="34" a="1"/>
  <c r="M2307" i="34" a="1"/>
  <c r="M2308" i="34" a="1"/>
  <c r="M2309" i="34" a="1"/>
  <c r="M2310" i="34" a="1"/>
  <c r="M2311" i="34" a="1"/>
  <c r="M2312" i="34" a="1"/>
  <c r="M2313" i="34" a="1"/>
  <c r="M2314" i="34" a="1"/>
  <c r="M2315" i="34" a="1"/>
  <c r="M2316" i="34" a="1"/>
  <c r="M2317" i="34" a="1"/>
  <c r="M2318" i="34" a="1"/>
  <c r="M2319" i="34" a="1"/>
  <c r="M2320" i="34" a="1"/>
  <c r="M2321" i="34" a="1"/>
  <c r="M2322" i="34" a="1"/>
  <c r="M2323" i="34" a="1"/>
  <c r="M2324" i="34" a="1"/>
  <c r="M2325" i="34" a="1"/>
  <c r="M2326" i="34" a="1"/>
  <c r="M2327" i="34" a="1"/>
  <c r="M2328" i="34" a="1"/>
  <c r="M2329" i="34" a="1"/>
  <c r="M2330" i="34" a="1"/>
  <c r="M2331" i="34" a="1"/>
  <c r="M2332" i="34" a="1"/>
  <c r="M2333" i="34" a="1"/>
  <c r="M2334" i="34" a="1"/>
  <c r="M2335" i="34" a="1"/>
  <c r="M2336" i="34" a="1"/>
  <c r="M2337" i="34" a="1"/>
  <c r="M2338" i="34" a="1"/>
  <c r="M2339" i="34" a="1"/>
  <c r="M2340" i="34" a="1"/>
  <c r="M2341" i="34" a="1"/>
  <c r="M2342" i="34" a="1"/>
  <c r="M2343" i="34" a="1"/>
  <c r="M2344" i="34" a="1"/>
  <c r="M2345" i="34" a="1"/>
  <c r="M2346" i="34" a="1"/>
  <c r="M2347" i="34" a="1"/>
  <c r="M2348" i="34" a="1"/>
  <c r="M2349" i="34" a="1"/>
  <c r="M2350" i="34" a="1"/>
  <c r="M2351" i="34" a="1"/>
  <c r="M2352" i="34" a="1"/>
  <c r="M2353" i="34" a="1"/>
  <c r="M2354" i="34" a="1"/>
  <c r="M2355" i="34" a="1"/>
  <c r="M2356" i="34" a="1"/>
  <c r="M2357" i="34" a="1"/>
  <c r="M2358" i="34" a="1"/>
  <c r="M2359" i="34" a="1"/>
  <c r="M2360" i="34" a="1"/>
  <c r="M2361" i="34" a="1"/>
  <c r="M2362" i="34" a="1"/>
  <c r="M2363" i="34" a="1"/>
  <c r="M2364" i="34" a="1"/>
  <c r="M2365" i="34" a="1"/>
  <c r="M2366" i="34" a="1"/>
  <c r="M2367" i="34" a="1"/>
  <c r="M2368" i="34" a="1"/>
  <c r="M2369" i="34" a="1"/>
  <c r="M2370" i="34" a="1"/>
  <c r="M2371" i="34" a="1"/>
  <c r="M2372" i="34" a="1"/>
  <c r="M2373" i="34" a="1"/>
  <c r="M2374" i="34" a="1"/>
  <c r="M2375" i="34" a="1"/>
  <c r="M2376" i="34" a="1"/>
  <c r="M2377" i="34" a="1"/>
  <c r="M2378" i="34" a="1"/>
  <c r="M2379" i="34" a="1"/>
  <c r="M2380" i="34" a="1"/>
  <c r="M2381" i="34" a="1"/>
  <c r="M2382" i="34" a="1"/>
  <c r="M2383" i="34" a="1"/>
  <c r="M2384" i="34" a="1"/>
  <c r="M2385" i="34" a="1"/>
  <c r="M2386" i="34" a="1"/>
  <c r="M2387" i="34" a="1"/>
  <c r="M2388" i="34" a="1"/>
  <c r="M2389" i="34" a="1"/>
  <c r="M2390" i="34" a="1"/>
  <c r="M2391" i="34" a="1"/>
  <c r="M2304" i="34"/>
  <c r="M2305" i="34"/>
  <c r="M2306" i="34"/>
  <c r="M2307" i="34"/>
  <c r="M2308" i="34"/>
  <c r="M2309" i="34"/>
  <c r="M2310" i="34"/>
  <c r="M2311" i="34"/>
  <c r="M2312" i="34"/>
  <c r="M2313" i="34"/>
  <c r="M2314" i="34"/>
  <c r="M2315" i="34"/>
  <c r="M2316" i="34"/>
  <c r="M2317" i="34"/>
  <c r="M2318" i="34"/>
  <c r="M2319" i="34"/>
  <c r="M2320" i="34"/>
  <c r="M2321" i="34"/>
  <c r="M2322" i="34"/>
  <c r="M2323" i="34"/>
  <c r="M2324" i="34"/>
  <c r="M2325" i="34"/>
  <c r="M2326" i="34"/>
  <c r="M2327" i="34"/>
  <c r="M2328" i="34"/>
  <c r="M2329" i="34"/>
  <c r="M2330" i="34"/>
  <c r="M2331" i="34"/>
  <c r="M2332" i="34"/>
  <c r="M2333" i="34"/>
  <c r="M2334" i="34"/>
  <c r="M2335" i="34"/>
  <c r="M2336" i="34"/>
  <c r="M2337" i="34"/>
  <c r="M2338" i="34"/>
  <c r="M2339" i="34"/>
  <c r="M2340" i="34"/>
  <c r="M2341" i="34"/>
  <c r="M2342" i="34"/>
  <c r="M2343" i="34"/>
  <c r="M2344" i="34"/>
  <c r="M2345" i="34"/>
  <c r="M2346" i="34"/>
  <c r="M2347" i="34"/>
  <c r="M2348" i="34"/>
  <c r="M2349" i="34"/>
  <c r="M2350" i="34"/>
  <c r="M2351" i="34"/>
  <c r="M2352" i="34"/>
  <c r="M2353" i="34"/>
  <c r="M2354" i="34"/>
  <c r="M2355" i="34"/>
  <c r="M2356" i="34"/>
  <c r="M2357" i="34"/>
  <c r="M2358" i="34"/>
  <c r="M2359" i="34"/>
  <c r="M2360" i="34"/>
  <c r="M2361" i="34"/>
  <c r="M2362" i="34"/>
  <c r="M2363" i="34"/>
  <c r="M2364" i="34"/>
  <c r="M2365" i="34"/>
  <c r="M2366" i="34"/>
  <c r="M2367" i="34"/>
  <c r="M2368" i="34"/>
  <c r="M2369" i="34"/>
  <c r="M2370" i="34"/>
  <c r="M2371" i="34"/>
  <c r="M2372" i="34"/>
  <c r="M2373" i="34"/>
  <c r="M2374" i="34"/>
  <c r="M2375" i="34"/>
  <c r="M2376" i="34"/>
  <c r="M2377" i="34"/>
  <c r="M2378" i="34"/>
  <c r="M2379" i="34"/>
  <c r="M2380" i="34"/>
  <c r="M2381" i="34"/>
  <c r="M2382" i="34"/>
  <c r="M2383" i="34"/>
  <c r="M2384" i="34"/>
  <c r="M2385" i="34"/>
  <c r="M2386" i="34"/>
  <c r="M2387" i="34"/>
  <c r="M2388" i="34"/>
  <c r="M2389" i="34"/>
  <c r="M2390" i="34"/>
  <c r="M2391" i="34"/>
  <c r="M2392" i="34"/>
  <c r="L2302" i="34" a="1"/>
  <c r="L2302" i="34"/>
  <c r="L2303" i="34" a="1"/>
  <c r="L2303" i="34"/>
  <c r="L2304" i="34" a="1"/>
  <c r="L2305" i="34" a="1"/>
  <c r="L2306" i="34" a="1"/>
  <c r="L2307" i="34" a="1"/>
  <c r="L2308" i="34" a="1"/>
  <c r="L2309" i="34" a="1"/>
  <c r="L2310" i="34" a="1"/>
  <c r="L2311" i="34" a="1"/>
  <c r="L2312" i="34" a="1"/>
  <c r="L2313" i="34" a="1"/>
  <c r="L2314" i="34" a="1"/>
  <c r="L2315" i="34" a="1"/>
  <c r="L2316" i="34" a="1"/>
  <c r="L2317" i="34" a="1"/>
  <c r="L2318" i="34" a="1"/>
  <c r="L2319" i="34" a="1"/>
  <c r="L2320" i="34" a="1"/>
  <c r="L2321" i="34" a="1"/>
  <c r="L2322" i="34" a="1"/>
  <c r="L2323" i="34" a="1"/>
  <c r="L2324" i="34" a="1"/>
  <c r="L2325" i="34" a="1"/>
  <c r="L2326" i="34" a="1"/>
  <c r="L2327" i="34" a="1"/>
  <c r="L2328" i="34" a="1"/>
  <c r="L2329" i="34" a="1"/>
  <c r="L2330" i="34" a="1"/>
  <c r="L2331" i="34" a="1"/>
  <c r="L2332" i="34" a="1"/>
  <c r="L2333" i="34" a="1"/>
  <c r="L2334" i="34" a="1"/>
  <c r="L2335" i="34" a="1"/>
  <c r="L2336" i="34" a="1"/>
  <c r="L2337" i="34" a="1"/>
  <c r="L2338" i="34" a="1"/>
  <c r="L2339" i="34" a="1"/>
  <c r="L2340" i="34" a="1"/>
  <c r="L2341" i="34" a="1"/>
  <c r="L2342" i="34" a="1"/>
  <c r="L2343" i="34" a="1"/>
  <c r="L2344" i="34" a="1"/>
  <c r="L2345" i="34" a="1"/>
  <c r="L2346" i="34" a="1"/>
  <c r="L2347" i="34" a="1"/>
  <c r="L2348" i="34" a="1"/>
  <c r="L2349" i="34" a="1"/>
  <c r="L2350" i="34" a="1"/>
  <c r="L2351" i="34" a="1"/>
  <c r="L2352" i="34" a="1"/>
  <c r="L2353" i="34" a="1"/>
  <c r="L2354" i="34" a="1"/>
  <c r="L2355" i="34" a="1"/>
  <c r="L2356" i="34" a="1"/>
  <c r="L2357" i="34" a="1"/>
  <c r="L2358" i="34" a="1"/>
  <c r="L2359" i="34" a="1"/>
  <c r="L2360" i="34" a="1"/>
  <c r="L2361" i="34" a="1"/>
  <c r="L2362" i="34" a="1"/>
  <c r="L2363" i="34" a="1"/>
  <c r="L2364" i="34" a="1"/>
  <c r="L2365" i="34" a="1"/>
  <c r="L2366" i="34" a="1"/>
  <c r="L2367" i="34" a="1"/>
  <c r="L2368" i="34" a="1"/>
  <c r="L2369" i="34" a="1"/>
  <c r="L2370" i="34" a="1"/>
  <c r="L2371" i="34" a="1"/>
  <c r="L2372" i="34" a="1"/>
  <c r="L2373" i="34" a="1"/>
  <c r="L2374" i="34" a="1"/>
  <c r="L2375" i="34" a="1"/>
  <c r="L2376" i="34" a="1"/>
  <c r="L2377" i="34" a="1"/>
  <c r="L2378" i="34" a="1"/>
  <c r="L2379" i="34" a="1"/>
  <c r="L2380" i="34" a="1"/>
  <c r="L2381" i="34" a="1"/>
  <c r="L2382" i="34" a="1"/>
  <c r="L2383" i="34" a="1"/>
  <c r="L2384" i="34" a="1"/>
  <c r="L2385" i="34" a="1"/>
  <c r="L2386" i="34" a="1"/>
  <c r="L2387" i="34" a="1"/>
  <c r="L2388" i="34" a="1"/>
  <c r="L2389" i="34" a="1"/>
  <c r="L2390" i="34" a="1"/>
  <c r="L2391" i="34" a="1"/>
  <c r="L2304" i="34"/>
  <c r="L2305" i="34"/>
  <c r="L2306" i="34"/>
  <c r="L2307" i="34"/>
  <c r="L2308" i="34"/>
  <c r="L2309" i="34"/>
  <c r="L2310" i="34"/>
  <c r="L2311" i="34"/>
  <c r="L2312" i="34"/>
  <c r="L2313" i="34"/>
  <c r="L2314" i="34"/>
  <c r="L2315" i="34"/>
  <c r="L2316" i="34"/>
  <c r="L2317" i="34"/>
  <c r="L2318" i="34"/>
  <c r="L2319" i="34"/>
  <c r="L2320" i="34"/>
  <c r="L2321" i="34"/>
  <c r="L2322" i="34"/>
  <c r="L2323" i="34"/>
  <c r="L2324" i="34"/>
  <c r="L2325" i="34"/>
  <c r="L2326" i="34"/>
  <c r="L2327" i="34"/>
  <c r="L2328" i="34"/>
  <c r="L2329" i="34"/>
  <c r="L2330" i="34"/>
  <c r="L2331" i="34"/>
  <c r="L2332" i="34"/>
  <c r="L2333" i="34"/>
  <c r="L2334" i="34"/>
  <c r="L2335" i="34"/>
  <c r="L2336" i="34"/>
  <c r="L2337" i="34"/>
  <c r="L2338" i="34"/>
  <c r="L2339" i="34"/>
  <c r="L2340" i="34"/>
  <c r="L2341" i="34"/>
  <c r="L2342" i="34"/>
  <c r="L2343" i="34"/>
  <c r="L2344" i="34"/>
  <c r="L2345" i="34"/>
  <c r="L2346" i="34"/>
  <c r="L2347" i="34"/>
  <c r="L2348" i="34"/>
  <c r="L2349" i="34"/>
  <c r="L2350" i="34"/>
  <c r="L2351" i="34"/>
  <c r="L2352" i="34"/>
  <c r="L2353" i="34"/>
  <c r="L2354" i="34"/>
  <c r="L2355" i="34"/>
  <c r="L2356" i="34"/>
  <c r="L2357" i="34"/>
  <c r="L2358" i="34"/>
  <c r="L2359" i="34"/>
  <c r="L2360" i="34"/>
  <c r="L2361" i="34"/>
  <c r="L2362" i="34"/>
  <c r="L2363" i="34"/>
  <c r="L2364" i="34"/>
  <c r="L2365" i="34"/>
  <c r="L2366" i="34"/>
  <c r="L2367" i="34"/>
  <c r="L2368" i="34"/>
  <c r="L2369" i="34"/>
  <c r="L2370" i="34"/>
  <c r="L2371" i="34"/>
  <c r="L2372" i="34"/>
  <c r="L2373" i="34"/>
  <c r="L2374" i="34"/>
  <c r="L2375" i="34"/>
  <c r="L2376" i="34"/>
  <c r="L2377" i="34"/>
  <c r="L2378" i="34"/>
  <c r="L2379" i="34"/>
  <c r="L2380" i="34"/>
  <c r="L2381" i="34"/>
  <c r="L2382" i="34"/>
  <c r="L2383" i="34"/>
  <c r="L2384" i="34"/>
  <c r="L2385" i="34"/>
  <c r="L2386" i="34"/>
  <c r="L2387" i="34"/>
  <c r="L2388" i="34"/>
  <c r="L2389" i="34"/>
  <c r="L2390" i="34"/>
  <c r="L2391" i="34"/>
  <c r="L2392" i="34"/>
  <c r="K2302" i="34" a="1"/>
  <c r="K2302" i="34"/>
  <c r="K2303" i="34" a="1"/>
  <c r="K2303" i="34"/>
  <c r="K2304" i="34" a="1"/>
  <c r="K2305" i="34" a="1"/>
  <c r="K2306" i="34" a="1"/>
  <c r="K2307" i="34" a="1"/>
  <c r="K2308" i="34" a="1"/>
  <c r="K2309" i="34" a="1"/>
  <c r="K2310" i="34" a="1"/>
  <c r="K2311" i="34" a="1"/>
  <c r="K2312" i="34" a="1"/>
  <c r="K2313" i="34" a="1"/>
  <c r="K2314" i="34" a="1"/>
  <c r="K2315" i="34" a="1"/>
  <c r="K2316" i="34" a="1"/>
  <c r="K2317" i="34" a="1"/>
  <c r="K2318" i="34" a="1"/>
  <c r="K2319" i="34" a="1"/>
  <c r="K2320" i="34" a="1"/>
  <c r="K2321" i="34" a="1"/>
  <c r="K2322" i="34" a="1"/>
  <c r="K2323" i="34" a="1"/>
  <c r="K2324" i="34" a="1"/>
  <c r="K2325" i="34" a="1"/>
  <c r="K2326" i="34" a="1"/>
  <c r="K2327" i="34" a="1"/>
  <c r="K2328" i="34" a="1"/>
  <c r="K2329" i="34" a="1"/>
  <c r="K2330" i="34" a="1"/>
  <c r="K2331" i="34" a="1"/>
  <c r="K2332" i="34" a="1"/>
  <c r="K2333" i="34" a="1"/>
  <c r="K2334" i="34" a="1"/>
  <c r="K2335" i="34" a="1"/>
  <c r="K2336" i="34" a="1"/>
  <c r="K2337" i="34" a="1"/>
  <c r="K2338" i="34" a="1"/>
  <c r="K2339" i="34" a="1"/>
  <c r="K2340" i="34" a="1"/>
  <c r="K2341" i="34" a="1"/>
  <c r="K2342" i="34" a="1"/>
  <c r="K2343" i="34" a="1"/>
  <c r="K2344" i="34" a="1"/>
  <c r="K2345" i="34" a="1"/>
  <c r="K2346" i="34" a="1"/>
  <c r="K2347" i="34" a="1"/>
  <c r="K2348" i="34" a="1"/>
  <c r="K2349" i="34" a="1"/>
  <c r="K2350" i="34" a="1"/>
  <c r="K2351" i="34" a="1"/>
  <c r="K2352" i="34" a="1"/>
  <c r="K2353" i="34" a="1"/>
  <c r="K2354" i="34" a="1"/>
  <c r="K2355" i="34" a="1"/>
  <c r="K2356" i="34" a="1"/>
  <c r="K2357" i="34" a="1"/>
  <c r="K2358" i="34" a="1"/>
  <c r="K2359" i="34" a="1"/>
  <c r="K2360" i="34" a="1"/>
  <c r="K2361" i="34" a="1"/>
  <c r="K2362" i="34" a="1"/>
  <c r="K2363" i="34" a="1"/>
  <c r="K2364" i="34" a="1"/>
  <c r="K2365" i="34" a="1"/>
  <c r="K2366" i="34" a="1"/>
  <c r="K2367" i="34" a="1"/>
  <c r="K2368" i="34" a="1"/>
  <c r="K2369" i="34" a="1"/>
  <c r="K2370" i="34" a="1"/>
  <c r="K2371" i="34" a="1"/>
  <c r="K2372" i="34" a="1"/>
  <c r="K2373" i="34" a="1"/>
  <c r="K2374" i="34" a="1"/>
  <c r="K2375" i="34" a="1"/>
  <c r="K2376" i="34" a="1"/>
  <c r="K2377" i="34" a="1"/>
  <c r="K2378" i="34" a="1"/>
  <c r="K2379" i="34" a="1"/>
  <c r="K2380" i="34" a="1"/>
  <c r="K2381" i="34" a="1"/>
  <c r="K2382" i="34" a="1"/>
  <c r="K2383" i="34" a="1"/>
  <c r="K2384" i="34" a="1"/>
  <c r="K2385" i="34" a="1"/>
  <c r="K2386" i="34" a="1"/>
  <c r="K2387" i="34" a="1"/>
  <c r="K2388" i="34" a="1"/>
  <c r="K2389" i="34" a="1"/>
  <c r="K2390" i="34" a="1"/>
  <c r="K2391" i="34" a="1"/>
  <c r="K2304" i="34"/>
  <c r="K2305" i="34"/>
  <c r="K2306" i="34"/>
  <c r="K2307" i="34"/>
  <c r="K2308" i="34"/>
  <c r="K2309" i="34"/>
  <c r="K2310" i="34"/>
  <c r="K2311" i="34"/>
  <c r="K2312" i="34"/>
  <c r="K2313" i="34"/>
  <c r="K2314" i="34"/>
  <c r="K2315" i="34"/>
  <c r="K2316" i="34"/>
  <c r="K2317" i="34"/>
  <c r="K2318" i="34"/>
  <c r="K2319" i="34"/>
  <c r="K2320" i="34"/>
  <c r="K2321" i="34"/>
  <c r="K2322" i="34"/>
  <c r="K2323" i="34"/>
  <c r="K2324" i="34"/>
  <c r="K2325" i="34"/>
  <c r="K2326" i="34"/>
  <c r="K2327" i="34"/>
  <c r="K2328" i="34"/>
  <c r="K2329" i="34"/>
  <c r="K2330" i="34"/>
  <c r="K2331" i="34"/>
  <c r="K2332" i="34"/>
  <c r="K2333" i="34"/>
  <c r="K2334" i="34"/>
  <c r="K2335" i="34"/>
  <c r="K2336" i="34"/>
  <c r="K2337" i="34"/>
  <c r="K2338" i="34"/>
  <c r="K2339" i="34"/>
  <c r="K2340" i="34"/>
  <c r="K2341" i="34"/>
  <c r="K2342" i="34"/>
  <c r="K2343" i="34"/>
  <c r="K2344" i="34"/>
  <c r="K2345" i="34"/>
  <c r="K2346" i="34"/>
  <c r="K2347" i="34"/>
  <c r="K2348" i="34"/>
  <c r="K2349" i="34"/>
  <c r="K2350" i="34"/>
  <c r="K2351" i="34"/>
  <c r="K2352" i="34"/>
  <c r="K2353" i="34"/>
  <c r="K2354" i="34"/>
  <c r="K2355" i="34"/>
  <c r="K2356" i="34"/>
  <c r="K2357" i="34"/>
  <c r="K2358" i="34"/>
  <c r="K2359" i="34"/>
  <c r="K2360" i="34"/>
  <c r="K2361" i="34"/>
  <c r="K2362" i="34"/>
  <c r="K2363" i="34"/>
  <c r="K2364" i="34"/>
  <c r="K2365" i="34"/>
  <c r="K2366" i="34"/>
  <c r="K2367" i="34"/>
  <c r="K2368" i="34"/>
  <c r="K2369" i="34"/>
  <c r="K2370" i="34"/>
  <c r="K2371" i="34"/>
  <c r="K2372" i="34"/>
  <c r="K2373" i="34"/>
  <c r="K2374" i="34"/>
  <c r="K2375" i="34"/>
  <c r="K2376" i="34"/>
  <c r="K2377" i="34"/>
  <c r="K2378" i="34"/>
  <c r="K2379" i="34"/>
  <c r="K2380" i="34"/>
  <c r="K2381" i="34"/>
  <c r="K2382" i="34"/>
  <c r="K2383" i="34"/>
  <c r="K2384" i="34"/>
  <c r="K2385" i="34"/>
  <c r="K2386" i="34"/>
  <c r="K2387" i="34"/>
  <c r="K2388" i="34"/>
  <c r="K2389" i="34"/>
  <c r="K2390" i="34"/>
  <c r="K2391" i="34"/>
  <c r="K2392" i="34"/>
  <c r="J2302" i="34" a="1"/>
  <c r="J2302" i="34"/>
  <c r="J2303" i="34" a="1"/>
  <c r="J2303" i="34"/>
  <c r="J2304" i="34" a="1"/>
  <c r="J2305" i="34" a="1"/>
  <c r="J2306" i="34" a="1"/>
  <c r="J2307" i="34" a="1"/>
  <c r="J2308" i="34" a="1"/>
  <c r="J2309" i="34" a="1"/>
  <c r="J2310" i="34" a="1"/>
  <c r="J2311" i="34" a="1"/>
  <c r="J2312" i="34" a="1"/>
  <c r="J2313" i="34" a="1"/>
  <c r="J2314" i="34" a="1"/>
  <c r="J2315" i="34" a="1"/>
  <c r="J2316" i="34" a="1"/>
  <c r="J2317" i="34" a="1"/>
  <c r="J2318" i="34" a="1"/>
  <c r="J2319" i="34" a="1"/>
  <c r="J2320" i="34" a="1"/>
  <c r="J2321" i="34" a="1"/>
  <c r="J2322" i="34" a="1"/>
  <c r="J2323" i="34" a="1"/>
  <c r="J2324" i="34" a="1"/>
  <c r="J2325" i="34" a="1"/>
  <c r="J2326" i="34" a="1"/>
  <c r="J2327" i="34" a="1"/>
  <c r="J2328" i="34" a="1"/>
  <c r="J2329" i="34" a="1"/>
  <c r="J2330" i="34" a="1"/>
  <c r="J2331" i="34" a="1"/>
  <c r="J2332" i="34" a="1"/>
  <c r="J2333" i="34" a="1"/>
  <c r="J2334" i="34" a="1"/>
  <c r="J2335" i="34" a="1"/>
  <c r="J2336" i="34" a="1"/>
  <c r="J2337" i="34" a="1"/>
  <c r="J2338" i="34" a="1"/>
  <c r="J2339" i="34" a="1"/>
  <c r="J2340" i="34" a="1"/>
  <c r="J2341" i="34" a="1"/>
  <c r="J2342" i="34" a="1"/>
  <c r="J2343" i="34" a="1"/>
  <c r="J2344" i="34" a="1"/>
  <c r="J2345" i="34" a="1"/>
  <c r="J2346" i="34" a="1"/>
  <c r="J2347" i="34" a="1"/>
  <c r="J2348" i="34" a="1"/>
  <c r="J2349" i="34" a="1"/>
  <c r="J2350" i="34" a="1"/>
  <c r="J2351" i="34" a="1"/>
  <c r="J2352" i="34" a="1"/>
  <c r="J2353" i="34" a="1"/>
  <c r="J2354" i="34" a="1"/>
  <c r="J2355" i="34" a="1"/>
  <c r="J2356" i="34" a="1"/>
  <c r="J2357" i="34" a="1"/>
  <c r="J2358" i="34" a="1"/>
  <c r="J2359" i="34" a="1"/>
  <c r="J2360" i="34" a="1"/>
  <c r="J2361" i="34" a="1"/>
  <c r="J2362" i="34" a="1"/>
  <c r="J2363" i="34" a="1"/>
  <c r="J2364" i="34" a="1"/>
  <c r="J2365" i="34" a="1"/>
  <c r="J2366" i="34" a="1"/>
  <c r="J2367" i="34" a="1"/>
  <c r="J2368" i="34" a="1"/>
  <c r="J2369" i="34" a="1"/>
  <c r="J2370" i="34" a="1"/>
  <c r="J2371" i="34" a="1"/>
  <c r="J2372" i="34" a="1"/>
  <c r="J2373" i="34" a="1"/>
  <c r="J2374" i="34" a="1"/>
  <c r="J2375" i="34" a="1"/>
  <c r="J2376" i="34" a="1"/>
  <c r="J2377" i="34" a="1"/>
  <c r="J2378" i="34" a="1"/>
  <c r="J2379" i="34" a="1"/>
  <c r="J2380" i="34" a="1"/>
  <c r="J2381" i="34" a="1"/>
  <c r="J2382" i="34" a="1"/>
  <c r="J2383" i="34" a="1"/>
  <c r="J2384" i="34" a="1"/>
  <c r="J2385" i="34" a="1"/>
  <c r="J2386" i="34" a="1"/>
  <c r="J2387" i="34" a="1"/>
  <c r="J2388" i="34" a="1"/>
  <c r="J2389" i="34" a="1"/>
  <c r="J2390" i="34" a="1"/>
  <c r="J2391" i="34" a="1"/>
  <c r="J2304" i="34"/>
  <c r="J2305" i="34"/>
  <c r="J2306" i="34"/>
  <c r="J2307" i="34"/>
  <c r="J2308" i="34"/>
  <c r="J2309" i="34"/>
  <c r="J2310" i="34"/>
  <c r="J2311" i="34"/>
  <c r="J2312" i="34"/>
  <c r="J2313" i="34"/>
  <c r="J2314" i="34"/>
  <c r="J2315" i="34"/>
  <c r="J2316" i="34"/>
  <c r="J2317" i="34"/>
  <c r="J2318" i="34"/>
  <c r="J2319" i="34"/>
  <c r="J2320" i="34"/>
  <c r="J2321" i="34"/>
  <c r="J2322" i="34"/>
  <c r="J2323" i="34"/>
  <c r="J2324" i="34"/>
  <c r="J2325" i="34"/>
  <c r="J2326" i="34"/>
  <c r="J2327" i="34"/>
  <c r="J2328" i="34"/>
  <c r="J2329" i="34"/>
  <c r="J2330" i="34"/>
  <c r="J2331" i="34"/>
  <c r="J2332" i="34"/>
  <c r="J2333" i="34"/>
  <c r="J2334" i="34"/>
  <c r="J2335" i="34"/>
  <c r="J2336" i="34"/>
  <c r="J2337" i="34"/>
  <c r="J2338" i="34"/>
  <c r="J2339" i="34"/>
  <c r="J2340" i="34"/>
  <c r="J2341" i="34"/>
  <c r="J2342" i="34"/>
  <c r="J2343" i="34"/>
  <c r="J2344" i="34"/>
  <c r="J2345" i="34"/>
  <c r="J2346" i="34"/>
  <c r="J2347" i="34"/>
  <c r="J2348" i="34"/>
  <c r="J2349" i="34"/>
  <c r="J2350" i="34"/>
  <c r="J2351" i="34"/>
  <c r="J2352" i="34"/>
  <c r="J2353" i="34"/>
  <c r="J2354" i="34"/>
  <c r="J2355" i="34"/>
  <c r="J2356" i="34"/>
  <c r="J2357" i="34"/>
  <c r="J2358" i="34"/>
  <c r="J2359" i="34"/>
  <c r="J2360" i="34"/>
  <c r="J2361" i="34"/>
  <c r="J2362" i="34"/>
  <c r="J2363" i="34"/>
  <c r="J2364" i="34"/>
  <c r="J2365" i="34"/>
  <c r="J2366" i="34"/>
  <c r="J2367" i="34"/>
  <c r="J2368" i="34"/>
  <c r="J2369" i="34"/>
  <c r="J2370" i="34"/>
  <c r="J2371" i="34"/>
  <c r="J2372" i="34"/>
  <c r="J2373" i="34"/>
  <c r="J2374" i="34"/>
  <c r="J2375" i="34"/>
  <c r="J2376" i="34"/>
  <c r="J2377" i="34"/>
  <c r="J2378" i="34"/>
  <c r="J2379" i="34"/>
  <c r="J2380" i="34"/>
  <c r="J2381" i="34"/>
  <c r="J2382" i="34"/>
  <c r="J2383" i="34"/>
  <c r="J2384" i="34"/>
  <c r="J2385" i="34"/>
  <c r="J2386" i="34"/>
  <c r="J2387" i="34"/>
  <c r="J2388" i="34"/>
  <c r="J2389" i="34"/>
  <c r="J2390" i="34"/>
  <c r="J2391" i="34"/>
  <c r="J2392" i="34"/>
  <c r="I2302" i="34" a="1"/>
  <c r="I2302" i="34"/>
  <c r="I2303" i="34" a="1"/>
  <c r="I2303" i="34"/>
  <c r="I2304" i="34" a="1"/>
  <c r="I2305" i="34" a="1"/>
  <c r="I2306" i="34" a="1"/>
  <c r="I2307" i="34" a="1"/>
  <c r="I2308" i="34" a="1"/>
  <c r="I2309" i="34" a="1"/>
  <c r="I2310" i="34" a="1"/>
  <c r="I2311" i="34" a="1"/>
  <c r="I2312" i="34" a="1"/>
  <c r="I2313" i="34" a="1"/>
  <c r="I2314" i="34" a="1"/>
  <c r="I2315" i="34" a="1"/>
  <c r="I2316" i="34" a="1"/>
  <c r="I2317" i="34" a="1"/>
  <c r="I2318" i="34" a="1"/>
  <c r="I2319" i="34" a="1"/>
  <c r="I2320" i="34" a="1"/>
  <c r="I2321" i="34" a="1"/>
  <c r="I2322" i="34" a="1"/>
  <c r="I2323" i="34" a="1"/>
  <c r="I2324" i="34" a="1"/>
  <c r="I2325" i="34" a="1"/>
  <c r="I2326" i="34" a="1"/>
  <c r="I2327" i="34" a="1"/>
  <c r="I2328" i="34" a="1"/>
  <c r="I2329" i="34" a="1"/>
  <c r="I2330" i="34" a="1"/>
  <c r="I2331" i="34" a="1"/>
  <c r="I2332" i="34" a="1"/>
  <c r="I2333" i="34" a="1"/>
  <c r="I2334" i="34" a="1"/>
  <c r="I2335" i="34" a="1"/>
  <c r="I2336" i="34" a="1"/>
  <c r="I2337" i="34" a="1"/>
  <c r="I2338" i="34" a="1"/>
  <c r="I2339" i="34" a="1"/>
  <c r="I2340" i="34" a="1"/>
  <c r="I2341" i="34" a="1"/>
  <c r="I2342" i="34" a="1"/>
  <c r="I2343" i="34" a="1"/>
  <c r="I2344" i="34" a="1"/>
  <c r="I2345" i="34" a="1"/>
  <c r="I2346" i="34" a="1"/>
  <c r="I2347" i="34" a="1"/>
  <c r="I2348" i="34" a="1"/>
  <c r="I2349" i="34" a="1"/>
  <c r="I2350" i="34" a="1"/>
  <c r="I2351" i="34" a="1"/>
  <c r="I2352" i="34" a="1"/>
  <c r="I2353" i="34" a="1"/>
  <c r="I2354" i="34" a="1"/>
  <c r="I2355" i="34" a="1"/>
  <c r="I2356" i="34" a="1"/>
  <c r="I2357" i="34" a="1"/>
  <c r="I2358" i="34" a="1"/>
  <c r="I2359" i="34" a="1"/>
  <c r="I2360" i="34" a="1"/>
  <c r="I2361" i="34" a="1"/>
  <c r="I2362" i="34" a="1"/>
  <c r="I2363" i="34" a="1"/>
  <c r="I2364" i="34" a="1"/>
  <c r="I2365" i="34" a="1"/>
  <c r="I2366" i="34" a="1"/>
  <c r="I2367" i="34" a="1"/>
  <c r="I2368" i="34" a="1"/>
  <c r="I2369" i="34" a="1"/>
  <c r="I2370" i="34" a="1"/>
  <c r="I2371" i="34" a="1"/>
  <c r="I2372" i="34" a="1"/>
  <c r="I2373" i="34" a="1"/>
  <c r="I2374" i="34" a="1"/>
  <c r="I2375" i="34" a="1"/>
  <c r="I2376" i="34" a="1"/>
  <c r="I2377" i="34" a="1"/>
  <c r="I2378" i="34" a="1"/>
  <c r="I2379" i="34" a="1"/>
  <c r="I2380" i="34" a="1"/>
  <c r="I2381" i="34" a="1"/>
  <c r="I2382" i="34" a="1"/>
  <c r="I2383" i="34" a="1"/>
  <c r="I2384" i="34" a="1"/>
  <c r="I2385" i="34" a="1"/>
  <c r="I2386" i="34" a="1"/>
  <c r="I2387" i="34" a="1"/>
  <c r="I2388" i="34" a="1"/>
  <c r="I2389" i="34" a="1"/>
  <c r="I2390" i="34" a="1"/>
  <c r="I2391" i="34" a="1"/>
  <c r="I2304" i="34"/>
  <c r="I2305" i="34"/>
  <c r="I2306" i="34"/>
  <c r="I2307" i="34"/>
  <c r="I2308" i="34"/>
  <c r="I2309" i="34"/>
  <c r="I2310" i="34"/>
  <c r="I2311" i="34"/>
  <c r="I2312" i="34"/>
  <c r="I2313" i="34"/>
  <c r="I2314" i="34"/>
  <c r="I2315" i="34"/>
  <c r="I2316" i="34"/>
  <c r="I2317" i="34"/>
  <c r="I2318" i="34"/>
  <c r="I2319" i="34"/>
  <c r="I2320" i="34"/>
  <c r="I2321" i="34"/>
  <c r="I2322" i="34"/>
  <c r="I2323" i="34"/>
  <c r="I2324" i="34"/>
  <c r="I2325" i="34"/>
  <c r="I2326" i="34"/>
  <c r="I2327" i="34"/>
  <c r="I2328" i="34"/>
  <c r="I2329" i="34"/>
  <c r="I2330" i="34"/>
  <c r="I2331" i="34"/>
  <c r="I2332" i="34"/>
  <c r="I2333" i="34"/>
  <c r="I2334" i="34"/>
  <c r="I2335" i="34"/>
  <c r="I2336" i="34"/>
  <c r="I2337" i="34"/>
  <c r="I2338" i="34"/>
  <c r="I2339" i="34"/>
  <c r="I2340" i="34"/>
  <c r="I2341" i="34"/>
  <c r="I2342" i="34"/>
  <c r="I2343" i="34"/>
  <c r="I2344" i="34"/>
  <c r="I2345" i="34"/>
  <c r="I2346" i="34"/>
  <c r="I2347" i="34"/>
  <c r="I2348" i="34"/>
  <c r="I2349" i="34"/>
  <c r="I2350" i="34"/>
  <c r="I2351" i="34"/>
  <c r="I2352" i="34"/>
  <c r="I2353" i="34"/>
  <c r="I2354" i="34"/>
  <c r="I2355" i="34"/>
  <c r="I2356" i="34"/>
  <c r="I2357" i="34"/>
  <c r="I2358" i="34"/>
  <c r="I2359" i="34"/>
  <c r="I2360" i="34"/>
  <c r="I2361" i="34"/>
  <c r="I2362" i="34"/>
  <c r="I2363" i="34"/>
  <c r="I2364" i="34"/>
  <c r="I2365" i="34"/>
  <c r="I2366" i="34"/>
  <c r="I2367" i="34"/>
  <c r="I2368" i="34"/>
  <c r="I2369" i="34"/>
  <c r="I2370" i="34"/>
  <c r="I2371" i="34"/>
  <c r="I2372" i="34"/>
  <c r="I2373" i="34"/>
  <c r="I2374" i="34"/>
  <c r="I2375" i="34"/>
  <c r="I2376" i="34"/>
  <c r="I2377" i="34"/>
  <c r="I2378" i="34"/>
  <c r="I2379" i="34"/>
  <c r="I2380" i="34"/>
  <c r="I2381" i="34"/>
  <c r="I2382" i="34"/>
  <c r="I2383" i="34"/>
  <c r="I2384" i="34"/>
  <c r="I2385" i="34"/>
  <c r="I2386" i="34"/>
  <c r="I2387" i="34"/>
  <c r="I2388" i="34"/>
  <c r="I2389" i="34"/>
  <c r="I2390" i="34"/>
  <c r="I2391" i="34"/>
  <c r="I2392" i="34"/>
  <c r="I214" i="29" a="1"/>
  <c r="I215" i="29" a="1"/>
  <c r="I216" i="29" a="1"/>
  <c r="I217" i="29" a="1"/>
  <c r="I218" i="29" a="1"/>
  <c r="I219" i="29" a="1"/>
  <c r="I220" i="29" a="1"/>
  <c r="I221" i="29" a="1"/>
  <c r="I222" i="29" a="1"/>
  <c r="I223" i="29" a="1"/>
  <c r="I224" i="29" a="1"/>
  <c r="I225" i="29" a="1"/>
  <c r="I226" i="29" a="1"/>
  <c r="I227" i="29" a="1"/>
  <c r="I228" i="29" a="1"/>
  <c r="I244" i="29" a="1"/>
  <c r="I245" i="29" a="1"/>
  <c r="I246" i="29" a="1"/>
  <c r="I247" i="29" a="1"/>
  <c r="I248" i="29" a="1"/>
  <c r="I249" i="29" a="1"/>
  <c r="I250" i="29" a="1"/>
  <c r="I251" i="29" a="1"/>
  <c r="I252" i="29" a="1"/>
  <c r="I253" i="29" a="1"/>
  <c r="I254" i="29" a="1"/>
  <c r="I255" i="29" a="1"/>
  <c r="I256" i="29" a="1"/>
  <c r="I257" i="29" a="1"/>
  <c r="I258" i="29" a="1"/>
  <c r="I214" i="29"/>
  <c r="I215" i="29"/>
  <c r="I216" i="29"/>
  <c r="I217" i="29"/>
  <c r="I218" i="29"/>
  <c r="I219" i="29"/>
  <c r="I220" i="29"/>
  <c r="I221" i="29"/>
  <c r="I222" i="29"/>
  <c r="I223" i="29"/>
  <c r="I224" i="29"/>
  <c r="I225" i="29"/>
  <c r="I226" i="29"/>
  <c r="I227" i="29"/>
  <c r="I228" i="29"/>
  <c r="I244" i="29"/>
  <c r="I245" i="29"/>
  <c r="I246" i="29"/>
  <c r="I247" i="29"/>
  <c r="I248" i="29"/>
  <c r="I249" i="29"/>
  <c r="I250" i="29"/>
  <c r="I251" i="29"/>
  <c r="I252" i="29"/>
  <c r="I253" i="29"/>
  <c r="I254" i="29"/>
  <c r="I255" i="29"/>
  <c r="I256" i="29"/>
  <c r="I257" i="29"/>
  <c r="I258" i="29"/>
  <c r="I279" i="29" a="1"/>
  <c r="I280" i="29" a="1"/>
  <c r="I281" i="29" a="1"/>
  <c r="I282" i="29" a="1"/>
  <c r="I283" i="29" a="1"/>
  <c r="I284" i="29" a="1"/>
  <c r="I285" i="29" a="1"/>
  <c r="I286" i="29" a="1"/>
  <c r="I287" i="29" a="1"/>
  <c r="I288" i="29" a="1"/>
  <c r="I289" i="29" a="1"/>
  <c r="I290" i="29" a="1"/>
  <c r="I291" i="29" a="1"/>
  <c r="I292" i="29" a="1"/>
  <c r="I293" i="29" a="1"/>
  <c r="I309" i="29" a="1"/>
  <c r="I310" i="29" a="1"/>
  <c r="I311" i="29" a="1"/>
  <c r="I312" i="29" a="1"/>
  <c r="I313" i="29" a="1"/>
  <c r="I314" i="29" a="1"/>
  <c r="I315" i="29" a="1"/>
  <c r="I316" i="29" a="1"/>
  <c r="I317" i="29" a="1"/>
  <c r="I318" i="29" a="1"/>
  <c r="I319" i="29" a="1"/>
  <c r="I320" i="29" a="1"/>
  <c r="I321" i="29" a="1"/>
  <c r="I322" i="29" a="1"/>
  <c r="I323" i="29" a="1"/>
  <c r="I279" i="29"/>
  <c r="I280" i="29"/>
  <c r="I281" i="29"/>
  <c r="I282" i="29"/>
  <c r="I283" i="29"/>
  <c r="I284" i="29"/>
  <c r="I285" i="29"/>
  <c r="I286" i="29"/>
  <c r="I287" i="29"/>
  <c r="I288" i="29"/>
  <c r="I289" i="29"/>
  <c r="I290" i="29"/>
  <c r="I291" i="29"/>
  <c r="I292" i="29"/>
  <c r="I293" i="29"/>
  <c r="I309" i="29"/>
  <c r="I310" i="29"/>
  <c r="I311" i="29"/>
  <c r="I312" i="29"/>
  <c r="I313" i="29"/>
  <c r="I314" i="29"/>
  <c r="I315" i="29"/>
  <c r="I316" i="29"/>
  <c r="I317" i="29"/>
  <c r="I318" i="29"/>
  <c r="I319" i="29"/>
  <c r="I320" i="29"/>
  <c r="I321" i="29"/>
  <c r="I322" i="29"/>
  <c r="I323" i="29"/>
  <c r="I344" i="29" a="1"/>
  <c r="I345" i="29" a="1"/>
  <c r="I346" i="29" a="1"/>
  <c r="I347" i="29" a="1"/>
  <c r="I348" i="29" a="1"/>
  <c r="I349" i="29" a="1"/>
  <c r="I350" i="29" a="1"/>
  <c r="I351" i="29" a="1"/>
  <c r="I352" i="29" a="1"/>
  <c r="I353" i="29" a="1"/>
  <c r="I354" i="29" a="1"/>
  <c r="I355" i="29" a="1"/>
  <c r="I356" i="29" a="1"/>
  <c r="I357" i="29" a="1"/>
  <c r="I358" i="29" a="1"/>
  <c r="I374" i="29" a="1"/>
  <c r="I375" i="29" a="1"/>
  <c r="I376" i="29" a="1"/>
  <c r="I377" i="29" a="1"/>
  <c r="I378" i="29" a="1"/>
  <c r="I379" i="29" a="1"/>
  <c r="I380" i="29" a="1"/>
  <c r="I381" i="29" a="1"/>
  <c r="I382" i="29" a="1"/>
  <c r="I383" i="29" a="1"/>
  <c r="I384" i="29" a="1"/>
  <c r="I385" i="29" a="1"/>
  <c r="I386" i="29" a="1"/>
  <c r="I387" i="29" a="1"/>
  <c r="I388" i="29" a="1"/>
  <c r="I344" i="29"/>
  <c r="I345" i="29"/>
  <c r="I346" i="29"/>
  <c r="I347" i="29"/>
  <c r="I348" i="29"/>
  <c r="I349" i="29"/>
  <c r="I350" i="29"/>
  <c r="I351" i="29"/>
  <c r="I352" i="29"/>
  <c r="I353" i="29"/>
  <c r="I354" i="29"/>
  <c r="I355" i="29"/>
  <c r="I356" i="29"/>
  <c r="I357" i="29"/>
  <c r="I358" i="29"/>
  <c r="I374" i="29"/>
  <c r="I375" i="29"/>
  <c r="I376" i="29"/>
  <c r="I377" i="29"/>
  <c r="I378" i="29"/>
  <c r="I379" i="29"/>
  <c r="I380" i="29"/>
  <c r="I381" i="29"/>
  <c r="I382" i="29"/>
  <c r="I383" i="29"/>
  <c r="I384" i="29"/>
  <c r="I385" i="29"/>
  <c r="I386" i="29"/>
  <c r="I387" i="29"/>
  <c r="I388" i="29"/>
  <c r="R15" i="12"/>
  <c r="R71" i="12"/>
  <c r="I330" i="29" a="1"/>
  <c r="I330" i="29"/>
  <c r="I331" i="29" a="1"/>
  <c r="I331" i="29"/>
  <c r="I332" i="29" a="1"/>
  <c r="I332" i="29"/>
  <c r="I333" i="29" a="1"/>
  <c r="I333" i="29"/>
  <c r="I334" i="29" a="1"/>
  <c r="I334" i="29"/>
  <c r="I335" i="29" a="1"/>
  <c r="I335" i="29"/>
  <c r="I336" i="29" a="1"/>
  <c r="I336" i="29"/>
  <c r="I337" i="29" a="1"/>
  <c r="I337" i="29"/>
  <c r="I338" i="29" a="1"/>
  <c r="I338" i="29"/>
  <c r="I339" i="29" a="1"/>
  <c r="I339" i="29"/>
  <c r="I340" i="29" a="1"/>
  <c r="I340" i="29"/>
  <c r="I341" i="29" a="1"/>
  <c r="I341" i="29"/>
  <c r="I342" i="29" a="1"/>
  <c r="I342" i="29"/>
  <c r="I343" i="29" a="1"/>
  <c r="I343" i="29"/>
  <c r="I264" i="29" a="1"/>
  <c r="I264" i="29"/>
  <c r="I265" i="29" a="1"/>
  <c r="I265" i="29"/>
  <c r="I266" i="29" a="1"/>
  <c r="I266" i="29"/>
  <c r="I267" i="29" a="1"/>
  <c r="I267" i="29"/>
  <c r="I268" i="29" a="1"/>
  <c r="I268" i="29"/>
  <c r="I269" i="29" a="1"/>
  <c r="I269" i="29"/>
  <c r="I270" i="29" a="1"/>
  <c r="I270" i="29"/>
  <c r="I271" i="29" a="1"/>
  <c r="I271" i="29"/>
  <c r="I272" i="29" a="1"/>
  <c r="I272" i="29"/>
  <c r="I273" i="29" a="1"/>
  <c r="I273" i="29"/>
  <c r="I274" i="29" a="1"/>
  <c r="I274" i="29"/>
  <c r="I275" i="29" a="1"/>
  <c r="I275" i="29"/>
  <c r="I276" i="29" a="1"/>
  <c r="I276" i="29"/>
  <c r="I277" i="29" a="1"/>
  <c r="I277" i="29"/>
  <c r="I278" i="29" a="1"/>
  <c r="I278" i="29"/>
  <c r="I200" i="29" a="1"/>
  <c r="I200" i="29"/>
  <c r="I201" i="29" a="1"/>
  <c r="I201" i="29"/>
  <c r="I202" i="29" a="1"/>
  <c r="I202" i="29"/>
  <c r="I203" i="29" a="1"/>
  <c r="I203" i="29"/>
  <c r="I204" i="29" a="1"/>
  <c r="I204" i="29"/>
  <c r="I205" i="29" a="1"/>
  <c r="I205" i="29"/>
  <c r="I206" i="29" a="1"/>
  <c r="I206" i="29"/>
  <c r="I207" i="29" a="1"/>
  <c r="I207" i="29"/>
  <c r="I208" i="29" a="1"/>
  <c r="I208" i="29"/>
  <c r="I209" i="29" a="1"/>
  <c r="I209" i="29"/>
  <c r="I210" i="29" a="1"/>
  <c r="I210" i="29"/>
  <c r="I211" i="29" a="1"/>
  <c r="I211" i="29"/>
  <c r="I212" i="29" a="1"/>
  <c r="I212" i="29"/>
  <c r="I213" i="29" a="1"/>
  <c r="I213" i="29"/>
  <c r="I229" i="29" a="1"/>
  <c r="I229" i="29"/>
  <c r="I230" i="29" a="1"/>
  <c r="I230" i="29"/>
  <c r="I231" i="29" a="1"/>
  <c r="I231" i="29"/>
  <c r="I232" i="29" a="1"/>
  <c r="I232" i="29"/>
  <c r="I233" i="29" a="1"/>
  <c r="I233" i="29"/>
  <c r="I234" i="29" a="1"/>
  <c r="I234" i="29"/>
  <c r="I235" i="29" a="1"/>
  <c r="I235" i="29"/>
  <c r="I236" i="29" a="1"/>
  <c r="I236" i="29"/>
  <c r="I237" i="29" a="1"/>
  <c r="I237" i="29"/>
  <c r="I238" i="29" a="1"/>
  <c r="I238" i="29"/>
  <c r="I239" i="29" a="1"/>
  <c r="I239" i="29"/>
  <c r="I240" i="29" a="1"/>
  <c r="I240" i="29"/>
  <c r="I241" i="29" a="1"/>
  <c r="I241" i="29"/>
  <c r="I242" i="29" a="1"/>
  <c r="I242" i="29"/>
  <c r="I243" i="29" a="1"/>
  <c r="I243" i="29"/>
  <c r="I294" i="29" a="1"/>
  <c r="I294" i="29"/>
  <c r="I295" i="29" a="1"/>
  <c r="I295" i="29"/>
  <c r="I296" i="29" a="1"/>
  <c r="I296" i="29"/>
  <c r="I297" i="29" a="1"/>
  <c r="I297" i="29"/>
  <c r="I298" i="29" a="1"/>
  <c r="I298" i="29"/>
  <c r="I299" i="29" a="1"/>
  <c r="I299" i="29"/>
  <c r="I300" i="29" a="1"/>
  <c r="I300" i="29"/>
  <c r="I301" i="29" a="1"/>
  <c r="I301" i="29"/>
  <c r="I302" i="29" a="1"/>
  <c r="I302" i="29"/>
  <c r="I303" i="29" a="1"/>
  <c r="I303" i="29"/>
  <c r="I304" i="29" a="1"/>
  <c r="I304" i="29"/>
  <c r="I305" i="29" a="1"/>
  <c r="I305" i="29"/>
  <c r="I306" i="29" a="1"/>
  <c r="I306" i="29"/>
  <c r="I307" i="29" a="1"/>
  <c r="I307" i="29"/>
  <c r="I308" i="29" a="1"/>
  <c r="I308" i="29"/>
  <c r="I324" i="29"/>
  <c r="I101" i="29" a="1"/>
  <c r="I101" i="29"/>
  <c r="V161" i="52" a="1"/>
  <c r="V161" i="52"/>
  <c r="I107" i="29" a="1"/>
  <c r="I107" i="29"/>
  <c r="V167" i="52" a="1"/>
  <c r="V167" i="52"/>
  <c r="I113" i="29" a="1"/>
  <c r="I113" i="29"/>
  <c r="V173" i="52" a="1"/>
  <c r="V173" i="52"/>
  <c r="V160" i="52"/>
  <c r="I119" i="29" a="1"/>
  <c r="I119" i="29"/>
  <c r="V181" i="52" a="1"/>
  <c r="V181" i="52"/>
  <c r="I125" i="29" a="1"/>
  <c r="I125" i="29"/>
  <c r="V187" i="52" a="1"/>
  <c r="V187" i="52"/>
  <c r="I131" i="29" a="1"/>
  <c r="I131" i="29"/>
  <c r="V193" i="52" a="1"/>
  <c r="V193" i="52"/>
  <c r="V180" i="52"/>
  <c r="I137" i="29" a="1"/>
  <c r="I137" i="29"/>
  <c r="V201" i="52" a="1"/>
  <c r="V201" i="52"/>
  <c r="I143" i="29" a="1"/>
  <c r="I143" i="29"/>
  <c r="V207" i="52" a="1"/>
  <c r="V207" i="52"/>
  <c r="I149" i="29" a="1"/>
  <c r="I149" i="29"/>
  <c r="V213" i="52" a="1"/>
  <c r="I155" i="29" a="1"/>
  <c r="I155" i="29"/>
  <c r="V219" i="52" a="1"/>
  <c r="V213" i="52"/>
  <c r="V219" i="52"/>
  <c r="V200" i="52"/>
  <c r="I161" i="29" a="1"/>
  <c r="I161" i="29"/>
  <c r="V227" i="52" a="1"/>
  <c r="V227" i="52"/>
  <c r="I167" i="29" a="1"/>
  <c r="I167" i="29"/>
  <c r="V233" i="52" a="1"/>
  <c r="V233" i="52"/>
  <c r="I173" i="29" a="1"/>
  <c r="I173" i="29"/>
  <c r="V239" i="52" a="1"/>
  <c r="V239" i="52"/>
  <c r="V226" i="52"/>
  <c r="I179" i="29" a="1"/>
  <c r="I179" i="29"/>
  <c r="V247" i="52" a="1"/>
  <c r="V247" i="52"/>
  <c r="V246" i="52"/>
  <c r="I185" i="29" a="1"/>
  <c r="I185" i="29"/>
  <c r="V255" i="52" a="1"/>
  <c r="V255" i="52"/>
  <c r="V254" i="52"/>
  <c r="V158" i="52"/>
  <c r="I105" i="29" a="1"/>
  <c r="I105" i="29"/>
  <c r="X165" i="52" a="1"/>
  <c r="X165" i="52"/>
  <c r="I111" i="29" a="1"/>
  <c r="I111" i="29"/>
  <c r="X171" i="52" a="1"/>
  <c r="X171" i="52"/>
  <c r="I117" i="29" a="1"/>
  <c r="I117" i="29"/>
  <c r="X177" i="52" a="1"/>
  <c r="X177" i="52"/>
  <c r="X160" i="52"/>
  <c r="I123" i="29" a="1"/>
  <c r="I123" i="29"/>
  <c r="X185" i="52" a="1"/>
  <c r="X185" i="52"/>
  <c r="I129" i="29" a="1"/>
  <c r="I129" i="29"/>
  <c r="X191" i="52" a="1"/>
  <c r="X191" i="52"/>
  <c r="I135" i="29" a="1"/>
  <c r="I135" i="29"/>
  <c r="X197" i="52" a="1"/>
  <c r="X197" i="52"/>
  <c r="X180" i="52"/>
  <c r="I141" i="29" a="1"/>
  <c r="I141" i="29"/>
  <c r="X205" i="52" a="1"/>
  <c r="X205" i="52"/>
  <c r="I147" i="29" a="1"/>
  <c r="I147" i="29"/>
  <c r="X211" i="52" a="1"/>
  <c r="X211" i="52"/>
  <c r="I153" i="29" a="1"/>
  <c r="I153" i="29"/>
  <c r="X217" i="52" a="1"/>
  <c r="I159" i="29" a="1"/>
  <c r="I159" i="29"/>
  <c r="X223" i="52" a="1"/>
  <c r="X217" i="52"/>
  <c r="X223" i="52"/>
  <c r="X200" i="52"/>
  <c r="I165" i="29" a="1"/>
  <c r="I165" i="29"/>
  <c r="X231" i="52" a="1"/>
  <c r="X231" i="52"/>
  <c r="I171" i="29" a="1"/>
  <c r="I171" i="29"/>
  <c r="X237" i="52" a="1"/>
  <c r="X237" i="52"/>
  <c r="I177" i="29" a="1"/>
  <c r="I177" i="29"/>
  <c r="X243" i="52" a="1"/>
  <c r="X243" i="52"/>
  <c r="X226" i="52"/>
  <c r="I183" i="29" a="1"/>
  <c r="I183" i="29"/>
  <c r="X251" i="52" a="1"/>
  <c r="X251" i="52"/>
  <c r="X246" i="52"/>
  <c r="I189" i="29" a="1"/>
  <c r="I189" i="29"/>
  <c r="X259" i="52" a="1"/>
  <c r="X259" i="52"/>
  <c r="X254" i="52"/>
  <c r="X158" i="52"/>
  <c r="I329" i="29" a="1"/>
  <c r="I329" i="29"/>
  <c r="I359" i="29" a="1"/>
  <c r="I359" i="29"/>
  <c r="I360" i="29" a="1"/>
  <c r="I360" i="29"/>
  <c r="I361" i="29" a="1"/>
  <c r="I361" i="29"/>
  <c r="I362" i="29" a="1"/>
  <c r="I362" i="29"/>
  <c r="I363" i="29" a="1"/>
  <c r="I363" i="29"/>
  <c r="I364" i="29" a="1"/>
  <c r="I364" i="29"/>
  <c r="I365" i="29" a="1"/>
  <c r="I365" i="29"/>
  <c r="I366" i="29" a="1"/>
  <c r="I366" i="29"/>
  <c r="I367" i="29" a="1"/>
  <c r="I367" i="29"/>
  <c r="I368" i="29" a="1"/>
  <c r="I368" i="29"/>
  <c r="I369" i="29" a="1"/>
  <c r="I369" i="29"/>
  <c r="I370" i="29" a="1"/>
  <c r="I370" i="29"/>
  <c r="I371" i="29" a="1"/>
  <c r="I371" i="29"/>
  <c r="I372" i="29" a="1"/>
  <c r="I372" i="29"/>
  <c r="I373" i="29" a="1"/>
  <c r="I373" i="29"/>
  <c r="I10" i="29"/>
  <c r="J161" i="52" a="1"/>
  <c r="J161" i="52"/>
  <c r="I102" i="29" a="1"/>
  <c r="I102" i="29"/>
  <c r="I11" i="29"/>
  <c r="J162" i="52" a="1"/>
  <c r="J162" i="52"/>
  <c r="I103" i="29" a="1"/>
  <c r="I103" i="29"/>
  <c r="I12" i="29"/>
  <c r="J163" i="52" a="1"/>
  <c r="I104" i="29" a="1"/>
  <c r="I104" i="29"/>
  <c r="I13" i="29"/>
  <c r="J164" i="52" a="1"/>
  <c r="I14" i="29"/>
  <c r="J165" i="52" a="1"/>
  <c r="I106" i="29" a="1"/>
  <c r="I106" i="29"/>
  <c r="I15" i="29"/>
  <c r="J166" i="52" a="1"/>
  <c r="I16" i="29"/>
  <c r="J167" i="52" a="1"/>
  <c r="I108" i="29" a="1"/>
  <c r="I108" i="29"/>
  <c r="I17" i="29"/>
  <c r="J168" i="52" a="1"/>
  <c r="I109" i="29" a="1"/>
  <c r="I109" i="29"/>
  <c r="I18" i="29"/>
  <c r="J169" i="52" a="1"/>
  <c r="I110" i="29" a="1"/>
  <c r="I110" i="29"/>
  <c r="I19" i="29"/>
  <c r="J170" i="52" a="1"/>
  <c r="I20" i="29"/>
  <c r="J171" i="52" a="1"/>
  <c r="I112" i="29" a="1"/>
  <c r="I112" i="29"/>
  <c r="I21" i="29"/>
  <c r="J172" i="52" a="1"/>
  <c r="I22" i="29"/>
  <c r="J173" i="52" a="1"/>
  <c r="I114" i="29" a="1"/>
  <c r="I114" i="29"/>
  <c r="I23" i="29"/>
  <c r="J174" i="52" a="1"/>
  <c r="I115" i="29" a="1"/>
  <c r="I115" i="29"/>
  <c r="I24" i="29"/>
  <c r="J175" i="52" a="1"/>
  <c r="I116" i="29" a="1"/>
  <c r="I116" i="29"/>
  <c r="I25" i="29"/>
  <c r="J176" i="52" a="1"/>
  <c r="I26" i="29"/>
  <c r="J177" i="52" a="1"/>
  <c r="I118" i="29" a="1"/>
  <c r="I118" i="29"/>
  <c r="I27" i="29"/>
  <c r="J178" i="52" a="1"/>
  <c r="J163" i="52"/>
  <c r="J164" i="52"/>
  <c r="J165" i="52"/>
  <c r="J166" i="52"/>
  <c r="J167" i="52"/>
  <c r="J168" i="52"/>
  <c r="J169" i="52"/>
  <c r="J170" i="52"/>
  <c r="J171" i="52"/>
  <c r="J172" i="52"/>
  <c r="J173" i="52"/>
  <c r="J174" i="52"/>
  <c r="J175" i="52"/>
  <c r="J176" i="52"/>
  <c r="J177" i="52"/>
  <c r="J178" i="52"/>
  <c r="J160" i="52"/>
  <c r="I28" i="29"/>
  <c r="J181" i="52" a="1"/>
  <c r="J181" i="52"/>
  <c r="I120" i="29" a="1"/>
  <c r="I120" i="29"/>
  <c r="I29" i="29"/>
  <c r="J182" i="52" a="1"/>
  <c r="J182" i="52"/>
  <c r="I121" i="29" a="1"/>
  <c r="I121" i="29"/>
  <c r="I30" i="29"/>
  <c r="J183" i="52" a="1"/>
  <c r="I122" i="29" a="1"/>
  <c r="I122" i="29"/>
  <c r="I31" i="29"/>
  <c r="J184" i="52" a="1"/>
  <c r="I32" i="29"/>
  <c r="J185" i="52" a="1"/>
  <c r="I124" i="29" a="1"/>
  <c r="I124" i="29"/>
  <c r="I33" i="29"/>
  <c r="J186" i="52" a="1"/>
  <c r="I34" i="29"/>
  <c r="J187" i="52" a="1"/>
  <c r="I126" i="29" a="1"/>
  <c r="I126" i="29"/>
  <c r="I35" i="29"/>
  <c r="J188" i="52" a="1"/>
  <c r="I127" i="29" a="1"/>
  <c r="I127" i="29"/>
  <c r="I36" i="29"/>
  <c r="J189" i="52" a="1"/>
  <c r="I128" i="29" a="1"/>
  <c r="I128" i="29"/>
  <c r="I37" i="29"/>
  <c r="J190" i="52" a="1"/>
  <c r="I38" i="29"/>
  <c r="J191" i="52" a="1"/>
  <c r="I130" i="29" a="1"/>
  <c r="I130" i="29"/>
  <c r="I39" i="29"/>
  <c r="J192" i="52" a="1"/>
  <c r="I40" i="29"/>
  <c r="J193" i="52" a="1"/>
  <c r="I132" i="29" a="1"/>
  <c r="I132" i="29"/>
  <c r="I41" i="29"/>
  <c r="J194" i="52" a="1"/>
  <c r="I133" i="29" a="1"/>
  <c r="I133" i="29"/>
  <c r="I42" i="29"/>
  <c r="J195" i="52" a="1"/>
  <c r="I134" i="29" a="1"/>
  <c r="I134" i="29"/>
  <c r="I43" i="29"/>
  <c r="J196" i="52" a="1"/>
  <c r="I44" i="29"/>
  <c r="J197" i="52" a="1"/>
  <c r="I136" i="29" a="1"/>
  <c r="I136" i="29"/>
  <c r="I45" i="29"/>
  <c r="J198" i="52" a="1"/>
  <c r="J183" i="52"/>
  <c r="J184" i="52"/>
  <c r="J185" i="52"/>
  <c r="J186" i="52"/>
  <c r="J187" i="52"/>
  <c r="J188" i="52"/>
  <c r="J189" i="52"/>
  <c r="J190" i="52"/>
  <c r="J191" i="52"/>
  <c r="J192" i="52"/>
  <c r="J193" i="52"/>
  <c r="J194" i="52"/>
  <c r="J195" i="52"/>
  <c r="J196" i="52"/>
  <c r="J197" i="52"/>
  <c r="J198" i="52"/>
  <c r="J180" i="52"/>
  <c r="I46" i="29"/>
  <c r="J201" i="52" a="1"/>
  <c r="J201" i="52"/>
  <c r="I138" i="29" a="1"/>
  <c r="I138" i="29"/>
  <c r="I47" i="29"/>
  <c r="J202" i="52" a="1"/>
  <c r="J202" i="52"/>
  <c r="I139" i="29" a="1"/>
  <c r="I139" i="29"/>
  <c r="I48" i="29"/>
  <c r="J203" i="52" a="1"/>
  <c r="I140" i="29" a="1"/>
  <c r="I140" i="29"/>
  <c r="I49" i="29"/>
  <c r="J204" i="52" a="1"/>
  <c r="I50" i="29"/>
  <c r="J205" i="52" a="1"/>
  <c r="I142" i="29" a="1"/>
  <c r="I142" i="29"/>
  <c r="I51" i="29"/>
  <c r="J206" i="52" a="1"/>
  <c r="I52" i="29"/>
  <c r="J207" i="52" a="1"/>
  <c r="I144" i="29" a="1"/>
  <c r="I144" i="29"/>
  <c r="I53" i="29"/>
  <c r="J208" i="52" a="1"/>
  <c r="I145" i="29" a="1"/>
  <c r="I145" i="29"/>
  <c r="I54" i="29"/>
  <c r="J209" i="52" a="1"/>
  <c r="I146" i="29" a="1"/>
  <c r="I146" i="29"/>
  <c r="I55" i="29"/>
  <c r="J210" i="52" a="1"/>
  <c r="I56" i="29"/>
  <c r="J211" i="52" a="1"/>
  <c r="I148" i="29" a="1"/>
  <c r="I148" i="29"/>
  <c r="I57" i="29"/>
  <c r="J212" i="52" a="1"/>
  <c r="I58" i="29"/>
  <c r="J213" i="52" a="1"/>
  <c r="I150" i="29" a="1"/>
  <c r="I150" i="29"/>
  <c r="I59" i="29"/>
  <c r="J214" i="52" a="1"/>
  <c r="I151" i="29" a="1"/>
  <c r="I151" i="29"/>
  <c r="I60" i="29"/>
  <c r="J215" i="52" a="1"/>
  <c r="I152" i="29" a="1"/>
  <c r="I152" i="29"/>
  <c r="I61" i="29"/>
  <c r="J216" i="52" a="1"/>
  <c r="I62" i="29"/>
  <c r="J217" i="52" a="1"/>
  <c r="I154" i="29" a="1"/>
  <c r="I154" i="29"/>
  <c r="I63" i="29"/>
  <c r="J218" i="52" a="1"/>
  <c r="I64" i="29"/>
  <c r="J219" i="52" a="1"/>
  <c r="I156" i="29" a="1"/>
  <c r="I156" i="29"/>
  <c r="I65" i="29"/>
  <c r="J220" i="52" a="1"/>
  <c r="I157" i="29" a="1"/>
  <c r="I157" i="29"/>
  <c r="I66" i="29"/>
  <c r="J221" i="52" a="1"/>
  <c r="I158" i="29" a="1"/>
  <c r="I158" i="29"/>
  <c r="I67" i="29"/>
  <c r="J222" i="52" a="1"/>
  <c r="I68" i="29"/>
  <c r="J223" i="52" a="1"/>
  <c r="I160" i="29" a="1"/>
  <c r="I160" i="29"/>
  <c r="I69" i="29"/>
  <c r="J224" i="52" a="1"/>
  <c r="J203" i="52"/>
  <c r="J204" i="52"/>
  <c r="J205" i="52"/>
  <c r="J206" i="52"/>
  <c r="J207" i="52"/>
  <c r="J208" i="52"/>
  <c r="J209" i="52"/>
  <c r="J210" i="52"/>
  <c r="J211" i="52"/>
  <c r="J212" i="52"/>
  <c r="J213" i="52"/>
  <c r="J214" i="52"/>
  <c r="J215" i="52"/>
  <c r="J216" i="52"/>
  <c r="J217" i="52"/>
  <c r="J218" i="52"/>
  <c r="J219" i="52"/>
  <c r="J220" i="52"/>
  <c r="J221" i="52"/>
  <c r="J222" i="52"/>
  <c r="J223" i="52"/>
  <c r="J224" i="52"/>
  <c r="J200" i="52"/>
  <c r="I70" i="29"/>
  <c r="J227" i="52" a="1"/>
  <c r="J227" i="52"/>
  <c r="I162" i="29" a="1"/>
  <c r="I162" i="29"/>
  <c r="I71" i="29"/>
  <c r="J228" i="52" a="1"/>
  <c r="J228" i="52"/>
  <c r="I163" i="29" a="1"/>
  <c r="I163" i="29"/>
  <c r="I72" i="29"/>
  <c r="J229" i="52" a="1"/>
  <c r="I164" i="29" a="1"/>
  <c r="I164" i="29"/>
  <c r="I73" i="29"/>
  <c r="J230" i="52" a="1"/>
  <c r="I74" i="29"/>
  <c r="J231" i="52" a="1"/>
  <c r="I166" i="29" a="1"/>
  <c r="I166" i="29"/>
  <c r="I75" i="29"/>
  <c r="J232" i="52" a="1"/>
  <c r="I76" i="29"/>
  <c r="J233" i="52" a="1"/>
  <c r="I168" i="29" a="1"/>
  <c r="I168" i="29"/>
  <c r="I77" i="29"/>
  <c r="J234" i="52" a="1"/>
  <c r="I169" i="29" a="1"/>
  <c r="I169" i="29"/>
  <c r="I78" i="29"/>
  <c r="J235" i="52" a="1"/>
  <c r="I170" i="29" a="1"/>
  <c r="I170" i="29"/>
  <c r="I79" i="29"/>
  <c r="J236" i="52" a="1"/>
  <c r="I80" i="29"/>
  <c r="J237" i="52" a="1"/>
  <c r="I172" i="29" a="1"/>
  <c r="I172" i="29"/>
  <c r="I81" i="29"/>
  <c r="J238" i="52" a="1"/>
  <c r="I82" i="29"/>
  <c r="J239" i="52" a="1"/>
  <c r="I174" i="29" a="1"/>
  <c r="I174" i="29"/>
  <c r="I83" i="29"/>
  <c r="J240" i="52" a="1"/>
  <c r="I175" i="29" a="1"/>
  <c r="I175" i="29"/>
  <c r="I84" i="29"/>
  <c r="J241" i="52" a="1"/>
  <c r="I176" i="29" a="1"/>
  <c r="I176" i="29"/>
  <c r="I85" i="29"/>
  <c r="J242" i="52" a="1"/>
  <c r="I86" i="29"/>
  <c r="J243" i="52" a="1"/>
  <c r="I178" i="29" a="1"/>
  <c r="I178" i="29"/>
  <c r="I87" i="29"/>
  <c r="J244" i="52" a="1"/>
  <c r="J229" i="52"/>
  <c r="J230" i="52"/>
  <c r="J231" i="52"/>
  <c r="J232" i="52"/>
  <c r="J233" i="52"/>
  <c r="J234" i="52"/>
  <c r="J235" i="52"/>
  <c r="J236" i="52"/>
  <c r="J237" i="52"/>
  <c r="J238" i="52"/>
  <c r="J239" i="52"/>
  <c r="J240" i="52"/>
  <c r="J241" i="52"/>
  <c r="J242" i="52"/>
  <c r="J243" i="52"/>
  <c r="J244" i="52"/>
  <c r="J226" i="52"/>
  <c r="I88" i="29"/>
  <c r="J247" i="52" a="1"/>
  <c r="J247" i="52"/>
  <c r="I180" i="29" a="1"/>
  <c r="I180" i="29"/>
  <c r="I89" i="29"/>
  <c r="J248" i="52" a="1"/>
  <c r="J248" i="52"/>
  <c r="I181" i="29" a="1"/>
  <c r="I181" i="29"/>
  <c r="I90" i="29"/>
  <c r="J249" i="52" a="1"/>
  <c r="I182" i="29" a="1"/>
  <c r="I182" i="29"/>
  <c r="I91" i="29"/>
  <c r="J250" i="52" a="1"/>
  <c r="I92" i="29"/>
  <c r="J251" i="52" a="1"/>
  <c r="I184" i="29" a="1"/>
  <c r="I184" i="29"/>
  <c r="I93" i="29"/>
  <c r="J252" i="52" a="1"/>
  <c r="J249" i="52"/>
  <c r="J250" i="52"/>
  <c r="J251" i="52"/>
  <c r="J252" i="52"/>
  <c r="J246" i="52"/>
  <c r="I94" i="29"/>
  <c r="J255" i="52" a="1"/>
  <c r="J255" i="52"/>
  <c r="I186" i="29" a="1"/>
  <c r="I186" i="29"/>
  <c r="I95" i="29"/>
  <c r="J256" i="52" a="1"/>
  <c r="J256" i="52"/>
  <c r="I187" i="29" a="1"/>
  <c r="I187" i="29"/>
  <c r="I96" i="29"/>
  <c r="J257" i="52" a="1"/>
  <c r="I188" i="29" a="1"/>
  <c r="I188" i="29"/>
  <c r="I97" i="29"/>
  <c r="J258" i="52" a="1"/>
  <c r="I98" i="29"/>
  <c r="J259" i="52" a="1"/>
  <c r="I190" i="29" a="1"/>
  <c r="I190" i="29"/>
  <c r="I99" i="29"/>
  <c r="J260" i="52" a="1"/>
  <c r="J257" i="52"/>
  <c r="J258" i="52"/>
  <c r="J259" i="52"/>
  <c r="J260" i="52"/>
  <c r="J254" i="52"/>
  <c r="J158" i="52"/>
  <c r="J263" i="52"/>
  <c r="J367" i="52"/>
  <c r="R16" i="12"/>
  <c r="L263" i="52"/>
  <c r="L367" i="52"/>
  <c r="R19" i="12"/>
  <c r="N263" i="52"/>
  <c r="N367" i="52"/>
  <c r="R21" i="12"/>
  <c r="R27" i="12"/>
  <c r="BA263" i="52"/>
  <c r="BA367" i="52"/>
  <c r="R54" i="12"/>
  <c r="AL166" i="52" a="1"/>
  <c r="AL166" i="52"/>
  <c r="AL172" i="52" a="1"/>
  <c r="AL172" i="52"/>
  <c r="AL178" i="52" a="1"/>
  <c r="AL178" i="52"/>
  <c r="AL160" i="52"/>
  <c r="AL186" i="52" a="1"/>
  <c r="AL186" i="52"/>
  <c r="AL192" i="52" a="1"/>
  <c r="AL192" i="52"/>
  <c r="AL198" i="52" a="1"/>
  <c r="AL198" i="52"/>
  <c r="AL180" i="52"/>
  <c r="AL206" i="52" a="1"/>
  <c r="AL206" i="52"/>
  <c r="AL212" i="52" a="1"/>
  <c r="AL212" i="52"/>
  <c r="AL218" i="52" a="1"/>
  <c r="AL224" i="52" a="1"/>
  <c r="AL218" i="52"/>
  <c r="AL224" i="52"/>
  <c r="AL200" i="52"/>
  <c r="AL232" i="52" a="1"/>
  <c r="AL232" i="52"/>
  <c r="AL238" i="52" a="1"/>
  <c r="AL238" i="52"/>
  <c r="AL244" i="52" a="1"/>
  <c r="AL244" i="52"/>
  <c r="AL226" i="52"/>
  <c r="AL252" i="52" a="1"/>
  <c r="AL252" i="52"/>
  <c r="AL246" i="52"/>
  <c r="AL260" i="52" a="1"/>
  <c r="AL260" i="52"/>
  <c r="AL254" i="52"/>
  <c r="AL158" i="52"/>
  <c r="AL263" i="52"/>
  <c r="BF263" i="52"/>
  <c r="R34" i="12"/>
  <c r="R35" i="12"/>
  <c r="R36" i="12"/>
  <c r="I191" i="29"/>
  <c r="I389" i="29"/>
  <c r="T161" i="52"/>
  <c r="T162" i="52"/>
  <c r="T163" i="52"/>
  <c r="T164" i="52"/>
  <c r="T165" i="52"/>
  <c r="T166" i="52"/>
  <c r="T167" i="52"/>
  <c r="T168" i="52"/>
  <c r="T169" i="52"/>
  <c r="T170" i="52"/>
  <c r="T171" i="52"/>
  <c r="T172" i="52"/>
  <c r="T173" i="52"/>
  <c r="T174" i="52"/>
  <c r="T175" i="52"/>
  <c r="T176" i="52"/>
  <c r="T177" i="52"/>
  <c r="T178" i="52"/>
  <c r="T160" i="52"/>
  <c r="T181" i="52"/>
  <c r="T182" i="52"/>
  <c r="T183" i="52"/>
  <c r="T184" i="52"/>
  <c r="T185" i="52"/>
  <c r="T186" i="52"/>
  <c r="T187" i="52"/>
  <c r="T188" i="52"/>
  <c r="T189" i="52"/>
  <c r="T190" i="52"/>
  <c r="T191" i="52"/>
  <c r="T192" i="52"/>
  <c r="T193" i="52"/>
  <c r="T194" i="52"/>
  <c r="T195" i="52"/>
  <c r="T196" i="52"/>
  <c r="T197" i="52"/>
  <c r="T198" i="52"/>
  <c r="T180" i="52"/>
  <c r="T201" i="52"/>
  <c r="T202" i="52"/>
  <c r="T203" i="52"/>
  <c r="T204" i="52"/>
  <c r="T205" i="52"/>
  <c r="T206" i="52"/>
  <c r="T207" i="52"/>
  <c r="T208" i="52"/>
  <c r="T209" i="52"/>
  <c r="T210" i="52"/>
  <c r="T211" i="52"/>
  <c r="T212" i="52"/>
  <c r="T213" i="52"/>
  <c r="T214" i="52"/>
  <c r="T215" i="52"/>
  <c r="T216" i="52"/>
  <c r="T217" i="52"/>
  <c r="T218" i="52"/>
  <c r="T219" i="52"/>
  <c r="T220" i="52"/>
  <c r="T221" i="52"/>
  <c r="T222" i="52"/>
  <c r="T223" i="52"/>
  <c r="T224" i="52"/>
  <c r="T200" i="52"/>
  <c r="T227" i="52"/>
  <c r="T228" i="52"/>
  <c r="T229" i="52"/>
  <c r="T230" i="52"/>
  <c r="T231" i="52"/>
  <c r="T232" i="52"/>
  <c r="T233" i="52"/>
  <c r="T234" i="52"/>
  <c r="T235" i="52"/>
  <c r="T236" i="52"/>
  <c r="T237" i="52"/>
  <c r="T238" i="52"/>
  <c r="T239" i="52"/>
  <c r="T240" i="52"/>
  <c r="T241" i="52"/>
  <c r="T242" i="52"/>
  <c r="T243" i="52"/>
  <c r="T244" i="52"/>
  <c r="T226" i="52"/>
  <c r="T247" i="52"/>
  <c r="T248" i="52"/>
  <c r="T249" i="52"/>
  <c r="T250" i="52"/>
  <c r="T251" i="52"/>
  <c r="T252" i="52"/>
  <c r="T246" i="52"/>
  <c r="T255" i="52"/>
  <c r="T256" i="52"/>
  <c r="T257" i="52"/>
  <c r="T258" i="52"/>
  <c r="T259" i="52"/>
  <c r="T260" i="52"/>
  <c r="T254" i="52"/>
  <c r="T158" i="52"/>
  <c r="AO161" i="52"/>
  <c r="AA162" i="52" a="1"/>
  <c r="AA162" i="52"/>
  <c r="AO162" i="52"/>
  <c r="AB163" i="52" a="1"/>
  <c r="AB163" i="52"/>
  <c r="AO163" i="52"/>
  <c r="AC164" i="52" a="1"/>
  <c r="AC164" i="52"/>
  <c r="AO164" i="52"/>
  <c r="AO165" i="52"/>
  <c r="AO166" i="52"/>
  <c r="AO167" i="52"/>
  <c r="AA168" i="52" a="1"/>
  <c r="AA168" i="52"/>
  <c r="AO168" i="52"/>
  <c r="AB169" i="52" a="1"/>
  <c r="AB169" i="52"/>
  <c r="AO169" i="52"/>
  <c r="AC170" i="52" a="1"/>
  <c r="AC170" i="52"/>
  <c r="AO170" i="52"/>
  <c r="AO171" i="52"/>
  <c r="AO172" i="52"/>
  <c r="AO173" i="52"/>
  <c r="AA174" i="52" a="1"/>
  <c r="AA174" i="52"/>
  <c r="AO174" i="52"/>
  <c r="AB175" i="52" a="1"/>
  <c r="AB175" i="52"/>
  <c r="AO175" i="52"/>
  <c r="AC176" i="52" a="1"/>
  <c r="AC176" i="52"/>
  <c r="AO176" i="52"/>
  <c r="AO177" i="52"/>
  <c r="AO178" i="52"/>
  <c r="AO160" i="52"/>
  <c r="AO181" i="52"/>
  <c r="AA182" i="52" a="1"/>
  <c r="AA182" i="52"/>
  <c r="AO182" i="52"/>
  <c r="AB183" i="52" a="1"/>
  <c r="AB183" i="52"/>
  <c r="AO183" i="52"/>
  <c r="AC184" i="52" a="1"/>
  <c r="AC184" i="52"/>
  <c r="AO184" i="52"/>
  <c r="AO185" i="52"/>
  <c r="AO186" i="52"/>
  <c r="AO187" i="52"/>
  <c r="AA188" i="52" a="1"/>
  <c r="AA188" i="52"/>
  <c r="AO188" i="52"/>
  <c r="AB189" i="52" a="1"/>
  <c r="AB189" i="52"/>
  <c r="AO189" i="52"/>
  <c r="AC190" i="52" a="1"/>
  <c r="AC190" i="52"/>
  <c r="AO190" i="52"/>
  <c r="AO191" i="52"/>
  <c r="AO192" i="52"/>
  <c r="AO193" i="52"/>
  <c r="AA194" i="52" a="1"/>
  <c r="AA194" i="52"/>
  <c r="AO194" i="52"/>
  <c r="AB195" i="52" a="1"/>
  <c r="AB195" i="52"/>
  <c r="AO195" i="52"/>
  <c r="AC196" i="52" a="1"/>
  <c r="AC196" i="52"/>
  <c r="AO196" i="52"/>
  <c r="AO197" i="52"/>
  <c r="AO198" i="52"/>
  <c r="AO180" i="52"/>
  <c r="AO201" i="52"/>
  <c r="AA202" i="52" a="1"/>
  <c r="AA202" i="52"/>
  <c r="AO202" i="52"/>
  <c r="AB203" i="52" a="1"/>
  <c r="AB203" i="52"/>
  <c r="AO203" i="52"/>
  <c r="AC204" i="52" a="1"/>
  <c r="AC204" i="52"/>
  <c r="AO204" i="52"/>
  <c r="AO205" i="52"/>
  <c r="AO206" i="52"/>
  <c r="AO207" i="52"/>
  <c r="AA208" i="52" a="1"/>
  <c r="AA208" i="52"/>
  <c r="AO208" i="52"/>
  <c r="AB209" i="52" a="1"/>
  <c r="AB209" i="52"/>
  <c r="AO209" i="52"/>
  <c r="AC210" i="52" a="1"/>
  <c r="AC210" i="52"/>
  <c r="AO210" i="52"/>
  <c r="AO211" i="52"/>
  <c r="AO212" i="52"/>
  <c r="AO213" i="52"/>
  <c r="AA214" i="52" a="1"/>
  <c r="AA214" i="52"/>
  <c r="AO214" i="52"/>
  <c r="AB215" i="52" a="1"/>
  <c r="AB215" i="52"/>
  <c r="AO215" i="52"/>
  <c r="AC216" i="52" a="1"/>
  <c r="AC216" i="52"/>
  <c r="AO216" i="52"/>
  <c r="AO217" i="52"/>
  <c r="AO218" i="52"/>
  <c r="AO219" i="52"/>
  <c r="AA220" i="52" a="1"/>
  <c r="AA220" i="52"/>
  <c r="AO220" i="52"/>
  <c r="AB221" i="52" a="1"/>
  <c r="AB221" i="52"/>
  <c r="AO221" i="52"/>
  <c r="AC222" i="52" a="1"/>
  <c r="AC222" i="52"/>
  <c r="AO222" i="52"/>
  <c r="AO223" i="52"/>
  <c r="AO224" i="52"/>
  <c r="AO200" i="52"/>
  <c r="AO227" i="52"/>
  <c r="AA228" i="52" a="1"/>
  <c r="AA228" i="52"/>
  <c r="AO228" i="52"/>
  <c r="AB229" i="52" a="1"/>
  <c r="AB229" i="52"/>
  <c r="AO229" i="52"/>
  <c r="AC230" i="52" a="1"/>
  <c r="AC230" i="52"/>
  <c r="AO230" i="52"/>
  <c r="AO231" i="52"/>
  <c r="AO232" i="52"/>
  <c r="AO233" i="52"/>
  <c r="AA234" i="52" a="1"/>
  <c r="AA234" i="52"/>
  <c r="AO234" i="52"/>
  <c r="AB235" i="52" a="1"/>
  <c r="AB235" i="52"/>
  <c r="AO235" i="52"/>
  <c r="AC236" i="52" a="1"/>
  <c r="AC236" i="52"/>
  <c r="AO236" i="52"/>
  <c r="AO237" i="52"/>
  <c r="AO238" i="52"/>
  <c r="AO239" i="52"/>
  <c r="AA240" i="52" a="1"/>
  <c r="AA240" i="52"/>
  <c r="AO240" i="52"/>
  <c r="AB241" i="52" a="1"/>
  <c r="AB241" i="52"/>
  <c r="AO241" i="52"/>
  <c r="AC242" i="52" a="1"/>
  <c r="AC242" i="52"/>
  <c r="AO242" i="52"/>
  <c r="AO243" i="52"/>
  <c r="AO244" i="52"/>
  <c r="AO226" i="52"/>
  <c r="AO247" i="52"/>
  <c r="AA248" i="52" a="1"/>
  <c r="AA248" i="52"/>
  <c r="AO248" i="52"/>
  <c r="AB249" i="52" a="1"/>
  <c r="AB249" i="52"/>
  <c r="AO249" i="52"/>
  <c r="AC250" i="52" a="1"/>
  <c r="AC250" i="52"/>
  <c r="AO250" i="52"/>
  <c r="AO251" i="52"/>
  <c r="AO252" i="52"/>
  <c r="AO246" i="52"/>
  <c r="AO255" i="52"/>
  <c r="AA256" i="52" a="1"/>
  <c r="AA256" i="52"/>
  <c r="AO256" i="52"/>
  <c r="AB257" i="52" a="1"/>
  <c r="AB257" i="52"/>
  <c r="AO257" i="52"/>
  <c r="AC258" i="52" a="1"/>
  <c r="AC258" i="52"/>
  <c r="AO258" i="52"/>
  <c r="AO259" i="52"/>
  <c r="AO260" i="52"/>
  <c r="AO254" i="52"/>
  <c r="AO158" i="52"/>
  <c r="BI158" i="52"/>
  <c r="BH263" i="52"/>
  <c r="BD263" i="52"/>
  <c r="AY263" i="52"/>
  <c r="AY367" i="52"/>
  <c r="AU263" i="52"/>
  <c r="AU367" i="52"/>
  <c r="AC160" i="52"/>
  <c r="AC180" i="52"/>
  <c r="AC200" i="52"/>
  <c r="AC226" i="52"/>
  <c r="AC246" i="52"/>
  <c r="AC254" i="52"/>
  <c r="AC158" i="52"/>
  <c r="AC263" i="52"/>
  <c r="AA160" i="52"/>
  <c r="AA180" i="52"/>
  <c r="AA200" i="52"/>
  <c r="AA226" i="52"/>
  <c r="AA246" i="52"/>
  <c r="AA254" i="52"/>
  <c r="AA158" i="52"/>
  <c r="AA263" i="52"/>
  <c r="T263" i="52"/>
  <c r="T367" i="52"/>
  <c r="BI260" i="52"/>
  <c r="BI259" i="52"/>
  <c r="BI258" i="52"/>
  <c r="BI257" i="52"/>
  <c r="BI256" i="52"/>
  <c r="BI255" i="52"/>
  <c r="BI254" i="52"/>
  <c r="AB254" i="52"/>
  <c r="BI252" i="52"/>
  <c r="BI251" i="52"/>
  <c r="BI250" i="52"/>
  <c r="BI249" i="52"/>
  <c r="BI248" i="52"/>
  <c r="BI247" i="52"/>
  <c r="BI246" i="52"/>
  <c r="AB246" i="52"/>
  <c r="BI244" i="52"/>
  <c r="BI243" i="52"/>
  <c r="BI242" i="52"/>
  <c r="BI241" i="52"/>
  <c r="BI240" i="52"/>
  <c r="BI239" i="52"/>
  <c r="BI238" i="52"/>
  <c r="BI237" i="52"/>
  <c r="BI236" i="52"/>
  <c r="BI235" i="52"/>
  <c r="BI234" i="52"/>
  <c r="BI233" i="52"/>
  <c r="BI232" i="52"/>
  <c r="BI231" i="52"/>
  <c r="BI230" i="52"/>
  <c r="BI229" i="52"/>
  <c r="BI228" i="52"/>
  <c r="BI227" i="52"/>
  <c r="BI226" i="52"/>
  <c r="AB226" i="52"/>
  <c r="BI224" i="52"/>
  <c r="BI223" i="52"/>
  <c r="BI222" i="52"/>
  <c r="BI221" i="52"/>
  <c r="BI220" i="52"/>
  <c r="BI219" i="52"/>
  <c r="BI218" i="52"/>
  <c r="BI217" i="52"/>
  <c r="BI216" i="52"/>
  <c r="BI215" i="52"/>
  <c r="BI214" i="52"/>
  <c r="BI213" i="52"/>
  <c r="BI212" i="52"/>
  <c r="BI211" i="52"/>
  <c r="BI210" i="52"/>
  <c r="BI209" i="52"/>
  <c r="BI208" i="52"/>
  <c r="BI207" i="52"/>
  <c r="BI206" i="52"/>
  <c r="BI205" i="52"/>
  <c r="BI204" i="52"/>
  <c r="BI203" i="52"/>
  <c r="BI202" i="52"/>
  <c r="BI201" i="52"/>
  <c r="BI200" i="52"/>
  <c r="AB200" i="52"/>
  <c r="BI198" i="52"/>
  <c r="BI197" i="52"/>
  <c r="BI196" i="52"/>
  <c r="BI195" i="52"/>
  <c r="BI194" i="52"/>
  <c r="BI193" i="52"/>
  <c r="BI192" i="52"/>
  <c r="BI191" i="52"/>
  <c r="BI190" i="52"/>
  <c r="BI189" i="52"/>
  <c r="BI188" i="52"/>
  <c r="BI187" i="52"/>
  <c r="BI186" i="52"/>
  <c r="BI185" i="52"/>
  <c r="BI184" i="52"/>
  <c r="BI183" i="52"/>
  <c r="BI182" i="52"/>
  <c r="BI181" i="52"/>
  <c r="BI180" i="52"/>
  <c r="AB180" i="52"/>
  <c r="BI178" i="52"/>
  <c r="BI177" i="52"/>
  <c r="BI176" i="52"/>
  <c r="BI175" i="52"/>
  <c r="BI174" i="52"/>
  <c r="BI173" i="52"/>
  <c r="BI172" i="52"/>
  <c r="BI171" i="52"/>
  <c r="BI170" i="52"/>
  <c r="BI169" i="52"/>
  <c r="BI168" i="52"/>
  <c r="BI167" i="52"/>
  <c r="BI166" i="52"/>
  <c r="BI165" i="52"/>
  <c r="BI164" i="52"/>
  <c r="BI163" i="52"/>
  <c r="BI162" i="52"/>
  <c r="BI161" i="52"/>
  <c r="BI160" i="52"/>
  <c r="AB160" i="52"/>
  <c r="AB158" i="52"/>
  <c r="Y263" i="52"/>
  <c r="Z263" i="52"/>
  <c r="X263" i="52"/>
  <c r="I199" i="29" a="1"/>
  <c r="I199" i="29"/>
  <c r="W263" i="52"/>
  <c r="V359" i="52"/>
  <c r="W327" i="52" a="1"/>
  <c r="W327" i="52"/>
  <c r="W323" i="52"/>
  <c r="W311" i="52"/>
  <c r="W360" i="52"/>
  <c r="Y273" i="52" a="1"/>
  <c r="Y273" i="52"/>
  <c r="Y274" i="52" a="1"/>
  <c r="Y274" i="52"/>
  <c r="Y269" i="52"/>
  <c r="Y267" i="52"/>
  <c r="Y352" i="52"/>
  <c r="AB357" i="52"/>
  <c r="Z275" i="52" a="1"/>
  <c r="Z275" i="52"/>
  <c r="Z276" i="52" a="1"/>
  <c r="Z276" i="52"/>
  <c r="Z269" i="52"/>
  <c r="Z267" i="52"/>
  <c r="Z352" i="52"/>
  <c r="AC356" i="52"/>
  <c r="X270" i="52" a="1"/>
  <c r="X270" i="52"/>
  <c r="X271" i="52" a="1"/>
  <c r="X271" i="52"/>
  <c r="X272" i="52" a="1"/>
  <c r="X272" i="52"/>
  <c r="X269" i="52"/>
  <c r="X267" i="52"/>
  <c r="X352" i="52"/>
  <c r="AA358" i="52"/>
  <c r="I259" i="29"/>
  <c r="V327" i="52" a="1"/>
  <c r="V327" i="52"/>
  <c r="V323" i="52"/>
  <c r="V311" i="52"/>
  <c r="V352" i="52"/>
  <c r="V263" i="52"/>
  <c r="V367" i="52"/>
  <c r="AO327" i="52"/>
  <c r="BG327" i="52" a="1"/>
  <c r="BG327" i="52"/>
  <c r="BH327" i="52"/>
  <c r="BI327" i="52"/>
  <c r="W270" i="52" a="1"/>
  <c r="W270" i="52"/>
  <c r="W271" i="52" a="1"/>
  <c r="W271" i="52"/>
  <c r="W272" i="52" a="1"/>
  <c r="W273" i="52" a="1"/>
  <c r="W274" i="52" a="1"/>
  <c r="W275" i="52" a="1"/>
  <c r="W276" i="52" a="1"/>
  <c r="W272" i="52"/>
  <c r="W273" i="52"/>
  <c r="W274" i="52"/>
  <c r="W275" i="52"/>
  <c r="W276" i="52"/>
  <c r="W269" i="52"/>
  <c r="R146" i="12"/>
  <c r="R159" i="12"/>
  <c r="W267" i="52"/>
  <c r="W352" i="52"/>
  <c r="W367" i="52"/>
  <c r="R132" i="12"/>
  <c r="R167" i="12"/>
  <c r="BG270" i="52" a="1"/>
  <c r="BG270" i="52"/>
  <c r="BG271" i="52" a="1"/>
  <c r="BG271" i="52"/>
  <c r="BG272" i="52" a="1"/>
  <c r="BG273" i="52" a="1"/>
  <c r="BG274" i="52" a="1"/>
  <c r="BG275" i="52" a="1"/>
  <c r="BG276" i="52" a="1"/>
  <c r="BG272" i="52"/>
  <c r="BG273" i="52"/>
  <c r="BG274" i="52"/>
  <c r="BG275" i="52"/>
  <c r="BG276" i="52"/>
  <c r="BG269" i="52"/>
  <c r="BG267" i="52"/>
  <c r="BG324" i="52" a="1"/>
  <c r="BG324" i="52"/>
  <c r="BG325" i="52" a="1"/>
  <c r="BG325" i="52"/>
  <c r="BG326" i="52" a="1"/>
  <c r="BG326" i="52"/>
  <c r="BG323" i="52"/>
  <c r="BG311" i="52"/>
  <c r="BG352" i="52"/>
  <c r="BG367" i="52"/>
  <c r="R133" i="12"/>
  <c r="AL270" i="52" a="1"/>
  <c r="AL270" i="52"/>
  <c r="AL271" i="52" a="1"/>
  <c r="AL271" i="52"/>
  <c r="AL272" i="52" a="1"/>
  <c r="AL273" i="52" a="1"/>
  <c r="AL274" i="52" a="1"/>
  <c r="AL275" i="52" a="1"/>
  <c r="AL276" i="52" a="1"/>
  <c r="AL272" i="52"/>
  <c r="AL273" i="52"/>
  <c r="AL274" i="52"/>
  <c r="AL275" i="52"/>
  <c r="AL276" i="52"/>
  <c r="AL269" i="52"/>
  <c r="AL279" i="52" a="1"/>
  <c r="AL279" i="52"/>
  <c r="AL280" i="52" a="1"/>
  <c r="AL280" i="52"/>
  <c r="AL281" i="52" a="1"/>
  <c r="AL282" i="52" a="1"/>
  <c r="AL283" i="52" a="1"/>
  <c r="AL284" i="52" a="1"/>
  <c r="AL285" i="52" a="1"/>
  <c r="AL281" i="52"/>
  <c r="AL282" i="52"/>
  <c r="AL283" i="52"/>
  <c r="AL284" i="52"/>
  <c r="AL285" i="52"/>
  <c r="AL278" i="52"/>
  <c r="AL288" i="52" a="1"/>
  <c r="AL288" i="52"/>
  <c r="AL287" i="52"/>
  <c r="AL267" i="52"/>
  <c r="AL352" i="52"/>
  <c r="AL367" i="52"/>
  <c r="R55" i="12"/>
  <c r="AQ320" i="52" a="1"/>
  <c r="AQ320" i="52"/>
  <c r="AQ318" i="52"/>
  <c r="AQ311" i="52"/>
  <c r="AQ352" i="52"/>
  <c r="AQ367" i="52"/>
  <c r="R61" i="12"/>
  <c r="AR319" i="52" a="1"/>
  <c r="AR319" i="52"/>
  <c r="AR318" i="52"/>
  <c r="AR311" i="52"/>
  <c r="AR352" i="52"/>
  <c r="AR367" i="52"/>
  <c r="R62" i="12"/>
  <c r="AS321" i="52" a="1"/>
  <c r="AS321" i="52"/>
  <c r="AS318" i="52"/>
  <c r="AS311" i="52"/>
  <c r="AS352" i="52"/>
  <c r="AS367" i="52"/>
  <c r="R63" i="12"/>
  <c r="R64" i="12"/>
  <c r="BF270" i="52" a="1"/>
  <c r="BF270" i="52"/>
  <c r="BF271" i="52" a="1"/>
  <c r="BF271" i="52"/>
  <c r="BF272" i="52" a="1"/>
  <c r="BF273" i="52" a="1"/>
  <c r="BF274" i="52" a="1"/>
  <c r="BF275" i="52" a="1"/>
  <c r="BF276" i="52" a="1"/>
  <c r="BF272" i="52"/>
  <c r="BF273" i="52"/>
  <c r="BF274" i="52"/>
  <c r="BF275" i="52"/>
  <c r="BF276" i="52"/>
  <c r="BF269" i="52"/>
  <c r="BF279" i="52" a="1"/>
  <c r="BF279" i="52"/>
  <c r="BF280" i="52" a="1"/>
  <c r="BF280" i="52"/>
  <c r="BF281" i="52" a="1"/>
  <c r="BF282" i="52" a="1"/>
  <c r="BF283" i="52" a="1"/>
  <c r="BF284" i="52" a="1"/>
  <c r="BF285" i="52" a="1"/>
  <c r="BF281" i="52"/>
  <c r="BF282" i="52"/>
  <c r="BF283" i="52"/>
  <c r="BF284" i="52"/>
  <c r="BF285" i="52"/>
  <c r="BF278" i="52"/>
  <c r="BF288" i="52" a="1"/>
  <c r="BF288" i="52"/>
  <c r="BF287" i="52"/>
  <c r="BF267" i="52"/>
  <c r="BF319" i="52" a="1"/>
  <c r="BF319" i="52"/>
  <c r="BF320" i="52" a="1"/>
  <c r="BF320" i="52"/>
  <c r="BF321" i="52" a="1"/>
  <c r="BF321" i="52"/>
  <c r="BF318" i="52"/>
  <c r="BF311" i="52"/>
  <c r="BF352" i="52"/>
  <c r="BF367" i="52"/>
  <c r="R86" i="12"/>
  <c r="R87" i="12"/>
  <c r="R88" i="12"/>
  <c r="R90" i="12"/>
  <c r="R75" i="12"/>
  <c r="R76" i="12"/>
  <c r="R77" i="12"/>
  <c r="R78" i="12"/>
  <c r="R79" i="12"/>
  <c r="R99" i="12"/>
  <c r="H117" i="12"/>
  <c r="N117" i="12"/>
  <c r="H116" i="12"/>
  <c r="N116" i="12"/>
  <c r="H115" i="12"/>
  <c r="N115" i="12"/>
  <c r="K115" i="12"/>
  <c r="K117" i="12"/>
  <c r="K116" i="12"/>
  <c r="AO270" i="52"/>
  <c r="BH270" i="52"/>
  <c r="BI270" i="52"/>
  <c r="AO271" i="52"/>
  <c r="BH271" i="52"/>
  <c r="BI271" i="52"/>
  <c r="AO272" i="52"/>
  <c r="BH272" i="52"/>
  <c r="BI272" i="52"/>
  <c r="AO273" i="52"/>
  <c r="BH273" i="52"/>
  <c r="BI273" i="52"/>
  <c r="AO274" i="52"/>
  <c r="BH274" i="52"/>
  <c r="BI274" i="52"/>
  <c r="AO275" i="52"/>
  <c r="BH275" i="52"/>
  <c r="BI275" i="52"/>
  <c r="AO276" i="52"/>
  <c r="BH276" i="52"/>
  <c r="BI276" i="52"/>
  <c r="BI269" i="52"/>
  <c r="AO279" i="52"/>
  <c r="BH279" i="52"/>
  <c r="BI279" i="52"/>
  <c r="AO280" i="52"/>
  <c r="BH280" i="52"/>
  <c r="BI280" i="52"/>
  <c r="AO281" i="52"/>
  <c r="BH281" i="52"/>
  <c r="BI281" i="52"/>
  <c r="AO282" i="52"/>
  <c r="BH282" i="52"/>
  <c r="BI282" i="52"/>
  <c r="AO283" i="52"/>
  <c r="BH283" i="52"/>
  <c r="BI283" i="52"/>
  <c r="AO284" i="52"/>
  <c r="BH284" i="52"/>
  <c r="BI284" i="52"/>
  <c r="AO285" i="52"/>
  <c r="BH285" i="52"/>
  <c r="BI285" i="52"/>
  <c r="BI278" i="52"/>
  <c r="AO288" i="52"/>
  <c r="BH288" i="52"/>
  <c r="BI288" i="52"/>
  <c r="BI287" i="52"/>
  <c r="BI267" i="52"/>
  <c r="AB319" i="52" a="1"/>
  <c r="AB319" i="52"/>
  <c r="AO319" i="52"/>
  <c r="AA320" i="52" a="1"/>
  <c r="AA320" i="52"/>
  <c r="AO320" i="52"/>
  <c r="AC321" i="52" a="1"/>
  <c r="AC321" i="52"/>
  <c r="AO321" i="52"/>
  <c r="AO318" i="52"/>
  <c r="AB324" i="52" a="1"/>
  <c r="AB324" i="52"/>
  <c r="AO324" i="52"/>
  <c r="AA325" i="52" a="1"/>
  <c r="AA325" i="52"/>
  <c r="AO325" i="52"/>
  <c r="AC326" i="52" a="1"/>
  <c r="AC326" i="52"/>
  <c r="AO326" i="52"/>
  <c r="AO323" i="52"/>
  <c r="AO311" i="52"/>
  <c r="BD319" i="52"/>
  <c r="BD320" i="52"/>
  <c r="BD321" i="52"/>
  <c r="BD318" i="52"/>
  <c r="BD311" i="52"/>
  <c r="BH319" i="52"/>
  <c r="BH320" i="52"/>
  <c r="BH321" i="52"/>
  <c r="BH318" i="52"/>
  <c r="BH324" i="52"/>
  <c r="BH325" i="52"/>
  <c r="BH326" i="52"/>
  <c r="BH323" i="52"/>
  <c r="BH311" i="52"/>
  <c r="BI311" i="52"/>
  <c r="BI352" i="52"/>
  <c r="BI263" i="52"/>
  <c r="BI367" i="52"/>
  <c r="BH269" i="52"/>
  <c r="BH278" i="52"/>
  <c r="BH287" i="52"/>
  <c r="BH267" i="52"/>
  <c r="BH352" i="52"/>
  <c r="BH367" i="52"/>
  <c r="BD352" i="52"/>
  <c r="BD367" i="52"/>
  <c r="AO269" i="52"/>
  <c r="AO278" i="52"/>
  <c r="AO287" i="52"/>
  <c r="AO267" i="52"/>
  <c r="AO352" i="52"/>
  <c r="AO263" i="52"/>
  <c r="AO367" i="52"/>
  <c r="AB318" i="52"/>
  <c r="AB323" i="52"/>
  <c r="AB311" i="52"/>
  <c r="AB352" i="52"/>
  <c r="AB367" i="52"/>
  <c r="Y367" i="52"/>
  <c r="BI324" i="52"/>
  <c r="BI323" i="52"/>
  <c r="BI319" i="52"/>
  <c r="BI318" i="52"/>
  <c r="BI320" i="52"/>
  <c r="BI325" i="52"/>
  <c r="X367" i="52"/>
  <c r="AA318" i="52"/>
  <c r="AA323" i="52"/>
  <c r="AA311" i="52"/>
  <c r="AA352" i="52"/>
  <c r="AA367" i="52"/>
  <c r="R98" i="12"/>
  <c r="H110" i="12"/>
  <c r="N110" i="12"/>
  <c r="H109" i="12"/>
  <c r="N109" i="12"/>
  <c r="H108" i="12"/>
  <c r="N108" i="12"/>
  <c r="K108" i="12"/>
  <c r="K110" i="12"/>
  <c r="K109" i="12"/>
  <c r="R100" i="12"/>
  <c r="H123" i="12"/>
  <c r="N123" i="12"/>
  <c r="H124" i="12"/>
  <c r="N124" i="12"/>
  <c r="H122" i="12"/>
  <c r="N122" i="12"/>
  <c r="K122" i="12"/>
  <c r="K124" i="12"/>
  <c r="K123" i="12"/>
  <c r="AC318" i="52"/>
  <c r="AC323" i="52"/>
  <c r="AC311" i="52"/>
  <c r="AC352" i="52"/>
  <c r="AC367" i="52"/>
  <c r="Z367" i="52"/>
  <c r="BI326" i="52"/>
  <c r="BI321" i="52"/>
</calcChain>
</file>

<file path=xl/comments1.xml><?xml version="1.0" encoding="utf-8"?>
<comments xmlns="http://schemas.openxmlformats.org/spreadsheetml/2006/main">
  <authors>
    <author>Michel Cornet</author>
  </authors>
  <commentList>
    <comment ref="Y185" authorId="0">
      <text>
        <r>
          <rPr>
            <b/>
            <sz val="9"/>
            <color indexed="81"/>
            <rFont val="Tahoma"/>
            <family val="2"/>
          </rPr>
          <t>20% already hard steel,
on the 80% remaining,
 30/80 can become hardsteel, applicable at global level</t>
        </r>
      </text>
    </comment>
    <comment ref="W1367" authorId="0">
      <text>
        <r>
          <rPr>
            <b/>
            <sz val="9"/>
            <color indexed="81"/>
            <rFont val="Tahoma"/>
            <family val="2"/>
          </rPr>
          <t>Number of dots in the string</t>
        </r>
      </text>
    </comment>
    <comment ref="W1368" authorId="0">
      <text>
        <r>
          <rPr>
            <b/>
            <sz val="9"/>
            <color indexed="81"/>
            <rFont val="Tahoma"/>
            <family val="2"/>
          </rPr>
          <t xml:space="preserve">replacing last dot by a |
</t>
        </r>
      </text>
    </comment>
    <comment ref="W1369" authorId="0">
      <text>
        <r>
          <rPr>
            <b/>
            <sz val="9"/>
            <color indexed="81"/>
            <rFont val="Tahoma"/>
            <family val="2"/>
          </rPr>
          <t>text right of |</t>
        </r>
      </text>
    </comment>
    <comment ref="X1628" authorId="0">
      <text>
        <r>
          <rPr>
            <b/>
            <sz val="9"/>
            <color indexed="81"/>
            <rFont val="Tahoma"/>
            <family val="2"/>
          </rPr>
          <t>Number of dots in the string</t>
        </r>
      </text>
    </comment>
    <comment ref="X1629" authorId="0">
      <text>
        <r>
          <rPr>
            <b/>
            <sz val="9"/>
            <color indexed="81"/>
            <rFont val="Tahoma"/>
            <family val="2"/>
          </rPr>
          <t xml:space="preserve">replacing last dot by a |
</t>
        </r>
      </text>
    </comment>
    <comment ref="X1630" authorId="0">
      <text>
        <r>
          <rPr>
            <b/>
            <sz val="9"/>
            <color indexed="81"/>
            <rFont val="Tahoma"/>
            <family val="2"/>
          </rPr>
          <t>text right of |</t>
        </r>
      </text>
    </comment>
  </commentList>
</comments>
</file>

<file path=xl/comments2.xml><?xml version="1.0" encoding="utf-8"?>
<comments xmlns="http://schemas.openxmlformats.org/spreadsheetml/2006/main">
  <authors>
    <author>Michel Cornet</author>
  </authors>
  <commentList>
    <comment ref="E101" authorId="0">
      <text>
        <r>
          <rPr>
            <b/>
            <sz val="9"/>
            <color indexed="81"/>
            <rFont val="Tahoma"/>
            <family val="2"/>
          </rPr>
          <t>To do once Tom has added a "Note" column in the Regional.Technologies table</t>
        </r>
      </text>
    </comment>
  </commentList>
</comments>
</file>

<file path=xl/sharedStrings.xml><?xml version="1.0" encoding="utf-8"?>
<sst xmlns="http://schemas.openxmlformats.org/spreadsheetml/2006/main" count="11476" uniqueCount="2541">
  <si>
    <t>English</t>
  </si>
  <si>
    <t>French</t>
  </si>
  <si>
    <t>Chosen language is</t>
  </si>
  <si>
    <t>Anglais</t>
  </si>
  <si>
    <t>Spanish</t>
  </si>
  <si>
    <t>Car</t>
  </si>
  <si>
    <t>Bus</t>
  </si>
  <si>
    <t>Walk</t>
  </si>
  <si>
    <t>Voiture</t>
  </si>
  <si>
    <t>Distance travelled</t>
  </si>
  <si>
    <t>Distance parcourue</t>
  </si>
  <si>
    <t>Marcher</t>
  </si>
  <si>
    <t>Mode</t>
  </si>
  <si>
    <t>Transport sector</t>
  </si>
  <si>
    <t>Secteur des transports</t>
  </si>
  <si>
    <t>Kilometers</t>
  </si>
  <si>
    <t>Number of vehicles</t>
  </si>
  <si>
    <t>Nombre de véhicules</t>
  </si>
  <si>
    <t>Outputs</t>
  </si>
  <si>
    <t>Assumptions</t>
  </si>
  <si>
    <t>Sorties</t>
  </si>
  <si>
    <t>Hypothèses</t>
  </si>
  <si>
    <t>Energy used</t>
  </si>
  <si>
    <t>L'énergie utilisée</t>
  </si>
  <si>
    <t>Electricity</t>
  </si>
  <si>
    <t>Electricité</t>
  </si>
  <si>
    <t>Solid hydrocarbons</t>
  </si>
  <si>
    <t>Liquid hydrocarbons</t>
  </si>
  <si>
    <t>Gaseous hydrocarbons</t>
  </si>
  <si>
    <t>To add a language, right click the column to the immediate right of the table, and click "insert"</t>
  </si>
  <si>
    <t>Then, type the name of the language you are adding (the English version) into the row immediately to the bottom of the "English" column</t>
  </si>
  <si>
    <t>Then, provide the translations of that language into the other languages.</t>
  </si>
  <si>
    <t>Then, to the immediate right of the last language column, in that cell type "=" followed by the cell reference to the corresponding chosen translation of that word</t>
  </si>
  <si>
    <t>Pour ajouter une langue, faites un clic droit de la colonne immédiatement à droite de la table, puis cliquez sur "ajouter"</t>
  </si>
  <si>
    <t>Ensuite, fournir des traductions de cette langue dans les autres langues.</t>
  </si>
  <si>
    <t>Puis, immédiatement à droite de la colonne dernière langue, dans ce type de cellule "=" suivi par la cellule de référence à la traduction correspondante choisie de ce mot</t>
  </si>
  <si>
    <t>Ensuite, tapez le nom de la langue que vous ajoutez (la version anglaise) dans la rangée immédiatement au bas de la "English" colonne</t>
  </si>
  <si>
    <t>User instructions (adding another language to the workbook)</t>
  </si>
  <si>
    <t>Guide d'utilisation (en ajoutant une autre langue pour le classeur)</t>
  </si>
  <si>
    <t>Language</t>
  </si>
  <si>
    <t>Langue</t>
  </si>
  <si>
    <t>Version number</t>
  </si>
  <si>
    <t>Editor name</t>
  </si>
  <si>
    <t xml:space="preserve">Editor’s sector </t>
  </si>
  <si>
    <t>Sector sheets affected</t>
  </si>
  <si>
    <t>Description of change</t>
  </si>
  <si>
    <t>n/a</t>
  </si>
  <si>
    <t>Tom Bain</t>
  </si>
  <si>
    <t>All</t>
  </si>
  <si>
    <t>Date of change</t>
  </si>
  <si>
    <t>Electricity Generation</t>
  </si>
  <si>
    <t>Transport</t>
  </si>
  <si>
    <t>Geosequestration</t>
  </si>
  <si>
    <t>Storage, demand shifting &amp; interconnection</t>
  </si>
  <si>
    <t>Limit</t>
  </si>
  <si>
    <t>Materials</t>
  </si>
  <si>
    <t>Buildings</t>
  </si>
  <si>
    <t>Food</t>
  </si>
  <si>
    <t>Freight demand</t>
  </si>
  <si>
    <t>Global population</t>
  </si>
  <si>
    <t>Household size</t>
  </si>
  <si>
    <t>Energy is measured in</t>
  </si>
  <si>
    <t>Power is measured in</t>
  </si>
  <si>
    <t>Area is measured in</t>
  </si>
  <si>
    <t>Money is measured in</t>
  </si>
  <si>
    <t>L'énergie est mesurée en</t>
  </si>
  <si>
    <t>La puissance est mesurée en</t>
  </si>
  <si>
    <t>Conversions</t>
  </si>
  <si>
    <t>Version control</t>
  </si>
  <si>
    <t>Unit</t>
  </si>
  <si>
    <t>Name</t>
  </si>
  <si>
    <t>Name in formulae</t>
  </si>
  <si>
    <t>Joules</t>
  </si>
  <si>
    <t>PJ</t>
  </si>
  <si>
    <t>Petajoules</t>
  </si>
  <si>
    <t>Unit.PJ</t>
  </si>
  <si>
    <t>TJ</t>
  </si>
  <si>
    <t>Terajoules</t>
  </si>
  <si>
    <t>Unit.TJ</t>
  </si>
  <si>
    <t>GJ</t>
  </si>
  <si>
    <t>Gigajoules</t>
  </si>
  <si>
    <t>Unit.GJ</t>
  </si>
  <si>
    <t>J</t>
  </si>
  <si>
    <t>Unit.J</t>
  </si>
  <si>
    <t>MJ</t>
  </si>
  <si>
    <t>Megajoules</t>
  </si>
  <si>
    <t>Unit.MJ</t>
  </si>
  <si>
    <t>kWh</t>
  </si>
  <si>
    <t>Kilowatt-hours</t>
  </si>
  <si>
    <t>Unit.kWh</t>
  </si>
  <si>
    <t>TWh</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</si>
  <si>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</si>
  <si>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</si>
  <si>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</si>
  <si>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</si>
  <si>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</si>
  <si>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</si>
  <si>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</si>
  <si>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</si>
  <si>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</si>
  <si>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</si>
  <si>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</si>
  <si>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</si>
  <si>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</si>
  <si>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</si>
  <si>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</si>
  <si>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</si>
  <si>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</si>
  <si>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</si>
  <si>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</si>
  <si>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</si>
  <si>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</si>
  <si>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</si>
  <si>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</si>
  <si>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</si>
  <si>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</si>
  <si>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</si>
  <si>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</si>
  <si>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</si>
  <si>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</si>
  <si>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</si>
  <si>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</si>
  <si>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GW y</t>
  </si>
  <si>
    <t>Gigawatt-years</t>
  </si>
  <si>
    <t>Unit.GWyear</t>
  </si>
  <si>
    <t>bcm</t>
  </si>
  <si>
    <t>Billion Cubic Metres (Gas)</t>
  </si>
  <si>
    <t>Power conversions</t>
  </si>
  <si>
    <t>Watts</t>
  </si>
  <si>
    <t>GW</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</si>
  <si>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</si>
  <si>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</si>
  <si>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</si>
  <si>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</si>
  <si>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</si>
  <si>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</si>
  <si>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</si>
  <si>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</si>
  <si>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</si>
  <si>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</si>
  <si>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</si>
  <si>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</si>
  <si>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</si>
  <si>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</si>
  <si>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</si>
  <si>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</si>
  <si>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</si>
  <si>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y</t>
  </si>
  <si>
    <t>Year</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</si>
  <si>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</si>
  <si>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</si>
  <si>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</si>
  <si>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</si>
  <si>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</si>
  <si>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</si>
  <si>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</si>
  <si>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</si>
  <si>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</si>
  <si>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</si>
  <si>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</si>
  <si>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</si>
  <si>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</si>
  <si>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</si>
  <si>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</si>
  <si>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</si>
  <si>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</si>
  <si>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</si>
  <si>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</si>
  <si>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</si>
  <si>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</si>
  <si>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km^2</t>
  </si>
  <si>
    <t>Square kilometres</t>
  </si>
  <si>
    <t>Unit.km2</t>
  </si>
  <si>
    <t>Square metres</t>
  </si>
  <si>
    <t>Unit.m2</t>
  </si>
  <si>
    <t>Power to energy conversion</t>
  </si>
  <si>
    <t>From unit</t>
  </si>
  <si>
    <t>Factor</t>
  </si>
  <si>
    <t>Average power for given energy</t>
  </si>
  <si>
    <t>Conversion.to.average.power</t>
  </si>
  <si>
    <t>Annual energy for given power</t>
  </si>
  <si>
    <t>Conversion.to.annual.energy</t>
  </si>
  <si>
    <t>Energy per second for given power</t>
  </si>
  <si>
    <t>Conversion.to.energy.per.second</t>
  </si>
  <si>
    <t>Cost conversions</t>
  </si>
  <si>
    <t>£trn</t>
  </si>
  <si>
    <t>TGBP</t>
  </si>
  <si>
    <t>£bn</t>
  </si>
  <si>
    <t>GGBP</t>
  </si>
  <si>
    <t>£m</t>
  </si>
  <si>
    <t>MGBP</t>
  </si>
  <si>
    <t>£k</t>
  </si>
  <si>
    <t>kGBP</t>
  </si>
  <si>
    <t>Energy conversions</t>
  </si>
  <si>
    <t>Seconds</t>
  </si>
  <si>
    <t>Unit.Australia</t>
  </si>
  <si>
    <t>Australia</t>
  </si>
  <si>
    <t>To Unit</t>
  </si>
  <si>
    <t>India</t>
  </si>
  <si>
    <t>Brazil</t>
  </si>
  <si>
    <t>China</t>
  </si>
  <si>
    <t>South Africa</t>
  </si>
  <si>
    <t>Unit.Brazil</t>
  </si>
  <si>
    <t>Unit.India</t>
  </si>
  <si>
    <t>Unit.China</t>
  </si>
  <si>
    <t>Unit.SouthAfrica</t>
  </si>
  <si>
    <t>Population</t>
  </si>
  <si>
    <t>Level</t>
  </si>
  <si>
    <t>Households</t>
  </si>
  <si>
    <t>2010</t>
  </si>
  <si>
    <t>2015</t>
  </si>
  <si>
    <t>2020</t>
  </si>
  <si>
    <t>2025</t>
  </si>
  <si>
    <t>2030</t>
  </si>
  <si>
    <t>2035</t>
  </si>
  <si>
    <t>2040</t>
  </si>
  <si>
    <t>2045</t>
  </si>
  <si>
    <t>2050</t>
  </si>
  <si>
    <t>Solid fuels</t>
  </si>
  <si>
    <t>Commodity selected</t>
  </si>
  <si>
    <t>Gas</t>
  </si>
  <si>
    <t>Carbon dioxide</t>
  </si>
  <si>
    <t>Coke</t>
  </si>
  <si>
    <t>Methane</t>
  </si>
  <si>
    <t>Coke breeze</t>
  </si>
  <si>
    <t>Natural gas</t>
  </si>
  <si>
    <t>Nitrous oxide</t>
  </si>
  <si>
    <t>Other manufactured solid fuel</t>
  </si>
  <si>
    <t>Blast furnace gas</t>
  </si>
  <si>
    <t>Liquids</t>
  </si>
  <si>
    <t>Crude oil (weighted average)</t>
  </si>
  <si>
    <t>Petroleum products (weighted average)</t>
  </si>
  <si>
    <t>Motor spirit</t>
  </si>
  <si>
    <t>Diesel (DERV)</t>
  </si>
  <si>
    <t>Aviation turbine fuel (ATF)</t>
  </si>
  <si>
    <t>Natural gas produced</t>
  </si>
  <si>
    <t>Natural gas consumed</t>
  </si>
  <si>
    <t>Coke oven gas</t>
  </si>
  <si>
    <t>Landfill gas</t>
  </si>
  <si>
    <t>Sewage gas</t>
  </si>
  <si>
    <t>Vector</t>
  </si>
  <si>
    <t>Description</t>
  </si>
  <si>
    <t>CO2</t>
  </si>
  <si>
    <t>CH4</t>
  </si>
  <si>
    <t>N2O</t>
  </si>
  <si>
    <t>Conversion losses</t>
  </si>
  <si>
    <t>Distribution losses and own use</t>
  </si>
  <si>
    <t>Unallocated</t>
  </si>
  <si>
    <t>Road transport</t>
  </si>
  <si>
    <t>Rail transport</t>
  </si>
  <si>
    <t>Industry</t>
  </si>
  <si>
    <t>Heating and cooling</t>
  </si>
  <si>
    <t>Lighting &amp; appliances</t>
  </si>
  <si>
    <t>Nuclear fission</t>
  </si>
  <si>
    <t>Solar</t>
  </si>
  <si>
    <t>Wind</t>
  </si>
  <si>
    <t>Tidal</t>
  </si>
  <si>
    <t>Wave</t>
  </si>
  <si>
    <t>Geothermal</t>
  </si>
  <si>
    <t>Hydro</t>
  </si>
  <si>
    <t>Environmental heat</t>
  </si>
  <si>
    <t>Agriculture</t>
  </si>
  <si>
    <t>Waste</t>
  </si>
  <si>
    <t>Coal and fossil waste</t>
  </si>
  <si>
    <t>Oil and petroleum products</t>
  </si>
  <si>
    <t>Electricity (delivered to end user)</t>
  </si>
  <si>
    <t>Electricity (supplied to grid)</t>
  </si>
  <si>
    <t>Heat transport</t>
  </si>
  <si>
    <t>Dry biomass and waste</t>
  </si>
  <si>
    <t>Wet biomass and waste</t>
  </si>
  <si>
    <t>Structure of the model</t>
  </si>
  <si>
    <t>Trajectory description</t>
  </si>
  <si>
    <t>Climate impacts</t>
  </si>
  <si>
    <t>Nuclear</t>
  </si>
  <si>
    <t>Notes</t>
  </si>
  <si>
    <t>Load factor</t>
  </si>
  <si>
    <t>Energy output</t>
  </si>
  <si>
    <t>IPCC Emissions Sectors</t>
  </si>
  <si>
    <t>Cost vectors</t>
  </si>
  <si>
    <t>Code</t>
  </si>
  <si>
    <t>Category</t>
  </si>
  <si>
    <t>Subcategory</t>
  </si>
  <si>
    <t>Comment</t>
  </si>
  <si>
    <t>Balancing</t>
  </si>
  <si>
    <t>Losses</t>
  </si>
  <si>
    <t>1A</t>
  </si>
  <si>
    <t>Fuel Combustion</t>
  </si>
  <si>
    <t>1B</t>
  </si>
  <si>
    <t>Fugitive Emissions from Fuels</t>
  </si>
  <si>
    <t>Industrial Processes</t>
  </si>
  <si>
    <t>High estimate of capital costs</t>
  </si>
  <si>
    <t>Demand</t>
  </si>
  <si>
    <t xml:space="preserve">Transport </t>
  </si>
  <si>
    <t>Solvent and Other Product Use</t>
  </si>
  <si>
    <t>Point estimate of capital costs</t>
  </si>
  <si>
    <t>Low estimate of capital costs</t>
  </si>
  <si>
    <t>Land Use, Land-Use Change and Forestry</t>
  </si>
  <si>
    <t>High estimate of operating costs</t>
  </si>
  <si>
    <t>Point estimate of operating costs</t>
  </si>
  <si>
    <t>Other</t>
  </si>
  <si>
    <t>Low estimate of operating costs</t>
  </si>
  <si>
    <t>X1</t>
  </si>
  <si>
    <t>High estimate of fuel costs</t>
  </si>
  <si>
    <t>Bioenergy credit</t>
  </si>
  <si>
    <t>Point estimate of fuel costs</t>
  </si>
  <si>
    <t>Heat energy demand (eg, for space heating, water heating) and cooling</t>
  </si>
  <si>
    <t>Low estimate of fuel costs</t>
  </si>
  <si>
    <t>Primary source</t>
  </si>
  <si>
    <t>The energy content of the steam generated in the reactor</t>
  </si>
  <si>
    <t>Renewables</t>
  </si>
  <si>
    <t>CO_2</t>
  </si>
  <si>
    <t>CH_4</t>
  </si>
  <si>
    <t>N_2O</t>
  </si>
  <si>
    <t>F</t>
  </si>
  <si>
    <t>HFCs, PFCs, and SF_6</t>
  </si>
  <si>
    <t>Heat as an energy source for heat pumps</t>
  </si>
  <si>
    <t>Oil</t>
  </si>
  <si>
    <t>Reserves</t>
  </si>
  <si>
    <t>Fossil fuels</t>
  </si>
  <si>
    <t>Carbon-based fuels</t>
  </si>
  <si>
    <t>Includes solid manufactured fuels (eg, coke)</t>
  </si>
  <si>
    <t>Includes refined liquid biofuels</t>
  </si>
  <si>
    <t>Includes syngas (coke oven gas)</t>
  </si>
  <si>
    <t>Heat</t>
  </si>
  <si>
    <t>Biomatter</t>
  </si>
  <si>
    <t>Includes wood, straw, and other plant-based biomass, wood chips, garden waste, and MSW. Does not include energy crops, including SRC</t>
  </si>
  <si>
    <t>Hydrogen</t>
  </si>
  <si>
    <t>Includes manure, sewage sludge, domestic food waste</t>
  </si>
  <si>
    <t>Gaseous waste</t>
  </si>
  <si>
    <t>Methane from waste</t>
  </si>
  <si>
    <t>H2</t>
  </si>
  <si>
    <t>Information</t>
  </si>
  <si>
    <t>Area</t>
  </si>
  <si>
    <t>Length of wave front</t>
  </si>
  <si>
    <t>Installed Capacity</t>
  </si>
  <si>
    <t xml:space="preserve">Installed Capacity </t>
  </si>
  <si>
    <t>Balancing capacity used</t>
  </si>
  <si>
    <t>Shiftable electricity demand</t>
  </si>
  <si>
    <t>Additional electricity at peak</t>
  </si>
  <si>
    <t>Temperature related additional electricity demand</t>
  </si>
  <si>
    <t>Interconnector capacity</t>
  </si>
  <si>
    <t>Constants</t>
  </si>
  <si>
    <t>Region</t>
  </si>
  <si>
    <t>Contents</t>
  </si>
  <si>
    <t xml:space="preserve">The page where the user chooses their global pathway </t>
  </si>
  <si>
    <t>The page where the user explores the emissions over time associated with their pathway</t>
  </si>
  <si>
    <t>The page where the user explores the energy supply and demand consequences over time associated with their pathway</t>
  </si>
  <si>
    <t>The page where the user explores the climate change impacts associated with their pathway</t>
  </si>
  <si>
    <t>The page where the user decides which units they want the inputs and outputs to be expressed in</t>
  </si>
  <si>
    <t>The page where the user explores how energy supply flows into energy demand in their pathway</t>
  </si>
  <si>
    <t>Click here to return to the "contents" page</t>
  </si>
  <si>
    <t>Conversion</t>
  </si>
  <si>
    <t>Translation</t>
  </si>
  <si>
    <t>…</t>
  </si>
  <si>
    <t>Global</t>
  </si>
  <si>
    <t>Sector</t>
  </si>
  <si>
    <t>User guide</t>
  </si>
  <si>
    <t>Example pathways</t>
  </si>
  <si>
    <t>Products</t>
  </si>
  <si>
    <t>Raw resources</t>
  </si>
  <si>
    <t>G</t>
  </si>
  <si>
    <t>Cooking</t>
  </si>
  <si>
    <t>Water transport</t>
  </si>
  <si>
    <t xml:space="preserve">Food consumption </t>
  </si>
  <si>
    <t>Land area</t>
  </si>
  <si>
    <t>Sea area</t>
  </si>
  <si>
    <t>Aviation transport</t>
  </si>
  <si>
    <t>G.Q.01</t>
  </si>
  <si>
    <t>G.Q.02</t>
  </si>
  <si>
    <t>G.Q.03</t>
  </si>
  <si>
    <t>G.C.01</t>
  </si>
  <si>
    <t>G.C.02</t>
  </si>
  <si>
    <t>G.C.03</t>
  </si>
  <si>
    <t>Supply net of losses</t>
  </si>
  <si>
    <t>IPCC Sector</t>
  </si>
  <si>
    <t>Total</t>
  </si>
  <si>
    <t>CONVERSION LOSSES, DISTRIBUTION AND OWN USES</t>
  </si>
  <si>
    <t xml:space="preserve">Food producton </t>
  </si>
  <si>
    <t>Total food consumption</t>
  </si>
  <si>
    <t>Total food produced</t>
  </si>
  <si>
    <t>Solar power</t>
  </si>
  <si>
    <t>EMISSIONS</t>
  </si>
  <si>
    <t>£</t>
  </si>
  <si>
    <t>GBP</t>
  </si>
  <si>
    <t>Greenhouse gases / emissions</t>
  </si>
  <si>
    <t>Hydroflurocarbons, Perflurocarbons and sulphur hexafluoride</t>
  </si>
  <si>
    <t>X1 is not an IPCC sectoral code. CO2 "credit" from bioenergy</t>
  </si>
  <si>
    <t>In our model, includes biofuel combustion emissions. See sector X1</t>
  </si>
  <si>
    <t>Sequestration due to bioenergy crops should be included under X1</t>
  </si>
  <si>
    <t>LEVERS</t>
  </si>
  <si>
    <t>Need each sector to produce emissions that can be classified under UNFCCC GHG Inventory categories</t>
  </si>
  <si>
    <t>Please choose how you want to display the language, energy, power, area and money units. For example, choose to display energy in "TWh", "joules" or as other units</t>
  </si>
  <si>
    <t xml:space="preserve">2010 actuals </t>
  </si>
  <si>
    <t>TABLES</t>
  </si>
  <si>
    <t>Column1</t>
  </si>
  <si>
    <t>Number conversions</t>
  </si>
  <si>
    <t>Name in formulee</t>
  </si>
  <si>
    <t xml:space="preserve">Other numbers are measured in </t>
  </si>
  <si>
    <t>Thousand</t>
  </si>
  <si>
    <t>Million</t>
  </si>
  <si>
    <t>Billion</t>
  </si>
  <si>
    <t>Unit.one</t>
  </si>
  <si>
    <t>Unit.thousand</t>
  </si>
  <si>
    <t>Unit.million</t>
  </si>
  <si>
    <t>Unit.billion</t>
  </si>
  <si>
    <t>One</t>
  </si>
  <si>
    <t>Uses</t>
  </si>
  <si>
    <t>Secondary sources</t>
  </si>
  <si>
    <t>Primary Sources</t>
  </si>
  <si>
    <t>Adjustments</t>
  </si>
  <si>
    <t>Total secondary sources</t>
  </si>
  <si>
    <t>Total primary sources</t>
  </si>
  <si>
    <t>Supply</t>
  </si>
  <si>
    <t>Total supply</t>
  </si>
  <si>
    <t>*</t>
  </si>
  <si>
    <t>Net balance</t>
  </si>
  <si>
    <t>KEY ISSUES</t>
  </si>
  <si>
    <t>Geosequestration and storage of CO2</t>
  </si>
  <si>
    <t>GENERIC</t>
  </si>
  <si>
    <t>Each sector must show how all forms of energy are converted (e.g. solar thermal sector takes in energy from sun and gives out energy as usable heat)</t>
  </si>
  <si>
    <t>Total adjustment</t>
  </si>
  <si>
    <t>Each information table in the sub sector sheets needs to say how many different types of technology are produced (e.g. for transport, how many cars, how many buses)</t>
  </si>
  <si>
    <t>MODEL PRINCIPLES</t>
  </si>
  <si>
    <t>Rooted in the physical i.e. how many pieces of technology, how much land for different uses.</t>
  </si>
  <si>
    <t>Simplicity and the "roughly roughly right" answer</t>
  </si>
  <si>
    <t>The spreadsheet should be flexible to changes that may need to be made in the future</t>
  </si>
  <si>
    <t>None</t>
  </si>
  <si>
    <t>Bioenergy yields</t>
  </si>
  <si>
    <t>LEVELS 1-4</t>
  </si>
  <si>
    <t>STRUCTURE OF THE MODEL</t>
  </si>
  <si>
    <t>Coal/peat</t>
  </si>
  <si>
    <t>Biofuels and waste</t>
  </si>
  <si>
    <t>Primary energy</t>
  </si>
  <si>
    <t>Final consumption</t>
  </si>
  <si>
    <t>Non-energy use</t>
  </si>
  <si>
    <t>Land / food / bioenergy / sequestration</t>
  </si>
  <si>
    <t>Contains</t>
  </si>
  <si>
    <t>Heating and cooling, lighting and appliances, cooking</t>
  </si>
  <si>
    <t>Passenger transport and freight</t>
  </si>
  <si>
    <t>G.10</t>
  </si>
  <si>
    <t>G.20</t>
  </si>
  <si>
    <t>G.30</t>
  </si>
  <si>
    <t>G.40</t>
  </si>
  <si>
    <t>G.50</t>
  </si>
  <si>
    <t>G.60</t>
  </si>
  <si>
    <t>Decription</t>
  </si>
  <si>
    <t>Food supply and demand, forestry, geosequestration, waste production</t>
  </si>
  <si>
    <t>Hydrogen, emissions, costs</t>
  </si>
  <si>
    <t>Measured as energy</t>
  </si>
  <si>
    <t>Energy for road transport</t>
  </si>
  <si>
    <t>Energy associated with the production of goods</t>
  </si>
  <si>
    <t xml:space="preserve">Energy associated with the production of materials </t>
  </si>
  <si>
    <t>Energy associated with raw resource extraction</t>
  </si>
  <si>
    <t>Sequestration</t>
  </si>
  <si>
    <t>Technology code</t>
  </si>
  <si>
    <t>Each sheet should contain everything that fits within a modelling framework. E.g. all transport in one sheet, all power in one sheet</t>
  </si>
  <si>
    <t>Demand for products</t>
  </si>
  <si>
    <t>Nuclear power stations</t>
  </si>
  <si>
    <t>Hydroelectric dam</t>
  </si>
  <si>
    <t>Concentrated solar</t>
  </si>
  <si>
    <t>Region codes</t>
  </si>
  <si>
    <t>Land / Food / Bioenergy / Sequestration</t>
  </si>
  <si>
    <t xml:space="preserve">Description </t>
  </si>
  <si>
    <t>Geosequestration units</t>
  </si>
  <si>
    <t>Cooling</t>
  </si>
  <si>
    <t>Solar thermal</t>
  </si>
  <si>
    <t>District heating</t>
  </si>
  <si>
    <t>Air conditioning</t>
  </si>
  <si>
    <t>Light bulb</t>
  </si>
  <si>
    <t>Appliance</t>
  </si>
  <si>
    <t>Incl fridge/freezers, dishwashers, washing machines, TVs, stereos</t>
  </si>
  <si>
    <t>Oven</t>
  </si>
  <si>
    <t>Land/ food / bioenergy</t>
  </si>
  <si>
    <t>Solid fuel boiler</t>
  </si>
  <si>
    <t>Liquid fuel boiler</t>
  </si>
  <si>
    <t>Gaseous fuel boiler</t>
  </si>
  <si>
    <t>Micro combined heat and power (for single domestic purpose)</t>
  </si>
  <si>
    <t>Large scale combined heat and power</t>
  </si>
  <si>
    <t>Sector leads should document rough (e.g. continental) assumptions on location of supply techns for illustrative mapping</t>
  </si>
  <si>
    <t>Need to think soon about the one pagers (once we have a structure and emerging data)….</t>
  </si>
  <si>
    <t>Gases</t>
  </si>
  <si>
    <t>Source</t>
  </si>
  <si>
    <t>Other**</t>
  </si>
  <si>
    <t>** Includes agriculture, commercial and public services, residential and non-specified other</t>
  </si>
  <si>
    <t>Technology / disaggregation (in the World Energy Outlook)</t>
  </si>
  <si>
    <t>Residential: activity, insulation/energy management, space heating, appliances, cooking, lighting, others</t>
  </si>
  <si>
    <t xml:space="preserve">Other </t>
  </si>
  <si>
    <t xml:space="preserve">Hydro </t>
  </si>
  <si>
    <t>Includes pumped storage</t>
  </si>
  <si>
    <t>Hydrogen production and synthetic fuels</t>
  </si>
  <si>
    <t>IDEAS FOR FUTURE VERSIONS</t>
  </si>
  <si>
    <t>Air source heat pump</t>
  </si>
  <si>
    <t>Ground source heat pump</t>
  </si>
  <si>
    <t>Electric heaters</t>
  </si>
  <si>
    <t>Regional sectors</t>
  </si>
  <si>
    <t>Trajectory choices</t>
  </si>
  <si>
    <t>Lever</t>
  </si>
  <si>
    <t xml:space="preserve">Synthetic Fuel </t>
  </si>
  <si>
    <t>Any data tables with years should have the years running vertically to enable ease of look ups</t>
  </si>
  <si>
    <t>Storage unit</t>
  </si>
  <si>
    <t>Supporting notes this way…</t>
  </si>
  <si>
    <t>1975</t>
  </si>
  <si>
    <t>1980</t>
  </si>
  <si>
    <t>1985</t>
  </si>
  <si>
    <t>1990</t>
  </si>
  <si>
    <t>1995</t>
  </si>
  <si>
    <t>2000</t>
  </si>
  <si>
    <t>2005</t>
  </si>
  <si>
    <t>Use referencing that can be duplicated - allows for quality assurance to check one cell and duplicate it, rather than checking all cells</t>
  </si>
  <si>
    <t>.</t>
  </si>
  <si>
    <t>..</t>
  </si>
  <si>
    <t>%</t>
  </si>
  <si>
    <t>Technology codes</t>
  </si>
  <si>
    <t>Energy codes</t>
  </si>
  <si>
    <t>Q.01</t>
  </si>
  <si>
    <t>Q.02</t>
  </si>
  <si>
    <t>Q.03</t>
  </si>
  <si>
    <t>N.01</t>
  </si>
  <si>
    <t>R.01</t>
  </si>
  <si>
    <t>R.02</t>
  </si>
  <si>
    <t>R.03</t>
  </si>
  <si>
    <t>R.04</t>
  </si>
  <si>
    <t>R.05</t>
  </si>
  <si>
    <t>R.06</t>
  </si>
  <si>
    <t>R.07</t>
  </si>
  <si>
    <t>R.08</t>
  </si>
  <si>
    <t>T.01</t>
  </si>
  <si>
    <t>T.02</t>
  </si>
  <si>
    <t>T.03</t>
  </si>
  <si>
    <t>T.04</t>
  </si>
  <si>
    <t>M.01</t>
  </si>
  <si>
    <t>M.02</t>
  </si>
  <si>
    <t>M.03</t>
  </si>
  <si>
    <t>B.01</t>
  </si>
  <si>
    <t>B.02</t>
  </si>
  <si>
    <t>B.03</t>
  </si>
  <si>
    <t>F.01</t>
  </si>
  <si>
    <t>G.01</t>
  </si>
  <si>
    <t>FF.01</t>
  </si>
  <si>
    <t>FF.02</t>
  </si>
  <si>
    <t>FF.03</t>
  </si>
  <si>
    <t>C.01</t>
  </si>
  <si>
    <t>C.02</t>
  </si>
  <si>
    <t>C.03</t>
  </si>
  <si>
    <t>E.01</t>
  </si>
  <si>
    <t>E.02</t>
  </si>
  <si>
    <t>H.01</t>
  </si>
  <si>
    <t>H.02</t>
  </si>
  <si>
    <t>BM.01</t>
  </si>
  <si>
    <t>BM.02</t>
  </si>
  <si>
    <t>BM.03</t>
  </si>
  <si>
    <t>BM.04</t>
  </si>
  <si>
    <t>HY.01</t>
  </si>
  <si>
    <t>FC.01</t>
  </si>
  <si>
    <t>FC.02</t>
  </si>
  <si>
    <t>L.01</t>
  </si>
  <si>
    <t>L.02</t>
  </si>
  <si>
    <t>U.01</t>
  </si>
  <si>
    <t>A.01</t>
  </si>
  <si>
    <t>A.02</t>
  </si>
  <si>
    <t>A.03</t>
  </si>
  <si>
    <t>I.01</t>
  </si>
  <si>
    <t>I.02</t>
  </si>
  <si>
    <t>I.03</t>
  </si>
  <si>
    <t>BA.01</t>
  </si>
  <si>
    <t>BA.02</t>
  </si>
  <si>
    <t>BA.03</t>
  </si>
  <si>
    <t>BA.04</t>
  </si>
  <si>
    <t>BA.05</t>
  </si>
  <si>
    <t>P.01</t>
  </si>
  <si>
    <t>P.02</t>
  </si>
  <si>
    <t>P.03</t>
  </si>
  <si>
    <t>Energy code</t>
  </si>
  <si>
    <t>Regional energy</t>
  </si>
  <si>
    <t>On shore wind turbines</t>
  </si>
  <si>
    <t>Off shore wind turbines</t>
  </si>
  <si>
    <t>Cost code</t>
  </si>
  <si>
    <t>Regional costs</t>
  </si>
  <si>
    <t>CC.High</t>
  </si>
  <si>
    <t>CC.Point</t>
  </si>
  <si>
    <t>CC.Low</t>
  </si>
  <si>
    <t>OC.High</t>
  </si>
  <si>
    <t>OC.Point</t>
  </si>
  <si>
    <t>OC.Low</t>
  </si>
  <si>
    <t>FC.High</t>
  </si>
  <si>
    <t>FC.Point</t>
  </si>
  <si>
    <t>FC.Low</t>
  </si>
  <si>
    <t>Cost description</t>
  </si>
  <si>
    <t>Technology description</t>
  </si>
  <si>
    <t>Energy vector</t>
  </si>
  <si>
    <t>Equivalent to the language spoken commonly in</t>
  </si>
  <si>
    <t>DERIVED AND FIXED ASSUMPTIONS</t>
  </si>
  <si>
    <t>V.0.16.0</t>
  </si>
  <si>
    <t>Restructured into ~9 sectors</t>
  </si>
  <si>
    <t>First working version, very similar to UK Calculator as a starting point</t>
  </si>
  <si>
    <t>30.07.13</t>
  </si>
  <si>
    <t>COST ASSUMPTIONS</t>
  </si>
  <si>
    <t>Global CCS plant</t>
  </si>
  <si>
    <t>Selected level</t>
  </si>
  <si>
    <t>Use styles</t>
  </si>
  <si>
    <t>V.0.17.0</t>
  </si>
  <si>
    <t>Output preferences</t>
  </si>
  <si>
    <t>Urbanisation</t>
  </si>
  <si>
    <t xml:space="preserve">Heating / cooling technology </t>
  </si>
  <si>
    <t>Wind power</t>
  </si>
  <si>
    <t>Hydroelectric power</t>
  </si>
  <si>
    <t>Marine power</t>
  </si>
  <si>
    <t>Geothermal power</t>
  </si>
  <si>
    <t>Calories consumed</t>
  </si>
  <si>
    <t>Type of diet</t>
  </si>
  <si>
    <t>CHOICES</t>
  </si>
  <si>
    <t>Number</t>
  </si>
  <si>
    <t xml:space="preserve">LEVERS AND LEVELS </t>
  </si>
  <si>
    <t>DATA FOR LEVELS 1-4</t>
  </si>
  <si>
    <t>Assumptions sheet per region</t>
  </si>
  <si>
    <t>Minimise the number of sector sheets in case we have to model by regions and duplicate them (new sheet per region necessary because you can just change a couple of cells e.g. region cell, and it will do look ups to pull in the data. Also makes it easier for sector leads to work on their sectors)</t>
  </si>
  <si>
    <t>Implemented new way of making calculations in electricity sector sheet</t>
  </si>
  <si>
    <t>01.08.13</t>
  </si>
  <si>
    <t xml:space="preserve">Equivalent to </t>
  </si>
  <si>
    <t>joules</t>
  </si>
  <si>
    <t>Equivalent to</t>
  </si>
  <si>
    <t>watts</t>
  </si>
  <si>
    <t>meters squared</t>
  </si>
  <si>
    <t>British pounds</t>
  </si>
  <si>
    <t>Definition of terms</t>
  </si>
  <si>
    <t>Comments</t>
  </si>
  <si>
    <t>G.FF.01</t>
  </si>
  <si>
    <t>G.FF.02</t>
  </si>
  <si>
    <t>G.FF.03</t>
  </si>
  <si>
    <t>NOTE: it is possible to copy and paste in "Tables" and excel will create the named range</t>
  </si>
  <si>
    <t>Technology</t>
  </si>
  <si>
    <t>10</t>
  </si>
  <si>
    <t>v.0.20.0</t>
  </si>
  <si>
    <t>Merged the energy implications</t>
  </si>
  <si>
    <t>Tech description</t>
  </si>
  <si>
    <t>Energy description</t>
  </si>
  <si>
    <t>Total demand</t>
  </si>
  <si>
    <t xml:space="preserve">Computed within this sheet = </t>
  </si>
  <si>
    <t>Total uses</t>
  </si>
  <si>
    <t>Electricity oversupply</t>
  </si>
  <si>
    <t>Global Unabated hydrocarbon plants</t>
  </si>
  <si>
    <t>Net balance without unabated thermal</t>
  </si>
  <si>
    <t>NOTE: nuclear fuel cost to include cost of uranium enrichment and disposal. Also need decomissioning costs</t>
  </si>
  <si>
    <t>Column2</t>
  </si>
  <si>
    <t>Emission code</t>
  </si>
  <si>
    <t>IPCC sector code</t>
  </si>
  <si>
    <t>IPCC emissions sector</t>
  </si>
  <si>
    <t>Description 2</t>
  </si>
  <si>
    <t xml:space="preserve">V.0.23.0 </t>
  </si>
  <si>
    <t>The energy and emission year sheets become linked up</t>
  </si>
  <si>
    <t>Level 4 is maximum effort in that sector to decarbonise. If this does not apply clearly to a sector, we use A-D categories (e.g. for the urbanisation lever, which drives use of traditional biofuel in cooking, transport demand etc)</t>
  </si>
  <si>
    <t>Level 1 supply should show capacity not being installed from what there is today, with existing capacity being phased out at end of economic life. Need to figure out how to model this decently enough.</t>
  </si>
  <si>
    <t>Which raw resources do we need to have in the cumulative consumption results? E.G. at least crude oil, gas, coal, uranium … Need to also show land use implications and demand for timber</t>
  </si>
  <si>
    <t xml:space="preserve">Something on coal to liquid? E.g. in case a user's pathway uses up all oil (according to a certain estimate of reserves) and they want to use reserves of coal and convert to liquid hydrocarbon </t>
  </si>
  <si>
    <t>All sectors should have a choice on physical deployment and show how the existing stock and newly deployed stock is decommissioned over time.</t>
  </si>
  <si>
    <t>Coal CHP, coal with CCS, IGCC, ultra supercritical, supercritical, subcritical</t>
  </si>
  <si>
    <t xml:space="preserve">Includes geothermal, solar, wind, heat, marine </t>
  </si>
  <si>
    <t>Iron and steel, chemicals, cement, pulp and paper, other</t>
  </si>
  <si>
    <t>Road / non-road. PLDVs, heavy trucks, other road, domestic aviation, domestic navigation, international bunkers, other</t>
  </si>
  <si>
    <t>* The IEA also use a split of "power, transport, industry, buildings" (e.g. in the World Energy Outlook, 2013 pg. 328) and "industry, transport, buildings, other"</t>
  </si>
  <si>
    <t>Nuclear fusion?</t>
  </si>
  <si>
    <t>Need assumption on desertification. Issue - driven by climate change</t>
  </si>
  <si>
    <t>Separate up everything into separate sheets so that sheets do "different things" e.g. a sheet that converts user preferences into assumptions, and a sheet that converts assumptions into outputs. This happens for each sector, and a sheet collates all outputs.</t>
  </si>
  <si>
    <r>
      <rPr>
        <b/>
        <sz val="10"/>
        <rFont val="Calibri"/>
        <family val="2"/>
      </rPr>
      <t>Regional modelling</t>
    </r>
    <r>
      <rPr>
        <sz val="10"/>
        <rFont val="Calibri"/>
        <family val="2"/>
      </rPr>
      <t xml:space="preserve"> - to capture the inability to transfer heat / electricity. However, this is not the preferred option owing to data issues and time constraints.</t>
    </r>
  </si>
  <si>
    <t>Deleted unused styles, removed "population" as a sector and included as an assumption sheet</t>
  </si>
  <si>
    <t>14.08.13</t>
  </si>
  <si>
    <t>V.0.18.0</t>
  </si>
  <si>
    <t>V0.08.0</t>
  </si>
  <si>
    <t>V0.00.0</t>
  </si>
  <si>
    <t>The page where the user can find out how the model works</t>
  </si>
  <si>
    <t>User inputs</t>
  </si>
  <si>
    <t>User output preferences</t>
  </si>
  <si>
    <t>Outputs - Climate impacts</t>
  </si>
  <si>
    <t>How do I generate a pathway?</t>
  </si>
  <si>
    <t>How does the spreadsheet work?</t>
  </si>
  <si>
    <t>Can I make a change to this spreadsheet?</t>
  </si>
  <si>
    <t>Outputs - Emissions</t>
  </si>
  <si>
    <t>Outputs - Land use</t>
  </si>
  <si>
    <t>Outputs - Energy</t>
  </si>
  <si>
    <t>The page where the user explores the land use and technology impacts over time associated with their pathway</t>
  </si>
  <si>
    <t>The page where the user explores the costs of their pathway</t>
  </si>
  <si>
    <t>Outputs - Energy flows</t>
  </si>
  <si>
    <t>Outputs - Costs</t>
  </si>
  <si>
    <t>Universal data</t>
  </si>
  <si>
    <t>10 (data)</t>
  </si>
  <si>
    <t>20 (data)</t>
  </si>
  <si>
    <t>30 (data)</t>
  </si>
  <si>
    <t>40 (data)</t>
  </si>
  <si>
    <t>50 (data)</t>
  </si>
  <si>
    <t>60 (data)</t>
  </si>
  <si>
    <t>Version</t>
  </si>
  <si>
    <t>NOTES FROM THE DEVELOPER (just rough notes, nothing final..)</t>
  </si>
  <si>
    <t>TO DO</t>
  </si>
  <si>
    <t>Consistent / appropriate use of "styles"</t>
  </si>
  <si>
    <t>G.2015.energy</t>
  </si>
  <si>
    <t>The page where the user can see all the energy outputs for the year 2015</t>
  </si>
  <si>
    <t>G.2015.emissions</t>
  </si>
  <si>
    <t>G.2015.costs</t>
  </si>
  <si>
    <t>The page where the user can see all the emissions outputs for the year 2015</t>
  </si>
  <si>
    <t>The page where the user can see all the cost outputs for the year 2015</t>
  </si>
  <si>
    <t>Note: this page needs actual translations (the current ones are just for illustration) and we need to link the translation output to the relevant sheets.</t>
  </si>
  <si>
    <t>Developer notes</t>
  </si>
  <si>
    <t>Just a bunch of notes written during the development stage as issues / ideas occur</t>
  </si>
  <si>
    <t>The page where the user can see descriptions of previous versions of the Global Calculator spreadsheet</t>
  </si>
  <si>
    <t>Use a common look up approach within a section of a table to allow easy replication and quality assurance. Minimise the complexity of the functions.</t>
  </si>
  <si>
    <t>Note: need to link relevant text (headings, output descriptions, levers) to the language conversion sheet</t>
  </si>
  <si>
    <t>SECTORS AND TECHNOLOGIES</t>
  </si>
  <si>
    <t xml:space="preserve">Each technology has a code </t>
  </si>
  <si>
    <t>Sector codes</t>
  </si>
  <si>
    <t>This is only indicative at this stage. It will be added to / developed once we know which technologies we will use</t>
  </si>
  <si>
    <t>Energy service</t>
  </si>
  <si>
    <t>Heat / electricity</t>
  </si>
  <si>
    <t>Light</t>
  </si>
  <si>
    <t>Entertainment / labour saving</t>
  </si>
  <si>
    <t>solid.boiler.heat</t>
  </si>
  <si>
    <t>liquid.boiler.heat</t>
  </si>
  <si>
    <t>gas.boiler.heat</t>
  </si>
  <si>
    <t>micro.chp.heat</t>
  </si>
  <si>
    <t>chp.heat</t>
  </si>
  <si>
    <t>solar.heat</t>
  </si>
  <si>
    <t>district.heat</t>
  </si>
  <si>
    <t>air.pump.heat</t>
  </si>
  <si>
    <t>ground.pump.heat</t>
  </si>
  <si>
    <t>elec.heat</t>
  </si>
  <si>
    <t>ac.cooling</t>
  </si>
  <si>
    <t>bulb.light</t>
  </si>
  <si>
    <t>appliance</t>
  </si>
  <si>
    <t>oven.cook</t>
  </si>
  <si>
    <t>efficient.solid.elec</t>
  </si>
  <si>
    <t>inefficient.solid.elec</t>
  </si>
  <si>
    <t>efficient.liquid.elec</t>
  </si>
  <si>
    <t>inefficient.liquid.elec</t>
  </si>
  <si>
    <t>efficient.gas.elec</t>
  </si>
  <si>
    <t>inefficient.gas.elec</t>
  </si>
  <si>
    <t>CCS.soild.elec</t>
  </si>
  <si>
    <t>CCS.liquid.elec</t>
  </si>
  <si>
    <t>CCS.gas.elec</t>
  </si>
  <si>
    <t>nuclear.elec</t>
  </si>
  <si>
    <t>onshore.wind.elec</t>
  </si>
  <si>
    <t>offshore.wind.elec</t>
  </si>
  <si>
    <t>hydro.elec</t>
  </si>
  <si>
    <t>tidal.elec</t>
  </si>
  <si>
    <t>wave.elec</t>
  </si>
  <si>
    <t>solarpv.elec</t>
  </si>
  <si>
    <t>concentrated.solar.elec</t>
  </si>
  <si>
    <t>geothermal.elec</t>
  </si>
  <si>
    <t>storage.elec</t>
  </si>
  <si>
    <t xml:space="preserve">Energy conversion </t>
  </si>
  <si>
    <t>Region code</t>
  </si>
  <si>
    <t>Regional energy code</t>
  </si>
  <si>
    <t>Regional emissions</t>
  </si>
  <si>
    <t>IPCC code</t>
  </si>
  <si>
    <t>Regional emissions code</t>
  </si>
  <si>
    <t>Regional technologies</t>
  </si>
  <si>
    <t>Unabated power</t>
  </si>
  <si>
    <t>Carbon Capture and Storage</t>
  </si>
  <si>
    <t>Marine</t>
  </si>
  <si>
    <t>Storage</t>
  </si>
  <si>
    <t xml:space="preserve">Coal reserves </t>
  </si>
  <si>
    <t xml:space="preserve">Oil reserves </t>
  </si>
  <si>
    <t xml:space="preserve">Gas reserves </t>
  </si>
  <si>
    <t>Measured as energy (i.e. if a pathway uses coal, can see much of our reserves, in energy, are used)</t>
  </si>
  <si>
    <t>Includes food crops and bioenergy crops (i.e. energy taken from the land)</t>
  </si>
  <si>
    <t xml:space="preserve">All built environment non-heating electricity demand </t>
  </si>
  <si>
    <t>Energy demand for cooking</t>
  </si>
  <si>
    <t>Energy used for agriculture (food and biofuel production)</t>
  </si>
  <si>
    <t>Energy used for capturing and storing CO2</t>
  </si>
  <si>
    <t>Energy in the oil / petrol that is produced</t>
  </si>
  <si>
    <t>Energy in the coal / coal waste that is produced</t>
  </si>
  <si>
    <t>Energy in the natural gas that is produced</t>
  </si>
  <si>
    <t>Energy consumed by users</t>
  </si>
  <si>
    <t>Vectors are a means of communicating between sectors and technologies to calculate energy balances</t>
  </si>
  <si>
    <t>VECTORS</t>
  </si>
  <si>
    <t>Heat energy as an energy vector which is transported from elsewhere (i.e. district heating)</t>
  </si>
  <si>
    <t xml:space="preserve">Primary energy is the raw / natural form of energy (e.g. crude oil). Secondary energy is the useful form of energy (e.g. petrol). </t>
  </si>
  <si>
    <t xml:space="preserve">Some secondary energy  vectors are subsets of others (i.e coal is a subset of the solid hydrocarbon vector). </t>
  </si>
  <si>
    <t>We use subsets for calculating the demand for certain energy vectors. For example:</t>
  </si>
  <si>
    <t xml:space="preserve"> - How much coal needs to be extracted depends on demand for solid hydrocarbons minus the supply of solid biomatter</t>
  </si>
  <si>
    <t>Heat from solar thermal, used for hot water in buildings</t>
  </si>
  <si>
    <t>Each sector lead must ensure their techs have a zero balance by summarising the energy flows against the correct vectors</t>
  </si>
  <si>
    <t>BM.05</t>
  </si>
  <si>
    <t>BM.06</t>
  </si>
  <si>
    <t>People</t>
  </si>
  <si>
    <t>Will add more languages</t>
  </si>
  <si>
    <t>V.0.25.0</t>
  </si>
  <si>
    <t>Updated the energy vectors</t>
  </si>
  <si>
    <t>21.08.13</t>
  </si>
  <si>
    <t>Food and bioenergy</t>
  </si>
  <si>
    <t>Oversupply</t>
  </si>
  <si>
    <t>check</t>
  </si>
  <si>
    <t>Should equal 0</t>
  </si>
  <si>
    <t>Restructured to split assumptions data from calculations</t>
  </si>
  <si>
    <t>Need a first version for each sector. Sector 40 needs to incorporate balancing.</t>
  </si>
  <si>
    <t>Connect the main text (headers, output sheets, user instructions) to the translation sheet. Include translations in our chosen languages.</t>
  </si>
  <si>
    <t>Naming convention for technologies.</t>
  </si>
  <si>
    <r>
      <t xml:space="preserve">Provisional list is included. Question on how we could group the choices in a webtool / simple version (e.g. choices on electrification across all sectors, demand across all sectors, </t>
    </r>
    <r>
      <rPr>
        <b/>
        <sz val="10"/>
        <rFont val="Calibri"/>
        <family val="2"/>
      </rPr>
      <t>OR</t>
    </r>
    <r>
      <rPr>
        <sz val="10"/>
        <rFont val="Calibri"/>
        <family val="2"/>
      </rPr>
      <t xml:space="preserve"> effort in transport, effort in materials etc). Need to test the levers on different people.</t>
    </r>
  </si>
  <si>
    <t>Level 4 demand = maximum effort possible, but need to decide on limit. IE what is the minimum calorie consumption?, what is the minimum transport demand? - try to root it in the physical (e.g. minimum physically healthy food consumption, using WHO guidelines? min transport demand consistent with working from home?)</t>
  </si>
  <si>
    <t>Energy produced</t>
  </si>
  <si>
    <t>Sector leads will need to lead on technologies (e.g. buildings will need to cover lighting not used in buildings too, if not captured elsewhere). Need to make sure we have a M.E.C.E hierarchy that is allocated across leads.</t>
  </si>
  <si>
    <t>Data it requires from other sectors/ modules</t>
  </si>
  <si>
    <t>Population / urbanisation data and user's buildings choices</t>
  </si>
  <si>
    <t>Population / urbanisation data and user's transport choices</t>
  </si>
  <si>
    <t>Other data it provides</t>
  </si>
  <si>
    <t>Population / urbanisation data and user's materials choices</t>
  </si>
  <si>
    <t>Emissions, cost,  land use / technology unit implications</t>
  </si>
  <si>
    <t>Primary energy (coal, oil, gas, solar, hydro etc)</t>
  </si>
  <si>
    <t>Secondary energy (electricity and hydrocarbons)</t>
  </si>
  <si>
    <t>Secondary energy (hydrogen / synthetic fuels, electricity and hydrocarbons)</t>
  </si>
  <si>
    <t>Energy consumed</t>
  </si>
  <si>
    <t>Demand for hydrogen etc.</t>
  </si>
  <si>
    <t>Total demand for energy minus the supply from non-unabated power plants</t>
  </si>
  <si>
    <t xml:space="preserve">Emissions, cost,  land use / technology unit implications. </t>
  </si>
  <si>
    <t>Secondary energy (electricity and hydrocarbons, including hydrogen)</t>
  </si>
  <si>
    <t>Secondary energy (electricity and hydrocarbons) and primary energy (agriculture and waste)</t>
  </si>
  <si>
    <t>Transport energy</t>
  </si>
  <si>
    <t>Buildings energy</t>
  </si>
  <si>
    <t>Materials energy. Primary energy (coal, oil, gas)</t>
  </si>
  <si>
    <t>Secondary energy (electricity)</t>
  </si>
  <si>
    <t>Food supply and demand, forestry, geosequestration, waste collection / processing / conversion, total allocation of land</t>
  </si>
  <si>
    <t>Emissions, cost,  land use / technology unit implications, raw resource production and consumption. Waste.</t>
  </si>
  <si>
    <t>Population / urbanisation data and the user's preferences on land use, food and sequestration. Data from other sectors on land use and waste production.</t>
  </si>
  <si>
    <t>Emissions, cost,  land use / technology unit implications. Waste.</t>
  </si>
  <si>
    <t>Heating and cooling, lighting (incl. non-building light), appliances, cooking, washing, sanitation</t>
  </si>
  <si>
    <t>Demand for products. Production of products, buidlings and infrastructure. Materials production. Resource / fossil fuel extraction. Recycling</t>
  </si>
  <si>
    <t>Hydrocarbon power stations, CCS, nuclear, renewables (wind, hydro, etc). Balancing and transmission</t>
  </si>
  <si>
    <t>Note: this is just a rough idea, need to develop properly with correct terminology and detail and the right allocation.</t>
  </si>
  <si>
    <t>Agriculture energy and secondary energy (food, first gen bio, second gen bio, waste, hydrocarbons)</t>
  </si>
  <si>
    <t>A sector is a modelling convenience. It is a way of organising the world. We try to use a convention that groups similar types of conversions (e.g. all transport, which involves converting energy into mass-distance).</t>
  </si>
  <si>
    <t xml:space="preserve">Sectors differ from technologies; a technology converts energy into different forms, giving a net balance of zero. Sector leads are responsible for incorporating the relevant technologies into their sector. Technologies are not necessarily sector specific; but we may make them so for modelling convenience (e.g. the buildings sector lead will use the "light bulb" technology and lead on all lighting, even that on roads) </t>
  </si>
  <si>
    <t>Need to document issues within a sector on the sector sheet as the model is being produced.</t>
  </si>
  <si>
    <t>Need sectors to have driver trees, and for these to be a short as possible in V.0 whilst: (1) having data requirements that can be met (2) having physical things that can link well with choices (3) being structured in a way that faciliates a debate [e.g. rather than "number of journeys" at level 1-4, need people to discuss journeys per person, which will be tied to the global assumption on number of people]</t>
  </si>
  <si>
    <t>Having high level sectors</t>
  </si>
  <si>
    <t>We have combined things within a sheet to reduce the need for vectors (e.g. just have a materials sheet so we do not need a product vector coming from the products sheet going into a materials sheet)</t>
  </si>
  <si>
    <t>If we have to divide into regions, we can duplicate sheets when adding regions without having too many sheets (we have used a region code and lookups that refer to this code)</t>
  </si>
  <si>
    <t>High level sector sheets minimises "data ink" i.e. one matrix for capacity factors, rather than one per tech with associated duplication of headers</t>
  </si>
  <si>
    <t>Summarising the data</t>
  </si>
  <si>
    <t xml:space="preserve">We need technologies that allow us to aggregate up to the IEA's data reporting convention </t>
  </si>
  <si>
    <t>For example the IEA use*:</t>
  </si>
  <si>
    <t>How to treat off grid people? - Idea; user decides urbanisation, which has a sub lever (not user driven upfront) which drives proportion on the grid and what people on/off grid do (e.g. diesel generators vs. solar pv). Therefore can show % what rural people do (e.g. percent on and off grid)</t>
  </si>
  <si>
    <t>Electriticy generation</t>
  </si>
  <si>
    <t>Need an assumption on length of network needed and loss per km. Need to know about the feasibility of a global grid, and when it could become feasible.</t>
  </si>
  <si>
    <t>How to treat balancing? Do we dividing the world into regions for supply and demand of elec? If we do, do we actually model by regions (e.g. with region specific data), or model globally and split the global figures by region where needed?</t>
  </si>
  <si>
    <t>YEAR SHEETS</t>
  </si>
  <si>
    <t>We use year sheets to check that the net energy balance of techs is zero</t>
  </si>
  <si>
    <t>How to model post 2050 emissions? Just keep emissions flat from 2050? Or perhaps keep emissions per head flat from 2050 and multiple by a post-2050 population assumption? (this would have to be consistent with what population scenario the user chooses)</t>
  </si>
  <si>
    <t>Transparency and well-documented sources</t>
  </si>
  <si>
    <r>
      <rPr>
        <b/>
        <sz val="10"/>
        <rFont val="Calibri"/>
        <family val="2"/>
      </rPr>
      <t>Interlinkages</t>
    </r>
    <r>
      <rPr>
        <sz val="10"/>
        <rFont val="Calibri"/>
        <family val="2"/>
      </rPr>
      <t xml:space="preserve"> - e.g. product demand partially driven by other sectors (e.g. each product (car, turbine) has a tonne of steel/aluminium/iron, chemicals, cement, pulp and paper </t>
    </r>
  </si>
  <si>
    <r>
      <rPr>
        <b/>
        <sz val="10"/>
        <rFont val="Calibri"/>
        <family val="2"/>
      </rPr>
      <t>Expand the number of technologies</t>
    </r>
    <r>
      <rPr>
        <sz val="10"/>
        <rFont val="Calibri"/>
        <family val="2"/>
      </rPr>
      <t xml:space="preserve"> - risk - increases the complexity.</t>
    </r>
  </si>
  <si>
    <t>Need a user choice on climate sensitivity / model-data used / tipping point?</t>
  </si>
  <si>
    <t xml:space="preserve"> - Demand for energy for heating depends on how heating energy you require minus that which comes from solar thermal you generate and that provided by district heating ("heat transfer"))</t>
  </si>
  <si>
    <t>We wish to minimise the number of vectors. For example, only one type of coal, since all coal has broadly similar emissions factor per TWh, which is the basis for our EF. Note, we could work out how much of each different type of coal would be needed, for example, if all the coal was lignite (i.e. work back from the energy to the physical volume) vs if all was black coal</t>
  </si>
  <si>
    <t>V.0.26.0</t>
  </si>
  <si>
    <t>22.08.13</t>
  </si>
  <si>
    <t>Need sector leads to use the same naming conventions for "Tables" to facilitate lookups (e.g. from the year sheets)</t>
  </si>
  <si>
    <t>Determine which sector lead will lead on the data in the "universal assumptions", "constants" and "conversions" sheets. Need someone to do the translation.</t>
  </si>
  <si>
    <t>Yes, you are welcome to create your own version.</t>
  </si>
  <si>
    <t>Electricity grid (net of distribution losses)</t>
  </si>
  <si>
    <t>Bio-energy production</t>
  </si>
  <si>
    <t>-</t>
  </si>
  <si>
    <t>Linked the emissions results sheet to the year sheets. Tidied up other sheets.</t>
  </si>
  <si>
    <t>Historic actuals</t>
  </si>
  <si>
    <t>Calculated by the model</t>
  </si>
  <si>
    <t>V1.0.0</t>
  </si>
  <si>
    <t>Just saved under new name to recognise new period</t>
  </si>
  <si>
    <t>V1.1.0</t>
  </si>
  <si>
    <t>Removed historic data from G.x (data) and G.x sheets. Only historic data back to 1970 in output sheets.</t>
  </si>
  <si>
    <t>13.09.13</t>
  </si>
  <si>
    <t>Cost assumptions</t>
  </si>
  <si>
    <t>Link</t>
  </si>
  <si>
    <t>Comment / assumptions / caveats</t>
  </si>
  <si>
    <t>Comment author</t>
  </si>
  <si>
    <t>TB</t>
  </si>
  <si>
    <t>Data sources and comments</t>
  </si>
  <si>
    <t>Risk (Green, Amber/Green, Amber, Red/Amber, Red)</t>
  </si>
  <si>
    <t>Medium variant</t>
  </si>
  <si>
    <t>http://esa.un.org/unpd/wpp/unpp/panel_population.htm</t>
  </si>
  <si>
    <t>Green</t>
  </si>
  <si>
    <t>Low variant</t>
  </si>
  <si>
    <t>High variant</t>
  </si>
  <si>
    <t>Information on the data source is this way</t>
  </si>
  <si>
    <t>Notes on the calculations</t>
  </si>
  <si>
    <t>Energy calculations / results</t>
  </si>
  <si>
    <t>Emissions calculations / results</t>
  </si>
  <si>
    <t>Land use and technology calculations / results</t>
  </si>
  <si>
    <t>Cost calculations / results</t>
  </si>
  <si>
    <t>End of sheet</t>
  </si>
  <si>
    <t>Lever guides</t>
  </si>
  <si>
    <t xml:space="preserve"> </t>
  </si>
  <si>
    <t>Coal</t>
  </si>
  <si>
    <t>% of est. reserves consumed</t>
  </si>
  <si>
    <t>Consumption by 2050</t>
  </si>
  <si>
    <t>V1.2.0</t>
  </si>
  <si>
    <t>Modified the styles. Added UN population data. Added documentation tables</t>
  </si>
  <si>
    <t>Global Urbanisation</t>
  </si>
  <si>
    <t>UN scenario</t>
  </si>
  <si>
    <t>10% slower than UN</t>
  </si>
  <si>
    <t>10% faster than UN</t>
  </si>
  <si>
    <t>Global urbanisation</t>
  </si>
  <si>
    <t>http://esa.un.org/unup/CD-ROM/Urban-Rural-Population.htm</t>
  </si>
  <si>
    <t>UN</t>
  </si>
  <si>
    <t>Time is measured in</t>
  </si>
  <si>
    <t>seconds</t>
  </si>
  <si>
    <t>s</t>
  </si>
  <si>
    <t>unit.second</t>
  </si>
  <si>
    <t>Efficiency</t>
  </si>
  <si>
    <t>$</t>
  </si>
  <si>
    <t>2011 Data (IEA, "World Energy Outlook", 2012)</t>
  </si>
  <si>
    <t>$k</t>
  </si>
  <si>
    <t>$m</t>
  </si>
  <si>
    <t>$bn</t>
  </si>
  <si>
    <t>$tn</t>
  </si>
  <si>
    <t>2011 trillion british pounds</t>
  </si>
  <si>
    <t>2011 billion british pounds</t>
  </si>
  <si>
    <t>2011 million british pounds</t>
  </si>
  <si>
    <t>2011 thousand british pounds</t>
  </si>
  <si>
    <t>2011 british pounds</t>
  </si>
  <si>
    <t>2011 US dollars</t>
  </si>
  <si>
    <t>2011 thousand US dollars</t>
  </si>
  <si>
    <t>2011 million US dollars</t>
  </si>
  <si>
    <t>2011 billion US dollars</t>
  </si>
  <si>
    <t>2011 trillion US dollars</t>
  </si>
  <si>
    <t>USD</t>
  </si>
  <si>
    <t>kUSD</t>
  </si>
  <si>
    <t>MUSD</t>
  </si>
  <si>
    <t>GUSD</t>
  </si>
  <si>
    <t>TUSD</t>
  </si>
  <si>
    <t>Chinese Yuan</t>
  </si>
  <si>
    <t>Euro</t>
  </si>
  <si>
    <t>Indian Rupee</t>
  </si>
  <si>
    <t>Japanese Yen</t>
  </si>
  <si>
    <t>Korean Won</t>
  </si>
  <si>
    <t>Russian Ruble</t>
  </si>
  <si>
    <t>Canadian Dollar</t>
  </si>
  <si>
    <t>Canadian Dollar tn</t>
  </si>
  <si>
    <t>Canadian Dollar bn</t>
  </si>
  <si>
    <t>Canadian Dollar m</t>
  </si>
  <si>
    <t>Canadian Dollar k</t>
  </si>
  <si>
    <t>Chinese Yuan tn</t>
  </si>
  <si>
    <t>Chinese Yuan bn</t>
  </si>
  <si>
    <t>Chinese Yuan m</t>
  </si>
  <si>
    <t>Chinese Yuan k</t>
  </si>
  <si>
    <t>Euro tn</t>
  </si>
  <si>
    <t>Euro bn</t>
  </si>
  <si>
    <t>Euro m</t>
  </si>
  <si>
    <t>Euro k</t>
  </si>
  <si>
    <t>Indian Rupee tn</t>
  </si>
  <si>
    <t>Indian Rupee bn</t>
  </si>
  <si>
    <t>Indian Rupee m</t>
  </si>
  <si>
    <t>Indian Rupee k</t>
  </si>
  <si>
    <t>Japanese Yen tn</t>
  </si>
  <si>
    <t>Japanese Yen bn</t>
  </si>
  <si>
    <t>Japanese Yen m</t>
  </si>
  <si>
    <t>Japanese Yen k</t>
  </si>
  <si>
    <t>Korean Won tn</t>
  </si>
  <si>
    <t>Korean Won bn</t>
  </si>
  <si>
    <t>Korean Won m</t>
  </si>
  <si>
    <t>Korean Won k</t>
  </si>
  <si>
    <t>Russian Ruble tn</t>
  </si>
  <si>
    <t>Russian Ruble bn</t>
  </si>
  <si>
    <t>Russian Ruble m</t>
  </si>
  <si>
    <t>Russian Ruble k</t>
  </si>
  <si>
    <t>2011 thousand Korean Won k</t>
  </si>
  <si>
    <t>2011 trillion Canadian Dollar</t>
  </si>
  <si>
    <t>2011 billion Canadian Dollar</t>
  </si>
  <si>
    <t>2011 million Canadian Dollar</t>
  </si>
  <si>
    <t>2011 thousand Canadian Dollar</t>
  </si>
  <si>
    <t>2011 Canadian Dollar</t>
  </si>
  <si>
    <t>2011 trillion Chinese Yuan</t>
  </si>
  <si>
    <t>2011 billion Chinese Yuan</t>
  </si>
  <si>
    <t>2011 million Chinese Yuan</t>
  </si>
  <si>
    <t xml:space="preserve">2011 thousand Chinese Yuan </t>
  </si>
  <si>
    <t>2011 Chinese Yuan</t>
  </si>
  <si>
    <t>2011 trillion Euro</t>
  </si>
  <si>
    <t>2011 billion Euro</t>
  </si>
  <si>
    <t>2011 million Euro</t>
  </si>
  <si>
    <t>2011 thousand Euro</t>
  </si>
  <si>
    <t>2011 Euro</t>
  </si>
  <si>
    <t>2011 trillion Indian Rupee</t>
  </si>
  <si>
    <t>2011 billion Indian Rupee</t>
  </si>
  <si>
    <t>2011 million Indian Rupee</t>
  </si>
  <si>
    <t>2011 thousand Indian Rupee</t>
  </si>
  <si>
    <t>2011 Indian Rupee</t>
  </si>
  <si>
    <t xml:space="preserve">2011 trillion Japanese Yen </t>
  </si>
  <si>
    <t xml:space="preserve">2011 billion Japanese Yen </t>
  </si>
  <si>
    <t>2011 million Japanese Yen</t>
  </si>
  <si>
    <t>2011 thousand Japanese Yen</t>
  </si>
  <si>
    <t>2011 Japanese Yen</t>
  </si>
  <si>
    <t xml:space="preserve">2011 trillion Korean Won </t>
  </si>
  <si>
    <t xml:space="preserve">2011 billion Korean Won </t>
  </si>
  <si>
    <t xml:space="preserve">2011 million Korean Won </t>
  </si>
  <si>
    <t>2011 Korean Won</t>
  </si>
  <si>
    <t xml:space="preserve">2011 trillion Russian Ruble </t>
  </si>
  <si>
    <t xml:space="preserve">2011 billion Russian Ruble </t>
  </si>
  <si>
    <t>2011 million Russian Ruble</t>
  </si>
  <si>
    <t>2011 thousand Russian Ruble</t>
  </si>
  <si>
    <t>2011 Russian Ruble</t>
  </si>
  <si>
    <t>CD</t>
  </si>
  <si>
    <t>TCD</t>
  </si>
  <si>
    <t>GCD</t>
  </si>
  <si>
    <t>MCD</t>
  </si>
  <si>
    <t>KCD</t>
  </si>
  <si>
    <t>TCY</t>
  </si>
  <si>
    <t>GCY</t>
  </si>
  <si>
    <t>MCY</t>
  </si>
  <si>
    <t>KCY</t>
  </si>
  <si>
    <t>Y</t>
  </si>
  <si>
    <t>TE</t>
  </si>
  <si>
    <t>GE</t>
  </si>
  <si>
    <t>ME</t>
  </si>
  <si>
    <t>KE</t>
  </si>
  <si>
    <t>E</t>
  </si>
  <si>
    <t>TIR</t>
  </si>
  <si>
    <t>GIR</t>
  </si>
  <si>
    <t>MIR</t>
  </si>
  <si>
    <t>KIR</t>
  </si>
  <si>
    <t>IR</t>
  </si>
  <si>
    <t>TJY</t>
  </si>
  <si>
    <t>GJY</t>
  </si>
  <si>
    <t>MJY</t>
  </si>
  <si>
    <t>KJY</t>
  </si>
  <si>
    <t>JY</t>
  </si>
  <si>
    <t>TKW</t>
  </si>
  <si>
    <t>GKW</t>
  </si>
  <si>
    <t>MKW</t>
  </si>
  <si>
    <t>KKW</t>
  </si>
  <si>
    <t>KW</t>
  </si>
  <si>
    <t>TRR</t>
  </si>
  <si>
    <t>GRR</t>
  </si>
  <si>
    <t>MRR</t>
  </si>
  <si>
    <t>KRR</t>
  </si>
  <si>
    <t>RR</t>
  </si>
  <si>
    <t>Peat? Biomass</t>
  </si>
  <si>
    <t>Brown coal</t>
  </si>
  <si>
    <t>Kg</t>
  </si>
  <si>
    <t xml:space="preserve">Weight is measured in </t>
  </si>
  <si>
    <t>kg</t>
  </si>
  <si>
    <t>Weight conversions</t>
  </si>
  <si>
    <t>kilogramme</t>
  </si>
  <si>
    <t>unit.kg</t>
  </si>
  <si>
    <t>kt</t>
  </si>
  <si>
    <t>Mt</t>
  </si>
  <si>
    <t>Gt</t>
  </si>
  <si>
    <t>Tt</t>
  </si>
  <si>
    <t>t</t>
  </si>
  <si>
    <t>Tonne</t>
  </si>
  <si>
    <t>Kilotonne</t>
  </si>
  <si>
    <t>Megatonne</t>
  </si>
  <si>
    <t>Gigatonne</t>
  </si>
  <si>
    <t>Teratonne</t>
  </si>
  <si>
    <t>unit.Tt</t>
  </si>
  <si>
    <t>unit.Gt</t>
  </si>
  <si>
    <t>unit.Mt</t>
  </si>
  <si>
    <t>unit.kt</t>
  </si>
  <si>
    <t>unit.t</t>
  </si>
  <si>
    <t>Liquid volume conversions</t>
  </si>
  <si>
    <t>Cubic metres</t>
  </si>
  <si>
    <t>scf</t>
  </si>
  <si>
    <t>Standard cubic feet</t>
  </si>
  <si>
    <t>Thousand cubic metres</t>
  </si>
  <si>
    <t>Million cubic metres</t>
  </si>
  <si>
    <t>Billion cubic metres</t>
  </si>
  <si>
    <t>Trillion cubic metres</t>
  </si>
  <si>
    <t>unit.scf</t>
  </si>
  <si>
    <t>Gas volume conversions</t>
  </si>
  <si>
    <t>http://www.gaslink.ie/energyconversion</t>
  </si>
  <si>
    <t xml:space="preserve">Gas volume is measured in </t>
  </si>
  <si>
    <t>cubic metres</t>
  </si>
  <si>
    <t>unit.bcm.energy</t>
  </si>
  <si>
    <t>Mtce</t>
  </si>
  <si>
    <t>Million tonnes of coal equivalent</t>
  </si>
  <si>
    <t>unit.Mtce</t>
  </si>
  <si>
    <t>IEA, "World Energy Outlook", 2012 (page 641)</t>
  </si>
  <si>
    <t>US gallon</t>
  </si>
  <si>
    <t>UK gallon</t>
  </si>
  <si>
    <t>UK gal</t>
  </si>
  <si>
    <t>US gal</t>
  </si>
  <si>
    <t>litre</t>
  </si>
  <si>
    <t>l</t>
  </si>
  <si>
    <t xml:space="preserve">Liquid volume is measure in </t>
  </si>
  <si>
    <t>litres</t>
  </si>
  <si>
    <t>unit.l</t>
  </si>
  <si>
    <t>bbl</t>
  </si>
  <si>
    <t>barrel of oil</t>
  </si>
  <si>
    <t>unit.bbl</t>
  </si>
  <si>
    <t>Cubic metre</t>
  </si>
  <si>
    <t>unit.UK.gal</t>
  </si>
  <si>
    <t>unit.US.gal</t>
  </si>
  <si>
    <t>Note: solids, liquids and gases of different types have broadly similar EF per energy content.</t>
  </si>
  <si>
    <t>For example see: http://www.theclimateregistry.org/downloads/2012/01/2012-Climate-Registry-Default-Emissions-Factors.pdf</t>
  </si>
  <si>
    <t>Taken from UK Calculator. Need global figures.</t>
  </si>
  <si>
    <t>UK 2050 Calculator</t>
  </si>
  <si>
    <t>m3</t>
  </si>
  <si>
    <t>unit.m3.liquid</t>
  </si>
  <si>
    <t>unit.m3.gas</t>
  </si>
  <si>
    <t>k.m3</t>
  </si>
  <si>
    <t>M.m3</t>
  </si>
  <si>
    <t>G.m3</t>
  </si>
  <si>
    <t>T.m3</t>
  </si>
  <si>
    <t>unit.k.m3.gas</t>
  </si>
  <si>
    <t>unit.M.m3.gas</t>
  </si>
  <si>
    <t>unit.G.m3.gas</t>
  </si>
  <si>
    <t>unit.T.m3.gas</t>
  </si>
  <si>
    <t>Gross energy values of selected fuels</t>
  </si>
  <si>
    <t>Assumed gross energy content of fuels</t>
  </si>
  <si>
    <t>unit</t>
  </si>
  <si>
    <t>Gross energy</t>
  </si>
  <si>
    <t>2012 revision. Well known, widely used source. Reputable organisation. Issue that IEA uses the figures from 2011</t>
  </si>
  <si>
    <t>2011</t>
  </si>
  <si>
    <t>Technology base year data</t>
  </si>
  <si>
    <t>Technology of powerplant deployed</t>
  </si>
  <si>
    <t>Capacity factor</t>
  </si>
  <si>
    <t>as % energy in fuel</t>
  </si>
  <si>
    <t>as % energy in steam</t>
  </si>
  <si>
    <t>Explanation</t>
  </si>
  <si>
    <t>Capacity unit</t>
  </si>
  <si>
    <t>Own use (% of gen)</t>
  </si>
  <si>
    <t>Max capacity</t>
  </si>
  <si>
    <t>Min capacity</t>
  </si>
  <si>
    <t>% GHGs abated</t>
  </si>
  <si>
    <t>Level 1 longer description</t>
  </si>
  <si>
    <t>Level 1 short description</t>
  </si>
  <si>
    <t>Level 2 short description</t>
  </si>
  <si>
    <t>Level 2 longer description</t>
  </si>
  <si>
    <t>Level 3 short description</t>
  </si>
  <si>
    <t>Level 3 longer description</t>
  </si>
  <si>
    <t>Level 4 short description</t>
  </si>
  <si>
    <t>Level 4 longer description</t>
  </si>
  <si>
    <t>Situation today</t>
  </si>
  <si>
    <t>Chosen level description</t>
  </si>
  <si>
    <t>Energy supply / demand from choice by 2050</t>
  </si>
  <si>
    <t>Description for the user's level choice</t>
  </si>
  <si>
    <t>Detailed lever guides</t>
  </si>
  <si>
    <t>The page where the user can see the explanation for each lever (user choice)</t>
  </si>
  <si>
    <t>X</t>
  </si>
  <si>
    <t>Temperature rise relative to pre-industrial (1850)</t>
  </si>
  <si>
    <t>Annual emissions rise relative to 1990 levels</t>
  </si>
  <si>
    <t>Action post 2050</t>
  </si>
  <si>
    <t>Emissions trajectory</t>
  </si>
  <si>
    <t>Need to produce credible scenario. Current one is a placeholder</t>
  </si>
  <si>
    <t>29.10.13</t>
  </si>
  <si>
    <t>V1.3.0</t>
  </si>
  <si>
    <t>How it interacts with other levers</t>
  </si>
  <si>
    <t>Added and changed the conversions. Removed conversion to CO2e and added CO2, CH4 and N2O to emissions output. Created a more streamlined table for base year technology data. Made 2011 the first model year. Added a lever description sheet and updated the user input sheet accordingly. Added emissions assumption post 2050.</t>
  </si>
  <si>
    <t>Urban population</t>
  </si>
  <si>
    <t>Rural population</t>
  </si>
  <si>
    <t>Climate uncertainty</t>
  </si>
  <si>
    <t>Atmospheric CO2 fraction</t>
  </si>
  <si>
    <t>C</t>
  </si>
  <si>
    <t>A</t>
  </si>
  <si>
    <t>US $</t>
  </si>
  <si>
    <t>Greenland</t>
  </si>
  <si>
    <t>unit.greenland</t>
  </si>
  <si>
    <t>v1.4.0</t>
  </si>
  <si>
    <t>unabated.solid.ultra.elec</t>
  </si>
  <si>
    <t>Fans count as appliances?</t>
  </si>
  <si>
    <t>unabated.solid.super.elec</t>
  </si>
  <si>
    <t>unabated.solid.sub.elec</t>
  </si>
  <si>
    <t>unabated.liquid.old.tech.elec</t>
  </si>
  <si>
    <t>unabated.liquid.new.tech.elec</t>
  </si>
  <si>
    <t>unabated.gas.CC.elec</t>
  </si>
  <si>
    <t>unabated.gas.OC.elec</t>
  </si>
  <si>
    <t>Unabated open-cycle gas turbine power plant</t>
  </si>
  <si>
    <t>Unabated combined cycle gas turbine power plant</t>
  </si>
  <si>
    <t>CCS.solid.ultra.elec</t>
  </si>
  <si>
    <t>CCS.solid.super.elec</t>
  </si>
  <si>
    <t>CCS.solid.sub.elec</t>
  </si>
  <si>
    <t>CCS.liquid.new.tech.elec</t>
  </si>
  <si>
    <t>CCS.liquid.old.tech.elec</t>
  </si>
  <si>
    <t>CCS.gas.OC.elec</t>
  </si>
  <si>
    <t>CCS.gas.CC.elec</t>
  </si>
  <si>
    <t>Hydrocarbon power stations, CCS, nuclear, wind, marine, hydro, geothermal and solar power. Electricity balacing and transfers.</t>
  </si>
  <si>
    <t xml:space="preserve">Synthetic fuel production (e.g. hydrogen). Fossil fuel refining. Bioenergy conversion. Duel transfers. </t>
  </si>
  <si>
    <t>Demand for products, materials and product production, resource extraction</t>
  </si>
  <si>
    <t>Carbon capture open-cycle gas turbine power plant</t>
  </si>
  <si>
    <t>Carbon capture combined cycle gas turbine power plant</t>
  </si>
  <si>
    <t>Unabated solid-fuel ultrasupercritical power plant</t>
  </si>
  <si>
    <t>Unabated solid-fuel supercritical power plant</t>
  </si>
  <si>
    <t>Unabated solid-fuel subcritical power plant</t>
  </si>
  <si>
    <t>Unabated liquid-fuel efficient power plant</t>
  </si>
  <si>
    <t>Unabated liquid-fuel inefficient power plant</t>
  </si>
  <si>
    <t>Carbon capture solid-fuel ultrasupercritical power plant</t>
  </si>
  <si>
    <t>Carbon capture solid-fuel supercritical power plant</t>
  </si>
  <si>
    <t>Carbon capture solid-fuel subcritical power plant</t>
  </si>
  <si>
    <t>Carbon capture liquid-fuel efficient power plant</t>
  </si>
  <si>
    <t>Carbon capture liquid-fuel inefficient power plant</t>
  </si>
  <si>
    <t>Urbanisation and access to electricity</t>
  </si>
  <si>
    <t>Lighting, appliances and cooking demand</t>
  </si>
  <si>
    <t>Lighting, appliances and cooking efficiency</t>
  </si>
  <si>
    <t>Building size (m2)</t>
  </si>
  <si>
    <t>Heating / cooling per m2</t>
  </si>
  <si>
    <t>Energy intensity of non-residential buildings</t>
  </si>
  <si>
    <t>Crop yields</t>
  </si>
  <si>
    <t>Livestock yields</t>
  </si>
  <si>
    <t>Bioenergy production</t>
  </si>
  <si>
    <t>Conservation areas</t>
  </si>
  <si>
    <t>Land multiuse and synergies</t>
  </si>
  <si>
    <t>Lever code</t>
  </si>
  <si>
    <t>EJ</t>
  </si>
  <si>
    <t>Livestock</t>
  </si>
  <si>
    <t>Waste production and collection</t>
  </si>
  <si>
    <t>ONLY USE THIS WHEN CONVERTING FINAL OUTPUTS - DON'T USE IF DESCRIBING NUMBER OF PEOPLE ETC IN CALCS)</t>
  </si>
  <si>
    <t>Exajoules</t>
  </si>
  <si>
    <t>Unit.EJ</t>
  </si>
  <si>
    <t>V1.5.0</t>
  </si>
  <si>
    <t>Added land use / bio / food</t>
  </si>
  <si>
    <t>Split up the different types of unabated and CCS power stations</t>
  </si>
  <si>
    <t>Forest</t>
  </si>
  <si>
    <t>Arable land for food crops</t>
  </si>
  <si>
    <t>Arable land for bioenergy</t>
  </si>
  <si>
    <t>Pasture for livestock</t>
  </si>
  <si>
    <t>Other land (desert, settlements)</t>
  </si>
  <si>
    <t>Energy crops</t>
  </si>
  <si>
    <t>Other crops</t>
  </si>
  <si>
    <t>BM.07</t>
  </si>
  <si>
    <t>Meat</t>
  </si>
  <si>
    <t>Food crops</t>
  </si>
  <si>
    <t>The energy content of the meat used as food for humans</t>
  </si>
  <si>
    <t>The energy content of the food crops as food for humans</t>
  </si>
  <si>
    <t>Agricultural produce used for non food and non bioenergy uses (e.g. cotton for clothing, crops for chemicals)</t>
  </si>
  <si>
    <t>First-generation crops (crops grown for energy use, such as wheat, corn etc) and second generation (e.g. miscanthus)</t>
  </si>
  <si>
    <t xml:space="preserve">Arable land for other </t>
  </si>
  <si>
    <t>(e.g. cotton for clothing, fibres/eucalyptus for paper + for chemicals etc)</t>
  </si>
  <si>
    <t>Arable.other</t>
  </si>
  <si>
    <t>Arable.food</t>
  </si>
  <si>
    <t>Arable.bio</t>
  </si>
  <si>
    <t>Pasture.food</t>
  </si>
  <si>
    <t>For exmaple, cotton for clothing, fibres/eucalyptus for paper + for crops for chemicals etc</t>
  </si>
  <si>
    <t>Other.Land.unproductive</t>
  </si>
  <si>
    <t>Other.Land.productive</t>
  </si>
  <si>
    <t>Remainder of productive terestial land after bioenergy and food</t>
  </si>
  <si>
    <t>Energy for rail transport</t>
  </si>
  <si>
    <t>Energy for aviation</t>
  </si>
  <si>
    <t>Energy for water transport</t>
  </si>
  <si>
    <t>Humans</t>
  </si>
  <si>
    <t>kcal</t>
  </si>
  <si>
    <t>Food calories</t>
  </si>
  <si>
    <t>Unit.calorie.not.food</t>
  </si>
  <si>
    <t>unit.kcal.food</t>
  </si>
  <si>
    <t>GGR</t>
  </si>
  <si>
    <t>GGR.tech</t>
  </si>
  <si>
    <t>Units</t>
  </si>
  <si>
    <t>Land.fill</t>
  </si>
  <si>
    <t>Note: 50 words max</t>
  </si>
  <si>
    <t>Note: 20 words max</t>
  </si>
  <si>
    <t>Passenger and freight mode and occupancy</t>
  </si>
  <si>
    <t>Passenger distance</t>
  </si>
  <si>
    <t>Passenger and freight efficiency</t>
  </si>
  <si>
    <t>Electrification of passenger and freight (electricity and hydrogen)</t>
  </si>
  <si>
    <t>Mass deforestation based on actual rates worldwide of the past 20-years.</t>
  </si>
  <si>
    <t>Very high in meat. Ref: Europe 2011 as a worldwide trend by 2050)</t>
  </si>
  <si>
    <t>High in meat, but keeping the current share of beef-lamb-pork-poultry worldwide. Ref.: growth rate based on past two decades.</t>
  </si>
  <si>
    <t>Current world dieraty pattern stagnate</t>
  </si>
  <si>
    <t>Low in meat and high in vegetables, including Vegan diets and some meat alternatives (e.g. soy meat, stemcell-based technologies). Ref. India 2011 as a worldwide trend by 2050.</t>
  </si>
  <si>
    <t>Keep the current world calorie consumption stabilised until 2050.</t>
  </si>
  <si>
    <t>No GGR Technologies</t>
  </si>
  <si>
    <t>Meet the current calorie consumption of EU countries by 2050.</t>
  </si>
  <si>
    <t>Increase the world calorie consumption slighly higher than the current global growth trend.</t>
  </si>
  <si>
    <t>Increase in the world calorie consumption, based on the last 10-year growth rate.</t>
  </si>
  <si>
    <t>Agricultural area</t>
  </si>
  <si>
    <t>Permanent meadows and pastures</t>
  </si>
  <si>
    <t>High increase in global crop yields (2% a year).</t>
  </si>
  <si>
    <t>Keep the past two decades trend of world yield growth (1.5% a year).</t>
  </si>
  <si>
    <t>Low increase in the global productivity (1.25% a year).</t>
  </si>
  <si>
    <t>Extreme yield growth (3% a year).</t>
  </si>
  <si>
    <t>Moderate growth of livestock yields (2% a year).</t>
  </si>
  <si>
    <t>Low increase of livestock yields (1.5% a year).</t>
  </si>
  <si>
    <t>High increase in global meat yields (2.5% a year).</t>
  </si>
  <si>
    <t>Extreme yield growth (3.5% a year).</t>
  </si>
  <si>
    <t xml:space="preserve">Low yield increase (1.25% a year). </t>
  </si>
  <si>
    <t xml:space="preserve">Moderate increase in yields (1.5% a year). </t>
  </si>
  <si>
    <t xml:space="preserve">High yield increase (2% a year). </t>
  </si>
  <si>
    <t>Extreme increase of bioenergy yields (3% a year).</t>
  </si>
  <si>
    <t xml:space="preserve">Low effort on GGR Technologies. Utilisation of existing technologies that remove CO2 - e.g. Afforestation and Biomass co-firing with CCS attached. </t>
  </si>
  <si>
    <t xml:space="preserve">Substantial contribution of GGR to tackle global warming, involving a number of technologies, including air capture, biochar, BECCS and ocean-based technologies. </t>
  </si>
  <si>
    <t xml:space="preserve">Extreme increase of GGR technologies, based on the current estimations of their maximum expansion that would be technically possible by 2050. </t>
  </si>
  <si>
    <t xml:space="preserve">Mismanaged land use and some potential negative effects of climate change on agriculture. </t>
  </si>
  <si>
    <t>Current world pattern of agricultural system stagnate until 2050.</t>
  </si>
  <si>
    <t xml:space="preserve">Increase in agro-forestry-pasture-bioenergy synergies and best farm practices, based on high growth rate of past decades. </t>
  </si>
  <si>
    <t>Strong maximisation of agriculture, including substantial intensification and use of agricultural residues and animal wastes. Climate-smart agriculture.</t>
  </si>
  <si>
    <t>Mass deforestation based on actual rates worldwide of the past 20-years. This is equivalent to keep deforesting based on a period that had substantial deforestation of some key biomes (e.g. Amazon, Congo Forest and Savannah).</t>
  </si>
  <si>
    <t>Global forest land stabilised by 2020.</t>
  </si>
  <si>
    <t>High afforestation and  forestation worlwide.</t>
  </si>
  <si>
    <t>Massive afforestation/forestation.</t>
  </si>
  <si>
    <t>Low bioenergy expansion in remaining areas worldwide.</t>
  </si>
  <si>
    <t>No bioenergy expansion would happen in remaining areas worldwide.</t>
  </si>
  <si>
    <t>Moderate bioenergy expansion in remaining areas worldwide.</t>
  </si>
  <si>
    <t>Massive bioenergy expansion in remaining areas worldwide.</t>
  </si>
  <si>
    <t>Low increase in the collection of wastes.</t>
  </si>
  <si>
    <t>Moderate increase in the collection of wastes.</t>
  </si>
  <si>
    <t>Massive increase in the collection of wastes.</t>
  </si>
  <si>
    <t>High increase in the collection of wastes.</t>
  </si>
  <si>
    <t>Glossary</t>
  </si>
  <si>
    <t>Title</t>
  </si>
  <si>
    <t>Definition</t>
  </si>
  <si>
    <t>Agricultural area, this category is the sum of areas under a) arable land - land under temporary agricultural crops (multiple-cropped areas are counted only once), temporary meadows for mowing or pasture, land under market and kitchen gardens and land temporarily fallow (less than five years). The abandoned land resulting from shifting cultivation is not included in this category. Data for “Arable land” are not meant to indicate the amount of land that is potentially cultivable; (b) permanent crops - land cultivated with long-term crops which do not have to be replanted for several years (such as cocoa and coffee); land under trees and shrubs producing flowers, such as roses and jasmine; and nurseries (except those for forest trees, which should be classified under "forest"); and (c) permanent meadows and pastures - land used permanently (five years or more) to grow herbaceous forage crops, either cultivated or growing wild (wild prairie or grazing land).</t>
  </si>
  <si>
    <t>FAO Statistics Division</t>
  </si>
  <si>
    <t>Arable land is the land under temporary agricultural crops (multiple-cropped areas are counted only once), temporary meadows for mowing or pasture, land under market and kitchen gardens and land temporarily fallow (less than five years). The abandoned land resulting from shifting cultivation is not included in this category. Data for “Arable land” are not meant to indicate the amount of land that is potentially cultivable.</t>
  </si>
  <si>
    <t>Arable land</t>
  </si>
  <si>
    <t>Harvested production per unit of harvested area for crop products. In most of the cases yield data are not recorded but obtained by dividing the production data by the data on area harvested. Data on yields of permanent crops are not as reliable as those for temporary crops either because most of the area information may correspond to planted area, as for grapes, or because of the scarcity and unreliability of the area figures reported by the countries, as for example for cocoa and coffee.</t>
  </si>
  <si>
    <t>Crop yield</t>
  </si>
  <si>
    <t>Energy requirement is the amount of food energy needed to balance energy expenditure in order to maintain body size, body composition and to allow optimal growth and development of children, deposition of tissues during pregnancy and secretion of milk during lactation, consistent with long-term good health.</t>
  </si>
  <si>
    <t>Dietary energy requirement</t>
  </si>
  <si>
    <t>Human energy requirement (Joint FAO/WHO/UNU Expert Consultation), 2001</t>
  </si>
  <si>
    <t>For primary commodities, production relates to the total domestic production whether inside or outside the agricultural sector, i.e. including non-commercial production and production in kitchen gardens. Unless otherwise indicated, production is reported at the farm level for primary crops (i.e. excluding harvesting losses for crops) and livestock items and in terms of live weight (i.e. the actual ex-water weight of the catch at the time of capture) for primary fish items. Production of processed commodities relates to the total output of the commodity at the manufacture level (i.e. it comprises output from domestic and imported raw materials of originating products). Reporting units are chosen accordingly, e.g. cereals are reported in terms of grains and paddy rice. As a general rule, all data on meat are expressed in terms of carcass weight. Usually the data on production relate to that which takes place during the reference period. However, production of certain crops may relate to the harvest of the year preceding the utilization period if harvesting takes place late in the year. In such instances, the production of a given year largely moves into consumption in the subsequent year. In the Food Balance Sheets a distinction is made between "output" and "input". The production of primary as well as of derived products is reported under "output". For derived commodities, the amounts of the originating commodity that are required for obtaining the output of the derived product are indicated under "input", and are expressed in terms of the originating commodity. The various factors used, i.e. milling rates, extraction rates, conversion or processing factors, carcass weights, milk yield, egg weights etc., should indicate the average national rate at which these commodities are generally converted.</t>
  </si>
  <si>
    <t>Food production</t>
  </si>
  <si>
    <t>FAO. 2001. Food balance sheets. A handbook. Rome.</t>
  </si>
  <si>
    <t>Forest area</t>
  </si>
  <si>
    <t>Forest area is the land spanning more than 0.5 hectares with trees higher than 5 metres and a canopy cover of more than 10 percent, or trees able to reach these thresholds in situ. It does not include land that is predominantly under agricultural or urban land use. Forest is determined both by the presence of trees and the absence of other predominant land uses. The trees should be able to reach a minimum height of 5 metres (m) in situ. Areas under reforestation that have not yet reached but are expected to reach a canopy cover of 10 percent and a tree height of 5 m are included, as are temporarily unstocked areas, resulting from human intervention or natural causes, which are expected to regenerate. Includes: areas with bamboo and palms provided that height and canopy cover criteria are met; forest roads, firebreaks and other small open areas; forest in national parks, nature reserves and other protected areas such as those of specific scientific, historical, cultural or spiritual interest; windbreaks, shelterbelts and corridors of trees with an area of more than 0.5 ha and width of more than 20 m; plantations primarily used for forestry or protective purposes, such as: rubber-wood plantations and cork, oak stands. Excludes: tree stands in agricultural production systems, for example in fruit plantations and agroforestry systems. The term also excludes trees in urban parks and gardens.</t>
  </si>
  <si>
    <t>Forest Resource Assessment (FRA)</t>
  </si>
  <si>
    <t>The type of activity being carried out on a unit of land. It is recognized that these categories are a mixture of land cover (e.g., Forest, Grassland, Wetlands) and land use (e.g., Cropland, Settlements) classes.</t>
  </si>
  <si>
    <t>Land use</t>
  </si>
  <si>
    <t>IPCC. 2006. 2006 IPCC Guidelines for National Greenhouse Gas Inventories, Prepared by the National Greenhouse Gas Inventories Programme, Eggleston H.S., Buendia L., Miwa K., Ngara T. and Tanabe K. (Eds), IGES, Hayama, Japan.</t>
  </si>
  <si>
    <t>Animals such as cattle and sheep which are kept on the holding or otherwise for agricultural production.</t>
  </si>
  <si>
    <t>FAO. 1996. Conducting agricultural censuses and surveys. FAO Statistical Development Series, No. 6. Rome.</t>
  </si>
  <si>
    <t>Other land is the land not classified as Agricultural land and Forest area. It includes built-up and related land, barren land, other wooded land, etc.</t>
  </si>
  <si>
    <t>Other land</t>
  </si>
  <si>
    <t>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t>
  </si>
  <si>
    <t>Permanent crops</t>
  </si>
  <si>
    <t>Permanent meadows and pastures is the land used permanently (five years or more) to grow herbaceous forage crops, either cultivated or growing wild (wild prairie or grazing land).</t>
  </si>
  <si>
    <t>The process of storing carbon in a carbon pool.</t>
  </si>
  <si>
    <t>Amount of the commodity in question lost through wastage (waste) during the year at all stages between the level at which production is recorded and the household, i.e. storage and transportation. Losses occurring before and during harvest are excluded. Waste from both edible and inedible parts of the commodity occurring in the household is also excluded. Quantities lost during the transformation of primary commodities into processed products are taken into account in the assessment of respective extraction/conversion rates. Distribution wastes tend to be considerable in countries with hot humid climate, difficult transportation and inadequate storage or processing facilities. This applies to the more perishable foodstuffs, and especially to those which have to be transported or stored for a long time in a tropical climate. Waste is often estimated as a fixed percentage of availability, the latter being defined as production plus imports plus stock withdrawals.</t>
  </si>
  <si>
    <t>Wastes</t>
  </si>
  <si>
    <t>FAO. 1986. The ICS users' manual. Interlinked computer strorage and processing system of food and agricultural commodity data. Rome.</t>
  </si>
  <si>
    <t>Bioenergy refers to energy derived from the biological carbon fixation of plants or from biological tissues. Examples are biodiesel, derived from vegetable oils and animal fats, and bioethanol, produced by the fermentation of carbohydrates of crops like corn. The production of biomass for energy production has important effects on rural development, international policy and economy, and on the environment: it supports the rural economy creating jobs and gives farmers a source of income complementary to food production. Biofuels have also an impact on economy and trade, since they reduce the dependence on oil-producing countries. Being derived from plants, their production contributes to carbon sequestration. Biofuels production presents also some issues, such as the increased pressure on water resources, deforestation (to clear land to cultivate fuel crops), and the change in use of land originally intended for food production.</t>
  </si>
  <si>
    <t>Animals</t>
  </si>
  <si>
    <t>Energy for agricultural production</t>
  </si>
  <si>
    <t>Land used for waste (buried or on surface)</t>
  </si>
  <si>
    <t>Interactions with other levers</t>
  </si>
  <si>
    <t>Agricultural produce</t>
  </si>
  <si>
    <t>BM.08</t>
  </si>
  <si>
    <t>Grass</t>
  </si>
  <si>
    <t>Non crop animal feed</t>
  </si>
  <si>
    <t>Animal's energy usage</t>
  </si>
  <si>
    <t>People's energy usage in living</t>
  </si>
  <si>
    <t>Respiration etc</t>
  </si>
  <si>
    <t>R.09</t>
  </si>
  <si>
    <t>All waste</t>
  </si>
  <si>
    <t>urban refrigerator</t>
  </si>
  <si>
    <t>urban dishwashers</t>
  </si>
  <si>
    <t>urban clothwasher</t>
  </si>
  <si>
    <t>urban clothdryers</t>
  </si>
  <si>
    <t>urban TV</t>
  </si>
  <si>
    <t>rural refrigerator</t>
  </si>
  <si>
    <t>rural dishwashers</t>
  </si>
  <si>
    <t>rural clothwasher</t>
  </si>
  <si>
    <t>rural clothdryers</t>
  </si>
  <si>
    <t>rural TV</t>
  </si>
  <si>
    <t>urban bulbs</t>
    <phoneticPr fontId="79" type="noConversion"/>
  </si>
  <si>
    <t>rural bulbs</t>
  </si>
  <si>
    <t>G.E.01</t>
  </si>
  <si>
    <t>Non-residential energy</t>
  </si>
  <si>
    <t>G.H.01</t>
  </si>
  <si>
    <t>Urban lighting</t>
  </si>
  <si>
    <t>Rural lighting</t>
  </si>
  <si>
    <t>Ruralappliances</t>
  </si>
  <si>
    <t>Urban appliances</t>
  </si>
  <si>
    <t>Urban cooking</t>
  </si>
  <si>
    <t>Urban residents with access to electricity</t>
  </si>
  <si>
    <t>Urban heating</t>
  </si>
  <si>
    <t>Urban cooling</t>
  </si>
  <si>
    <t>Rural residents with access to electricity</t>
  </si>
  <si>
    <t>Rural heating</t>
  </si>
  <si>
    <t>Rural cooling</t>
  </si>
  <si>
    <t>Rural cooking</t>
  </si>
  <si>
    <t>Urban residents with no access to electricity</t>
  </si>
  <si>
    <t>Rural residents with no access to electricity</t>
  </si>
  <si>
    <t>Heating</t>
  </si>
  <si>
    <t>Lighting</t>
  </si>
  <si>
    <t>V.1.6.0</t>
  </si>
  <si>
    <t>Alexandre</t>
  </si>
  <si>
    <t xml:space="preserve">Added land food bio </t>
  </si>
  <si>
    <t>V1.7.0</t>
  </si>
  <si>
    <t>Zhang</t>
  </si>
  <si>
    <t>Added buildings sector structure</t>
  </si>
  <si>
    <t>13.11.13</t>
  </si>
  <si>
    <t>Carbon intensity of production (excl. CCS)</t>
  </si>
  <si>
    <t>Steel.Oxygen.Electricity</t>
  </si>
  <si>
    <t>Oxygen steel</t>
  </si>
  <si>
    <t>Solid Hydrocarbons</t>
  </si>
  <si>
    <t>Steel.Electric.Electricity</t>
  </si>
  <si>
    <t>Electric steel</t>
  </si>
  <si>
    <t>La langue choisie est le</t>
  </si>
  <si>
    <t>Français</t>
  </si>
  <si>
    <t>Kilomètres</t>
  </si>
  <si>
    <t>Hydrocarbures solides</t>
  </si>
  <si>
    <t>Hydrocarbures liquides</t>
  </si>
  <si>
    <t>Hydrocarbures gazeux</t>
  </si>
  <si>
    <t>Traduction</t>
  </si>
  <si>
    <t>La superficie est mesurée en</t>
  </si>
  <si>
    <t>L'argent est mesuré en</t>
  </si>
  <si>
    <t>Contrôle de version</t>
  </si>
  <si>
    <t>Préferences de sortie</t>
  </si>
  <si>
    <t>Capex</t>
  </si>
  <si>
    <t>Opex</t>
  </si>
  <si>
    <t>per</t>
  </si>
  <si>
    <t>Note</t>
  </si>
  <si>
    <t>Iron &amp; steel</t>
  </si>
  <si>
    <t>M€</t>
  </si>
  <si>
    <t>to do</t>
  </si>
  <si>
    <t>Product mix : increase of EAF process</t>
  </si>
  <si>
    <t>MMtCO2</t>
  </si>
  <si>
    <t>or €200/t annual capacity</t>
  </si>
  <si>
    <t>Product mix:  increase of hard steal</t>
  </si>
  <si>
    <t>assumed cost neutral (you make for times less steel and it is 4 times more expensive)</t>
  </si>
  <si>
    <t>Energy efficiency for Blast furnaces</t>
  </si>
  <si>
    <t>Energy efficiency for Electric</t>
  </si>
  <si>
    <t>Process improvement: Top–gas recirculation and/or Hisarna</t>
  </si>
  <si>
    <t>Alternative fuels: Gas injection</t>
  </si>
  <si>
    <t>Alternative fuels: Coal PCI substitution by biomass</t>
  </si>
  <si>
    <t>on fuels</t>
  </si>
  <si>
    <t>Steel CCS</t>
  </si>
  <si>
    <t>Steel CCS for oxygen</t>
  </si>
  <si>
    <t>from IEA analysis</t>
  </si>
  <si>
    <t>Steel CCS for electric</t>
  </si>
  <si>
    <t>heroic assumption</t>
  </si>
  <si>
    <t>Check if relevant to keep lever</t>
  </si>
  <si>
    <t>Process improvement: Smelt reduction</t>
  </si>
  <si>
    <t>kt production capacity</t>
  </si>
  <si>
    <t>Aluminium</t>
  </si>
  <si>
    <t>Product mix : Processability</t>
  </si>
  <si>
    <t>Energy efficiency: Insulation</t>
  </si>
  <si>
    <t xml:space="preserve">Process improvement: Inert anodes </t>
  </si>
  <si>
    <t>Process improvement: Recycling</t>
  </si>
  <si>
    <t>Process improvement: Carbothermic</t>
  </si>
  <si>
    <t xml:space="preserve">Fuel substitution: Biogas </t>
  </si>
  <si>
    <t>Aluminium CCS</t>
  </si>
  <si>
    <t>Cement</t>
  </si>
  <si>
    <t>Product Mix</t>
  </si>
  <si>
    <t>kt Cement</t>
  </si>
  <si>
    <t>might need to be replaced by 0 for energy &amp; capex in case benefits are uncredibly high</t>
  </si>
  <si>
    <t>Energy efficiency</t>
  </si>
  <si>
    <t>Energy efficiency: Cogen</t>
  </si>
  <si>
    <t>Alternative fuels</t>
  </si>
  <si>
    <t>In IEA, numbers are available in USD Billion and for total production, they are converted here in € /kt cement then spread over 38 years</t>
  </si>
  <si>
    <t>Cement CCS</t>
  </si>
  <si>
    <t>Chemicals &amp; petrochemicals</t>
  </si>
  <si>
    <t>Product Mix: Green chemistry</t>
  </si>
  <si>
    <t>Energy efficiency : site efficiency</t>
  </si>
  <si>
    <t>Energy efficiency : cogen</t>
  </si>
  <si>
    <t>Process improvement:  process intensification</t>
  </si>
  <si>
    <t>/</t>
  </si>
  <si>
    <t>Process improvement:  decomposition of non-CO2 gases</t>
  </si>
  <si>
    <t>(included in cost above)</t>
  </si>
  <si>
    <t>TWh/MMtCO2e</t>
  </si>
  <si>
    <t>Alternative fuels: Biomass</t>
  </si>
  <si>
    <t>MMtCO2 (incl energy)</t>
  </si>
  <si>
    <t>Chemicals CCS</t>
  </si>
  <si>
    <t>Pulp &amp; paper</t>
  </si>
  <si>
    <t>tCO2e</t>
  </si>
  <si>
    <t>Assumed same as in Cement</t>
  </si>
  <si>
    <t>Alternative fuels (Fuel to Gas)</t>
  </si>
  <si>
    <t>Alternative fuels (Fuel and Gas to Biomass)</t>
  </si>
  <si>
    <t>CCS: Black liquor gasification</t>
  </si>
  <si>
    <t>CCS: End of pipe absorbing of CO2</t>
  </si>
  <si>
    <t>MEUR/Mton.yr</t>
  </si>
  <si>
    <t>Black liquor + CCS</t>
  </si>
  <si>
    <t>ktCO2/kt pulp</t>
  </si>
  <si>
    <t>Other industries</t>
  </si>
  <si>
    <t>Smart design</t>
  </si>
  <si>
    <t>Materials switch</t>
  </si>
  <si>
    <t>Materials Recycling</t>
  </si>
  <si>
    <t>Might be required per product, For products defined by other sectors, will be scrapped and need to be taken care of by the different sectors in v2</t>
  </si>
  <si>
    <t>(in a 1st step, materials production efficiency can range from a 0% increase to a 30% decrease, in a 2nd step, it will be refined)</t>
  </si>
  <si>
    <t>PRODUCTION CARBON INTENSITY</t>
  </si>
  <si>
    <t>% reduction in steel</t>
  </si>
  <si>
    <t>% additional high steel</t>
  </si>
  <si>
    <t>% high steel</t>
  </si>
  <si>
    <t>CCS</t>
  </si>
  <si>
    <t>Conversion ratio to</t>
  </si>
  <si>
    <t>Product</t>
  </si>
  <si>
    <t>G.mass.road.trans</t>
  </si>
  <si>
    <t>Global Public road transport</t>
  </si>
  <si>
    <t>#</t>
  </si>
  <si>
    <t>Roads</t>
  </si>
  <si>
    <t>m²</t>
  </si>
  <si>
    <t>G.pri.road.trans</t>
  </si>
  <si>
    <t>Global Private road transport</t>
  </si>
  <si>
    <t>G.priv.other.trans</t>
  </si>
  <si>
    <t>Global Non-energy</t>
  </si>
  <si>
    <t>N/A</t>
  </si>
  <si>
    <t>G.rail.trans</t>
  </si>
  <si>
    <t>Global Rail</t>
  </si>
  <si>
    <t>Airplanes &amp; rail</t>
  </si>
  <si>
    <t>units</t>
  </si>
  <si>
    <t>G.air.trans</t>
  </si>
  <si>
    <t>Global Air</t>
  </si>
  <si>
    <t>G.water.trans</t>
  </si>
  <si>
    <t>Global Water</t>
  </si>
  <si>
    <t>Mechanical equipment</t>
  </si>
  <si>
    <t>tons</t>
  </si>
  <si>
    <t>G.solid.boiler.heat</t>
  </si>
  <si>
    <t>Global Solid fuel boiler</t>
  </si>
  <si>
    <t>G.liquid.boiler.heat</t>
  </si>
  <si>
    <t>Global Liquid fuel boiler</t>
  </si>
  <si>
    <t>G.gas.boiler.heat</t>
  </si>
  <si>
    <t>Global Gaseous fuel boiler</t>
  </si>
  <si>
    <t>G.micro.chp.heat</t>
  </si>
  <si>
    <t>Global Micro combined heat and power (for single domestic purpose)</t>
  </si>
  <si>
    <t>G.chp.heat</t>
  </si>
  <si>
    <t>Global Large scale combined heat and power</t>
  </si>
  <si>
    <t>G.solar.heat</t>
  </si>
  <si>
    <t>Global Solar thermal</t>
  </si>
  <si>
    <t>G.district.heat</t>
  </si>
  <si>
    <t>Global District heating</t>
  </si>
  <si>
    <t>G.air.pump.heat</t>
  </si>
  <si>
    <t>Global Air source heat pump</t>
  </si>
  <si>
    <t>G.ground.pump.heat</t>
  </si>
  <si>
    <t>Global Ground source heat pump</t>
  </si>
  <si>
    <t>G.elec.heat</t>
  </si>
  <si>
    <t>Global Electric heaters</t>
  </si>
  <si>
    <t>G.ac.cooling</t>
  </si>
  <si>
    <t>Global Air conditioning</t>
  </si>
  <si>
    <t>G.bulb.light</t>
  </si>
  <si>
    <t>Global Light bulb</t>
  </si>
  <si>
    <t>G.appliance</t>
  </si>
  <si>
    <t>Global Appliance</t>
  </si>
  <si>
    <t>G.oven.cook</t>
  </si>
  <si>
    <t>Global Oven</t>
  </si>
  <si>
    <t>G.efficient.solid.elec</t>
  </si>
  <si>
    <t xml:space="preserve">Global Unabated solid supercritical and ultrasupercritical </t>
  </si>
  <si>
    <t>G.inefficient.solid.elec</t>
  </si>
  <si>
    <t xml:space="preserve">Global Unabated solid subcritical </t>
  </si>
  <si>
    <t>G.efficient.liquid.elec</t>
  </si>
  <si>
    <t>Global Unabated efficient liquid</t>
  </si>
  <si>
    <t>G.inefficient.liquid.elec</t>
  </si>
  <si>
    <t>Global Unabated inefficient liquid</t>
  </si>
  <si>
    <t>G.efficient.gas.elec</t>
  </si>
  <si>
    <t xml:space="preserve">Global Unabated open-cycle gas turbine </t>
  </si>
  <si>
    <t>G.inefficient.gas.elec</t>
  </si>
  <si>
    <t>Global Unabated combined cycle gas turbine</t>
  </si>
  <si>
    <t>G.CCS.soild.elec</t>
  </si>
  <si>
    <t>Global Solid fuel CCS plant</t>
  </si>
  <si>
    <t>G.CCS.liquid.elec</t>
  </si>
  <si>
    <t>Global Liquid fuel CCS plant</t>
  </si>
  <si>
    <t>G.CCS.gas.elec</t>
  </si>
  <si>
    <t>Global Gas fuel CCS plant</t>
  </si>
  <si>
    <t>G.nuclear.elec</t>
  </si>
  <si>
    <t>Global Nuclear power stations</t>
  </si>
  <si>
    <t>G.onshore.wind.elec</t>
  </si>
  <si>
    <t>Global On shore wind turbines</t>
  </si>
  <si>
    <t>Windmills</t>
  </si>
  <si>
    <t>G.offshore.wind.elec</t>
  </si>
  <si>
    <t>Global Off shore wind turbines</t>
  </si>
  <si>
    <t>G.hydro.elec</t>
  </si>
  <si>
    <t>Global Hydroelectric dam</t>
  </si>
  <si>
    <t>G.tidal.elec</t>
  </si>
  <si>
    <t>Global Tidal</t>
  </si>
  <si>
    <t>G.wave.elec</t>
  </si>
  <si>
    <t>Global Wave</t>
  </si>
  <si>
    <t>G.solarpv.elec</t>
  </si>
  <si>
    <t>Global Solar PV</t>
  </si>
  <si>
    <t>PV</t>
  </si>
  <si>
    <t>G.concentrated.solar.elec</t>
  </si>
  <si>
    <t>Global Concentrated solar</t>
  </si>
  <si>
    <t>G.geothermal.elec</t>
  </si>
  <si>
    <t>Global Geothermal</t>
  </si>
  <si>
    <t>G.storage.elec</t>
  </si>
  <si>
    <t>Global Storage unit</t>
  </si>
  <si>
    <t>G.reformer.hydrogen</t>
  </si>
  <si>
    <t>Global Steam reformers (for hydrogen)</t>
  </si>
  <si>
    <t>G.electrolysis.hydrogen</t>
  </si>
  <si>
    <t>Global Electrolysis units (for hydrogen)</t>
  </si>
  <si>
    <t>G.conversion.solidtoliquid</t>
  </si>
  <si>
    <t>Global Conversion plant (solid biomass to liquid)</t>
  </si>
  <si>
    <t>G.conversion.liquidtogas</t>
  </si>
  <si>
    <t>Global Conversion plant (liquid biomass to gas)</t>
  </si>
  <si>
    <t>G.conversion.gas</t>
  </si>
  <si>
    <t>Global Conversion plant (gas)</t>
  </si>
  <si>
    <t>G.Geosequestration</t>
  </si>
  <si>
    <t>Global Geosequestration units</t>
  </si>
  <si>
    <t>G.people</t>
  </si>
  <si>
    <t>Product demand</t>
  </si>
  <si>
    <t>New per year</t>
  </si>
  <si>
    <t>Decommissioned per year</t>
  </si>
  <si>
    <t>Lifetime (years)</t>
  </si>
  <si>
    <t>Cars &amp; light truck</t>
  </si>
  <si>
    <t>With both eyes open</t>
  </si>
  <si>
    <t>Trucks &amp; ships</t>
  </si>
  <si>
    <t>Large trucks contain 7121 lbs of steel</t>
  </si>
  <si>
    <t>Autosteel http://www.autosteel.org/~/media/Files/Autosteel/Great%20Designs%20in%20Steel/GDIS%202012/Trends%20in%20Steel%20Content%20of%20North%20American%20Auto.pdf</t>
  </si>
  <si>
    <t>Industrial equipment</t>
  </si>
  <si>
    <t>Electrical equipment</t>
  </si>
  <si>
    <t>Climact heroic assumption</t>
  </si>
  <si>
    <t>Construction</t>
  </si>
  <si>
    <t>Infrastructure</t>
  </si>
  <si>
    <t>same amount per product as for buildings</t>
  </si>
  <si>
    <t>Climact assumption same as for buildings</t>
  </si>
  <si>
    <t>Per floor (With both eyes open)</t>
  </si>
  <si>
    <t>Metal products</t>
  </si>
  <si>
    <t>Metal goods</t>
  </si>
  <si>
    <t>Consummer packaging</t>
  </si>
  <si>
    <t>Domestic appliances</t>
  </si>
  <si>
    <t>Gap analysis</t>
  </si>
  <si>
    <t>Climact</t>
  </si>
  <si>
    <t>IEA crude steel</t>
  </si>
  <si>
    <t>Triangulating the steel</t>
  </si>
  <si>
    <t>Aluminium  The Challenges Ahead - Nnamdi Anyadike - Google Books, p107</t>
  </si>
  <si>
    <t>Electrical cables</t>
  </si>
  <si>
    <t>5kg per m² reviewed to remain aligned with surface estimates in steel</t>
  </si>
  <si>
    <t>reviewed to remain aligned with surface estimates in steel</t>
  </si>
  <si>
    <t>IEA</t>
  </si>
  <si>
    <t>Chemicals</t>
  </si>
  <si>
    <t>IEA Total "High value chemicals", "Ammonia" &amp; "Methanol"</t>
  </si>
  <si>
    <t>Paper</t>
  </si>
  <si>
    <t>IEA Total paper and paperboard</t>
  </si>
  <si>
    <t>Energy</t>
  </si>
  <si>
    <t>Out of scope to avoid iterative loops</t>
  </si>
  <si>
    <t>Climact TBD</t>
  </si>
  <si>
    <t>Alternative Fuels</t>
  </si>
  <si>
    <t>Iron &amp; steel: Gas Injection</t>
  </si>
  <si>
    <t>Iron &amp; steel: Coal PCI substitution by biomass</t>
  </si>
  <si>
    <t>Iron &amp; steel: Top–gas recirculation and/or Hisarna</t>
  </si>
  <si>
    <t>Iron &amp; Steel: Coal PCI substitution by biomass</t>
  </si>
  <si>
    <t>Steel.Oxygen.Emissions</t>
  </si>
  <si>
    <t>Steel.Electric.Emissions</t>
  </si>
  <si>
    <t>(in a 1st step, product demand can range from a 10% increase to a 10% decrease, in a 2nd step, most of the demand will be derived from product demand in other sectors), Will need to be taken care of by the different sectors in v2</t>
  </si>
  <si>
    <t>Design for Steel Production efficiency</t>
  </si>
  <si>
    <t>Material switch for Steel Production efficiency</t>
  </si>
  <si>
    <t>Recycling for Steel Production efficiency</t>
  </si>
  <si>
    <t>Iron &amp; Steel</t>
  </si>
  <si>
    <t>Heroic split between oxygen and electric</t>
  </si>
  <si>
    <t>High value chemicals</t>
  </si>
  <si>
    <t>Ammonia</t>
  </si>
  <si>
    <t>Methanol</t>
  </si>
  <si>
    <t>Other chemicals</t>
  </si>
  <si>
    <t>Alumina</t>
  </si>
  <si>
    <t>Primary aluminium</t>
  </si>
  <si>
    <t>Secondary aluminium</t>
  </si>
  <si>
    <t>Steel.oxygen</t>
  </si>
  <si>
    <t>Steel.electric</t>
  </si>
  <si>
    <t>Assumption non recovered paper is virgin</t>
  </si>
  <si>
    <t>Pulp &amp; paper.Virgin.Electricity</t>
  </si>
  <si>
    <t>Pulp &amp; paper.Recycled.Electricity</t>
  </si>
  <si>
    <t>Cement.Electricity</t>
  </si>
  <si>
    <t>Other industries.Electricity</t>
  </si>
  <si>
    <t>Steel.Oxygen.Heat</t>
  </si>
  <si>
    <t>Steel.Electric.Heat</t>
  </si>
  <si>
    <t>Steel</t>
  </si>
  <si>
    <t>Cement.Heat</t>
  </si>
  <si>
    <t>Aluminium.Primary.Electricity</t>
  </si>
  <si>
    <t>Aluminium.Primary.Heat</t>
  </si>
  <si>
    <t>Aluminium.Secondary.Electricity</t>
  </si>
  <si>
    <t>Aluminium.Secondary.Heat</t>
  </si>
  <si>
    <t>Iron and steel</t>
  </si>
  <si>
    <t>Final product</t>
  </si>
  <si>
    <t>Material</t>
  </si>
  <si>
    <t>Process improvements</t>
  </si>
  <si>
    <t>Amounts of products</t>
  </si>
  <si>
    <t>Technology to product (for later versions of calculator)</t>
  </si>
  <si>
    <t>Amounts of materials (by IEA for double check)</t>
  </si>
  <si>
    <t>Specific consumption</t>
  </si>
  <si>
    <t>Specific process emissions</t>
  </si>
  <si>
    <t>Product demand variation</t>
  </si>
  <si>
    <t>Material variance with IEA demand</t>
  </si>
  <si>
    <t>Energy demand after energy efficiency</t>
  </si>
  <si>
    <t>Energy demand after process improvements</t>
  </si>
  <si>
    <t>Energy demand after alternative fuels</t>
  </si>
  <si>
    <t>Energy demand after CCS</t>
  </si>
  <si>
    <t>level</t>
  </si>
  <si>
    <t>Climate science</t>
  </si>
  <si>
    <t>Erica</t>
  </si>
  <si>
    <t>ppm</t>
  </si>
  <si>
    <t>Value</t>
  </si>
  <si>
    <t>Pre-industrial CO2 concentration (ppm)</t>
  </si>
  <si>
    <t xml:space="preserve">Coefficient of logarithmic relationship between heat and CO2 </t>
  </si>
  <si>
    <t>Surface area of earth</t>
  </si>
  <si>
    <t>Pi</t>
  </si>
  <si>
    <t>Latent heat of ice melting</t>
  </si>
  <si>
    <t>Area of ocean surface</t>
  </si>
  <si>
    <t>from Czaja 2011</t>
  </si>
  <si>
    <t>Radius = 6371km</t>
  </si>
  <si>
    <t>1861-1880 average value</t>
  </si>
  <si>
    <t>http://data.giss.nasa.gov/modelforce/ghgases/Fig1A.ext.txt</t>
  </si>
  <si>
    <t>Area of ice sheet surface</t>
  </si>
  <si>
    <t>Historic concentration increase ratio (ppm per Gt CO2)</t>
  </si>
  <si>
    <t>Thermal expansion coefficient of seawater</t>
  </si>
  <si>
    <t>Density of fresh water</t>
  </si>
  <si>
    <t>Density of sea water</t>
  </si>
  <si>
    <t>degree</t>
  </si>
  <si>
    <t>Model uncertainty assumption</t>
  </si>
  <si>
    <t>Models are perfect.  Display only the range of model-generated outputs with no additional range for possible error.</t>
  </si>
  <si>
    <t>Models are perfect.</t>
  </si>
  <si>
    <t>IPCC AR5 method.</t>
  </si>
  <si>
    <t>IPCC AR5 method.  Generate a Gaussian approximation at each grid cell for the range of variability between models, and show this range as a 66% confidence interval.</t>
  </si>
  <si>
    <t>IPCC AR4 method.</t>
  </si>
  <si>
    <t>IPCC AR4 method.  (60-40 probably not appropriate at every grid point?)</t>
  </si>
  <si>
    <t>To be decided?</t>
  </si>
  <si>
    <t>atm.fraction</t>
  </si>
  <si>
    <t>model.unc</t>
  </si>
  <si>
    <t>Current fraction of CO2 emissions which remain in the atmosphere: measured at 44±6 %  (IPCC AR5)</t>
  </si>
  <si>
    <t>Various methods are used to account for the fact that numerical models cannot represent the full range of our uncertainty about the future climate.</t>
  </si>
  <si>
    <t>Could add an interaction with total carbon emissions: for low trajectories the lower end of this range is expected to be more likely, and for high carbon trajectories the upper end.</t>
  </si>
  <si>
    <t xml:space="preserve"> Land and ocean sink similar to today; 44% of emitted CO2 remains in atmosphere.</t>
  </si>
  <si>
    <t>Land and ocean sinks decrease slightly; 60% of emitted CO2 remains in atmosphere.</t>
  </si>
  <si>
    <t>Land and ocean sinks decrease significantly: 74% of emitted CO2 remains in atmosphere.</t>
  </si>
  <si>
    <t>Land and ocean sinks decrease significantly: 74% of emitted CO2 remains in atmosphere.  Such a high atmospheric fraction is only expected for trajectories with very high rates of CO2 emissions.</t>
  </si>
  <si>
    <t>Large land and ocean sinks; only 30% of emitted CO2 remains in atmosphere</t>
  </si>
  <si>
    <t>Land and ocean sinks increase relative to the present day; only 30% of emitted CO2 remains in atmosphere.  Such a low atmospheric fraction is only expected for trajectories with very low rates of CO2 emissions.</t>
  </si>
  <si>
    <t>Specific heat capacity of seawater</t>
  </si>
  <si>
    <t xml:space="preserve">per </t>
  </si>
  <si>
    <t>J per kg</t>
  </si>
  <si>
    <t>Kaye and Laby</t>
  </si>
  <si>
    <r>
      <t xml:space="preserve">The page where the user can see the calculations and outputs for </t>
    </r>
    <r>
      <rPr>
        <b/>
        <u/>
        <sz val="10"/>
        <color theme="10"/>
        <rFont val="Calibri"/>
        <family val="2"/>
      </rPr>
      <t>transport</t>
    </r>
  </si>
  <si>
    <r>
      <t xml:space="preserve">The page where the user can see the calculations and outputs for </t>
    </r>
    <r>
      <rPr>
        <b/>
        <u/>
        <sz val="10"/>
        <color theme="10"/>
        <rFont val="Calibri"/>
        <family val="2"/>
      </rPr>
      <t>buildings</t>
    </r>
  </si>
  <si>
    <t>Climate (data)</t>
  </si>
  <si>
    <r>
      <t xml:space="preserve">The page where the user can see the calculations and outputs for </t>
    </r>
    <r>
      <rPr>
        <b/>
        <u/>
        <sz val="10"/>
        <color theme="10"/>
        <rFont val="Calibri"/>
        <family val="2"/>
      </rPr>
      <t>materials</t>
    </r>
  </si>
  <si>
    <r>
      <t xml:space="preserve">The page where the user can see the calculations and outputs for </t>
    </r>
    <r>
      <rPr>
        <b/>
        <u/>
        <sz val="10"/>
        <color theme="10"/>
        <rFont val="Calibri"/>
        <family val="2"/>
      </rPr>
      <t>electricity generation</t>
    </r>
  </si>
  <si>
    <r>
      <t xml:space="preserve">The page where the user can see the calculations and outputs for </t>
    </r>
    <r>
      <rPr>
        <b/>
        <u/>
        <sz val="10"/>
        <color theme="10"/>
        <rFont val="Calibri"/>
        <family val="2"/>
      </rPr>
      <t>synthetic and fossil fuels</t>
    </r>
  </si>
  <si>
    <r>
      <t xml:space="preserve">The page where the user can see the calculations and outputs for </t>
    </r>
    <r>
      <rPr>
        <b/>
        <u/>
        <sz val="10"/>
        <color theme="10"/>
        <rFont val="Calibri"/>
        <family val="2"/>
      </rPr>
      <t>land, food and bioenergy</t>
    </r>
  </si>
  <si>
    <r>
      <t xml:space="preserve">The page where the user can see the calculations and outputs for </t>
    </r>
    <r>
      <rPr>
        <b/>
        <u/>
        <sz val="10"/>
        <color theme="10"/>
        <rFont val="Calibri"/>
        <family val="2"/>
      </rPr>
      <t>climate impacts</t>
    </r>
  </si>
  <si>
    <t>User guides / inputs</t>
  </si>
  <si>
    <t>Input data</t>
  </si>
  <si>
    <t>Calculations</t>
  </si>
  <si>
    <t>Detailed year summaries</t>
  </si>
  <si>
    <r>
      <t>The page where certain text is converted into the user's preferenced</t>
    </r>
    <r>
      <rPr>
        <b/>
        <u/>
        <sz val="10"/>
        <color theme="10"/>
        <rFont val="Calibri"/>
        <family val="2"/>
      </rPr>
      <t xml:space="preserve"> language </t>
    </r>
  </si>
  <si>
    <r>
      <t xml:space="preserve">The page where all units are converted into the user's </t>
    </r>
    <r>
      <rPr>
        <b/>
        <u/>
        <sz val="10"/>
        <color theme="10"/>
        <rFont val="Calibri"/>
        <family val="2"/>
      </rPr>
      <t>unit preference</t>
    </r>
    <r>
      <rPr>
        <u/>
        <sz val="10"/>
        <color theme="10"/>
        <rFont val="Calibri"/>
        <family val="2"/>
      </rPr>
      <t xml:space="preserve"> (for example, joules are converted into kWh)</t>
    </r>
  </si>
  <si>
    <r>
      <t xml:space="preserve">The page where </t>
    </r>
    <r>
      <rPr>
        <b/>
        <u/>
        <sz val="10"/>
        <color theme="10"/>
        <rFont val="Calibri"/>
        <family val="2"/>
      </rPr>
      <t>constant values</t>
    </r>
    <r>
      <rPr>
        <u/>
        <sz val="10"/>
        <color theme="10"/>
        <rFont val="Calibri"/>
        <family val="2"/>
      </rPr>
      <t xml:space="preserve"> are given (for example, the energy content of different fuels)</t>
    </r>
  </si>
  <si>
    <r>
      <t xml:space="preserve">The page that provides the </t>
    </r>
    <r>
      <rPr>
        <b/>
        <u/>
        <sz val="10"/>
        <color theme="10"/>
        <rFont val="Calibri"/>
        <family val="2"/>
      </rPr>
      <t>naming conventions</t>
    </r>
    <r>
      <rPr>
        <u/>
        <sz val="10"/>
        <color theme="10"/>
        <rFont val="Calibri"/>
        <family val="2"/>
      </rPr>
      <t xml:space="preserve"> for sectors, sub-sectors, technologies, energy vectors, emissions and costs</t>
    </r>
  </si>
  <si>
    <t>Version control and model notes</t>
  </si>
  <si>
    <t>V1.8.0</t>
  </si>
  <si>
    <t>Michel</t>
  </si>
  <si>
    <t>V.1.9.0</t>
  </si>
  <si>
    <t>Added materials</t>
  </si>
  <si>
    <t>Added climate science. Tom reduced file size by deleting unecessary rows. Corrected liquid volume conversions</t>
  </si>
  <si>
    <t>19.11.13</t>
  </si>
  <si>
    <t>Emissions are flat from 2050</t>
  </si>
  <si>
    <t>Emissions reduce every five years by the difference between 2045 and 2050 emissions, until an absolute lower limit is hit</t>
  </si>
  <si>
    <t>Emissions reduce every five years by half the difference between 2045 and 2050 emissions (the trend continues at an ever decreasing rate), until an absolute lower limit is hit</t>
  </si>
  <si>
    <t>SMR.hyd</t>
  </si>
  <si>
    <t>Coal.hyd</t>
  </si>
  <si>
    <t>Elec.hyd</t>
  </si>
  <si>
    <t>MSW.gas</t>
  </si>
  <si>
    <t>Production of hydrogen through SMR</t>
  </si>
  <si>
    <t>Production of hydrogen through coal gasification</t>
  </si>
  <si>
    <t>Production of hydrogen through electrolysis</t>
  </si>
  <si>
    <t>In 2011 there was around 11.56 GW of geothermal power. Around 24 countries using geothermal electricity and 70 countries geothermal heat. Maximum potential in countires on ring of fire.</t>
  </si>
  <si>
    <t>In 2050 there is 404 GW of geothermal electricity. The avergae built up rate is 9% till 2020, whereas 11.55% till 2040 and 6% uptill 2050. For developing the levels different variables were mapped and interdependance of factors was analyzed.</t>
  </si>
  <si>
    <t>In 2050 there is 0 GW of geothermal electricity. Technological lifespan and depreciaiting CAGR was arrived by analysis of various intertwined factors.</t>
  </si>
  <si>
    <t>In 2050 there is 172 GW of geothermal electricity. Different build up rate were arrived for different timespans with emphasis on ring of fire countries.</t>
  </si>
  <si>
    <t>In 2050 there is 289 GW of geothermal electricity. Avergae growth rate is arrived by considering various global factors.</t>
  </si>
  <si>
    <t>International Energy Agency (IEA)</t>
  </si>
  <si>
    <t>http://www.eia.gov/forecasts/ieo/coal.cfm</t>
  </si>
  <si>
    <t>http://www.worldcoal.org/resources/coal-statistics/</t>
  </si>
  <si>
    <t>http://www.eia.gov/cfapps/ipdbproject/iedindex3.cfm?tid=5&amp;pid=57&amp;aid=6&amp;cid=regions&amp;syid=2013&amp;eyid=2013&amp;unit=BB</t>
  </si>
  <si>
    <t>http://www.bp.com/en/global/corporate/about-bp/statistical-review-of-world-energy-2013/review-by-energy-type/oil/oil-reserves/oil-reserve-in-numbers-in-this-review.html</t>
  </si>
  <si>
    <t>http://www.opec.org/opec_web/en/data_graphs/330.htm</t>
  </si>
  <si>
    <t>http://www.eia.gov/cfapps/ipdbproject/iedindex3.cfm?tid=3&amp;pid=3&amp;aid=6&amp;cid=regions&amp;syid=2013&amp;eyid=2013&amp;unit=TCF</t>
  </si>
  <si>
    <t>http://www.bp.com/en/global/corporate/about-bp/statistical-review-of-world-energy-2013/review-by-energy-type/natural-gas/natural-gas-reserves.html</t>
  </si>
  <si>
    <t>Greenland's weight</t>
  </si>
  <si>
    <t>Global buildings</t>
  </si>
  <si>
    <t>Global transport</t>
  </si>
  <si>
    <t>G.2</t>
  </si>
  <si>
    <t>G.1A</t>
  </si>
  <si>
    <t>ton</t>
  </si>
  <si>
    <t>Short ton</t>
  </si>
  <si>
    <t>unit.short.ton</t>
  </si>
  <si>
    <t>Method / type</t>
  </si>
  <si>
    <t>X2.A</t>
  </si>
  <si>
    <t>Carbon capture combustion</t>
  </si>
  <si>
    <t>X2.B</t>
  </si>
  <si>
    <t>Carbon capture industrial process</t>
  </si>
  <si>
    <t>X2 is not an IPPC sectoral code. CCS for combustion emissons (industry or generation), excluding process emissions.</t>
  </si>
  <si>
    <t>X2 is not an IPPC sectoral code. CCS on process emissions</t>
  </si>
  <si>
    <t>X2.C</t>
  </si>
  <si>
    <t>Carbon capture from air</t>
  </si>
  <si>
    <t>X2 is not an IPPC sectoral code. CCS directly from air</t>
  </si>
  <si>
    <t>Based on recoverable reserves: those quantities of coal that geological and engineering information indicates with reasonable certainty can be extracted in the future under existing economic and operating conditions.</t>
  </si>
  <si>
    <t xml:space="preserve">German Federal Institute for Geosciences and Natural Resources method. </t>
  </si>
  <si>
    <t>Unknown</t>
  </si>
  <si>
    <t>WEC data</t>
  </si>
  <si>
    <t>Method / source</t>
  </si>
  <si>
    <t>EIA</t>
  </si>
  <si>
    <t>Web link</t>
  </si>
  <si>
    <t>BP data, based on proved reserves, drawn from a variety of official primary sources and data provided by the OPEC Secretariat, World Oil and the Oil &amp; Gas Journal and an independent estimate of Russian and Chinese reserves based on information in the public domain</t>
  </si>
  <si>
    <t>OPEC</t>
  </si>
  <si>
    <t>unknown: EY input</t>
  </si>
  <si>
    <t>V.1.10.0</t>
  </si>
  <si>
    <t>Anindya</t>
  </si>
  <si>
    <t>Added fuels data and revisited electricity scenarios. Tom updated land / food / bio and corrected formulee across whole workbook</t>
  </si>
  <si>
    <t>22.11.13</t>
  </si>
  <si>
    <t>Efficiency of product manufacturing</t>
  </si>
  <si>
    <t>Will be overriden by the product demand specified by the other sectors</t>
  </si>
  <si>
    <t>Consumers demand a lot of resource intensive products and infrastructure per head (LIST 5 examples/head/year)
There is no development in product reuse nor recycling
Product demand correlated to historical projections and GDP projection</t>
  </si>
  <si>
    <t>Consumer product demand  reaches worldwide current EU levels then flattens (LIST 5 examples/head/year)
Moderate development in product reuse and recycling</t>
  </si>
  <si>
    <t>Consumers  product demand remains constant (increases in some parts of the  world balances decreases in other) (LIST 5 examples/head/year)
Significant development in product reuse and recycling</t>
  </si>
  <si>
    <t>Consumers buy fewer goods (e.g. they are higher value but less resource intensive)  (LIST 5 examples/head/year)
Product demand not correlated to GDP increase</t>
  </si>
  <si>
    <t>More of materials needed to produce products.
No additional material switch
Continued use of recycled products</t>
  </si>
  <si>
    <t>Constant use  of materials needed to produce products.
Minor material switches
Minor increase in the use of recycled products</t>
  </si>
  <si>
    <t>Slightly less  materials needed to produce products.
Significant material switches
Significant increase in the use of recycled products</t>
  </si>
  <si>
    <t>Significantly less materials needed to produce products.
Important material switches
Important increase in the use of recycled products</t>
  </si>
  <si>
    <t>Continued use of  current processes &amp; technologies
Continued use of fuels
Minimal improvements in Energy efficiency</t>
  </si>
  <si>
    <t xml:space="preserve">Moderate effort easily reached according to most experts
Equivalent to the development of recent programs for some sectors </t>
  </si>
  <si>
    <t>Significant technology progress, fuel switch towards biomass &amp; electrification)  &amp; energy efficiency requiring important financial investments</t>
  </si>
  <si>
    <t>Maximum technology progress, fuel switch (towards biomass &amp; electrification) &amp; energy efficiency close to technical and physical constraints (but limited breakthrough technologies)</t>
  </si>
  <si>
    <t>No CCS development</t>
  </si>
  <si>
    <t>CCS development as of 2030 progressively on installations emitting above 1 Mton CO2e/year</t>
  </si>
  <si>
    <t>CCS development as of 2030 progressively on installations emitting above 0,5 Mton CO2e/year</t>
  </si>
  <si>
    <t>CCS development as of 2030 progressively on installations emitting above 0,2 Mton CO2e/year</t>
  </si>
  <si>
    <t>Steel.Oxygen.Coal</t>
  </si>
  <si>
    <t>Steel.Oxygen.Oil</t>
  </si>
  <si>
    <t>Steel.Oxygen.NaturalGas</t>
  </si>
  <si>
    <t>Natural Gas</t>
  </si>
  <si>
    <t>Steel.Oxygen.SolidHydrocarbons</t>
  </si>
  <si>
    <t>Steel.Electric.Coal</t>
  </si>
  <si>
    <t>Steel.Electric.Oil</t>
  </si>
  <si>
    <t>Steel.Electric.NaturalGas</t>
  </si>
  <si>
    <t>Steel.Electric.SolidHydrocarbons</t>
  </si>
  <si>
    <t>Aluminium.Alumina.Electricity</t>
  </si>
  <si>
    <t>Aluminium.Alumina.Coal</t>
  </si>
  <si>
    <t>Aluminium.Alumina.Oil</t>
  </si>
  <si>
    <t>Aluminium.Alumina.NaturalGas</t>
  </si>
  <si>
    <t>Aluminium.Alumina.SolidHydrocarbons</t>
  </si>
  <si>
    <t>Aluminium.Alumina.Heat</t>
  </si>
  <si>
    <t>Aluminium.Primary.Coal</t>
  </si>
  <si>
    <t>Aluminium.Primary.Oil</t>
  </si>
  <si>
    <t>Aluminium.Primary.NaturalGas</t>
  </si>
  <si>
    <t>Aluminium.Primary.SolidHydrocarbons</t>
  </si>
  <si>
    <t>Aluminium.Secondary.Coal</t>
  </si>
  <si>
    <t>Aluminium.Secondary.Oil</t>
  </si>
  <si>
    <t>Aluminium.Secondary.NaturalGas</t>
  </si>
  <si>
    <t>Aluminium.Secondary.SolidHydrocarbons</t>
  </si>
  <si>
    <t>Chemicals &amp; petrochemicals.HighValueChemicals.Electricity</t>
  </si>
  <si>
    <t>Chemicals &amp; petrochemicals.HighValueChemicals.Coal</t>
  </si>
  <si>
    <t>Chemicals &amp; petrochemicals.HighValueChemicals.Oil</t>
  </si>
  <si>
    <t>Chemicals &amp; petrochemicals.HighValueChemicals.NaturalGas</t>
  </si>
  <si>
    <t>Chemicals &amp; petrochemicals.HighValueChemicals.SolidHydrocarbons</t>
  </si>
  <si>
    <t>Chemicals &amp; petrochemicals.HighValueChemicals.Heat</t>
  </si>
  <si>
    <t>Chemicals &amp; petrochemicals.Ammonia.Electricity</t>
  </si>
  <si>
    <t>Chemicals &amp; petrochemicals.Ammonia.Coal</t>
  </si>
  <si>
    <t>Chemicals &amp; petrochemicals.Ammonia.Oil</t>
  </si>
  <si>
    <t>Chemicals &amp; petrochemicals.Ammonia.NaturalGas</t>
  </si>
  <si>
    <t>Chemicals &amp; petrochemicals.Ammonia.SolidHydrocarbons</t>
  </si>
  <si>
    <t>Chemicals &amp; petrochemicals.Ammonia.Heat</t>
  </si>
  <si>
    <t>Chemicals &amp; petrochemicals.Methanol.Electricity</t>
  </si>
  <si>
    <t>Chemicals &amp; petrochemicals.Methanol.Coal</t>
  </si>
  <si>
    <t>Chemicals &amp; petrochemicals.Methanol.Oil</t>
  </si>
  <si>
    <t>Chemicals &amp; petrochemicals.Methanol.NaturalGas</t>
  </si>
  <si>
    <t>Chemicals &amp; petrochemicals.Methanol.SolidHydrocarbons</t>
  </si>
  <si>
    <t>Chemicals &amp; petrochemicals.Methanol.Heat</t>
  </si>
  <si>
    <t>Chemicals &amp; petrochemicals.Others.Electricity</t>
  </si>
  <si>
    <t>Chemicals &amp; petrochemicals.Others.Coal</t>
  </si>
  <si>
    <t>Chemicals &amp; petrochemicals.Others.Oil</t>
  </si>
  <si>
    <t>Chemicals &amp; petrochemicals.Others.NaturalGas</t>
  </si>
  <si>
    <t>Chemicals &amp; petrochemicals.Others.SolidHydrocarbons</t>
  </si>
  <si>
    <t>Chemicals &amp; petrochemicals.Others.Heat</t>
  </si>
  <si>
    <t>Pulp &amp; paper.Pulp.Electricity</t>
  </si>
  <si>
    <t>Pulp &amp; paper.Pulp.Coal</t>
  </si>
  <si>
    <t>Pulp &amp; paper.Pulp.Oil</t>
  </si>
  <si>
    <t>Pulp &amp; paper.Pulp.NaturalGas</t>
  </si>
  <si>
    <t>Pulp &amp; paper.Pulp.SolidHydrocarbons</t>
  </si>
  <si>
    <t>Pulp &amp; paper.Pulp.Heat</t>
  </si>
  <si>
    <t>Pulp &amp; paper.Virgin.Coal</t>
  </si>
  <si>
    <t>Pulp &amp; paper.Virgin.Oil</t>
  </si>
  <si>
    <t>Pulp &amp; paper.Virgin.NaturalGas</t>
  </si>
  <si>
    <t>Pulp &amp; paper.Virgin.SolidHydrocarbons</t>
  </si>
  <si>
    <t>Pulp &amp; paper.Virgin.Heat</t>
  </si>
  <si>
    <t>Pulp &amp; paper.Recycled.Coal</t>
  </si>
  <si>
    <t>Pulp &amp; paper.Recycled.Oil</t>
  </si>
  <si>
    <t>Pulp &amp; paper.Recycled.NaturalGas</t>
  </si>
  <si>
    <t>Pulp &amp; paper.Recycled.SolidHydrocarbons</t>
  </si>
  <si>
    <t>Pulp &amp; paper.Recycled.Heat</t>
  </si>
  <si>
    <t>Cement.Coal</t>
  </si>
  <si>
    <t>Cement.Oil</t>
  </si>
  <si>
    <t>Cement.NaturalGas</t>
  </si>
  <si>
    <t>Cement.SolidHydrocarbons</t>
  </si>
  <si>
    <t>Other industries.Coal</t>
  </si>
  <si>
    <t>Other industries.Oil</t>
  </si>
  <si>
    <t>Other industries.NaturalGas</t>
  </si>
  <si>
    <t>Other industries.SolidHydrocarbons</t>
  </si>
  <si>
    <t>Other industries.Heat</t>
  </si>
  <si>
    <t>Reduce products</t>
  </si>
  <si>
    <t>Reuse products</t>
  </si>
  <si>
    <t>Recycle products</t>
  </si>
  <si>
    <t>Design for Aluminium Production efficiency</t>
  </si>
  <si>
    <t>Design for Chemicals Production efficiency</t>
  </si>
  <si>
    <t>Design for Paper Production efficiency</t>
  </si>
  <si>
    <t>Design for Cement Production efficiency</t>
  </si>
  <si>
    <t>Design for Other industries Production efficiency</t>
  </si>
  <si>
    <t>Material switch for Aluminium Production efficiency</t>
  </si>
  <si>
    <t>Material switch for Chemicals Production efficiency</t>
  </si>
  <si>
    <t>Material switch for Paper Production efficiency</t>
  </si>
  <si>
    <t>Material switch for Cement Production efficiency</t>
  </si>
  <si>
    <t>Material switch for Other Industries Production efficiency</t>
  </si>
  <si>
    <t>Recycling for Aluminium Production efficiency</t>
  </si>
  <si>
    <t>Recycling for Chemicals Production efficiency</t>
  </si>
  <si>
    <t>Recycling for Paper Production efficiency</t>
  </si>
  <si>
    <t>Recycling for Cement Production efficiency</t>
  </si>
  <si>
    <t>Recycling for Other Industries Production efficiency</t>
  </si>
  <si>
    <t>Process</t>
  </si>
  <si>
    <t>Oxygen</t>
  </si>
  <si>
    <t>Electric</t>
  </si>
  <si>
    <t>Primary</t>
  </si>
  <si>
    <t>Secondary</t>
  </si>
  <si>
    <t>HighValueChemicals</t>
  </si>
  <si>
    <t>Others</t>
  </si>
  <si>
    <t>Pulp &amp; Paper</t>
  </si>
  <si>
    <t>Pulp</t>
  </si>
  <si>
    <t>Virgin</t>
  </si>
  <si>
    <t>Recycled</t>
  </si>
  <si>
    <t>Fuel switches</t>
  </si>
  <si>
    <t>FuelSwitch</t>
  </si>
  <si>
    <t>EnergyEfficiency</t>
  </si>
  <si>
    <t>Reduce : # Buildings</t>
  </si>
  <si>
    <t>Reduce : # Infrastructure</t>
  </si>
  <si>
    <t>Reduce : # Electrical cables</t>
  </si>
  <si>
    <t>Reduce : # Electrical equipment</t>
  </si>
  <si>
    <t>Reduce : # Mechanical equipment</t>
  </si>
  <si>
    <t>Reduce : # Metal goods</t>
  </si>
  <si>
    <t>Reduce : # Consummer packaging</t>
  </si>
  <si>
    <t>Reduce : # Domestic appliances</t>
  </si>
  <si>
    <t>Reduce : # Airplanes &amp; rail</t>
  </si>
  <si>
    <t>Reduce : # Cars &amp; light trucks</t>
  </si>
  <si>
    <t>Reduce : # Trucks &amp; ships</t>
  </si>
  <si>
    <t>Reduce : # Others</t>
  </si>
  <si>
    <t>Recycle : % of products recycled</t>
  </si>
  <si>
    <t>Aluminium: Inert Anodes</t>
  </si>
  <si>
    <t>Aluminium: Carbothermic</t>
  </si>
  <si>
    <t>Chemicals &amp; petrochemicals: High Value Chemicals</t>
  </si>
  <si>
    <t>Chemicals &amp; petrochemicals: Ammonia</t>
  </si>
  <si>
    <t>Chemicals &amp; petrochemicals: Methanol</t>
  </si>
  <si>
    <t>Chemicals &amp; petrochemicals: Others</t>
  </si>
  <si>
    <t>Pulp &amp; paper: Pulp</t>
  </si>
  <si>
    <t>Pulp &amp; paper: Virgin</t>
  </si>
  <si>
    <t>Pulp &amp; paper: Recycled</t>
  </si>
  <si>
    <t>Carbon capture and storage technology (% of emission increase and % of electricity consumption increase)</t>
  </si>
  <si>
    <t>Aluminium.Primary.Emissions</t>
  </si>
  <si>
    <t>Chemicals &amp; petrochemicals.HighValueChemicals.Emissions</t>
  </si>
  <si>
    <t>Chemicals &amp; petrochemicals.Ammonia.Emissions</t>
  </si>
  <si>
    <t>Chemicals &amp; petrochemicals.Methanol.Emissions</t>
  </si>
  <si>
    <t>Chemicals &amp; petrochemicals.Others.Emissions</t>
  </si>
  <si>
    <t>Pulp &amp; paper.Pulp.Emissions</t>
  </si>
  <si>
    <t>Pulp &amp; paper.Virgin.Emissions</t>
  </si>
  <si>
    <t>Pulp &amp; paper.Recycled.Emissions</t>
  </si>
  <si>
    <t>Other industries.Emissions</t>
  </si>
  <si>
    <t>High Added Value Chemicals</t>
  </si>
  <si>
    <t>Dummy figure</t>
  </si>
  <si>
    <t>Dummy number</t>
  </si>
  <si>
    <t>Oxygen Steel</t>
  </si>
  <si>
    <t>Electric Steel</t>
  </si>
  <si>
    <t>Primary Aluminium</t>
  </si>
  <si>
    <t>Secondary Aluminium</t>
  </si>
  <si>
    <t>High Value Chemicals</t>
  </si>
  <si>
    <t>Other Chemicals</t>
  </si>
  <si>
    <t>Paper Virgin</t>
  </si>
  <si>
    <t>Paper Recycled</t>
  </si>
  <si>
    <t>Assuming biomass emits</t>
  </si>
  <si>
    <t>Assuming biomass does not emit</t>
  </si>
  <si>
    <t>Emission factors</t>
  </si>
  <si>
    <t>NaturalGas</t>
  </si>
  <si>
    <t>SolidHydrocarbons</t>
  </si>
  <si>
    <t>understand why the total is negative in chemicals</t>
  </si>
  <si>
    <t>Total Emissions</t>
  </si>
  <si>
    <t>Total Process Emissions</t>
  </si>
  <si>
    <t>Process Emissions</t>
  </si>
  <si>
    <t>Paper: Pulp</t>
  </si>
  <si>
    <t>Paper: Virgin</t>
  </si>
  <si>
    <t>Paper: Recycled</t>
  </si>
  <si>
    <t>Design for paper Production efficiency</t>
  </si>
  <si>
    <t>Material switch for paper Production efficiency</t>
  </si>
  <si>
    <t>Recycling for paper Production efficiency</t>
  </si>
  <si>
    <t>Design for Other Industries Production efficiency</t>
  </si>
  <si>
    <t>Chemicals: High Added Value Chemicals</t>
  </si>
  <si>
    <t>Chemicals: Ammonia</t>
  </si>
  <si>
    <t>Chemicals: Methanol</t>
  </si>
  <si>
    <t>Chemicals: Other</t>
  </si>
  <si>
    <t>Energy demand after product manufacturing efficiency</t>
  </si>
  <si>
    <t>GHG emissions after product manufacturing efficiency (Standard: assuming biomass emits)</t>
  </si>
  <si>
    <t>CO2 Combustion</t>
  </si>
  <si>
    <t>Steel.Oxygen.Combustion</t>
  </si>
  <si>
    <t>Steel.Electric.Combustion</t>
  </si>
  <si>
    <t>Aluminium.Alumina.Combustion</t>
  </si>
  <si>
    <t>Aluminium.Primary.Combustion</t>
  </si>
  <si>
    <t>Aluminium.Secondary.Combustion</t>
  </si>
  <si>
    <t>Chemicals &amp; petrochemicals.HighValueChemicals.Combustion</t>
  </si>
  <si>
    <t>Chemicals &amp; petrochemicals.Ammonia.Combustion</t>
  </si>
  <si>
    <t>Chemicals &amp; petrochemicals.Methanol.Combustion</t>
  </si>
  <si>
    <t>Chemicals &amp; petrochemicals.Others.Combustion</t>
  </si>
  <si>
    <t>Pulp &amp; paper.Pulp.Combustion</t>
  </si>
  <si>
    <t>Pulp &amp; paper.Virgin.Combustion</t>
  </si>
  <si>
    <t>Pulp &amp; paper.Recycled.Combustion</t>
  </si>
  <si>
    <t>Cement.Combustion</t>
  </si>
  <si>
    <t>Other industries.Combustion</t>
  </si>
  <si>
    <t>CH4 Combustion</t>
  </si>
  <si>
    <t>N2O Combustion</t>
  </si>
  <si>
    <t>GHG emissions after product manufacturing efficiency (assuming biomass does not emit)</t>
  </si>
  <si>
    <t>Specific CO2 process</t>
  </si>
  <si>
    <t>Steel.Oxygen.Process</t>
  </si>
  <si>
    <t>Steel.Electric.Process</t>
  </si>
  <si>
    <t>Aluminium.Alumina.Process</t>
  </si>
  <si>
    <t>Aluminium.Primary.Process</t>
  </si>
  <si>
    <t>Aluminium.Secondary.Process</t>
  </si>
  <si>
    <t>Chemicals &amp; petrochemicals.HighValueChemicals.Process</t>
  </si>
  <si>
    <t>Chemicals &amp; petrochemicals.Ammonia.Process</t>
  </si>
  <si>
    <t>Chemicals &amp; petrochemicals.Methanol.Process</t>
  </si>
  <si>
    <t>Chemicals &amp; petrochemicals.Others.Process</t>
  </si>
  <si>
    <t>Pulp &amp; paper.Pulp.Process</t>
  </si>
  <si>
    <t>Pulp &amp; paper.Virgin.Process</t>
  </si>
  <si>
    <t>Pulp &amp; paper.Recycled.Process</t>
  </si>
  <si>
    <t>Cement.Process</t>
  </si>
  <si>
    <t>Other industries.Process</t>
  </si>
  <si>
    <t>Specific CH4 process</t>
  </si>
  <si>
    <t>Specific N2O process</t>
  </si>
  <si>
    <t>Specific process after process improvements</t>
  </si>
  <si>
    <t>Aluminium.Alumina.Emissions</t>
  </si>
  <si>
    <t>Aluminium.Secondary.Emissions</t>
  </si>
  <si>
    <t>Cement.Emissions</t>
  </si>
  <si>
    <t>Specific CO2 process after CCS</t>
  </si>
  <si>
    <t>GHG combustion emissions after CCS (assuming biomass emits)</t>
  </si>
  <si>
    <t xml:space="preserve">Material demand after product manufacturing efficiency </t>
  </si>
  <si>
    <t>Heroic Climact assumption</t>
  </si>
  <si>
    <t>DECC Global Calculator Industry Data v2 final (mail of november 22 2013)</t>
  </si>
  <si>
    <t>Consumption</t>
  </si>
  <si>
    <t>within sector split heroic climact assumption</t>
  </si>
  <si>
    <t>ok</t>
  </si>
  <si>
    <t xml:space="preserve">- </t>
  </si>
  <si>
    <t>total after industry owned CHP</t>
  </si>
  <si>
    <t>total before industry owned CHP</t>
  </si>
  <si>
    <t>Total after Industry CHP provided by IEA, total before CHP obtained by Climact heroic assumption</t>
  </si>
  <si>
    <t>Total after Industry CHP provided by IEA</t>
  </si>
  <si>
    <t>IEA/Climact</t>
  </si>
  <si>
    <t>Specific CO2 process after Energy Efficiency</t>
  </si>
  <si>
    <t>GHG combustion emissions after Energy efficiency (assuming biomass emits)</t>
  </si>
  <si>
    <t>motorbike.passenger.urban.fuel</t>
  </si>
  <si>
    <t>motorbike.passenger.urban.elec</t>
  </si>
  <si>
    <t>International</t>
  </si>
  <si>
    <t>motorbike.passenger.rural.fuel</t>
  </si>
  <si>
    <t>motorbike.passenger.rural.elec</t>
  </si>
  <si>
    <t>car.passenger.urban.fuel</t>
  </si>
  <si>
    <t>car.passenger.urban.PH</t>
  </si>
  <si>
    <t>car.passenger.urban.EV</t>
  </si>
  <si>
    <t>bus.passenger.urban.fuel</t>
  </si>
  <si>
    <t>bus.passenger.urban.PH</t>
  </si>
  <si>
    <t>bus.passenger.urban.EV</t>
  </si>
  <si>
    <t>train.passenger.urban.fuel</t>
  </si>
  <si>
    <t>bus.passenger.rural.fuel</t>
  </si>
  <si>
    <t>bus.passenger.rural.PH</t>
  </si>
  <si>
    <t>bus.passenger.rural.EV</t>
  </si>
  <si>
    <t>car.passenger.rural.fuel</t>
  </si>
  <si>
    <t>car.passenger.rural.PH</t>
  </si>
  <si>
    <t>car.passenger.rural.EV</t>
  </si>
  <si>
    <t>train.passenger.rural.fuel</t>
  </si>
  <si>
    <t>plane.passenger.international.fuel</t>
  </si>
  <si>
    <t>ship.passenger.international.fuel</t>
  </si>
  <si>
    <t>train.passenger.international.fuel</t>
  </si>
  <si>
    <t>train.passenger.urban.elec</t>
  </si>
  <si>
    <t>train.passenger.rural.elec</t>
  </si>
  <si>
    <t>train.passenger.international.elec</t>
  </si>
  <si>
    <t>bike.passenger.urban</t>
  </si>
  <si>
    <t>bike.passenger.rural</t>
  </si>
  <si>
    <t>car.passenger.urban.H2</t>
  </si>
  <si>
    <t>bus.passenger.urban.H2</t>
  </si>
  <si>
    <t>car.passenger.rural.H2</t>
  </si>
  <si>
    <t>bus.passenger.rural.H2</t>
  </si>
  <si>
    <t>Steel.OxygenHisarna.Electricity</t>
  </si>
  <si>
    <t>Steel.OxygenHisarna.Coal</t>
  </si>
  <si>
    <t>Steel.OxygenHisarna.Oil</t>
  </si>
  <si>
    <t>Steel.OxygenHisarna.NaturalGas</t>
  </si>
  <si>
    <t>Steel.OxygenHisarna.SolidHydrocarbons</t>
  </si>
  <si>
    <t>Steel.OxygenHisarna.Heat</t>
  </si>
  <si>
    <t>1.1</t>
  </si>
  <si>
    <t>Make it more robust when changing units (with Tom Bain)</t>
  </si>
  <si>
    <t>1.2</t>
  </si>
  <si>
    <t>1.3</t>
  </si>
  <si>
    <t>2.1</t>
  </si>
  <si>
    <t>2.1.1</t>
  </si>
  <si>
    <t>2.1.2</t>
  </si>
  <si>
    <t>2.1.3</t>
  </si>
  <si>
    <t>2.1.4</t>
  </si>
  <si>
    <t>2.1.5</t>
  </si>
  <si>
    <t>2.1.6</t>
  </si>
  <si>
    <t>2.2</t>
  </si>
  <si>
    <t>2.2.1</t>
  </si>
  <si>
    <t>2.2.2</t>
  </si>
  <si>
    <t>2.2.3</t>
  </si>
  <si>
    <t>2.2.4</t>
  </si>
  <si>
    <t>2.2.5</t>
  </si>
  <si>
    <t>2.2.6</t>
  </si>
  <si>
    <t>2.3</t>
  </si>
  <si>
    <t>2.3.1</t>
  </si>
  <si>
    <t>2.3.2</t>
  </si>
  <si>
    <t>2.3.3</t>
  </si>
  <si>
    <t>2.3.4</t>
  </si>
  <si>
    <t>2.3.5</t>
  </si>
  <si>
    <t>2.3.6</t>
  </si>
  <si>
    <t>3.1</t>
  </si>
  <si>
    <t>3.1.1</t>
  </si>
  <si>
    <t>3.1.1.1</t>
  </si>
  <si>
    <t>3.1.1.2</t>
  </si>
  <si>
    <t>3.1.2</t>
  </si>
  <si>
    <t>3.1.2.1</t>
  </si>
  <si>
    <t>3.1.2.2</t>
  </si>
  <si>
    <t>3.1.2.3</t>
  </si>
  <si>
    <t>3.1.3</t>
  </si>
  <si>
    <t>3.1.3.1</t>
  </si>
  <si>
    <t>3.1.3.2</t>
  </si>
  <si>
    <t>3.1.3.3</t>
  </si>
  <si>
    <t>3.1.3.4</t>
  </si>
  <si>
    <t>3.1.4</t>
  </si>
  <si>
    <t>3.1.4.1</t>
  </si>
  <si>
    <t>3.1.4.2</t>
  </si>
  <si>
    <t>3.1.4.3</t>
  </si>
  <si>
    <t>3.1.5</t>
  </si>
  <si>
    <t>3.1.6</t>
  </si>
  <si>
    <t>3.2</t>
  </si>
  <si>
    <t>3.2.1</t>
  </si>
  <si>
    <t>3.2.1.1</t>
  </si>
  <si>
    <t>FuelSwitch.Steel.OxygenHisarna</t>
  </si>
  <si>
    <t>3.2.1.2</t>
  </si>
  <si>
    <t>3.2.2</t>
  </si>
  <si>
    <t>3.2.2.1</t>
  </si>
  <si>
    <t>3.2.2.2</t>
  </si>
  <si>
    <t>3.2.2.3</t>
  </si>
  <si>
    <t>3.2.3</t>
  </si>
  <si>
    <t>3.2.3.1</t>
  </si>
  <si>
    <t>3.2.3.2</t>
  </si>
  <si>
    <t>3.2.3.3</t>
  </si>
  <si>
    <t>3.2.3.4</t>
  </si>
  <si>
    <t>3.2.4</t>
  </si>
  <si>
    <t>3.2.4.1</t>
  </si>
  <si>
    <t>3.2.4.2</t>
  </si>
  <si>
    <t>3.2.4.3</t>
  </si>
  <si>
    <t>3.2.5</t>
  </si>
  <si>
    <t>3.2.6</t>
  </si>
  <si>
    <t>3.3</t>
  </si>
  <si>
    <t>3.3.1</t>
  </si>
  <si>
    <t>3.3.1.1</t>
  </si>
  <si>
    <t>EnergyEfficiency.Steel.OxygenHisarna</t>
  </si>
  <si>
    <t>3.3.1.2</t>
  </si>
  <si>
    <t>3.3.2</t>
  </si>
  <si>
    <t>3.3.2.1</t>
  </si>
  <si>
    <t>3.3.2.2</t>
  </si>
  <si>
    <t>3.3.2.3</t>
  </si>
  <si>
    <t>3.3.3</t>
  </si>
  <si>
    <t>3.3.3.1</t>
  </si>
  <si>
    <t>3.3.3.2</t>
  </si>
  <si>
    <t>3.3.3.3</t>
  </si>
  <si>
    <t>3.3.3.4</t>
  </si>
  <si>
    <t>3.3.4</t>
  </si>
  <si>
    <t>3.3.4.1</t>
  </si>
  <si>
    <t>3.3.4.2</t>
  </si>
  <si>
    <t>3.3.4.3</t>
  </si>
  <si>
    <t>3.3.5</t>
  </si>
  <si>
    <t>3.3.6</t>
  </si>
  <si>
    <t>4.0.1</t>
  </si>
  <si>
    <t>4.0.1.1</t>
  </si>
  <si>
    <t>4.0.1.2</t>
  </si>
  <si>
    <t>CCS.Steel.OxygenHisarna</t>
  </si>
  <si>
    <t>4.0.1.3</t>
  </si>
  <si>
    <t>4.0.2</t>
  </si>
  <si>
    <t>4.0.2.1</t>
  </si>
  <si>
    <t>4.0.2.2</t>
  </si>
  <si>
    <t>4.0.2.3</t>
  </si>
  <si>
    <t>4.0.3</t>
  </si>
  <si>
    <t>4.0.3.1</t>
  </si>
  <si>
    <t>4.0.3.2</t>
  </si>
  <si>
    <t>4.0.3.3</t>
  </si>
  <si>
    <t>4.0.3.4</t>
  </si>
  <si>
    <t>4.0.4</t>
  </si>
  <si>
    <t>4.0.4.1</t>
  </si>
  <si>
    <t>4.0.4.2</t>
  </si>
  <si>
    <t>4.0.4.3</t>
  </si>
  <si>
    <t>4.0.5</t>
  </si>
  <si>
    <t>4.0.6</t>
  </si>
  <si>
    <t>Reuse : % of products reused</t>
  </si>
  <si>
    <t>Climact Expert consultations in Belgium</t>
  </si>
  <si>
    <t>Rationale explained to the right</t>
  </si>
  <si>
    <t>Describes the % switch to the Hisarna technology. From here on, Oxygen Hisarna is a new technology If Top gas recycling is applied, specific consumption is reduced by [0%,20%,30%,30%], coal is reduced by 45% and heat is removed</t>
  </si>
  <si>
    <t>% increase of the energy vector</t>
  </si>
  <si>
    <t>Iron &amp; Steel: Coal Substitution by Gas (Gas injection)</t>
  </si>
  <si>
    <t>Plug</t>
  </si>
  <si>
    <t>plug</t>
  </si>
  <si>
    <t>Aluminium: Coal substitution by Biomass</t>
  </si>
  <si>
    <t>Chemicals &amp; petrochemicals: High Value Chemicals: Coal Substitution by biomass</t>
  </si>
  <si>
    <t>Chemicals &amp; petrochemicals: Ammonia: Coal Substitution by biomass</t>
  </si>
  <si>
    <t>Chemicals &amp; petrochemicals: Methanol: Coal Substitution by biomass</t>
  </si>
  <si>
    <t>Chemicals &amp; petrochemicals: Others: Coal Substitution by biomass</t>
  </si>
  <si>
    <t>Pulp &amp; paper: Pulp: Coal Substitution by biomass</t>
  </si>
  <si>
    <t>Pulp &amp; paper: Virgin: Coal Substitution by biomass</t>
  </si>
  <si>
    <t>Pulp &amp; paper: Recycled: Coal Substitution by biomass</t>
  </si>
  <si>
    <t>Other industries: Coal Substitution by biomass</t>
  </si>
  <si>
    <t>Energy efficiency (CHP)</t>
  </si>
  <si>
    <t>Carbon capture and storage technology (% of emission increase)</t>
  </si>
  <si>
    <t>Steel.OxygenHisarna.Emissions</t>
  </si>
  <si>
    <t>Carbon capture and storage technology (% of electricity consumption increase)</t>
  </si>
  <si>
    <t>% recycled</t>
  </si>
  <si>
    <t>Oxygen Hisarna steel</t>
  </si>
  <si>
    <t>Currently electricity lines are assigned the wrong code (is required else the combustion emission formula below bugs)</t>
  </si>
  <si>
    <t>formula I would like to make work below, which would greatly simplify the workbook (but the 2nd line does not make an array of emission factors, it only makes up one number)</t>
  </si>
  <si>
    <t>=SUM(([@[.]]=G.30.assumptions.EnergyDemandAfterProductManufacturingEfficiency[.])
*INDEX(EF;MATCH(G.30.assumptions.EnergyDemandAfterProductManufacturingEfficiency[..];EF[Vector];0);3)
*G.30.assumptions.EnergyDemandAfterProductManufacturingEfficiency[2011])</t>
  </si>
  <si>
    <t>possible solution on http://office.microsoft.com/en-us/excel-help/how-to-look-up-a-value-in-a-list-and-return-multiple-corresponding-values-HA001226038.aspx</t>
  </si>
  <si>
    <t>do not repeat above line</t>
  </si>
  <si>
    <t>PLUG</t>
  </si>
  <si>
    <t>Steel.OxygenHisarna.Process</t>
  </si>
  <si>
    <t>Oxygen hisarna steel</t>
  </si>
  <si>
    <t>(in case of multiple elements selected, corresponds to *(1-a-b) instead of *(1-a)*(1-b), use of multiple elements is therefore avoided for the moment</t>
  </si>
  <si>
    <t>Energy demand after Energy efficiency (CHP)</t>
  </si>
  <si>
    <t>Steel.OxygenHisarna.Combustion</t>
  </si>
  <si>
    <t>used to fetch the tight tables</t>
  </si>
  <si>
    <t>used to fetch the right level ambition</t>
  </si>
  <si>
    <t>Total CCS capture</t>
  </si>
  <si>
    <t>need to multiply each gas by EF</t>
  </si>
  <si>
    <t>Solar photovoltaic</t>
  </si>
  <si>
    <t>Remaining reserves by 2050</t>
  </si>
  <si>
    <t>Global heat</t>
  </si>
  <si>
    <t>Global bioenergy, peat and waste</t>
  </si>
  <si>
    <t>Global nuclear fission</t>
  </si>
  <si>
    <t>Global solar, wind, wave and tidal</t>
  </si>
  <si>
    <t>Global geothermal</t>
  </si>
  <si>
    <t>Global hydro</t>
  </si>
  <si>
    <t xml:space="preserve">Global coal </t>
  </si>
  <si>
    <t xml:space="preserve">Global oil </t>
  </si>
  <si>
    <t xml:space="preserve">Global gas </t>
  </si>
  <si>
    <t>Wind, solar, marine</t>
  </si>
  <si>
    <t>DEMAND (split by model conventions)</t>
  </si>
  <si>
    <t>SUPPLY (split by model conventions)</t>
  </si>
  <si>
    <t>DEMAND (consistent with IEA categories)</t>
  </si>
  <si>
    <t>Unabated power plants</t>
  </si>
  <si>
    <t>Global industry</t>
  </si>
  <si>
    <t>SUPPLY (consistent with IEA categories)</t>
  </si>
  <si>
    <t>Fuel production</t>
  </si>
  <si>
    <t>ENERGY DEMAND</t>
  </si>
  <si>
    <t>ENERGY SUPPLY</t>
  </si>
  <si>
    <t>CUMULATIVE CONSUMPTION OF FOSSIL FUEL RESERVES, 2011 - 2050</t>
  </si>
  <si>
    <t>ESTIMATES OF RESERVES AND RESERVES REMAINING BY 2050</t>
  </si>
  <si>
    <t>Carbon Capture &amp; Storage in industry</t>
  </si>
  <si>
    <t>Power from solid vs  liquid vs gas and biomass conversion (solid/liquid/gas)</t>
  </si>
  <si>
    <t>Power with Carbon Capture Storage</t>
  </si>
  <si>
    <t>F-gases</t>
  </si>
  <si>
    <t>V.1.11.0</t>
  </si>
  <si>
    <t>Julien Michel</t>
  </si>
  <si>
    <t>Transport added. Materials developed. Location of data in webtool added. Historic data referencing improved</t>
  </si>
  <si>
    <t xml:space="preserve">This is a highly uncertain pathway, with significant risks associated to GGR. Future technology, currently unanticipated required (for example techniques to remove methane from the atmosphere). A carbon price would be required and potentially an obligation on emitters to either remove an equivalent quantity as is emitted, or pay someone else to do so. The timeline of scalbility would mean that it is highly unlikely that all emissions could be removed in this way in the 2050 timeframe, but an obligation to remove emissions at some later date would create a market in such negative emissions. Based on the implementation of 100% potential of the following technologies: Biochar - 3.3GtCO2/yr; Direct Air Capture - 10.0GtCO2/yr;  Enhanced Weathering - Oceanic - 10.0GtCO2/yr; Enhanced Weathering - Terrestrial - 3.7GtCO2/yr; Ocean Fertilisation - 1.0GtCO2/yr).
</t>
  </si>
  <si>
    <t>Unit capacity</t>
  </si>
  <si>
    <t>Life span (years)</t>
  </si>
  <si>
    <t>SLG.elec</t>
  </si>
  <si>
    <t>In 2011 out of total power supplied by fossil fuels 60.3% was supplied by solid fuel, 8.8% by liquid fuel and 30.9% by gas fuel</t>
  </si>
  <si>
    <t>In 2050 out of total fossil energy supplied it is 58.2% of solid, 29.1% of liquid and 12.7% of gas power. For it global Solid/Liquid/Gas historical &amp; future trends, production, consumption, reserves &amp; resources, technologies and country specific SLG growth scenarios were analyzed.</t>
  </si>
  <si>
    <t>In 2050 out of total fossil energy supplied it is 40% of solid, 19% of liquid and 41% of gas power. For it global Solid/Liquid/Gas historical &amp; future trends, production, consumption, reserves &amp; resources, technologies and country specific SLG growth scenarios were analyzed.</t>
  </si>
  <si>
    <t>In 2050 out of total fossil energy supplied it is 32% of solid, 6% of liquid and 62% of gas power. For it global Solid/Liquid/Gas historical &amp; future trends, production, consumption, reserves &amp; resources, technologies and country specific SLG growth scenarios were analyzed.</t>
  </si>
  <si>
    <t>In 2050 out of total fossil energy supplied it is 26.4% of solid, 1.9% of liquid and 71.7% of gas power. For it global Solid/Liquid/Gas historical &amp; future trends, production, consumption, reserves &amp; resources, technologies and country specific SLG growth scenarios were analyzed.</t>
  </si>
  <si>
    <t>Energy Information Administration (EIA)</t>
  </si>
  <si>
    <t>Electric Power Annual</t>
  </si>
  <si>
    <t>Technology Baseyear Data-2011</t>
  </si>
  <si>
    <t>Power generation from coal: Ongoing developments and outlook</t>
  </si>
  <si>
    <t>Technology Baseyear Data-2012</t>
  </si>
  <si>
    <t>EPRI</t>
  </si>
  <si>
    <t>Program on technology innovation: Electricity use in electric sector (2011 technical report)</t>
  </si>
  <si>
    <t>Technology Baseyear Data-2013</t>
  </si>
  <si>
    <t>UNFCCC</t>
  </si>
  <si>
    <t>http://cdm.unfccc.int/methodologies/PAmethodologies/tools/am-tool-10-v1.pdf</t>
  </si>
  <si>
    <t>Technology Baseyear Data-2014</t>
  </si>
  <si>
    <t>CERC</t>
  </si>
  <si>
    <t>CERC Tariff regulations</t>
  </si>
  <si>
    <t>Technology Baseyear Data-2015</t>
  </si>
  <si>
    <t>CO2 capture ready plants</t>
  </si>
  <si>
    <t>Technology Baseyear Data-2016</t>
  </si>
  <si>
    <t>In 2011 8% by USC, 17% by SC, 75% by Sub-C, 30% by eff. Liquid, 70% by ineff. Liquid, 35% OCGT and 65% by CCGT</t>
  </si>
  <si>
    <t>In 2050 out of total fossil fuel supplied it is 14.4% by USC, 23.2% by SC, 62.4% by Sub-C, 32.9% by eff. Liquid, 67.1% by ineff. Liquid, 61% OCGT and 39% by CCGT</t>
  </si>
  <si>
    <t>In 2050 out of total fossil fuel supplied it is 18% by USC, 27% by SC, 55% by Sub-C, 47% by eff. Liquid, 53% by ineff. Liquid, 47.5% OCGT and 52.5% by CCGT</t>
  </si>
  <si>
    <t>In 2050 out of total fossil fuel supplied it is 20.4% by USC, 29.3% by SC, 50.3% by Sub-C, 65% by eff. Liquid, 35% by ineff. Liquid, 17.5% OCGT and 82.5% by CCGT</t>
  </si>
  <si>
    <t>In 2050 out of total fossil fuel supplied it is 23.2% by USC, 32.2% by SC, 44.6% by Sub-C, 71.4% by eff. Liquid, 28.6% by ineff. Liquid, 7% OCGT and 93% by CCGT</t>
  </si>
  <si>
    <t>CCS.elec</t>
  </si>
  <si>
    <t xml:space="preserve">In 2011 most of the CCS projects implemented in power sector were demonstration projects of KW and MW scale. However, there is a CCS pipeline developed by OECD countries (mainly USA and EU). The current timeline is till early 2020s. </t>
  </si>
  <si>
    <t>By 2050 there will be 16 GW of power plants with CCS. No new CCS plants will be commissioned beyond 2020 and the plants commissioned between 2015-2020 will be operatng in 2050 (with or without R&amp;M)</t>
  </si>
  <si>
    <t>The expansion is mostly driven by US and EU. But no major driver. Low CCS expansion worldwide with no/ low perticipation from non-OECD countries. 10% of total fossil fuel plants will have CCS by 2050 (BAU scenario)</t>
  </si>
  <si>
    <t xml:space="preserve">Moderate penetration of CCS in OECD countries and emerging economies. 30% of total fossil fuel based plants have adopted CCS technology by 2050. However, expansion will be low in developing countries. </t>
  </si>
  <si>
    <t>High CCS expansion in remaining areas worldwide. Around 3900 GW of fossil fuel based electricity generation through CCS based power plants</t>
  </si>
  <si>
    <t>In 2011 the total installed nuclear capacity was 369 GW with 429 operational power plants around the world</t>
  </si>
  <si>
    <t>onshore.wind.elec, offshore.wind.elec</t>
  </si>
  <si>
    <t>In 2011 there was around 238 GW of onshore wind energy with 83 countries across globe deploying it. In 2011 there was also 3.8 GW of offshore power installed.</t>
  </si>
  <si>
    <t xml:space="preserve">In 2050 there is 0 GW of onshore wind energy. It builds at a rate of 19.64% till 2013, 8% till 2015, 5% till 2020 with decommissioning in tandem. In 2050 the offshore wind energy is also 0 GW with a build rate of 34.06% by 2015. Post it rate of build up and decommissioning matches each other till 2020 after which it serves it technical lifespan. </t>
  </si>
  <si>
    <t>In 2050 there is 1862 GW of onshore wind energy and 455 GW of offshore wind energy. Different build rates were arrived by technical and geographical analysis.</t>
  </si>
  <si>
    <t>In 2050 there is 3800 GW of onshore wind energy and 910 GW of offshore wind energy.Different build rates were arrived by technical and geographical analysis.</t>
  </si>
  <si>
    <t xml:space="preserve">In 2050 there is 5058 GW of onshore wind energy. It builds at a rate of  21% by 2015, 16% by 2020, 8% by 2030, 6% till 2040 and 2% till 2050 whereas 1408 GW of offshore wind energy which builds at a rate of 34.06% till 2020, 20% till 2030, 8% by 2040 and 4% by 2050. </t>
  </si>
  <si>
    <t xml:space="preserve">In 2011 the total installed hydro capacity was 970 GW </t>
  </si>
  <si>
    <t>tidal.elec, wave.elec</t>
  </si>
  <si>
    <t>In 2011 there was around 1 GW of tidal power. It has a tremendous global potential with UK having 3000 GW of it. In 2011 there was around 0.01 GW of wave energy which have a global potential of more than 2700 GW</t>
  </si>
  <si>
    <t>In 2050 there is 0 GW of tidal energy if not harnessed as the present installation would serve its technical lifespan whereas there will be 8 GW of wave energy</t>
  </si>
  <si>
    <t xml:space="preserve">In 2050 there is 35 GW of tidal electricity. The coastal country specific potential was analyzied and build up rate arrived considering partially favorable parameters. Similarly for wave energy of 62 GW till 2050 global potential and technological mapping was undertaken </t>
  </si>
  <si>
    <t>In 2050 there is 49 GW of tidal electricity. Build up rate enhanced considering construction time, global technological and environmental factors whereas there will be 105 GW of wave energy based on similar analysis</t>
  </si>
  <si>
    <t xml:space="preserve">In 2050 there is 64 GW of tidal energy and 143 GW of wave energy. Different build up rate computed considering technical maturity and potential acceptance. </t>
  </si>
  <si>
    <t>concentrated.solar.elec, solarpv.elec</t>
  </si>
  <si>
    <t>In 2011 there was around 1.59 GW of concentrated solar power with evolution of solar thermal storage technologies in foray. Also, in 2011 there was 28 GW of photovoltaic power.</t>
  </si>
  <si>
    <t xml:space="preserve">In 2050 there is 0 GW of concentrated solar power . The average build up rate is 44.45% till 2015, 43.09% by 2020 after which the rate of decommissioning and technical lifespan will exceed build up rate. In 2050 there is 0 GW of photovoltaic which builds by 18.34% by 2015, 16.58% by 2020 post which rate of decommission &amp; technical life span takes over   </t>
  </si>
  <si>
    <t xml:space="preserve">In 2050 there is 388 GW of concentrated solar power and 811 GW of photovoltaic. Build up rates computed by analyzing various technologies, barriers and country specific factors  </t>
  </si>
  <si>
    <t xml:space="preserve">In 2050 there is 879 GW of concentrated solar power and 1860 GW of photovoltaic. Build up rates computed by analyzing various factors  </t>
  </si>
  <si>
    <t xml:space="preserve">In 2050 there is 1067 GW of concentrated solar energy. The average build rate is 58% till 2020 where CSP landscape will change to average 8% by 2030 and 6% by 2050. In 2050 there is 3750 GW of photovoltaic with 22.76% till 2020, 15.3% by 2030,8.75% by 2040 and 6% till 2050. </t>
  </si>
  <si>
    <t>In 2011 there was around 120 GW of electricity storage plant. The storage is currently driven by OECD countries</t>
  </si>
  <si>
    <t>By 2050, around 152 GW of peak demand is met by energy storage. The storage will be primarily driven by OECD countries with an annual growth rate of 3%</t>
  </si>
  <si>
    <t>600 GW of energy storage system by 2050. This system includes pump storage, batteries etc. The storage will be primarily driven by OECD countries. However, there will be certain development in emerging economies. Will cater to around 50% of expected peak demand.</t>
  </si>
  <si>
    <t>800 GW of energy storage system by 2050. This system includes pump storage, batteries etc. The storage will be primarily driven by OECD countries. However, there will be active particiaption from emerging economies. Will cater to around 2/3rd of estimated peak demand.</t>
  </si>
  <si>
    <t>High adoption of storage technologies across the globle. Majority of global peak demand is catered by 1200GW  energy storage system.  Many of these storage systems will be integrated to RE system, storing off peak power generated by wind and solar system. Energy storage technologies  would include Pumped Storage, : Compressed Air, NaS Batteries, Advanced Lead Acid, Batteries, Flow Batteries, and Lithium Ion Batteries for Utility-Scale Storage:</t>
  </si>
  <si>
    <t>Oil.Prod</t>
  </si>
  <si>
    <t xml:space="preserve">Oil production </t>
  </si>
  <si>
    <t>oil production</t>
  </si>
  <si>
    <t>Coal.Prod</t>
  </si>
  <si>
    <t>Coal production</t>
  </si>
  <si>
    <t>coal production</t>
  </si>
  <si>
    <t>Gas.Prod</t>
  </si>
  <si>
    <t>Gas production</t>
  </si>
  <si>
    <t>gas production</t>
  </si>
  <si>
    <t>G.HY.01</t>
  </si>
  <si>
    <t>Please see the glossary at the end of this spreadsheet</t>
  </si>
  <si>
    <t>- There is no cost data in the model in this version, but the structure has been partially built to hold this future work</t>
  </si>
  <si>
    <t xml:space="preserve">    - Finally, a proportion of remaining land can be used for bioenergy production</t>
  </si>
  <si>
    <t xml:space="preserve">     - Third, land is used for forests</t>
  </si>
  <si>
    <t xml:space="preserve">     - Second, land is used for food (food crops and for grazing cattle)</t>
  </si>
  <si>
    <t xml:space="preserve">     - First, there is a fixed amount of land that is unproductive (for example, for settlements, deserts and so on)</t>
  </si>
  <si>
    <t>- Land use is prioritised in the following order:</t>
  </si>
  <si>
    <t>- This version characterises a world with  a global electricity grid and where supply and demand balance at all times. This is done by "building" enough spare capacity of hydrocarbon power plants to meet peak demand when supply is at its lowest at any point in time</t>
  </si>
  <si>
    <t>- The supply of fossil fuels is driven by the model as a result of the difference between the user's chosen supply (from renewables, bioenergy and nuclear) and the user's chosen demand for energy</t>
  </si>
  <si>
    <t>- The Calculator is best suited to exploring longer term scenarios; it is less useful for the shorter term</t>
  </si>
  <si>
    <t>- The user choices are in terms of action to 2050. Emissions from 2050 to to 2100 are chosen by the user; the user decides if 2050 emissions are flat to 2100 or continue at the trend of 2045- 2050, or half way between these two levels</t>
  </si>
  <si>
    <t>- The starting year is 2011. All choices are made from this year</t>
  </si>
  <si>
    <t>- The calculator shows the change that is physically possible. It does not show what is likely to happen and the user must generate pathways for themselves (it is not an automatic "optimiser")</t>
  </si>
  <si>
    <t>- Everything is modelled at a global level, and so burden sharing between countries cannot be explored</t>
  </si>
  <si>
    <t>Key things for the user to be aware of</t>
  </si>
  <si>
    <t>Figure 1: structure of the spreadsheet</t>
  </si>
  <si>
    <t>- The data in the "year" sheets are summarised into high-level summary time series</t>
  </si>
  <si>
    <t>- Calculations for sectors are given in the dark blue "G.xx" sheets</t>
  </si>
  <si>
    <t>- The data from each sector is pulled into detailed orange "year" sheet. These summarise the energy conversions performed by technologies ("G.xxxx.energy"), the emisisons for each technology ("G.xxxx.emisssions") and the costs ("G.xxxx.costs")</t>
  </si>
  <si>
    <t>- Data on physical constants and unit conversions which are universal across sectors are in the grey sheets ("constants", "structure of the model", "conversions" and "translation")</t>
  </si>
  <si>
    <t>- Sector specific data, such as the level 1-4 for the user choices, are in the "G.xx (data)" sheets</t>
  </si>
  <si>
    <t>- Assumption which are universal across sectors, such as population and urbanisation, is in the light blue "Universal data" sheet</t>
  </si>
  <si>
    <t>- The user inputs are in the red sheets. The user can choose the level of action to reduce emissions ("user Inputs" sheet) and the units for energy, power, and so on ("user output preferences" sheet)</t>
  </si>
  <si>
    <t xml:space="preserve">The general structure of this spreadsheet is given in Figure 1 below. </t>
  </si>
  <si>
    <t>- The "emissions trajectory choice" is given choice of A,B or C. This is because the emissions from this choice depend on the overall emissions arising from the other user choices, and so "C" for example will not necessarily imply lower emissions.</t>
  </si>
  <si>
    <t>- Choices are generally in terms of levels 1-4 (level 4 shows the maximum effort to reduce emissions, level 1 shows the maximum emissions that could occur).</t>
  </si>
  <si>
    <t>The user makes choices on the supply and demand for energy to 2050 by making choices in the cells E7:E46 in the "user inputs" sheet.</t>
  </si>
  <si>
    <t xml:space="preserve">For more detail on the spreadsheet and the Global Calculator in general, please see: www.globalcalculator.org </t>
  </si>
  <si>
    <t>Find out more</t>
  </si>
  <si>
    <t>The page where the user can see data that is not unique to one sector (for example, population data)</t>
  </si>
  <si>
    <t>The page where the user can see the input data for transport</t>
  </si>
  <si>
    <t>The page where the user can see the input data for buildings</t>
  </si>
  <si>
    <t>The page where the user can see the input data for materials</t>
  </si>
  <si>
    <t>The page where the user can see the input data for electricity generation and distribution</t>
  </si>
  <si>
    <t>The page where the user can see the input data for synthetic and fossil fuels</t>
  </si>
  <si>
    <t>The page where the user can see the input data for land, food and bioenergy</t>
  </si>
  <si>
    <t>The page where the user can see the input data for climate science</t>
  </si>
  <si>
    <t>These need to be per unit figures</t>
  </si>
  <si>
    <t>Oil.refine</t>
  </si>
  <si>
    <t>Oil refineries</t>
  </si>
  <si>
    <t>Coal.wash</t>
  </si>
  <si>
    <t>Coal washeries</t>
  </si>
  <si>
    <t>Natural.gas.liquidification</t>
  </si>
  <si>
    <t>Natural gas liquidification</t>
  </si>
  <si>
    <t>Sabatier process used to produce methane (using hydrogen)</t>
  </si>
  <si>
    <t>Sabatier.methane</t>
  </si>
  <si>
    <t>Biomass pelletization</t>
  </si>
  <si>
    <t>conversion.solid.to.liquid</t>
  </si>
  <si>
    <t>Conversion plant (dry biomass to liquid)</t>
  </si>
  <si>
    <t>conversion.solid.to.gas</t>
  </si>
  <si>
    <t>Conversion plant (dry biomass to gas)</t>
  </si>
  <si>
    <t>conversion.liquid.to.gas</t>
  </si>
  <si>
    <t>Conversion plant (wet biomass to gas)</t>
  </si>
  <si>
    <t>Municipal solid waste gasification</t>
  </si>
  <si>
    <t>Global coal demand</t>
  </si>
  <si>
    <t>Global oil demand</t>
  </si>
  <si>
    <t>Global gas demand</t>
  </si>
  <si>
    <t>Natural.gas.process</t>
  </si>
  <si>
    <t>Natural gas processing plants</t>
  </si>
  <si>
    <t>gas</t>
  </si>
  <si>
    <t xml:space="preserve">http://unfccc.int/di/DetailedByCategory.do </t>
  </si>
  <si>
    <t>http://www.ipcc-nggip.iges.or.jp/public/gl/guidelin/ch1ri.pdf</t>
  </si>
  <si>
    <t>V.1.12.0</t>
  </si>
  <si>
    <t>V.1.13.0</t>
  </si>
  <si>
    <t>Update sector 50 and lever descriptions</t>
  </si>
  <si>
    <t>walk.passenger.urban</t>
  </si>
  <si>
    <t>walk.passenger.rural</t>
  </si>
  <si>
    <t>plane.passenger.international.H2</t>
  </si>
  <si>
    <t>ship.passenger.international.H2</t>
  </si>
  <si>
    <t>light.truck.domestic.fuel</t>
  </si>
  <si>
    <t>light.truck.domestic.PH</t>
  </si>
  <si>
    <t>light.truck.domestic.EV</t>
  </si>
  <si>
    <t>light.truck.domestic.H2</t>
  </si>
  <si>
    <t>heavy.truck.domestic.fuel</t>
  </si>
  <si>
    <t>heavy.truck.domestic.PH</t>
  </si>
  <si>
    <t>heavy.truck.domestic.EV</t>
  </si>
  <si>
    <t>heavy.truck.domestic.H2</t>
  </si>
  <si>
    <t>train.freight.domestic.fuel</t>
  </si>
  <si>
    <t>train.freight.domestic.elec</t>
  </si>
  <si>
    <t>ship.freight.domestic.fuel</t>
  </si>
  <si>
    <t>ship.freight.domestic.H2</t>
  </si>
  <si>
    <t>heavy.truck.international.fuel</t>
  </si>
  <si>
    <t>heavy.truck.international.PH</t>
  </si>
  <si>
    <t>heavy.truck.international.EV</t>
  </si>
  <si>
    <t>heavy.truck.international.H2</t>
  </si>
  <si>
    <t>train.freight.international.fuel</t>
  </si>
  <si>
    <t>train.freight.international.elec</t>
  </si>
  <si>
    <t>ship.freight.international.fuel</t>
  </si>
  <si>
    <t>ship.freight.international.H2</t>
  </si>
  <si>
    <t>plane.freight.international.fuel</t>
  </si>
  <si>
    <t>plane.freight.international.H2</t>
  </si>
  <si>
    <t>Global Warming Potentials</t>
  </si>
  <si>
    <t>GWP</t>
  </si>
  <si>
    <t>tbc</t>
  </si>
  <si>
    <t>Source: IPCC. 1996. Climate Change 1995: The Science of Climate Change. Intergovernmental Panel on Climate Change. Edited by J.T. Houghton, L.G. Meira Filho, B.A. Callender, N. Harris, A. Kattenberg, and K. Maskell. Cambridge, UK: Cambridge University Press.</t>
  </si>
  <si>
    <t>conversion.wet.to.liquid</t>
  </si>
  <si>
    <t>Conversion plant (liquid biomass to liquid hydrocarbon)</t>
  </si>
  <si>
    <t>gas.nework</t>
  </si>
  <si>
    <t>Gas distribution network</t>
  </si>
  <si>
    <t>coal.network</t>
  </si>
  <si>
    <t>Coal distribution network</t>
  </si>
  <si>
    <t>oil.network</t>
  </si>
  <si>
    <t>Oil distribution network</t>
  </si>
  <si>
    <t>electricity.network</t>
  </si>
  <si>
    <t>Electricity distribution network</t>
  </si>
  <si>
    <t>conversion.solid.to.solid.or.pellet</t>
  </si>
  <si>
    <t>collection.gas.waste</t>
  </si>
  <si>
    <t>Collection of gaseous waste e.g. from landfill</t>
  </si>
  <si>
    <t>Urban passenger</t>
  </si>
  <si>
    <t>Rural passenger</t>
  </si>
  <si>
    <t>Domestic freight</t>
  </si>
  <si>
    <t>International freight</t>
  </si>
  <si>
    <t>Pulp and paper</t>
  </si>
  <si>
    <t>Fossil fuel production</t>
  </si>
  <si>
    <t>Distribution of fuels and electricity</t>
  </si>
  <si>
    <t>Biomatter conversion</t>
  </si>
  <si>
    <t>Data for calculations</t>
  </si>
  <si>
    <t>Total electricity distributed to end users</t>
  </si>
  <si>
    <t>Heat to be distributed</t>
  </si>
  <si>
    <t>Dry biomass for conversion</t>
  </si>
  <si>
    <t>Wet biomass for conversion</t>
  </si>
  <si>
    <t>Gaseous biomass for conversion</t>
  </si>
  <si>
    <t>carbon to CO2 conversion</t>
  </si>
  <si>
    <t>Speculative greenhouse gas removal technologies</t>
  </si>
  <si>
    <t>CO2</t>
    <phoneticPr fontId="78" type="noConversion"/>
  </si>
  <si>
    <r>
      <t xml:space="preserve">In 2011 the average floor area of one household is 89 </t>
    </r>
    <r>
      <rPr>
        <sz val="10"/>
        <rFont val="宋体"/>
        <family val="3"/>
        <charset val="134"/>
      </rPr>
      <t>㎡</t>
    </r>
    <r>
      <rPr>
        <sz val="10"/>
        <rFont val="Calibri"/>
        <family val="2"/>
      </rPr>
      <t xml:space="preserve">, and the non-residential building floor area is  5.3 </t>
    </r>
    <r>
      <rPr>
        <sz val="10"/>
        <rFont val="宋体"/>
        <family val="3"/>
        <charset val="134"/>
      </rPr>
      <t>㎡</t>
    </r>
    <r>
      <rPr>
        <sz val="10"/>
        <rFont val="Calibri"/>
        <family val="2"/>
      </rPr>
      <t xml:space="preserve"> per capita</t>
    </r>
    <phoneticPr fontId="79" type="noConversion"/>
  </si>
  <si>
    <r>
      <t xml:space="preserve">People would like bigger house and the average floor area will increase 140 </t>
    </r>
    <r>
      <rPr>
        <sz val="10"/>
        <rFont val="宋体"/>
        <family val="3"/>
        <charset val="134"/>
      </rPr>
      <t>㎡</t>
    </r>
    <r>
      <rPr>
        <sz val="10"/>
        <rFont val="Calibri"/>
        <family val="2"/>
      </rPr>
      <t xml:space="preserve"> per household.</t>
    </r>
    <phoneticPr fontId="79" type="noConversion"/>
  </si>
  <si>
    <r>
      <t xml:space="preserve">The living standard will be substaintial improved, and people would like bigger house and the average floor area will increase 140 </t>
    </r>
    <r>
      <rPr>
        <sz val="10"/>
        <rFont val="宋体"/>
        <family val="3"/>
        <charset val="134"/>
      </rPr>
      <t>㎡</t>
    </r>
    <r>
      <rPr>
        <sz val="10"/>
        <rFont val="Calibri"/>
        <family val="2"/>
      </rPr>
      <t xml:space="preserve"> per household less than the US level.</t>
    </r>
    <phoneticPr fontId="79" type="noConversion"/>
  </si>
  <si>
    <r>
      <t xml:space="preserve">People would live in the big house and the average floor area will increase 110 </t>
    </r>
    <r>
      <rPr>
        <sz val="10"/>
        <rFont val="宋体"/>
        <family val="3"/>
        <charset val="134"/>
      </rPr>
      <t>㎡</t>
    </r>
    <r>
      <rPr>
        <sz val="10"/>
        <rFont val="Calibri"/>
        <family val="2"/>
      </rPr>
      <t xml:space="preserve"> per household.</t>
    </r>
    <phoneticPr fontId="79" type="noConversion"/>
  </si>
  <si>
    <r>
      <t xml:space="preserve">The living standard will be improved and the average floor area will increase 110 </t>
    </r>
    <r>
      <rPr>
        <sz val="10"/>
        <rFont val="宋体"/>
        <family val="3"/>
        <charset val="134"/>
      </rPr>
      <t>㎡</t>
    </r>
    <r>
      <rPr>
        <sz val="10"/>
        <rFont val="Calibri"/>
        <family val="2"/>
      </rPr>
      <t xml:space="preserve"> per household.</t>
    </r>
    <phoneticPr fontId="79" type="noConversion"/>
  </si>
  <si>
    <r>
      <t xml:space="preserve">People improve their life with efficient use of the space and the some developed country floor area will decrease little and the developing country increase litthle too, the average will keap stabel with 89.2 </t>
    </r>
    <r>
      <rPr>
        <sz val="10"/>
        <rFont val="宋体"/>
        <family val="3"/>
        <charset val="134"/>
      </rPr>
      <t>㎡</t>
    </r>
    <r>
      <rPr>
        <sz val="10"/>
        <rFont val="Calibri"/>
        <family val="2"/>
      </rPr>
      <t xml:space="preserve"> per household.</t>
    </r>
    <phoneticPr fontId="79" type="noConversion"/>
  </si>
  <si>
    <r>
      <t xml:space="preserve">People would decrease to 80 </t>
    </r>
    <r>
      <rPr>
        <sz val="10"/>
        <rFont val="宋体"/>
        <family val="3"/>
        <charset val="134"/>
      </rPr>
      <t>㎡</t>
    </r>
    <r>
      <rPr>
        <sz val="10"/>
        <rFont val="Calibri"/>
        <family val="2"/>
      </rPr>
      <t xml:space="preserve"> per household.</t>
    </r>
    <phoneticPr fontId="79" type="noConversion"/>
  </si>
  <si>
    <r>
      <t xml:space="preserve">There is a big difference of heating and cooling intensity between urban and rural residential. In 2011 the urban residential have a average heating intesity 45 kwh per year per </t>
    </r>
    <r>
      <rPr>
        <sz val="10"/>
        <rFont val="宋体"/>
        <family val="3"/>
        <charset val="134"/>
      </rPr>
      <t>㎡</t>
    </r>
    <r>
      <rPr>
        <sz val="10"/>
        <rFont val="Calibri"/>
        <family val="2"/>
      </rPr>
      <t xml:space="preserve"> and cooling intensity 12 kwh per year per </t>
    </r>
    <r>
      <rPr>
        <sz val="10"/>
        <rFont val="宋体"/>
        <family val="3"/>
        <charset val="134"/>
      </rPr>
      <t>㎡</t>
    </r>
    <r>
      <rPr>
        <sz val="10"/>
        <rFont val="Calibri"/>
        <family val="2"/>
      </rPr>
      <t xml:space="preserve">, and for rural residential the heating and cooling intensity is 25 kwh per year per </t>
    </r>
    <r>
      <rPr>
        <sz val="10"/>
        <rFont val="宋体"/>
        <family val="3"/>
        <charset val="134"/>
      </rPr>
      <t>㎡</t>
    </r>
    <r>
      <rPr>
        <sz val="10"/>
        <rFont val="Calibri"/>
        <family val="2"/>
      </rPr>
      <t xml:space="preserve"> and 4 kwh per year per </t>
    </r>
    <r>
      <rPr>
        <sz val="10"/>
        <rFont val="宋体"/>
        <family val="3"/>
        <charset val="134"/>
      </rPr>
      <t>㎡</t>
    </r>
    <r>
      <rPr>
        <sz val="10"/>
        <rFont val="Calibri"/>
        <family val="2"/>
      </rPr>
      <t>.</t>
    </r>
    <phoneticPr fontId="79" type="noConversion"/>
  </si>
  <si>
    <r>
      <t xml:space="preserve">People from both urban and rural would have increase comfortable about the inner temperature in their house and the intensity will increase rapidly. In 2050 the heating intensity and cooling intensity will increase to 65 kwh per year per </t>
    </r>
    <r>
      <rPr>
        <sz val="10"/>
        <rFont val="宋体"/>
        <family val="3"/>
        <charset val="134"/>
      </rPr>
      <t>㎡</t>
    </r>
    <r>
      <rPr>
        <sz val="10"/>
        <rFont val="Calibri"/>
        <family val="2"/>
      </rPr>
      <t xml:space="preserve"> and 16 </t>
    </r>
    <r>
      <rPr>
        <sz val="10"/>
        <rFont val="Calibri"/>
        <family val="2"/>
      </rPr>
      <t xml:space="preserve">kwh per year per </t>
    </r>
    <r>
      <rPr>
        <sz val="10"/>
        <rFont val="宋体"/>
        <family val="3"/>
        <charset val="134"/>
      </rPr>
      <t>㎡</t>
    </r>
    <r>
      <rPr>
        <sz val="10"/>
        <rFont val="Calibri"/>
        <family val="2"/>
      </rPr>
      <t xml:space="preserve"> </t>
    </r>
    <r>
      <rPr>
        <sz val="10"/>
        <rFont val="Calibri"/>
        <family val="2"/>
      </rPr>
      <t xml:space="preserve">for urban residential, while the rural residential will increase to 40 </t>
    </r>
    <r>
      <rPr>
        <b/>
        <sz val="10"/>
        <rFont val="Calibri"/>
        <family val="2"/>
      </rPr>
      <t xml:space="preserve">kwh per year per </t>
    </r>
    <r>
      <rPr>
        <b/>
        <sz val="10"/>
        <rFont val="宋体"/>
        <family val="3"/>
        <charset val="134"/>
      </rPr>
      <t>㎡</t>
    </r>
    <r>
      <rPr>
        <b/>
        <sz val="10"/>
        <rFont val="Calibri"/>
        <family val="2"/>
      </rPr>
      <t xml:space="preserve"> </t>
    </r>
    <r>
      <rPr>
        <sz val="10"/>
        <rFont val="Calibri"/>
        <family val="2"/>
      </rPr>
      <t xml:space="preserve">and 5.2 kwh per year per </t>
    </r>
    <r>
      <rPr>
        <sz val="10"/>
        <rFont val="宋体"/>
        <family val="3"/>
        <charset val="134"/>
      </rPr>
      <t>㎡</t>
    </r>
    <r>
      <rPr>
        <sz val="10"/>
        <rFont val="Calibri"/>
        <family val="2"/>
      </rPr>
      <t>.</t>
    </r>
    <phoneticPr fontId="79" type="noConversion"/>
  </si>
  <si>
    <r>
      <t xml:space="preserve">In 2050 the heating intensity and cooling intensity will increase to 65 kwh per year per </t>
    </r>
    <r>
      <rPr>
        <sz val="10"/>
        <rFont val="宋体"/>
        <family val="3"/>
        <charset val="134"/>
      </rPr>
      <t>㎡</t>
    </r>
    <r>
      <rPr>
        <sz val="10"/>
        <rFont val="Calibri"/>
        <family val="2"/>
      </rPr>
      <t xml:space="preserve"> and 16 kwh per year per </t>
    </r>
    <r>
      <rPr>
        <sz val="10"/>
        <rFont val="宋体"/>
        <family val="3"/>
        <charset val="134"/>
      </rPr>
      <t>㎡</t>
    </r>
    <r>
      <rPr>
        <sz val="10"/>
        <rFont val="Calibri"/>
        <family val="2"/>
      </rPr>
      <t xml:space="preserve"> for urban residential, while the rural residential will increase to 40 kwh per year per </t>
    </r>
    <r>
      <rPr>
        <sz val="10"/>
        <rFont val="宋体"/>
        <family val="3"/>
        <charset val="134"/>
      </rPr>
      <t>㎡</t>
    </r>
    <r>
      <rPr>
        <sz val="10"/>
        <rFont val="Calibri"/>
        <family val="2"/>
      </rPr>
      <t xml:space="preserve"> and 5.2 kwh per year per </t>
    </r>
    <r>
      <rPr>
        <sz val="10"/>
        <rFont val="宋体"/>
        <family val="3"/>
        <charset val="134"/>
      </rPr>
      <t>㎡</t>
    </r>
    <r>
      <rPr>
        <sz val="10"/>
        <rFont val="Calibri"/>
        <family val="2"/>
      </rPr>
      <t>.</t>
    </r>
    <phoneticPr fontId="79" type="noConversion"/>
  </si>
  <si>
    <r>
      <t xml:space="preserve">People from both urban and rural would have increase comfortable about the inner temperature in their house and the intensity will increase continuely. In 2050 the heating intensity and cooling intensity will increase about 15% from the 2011. The number will be 57.5 kwh per year per </t>
    </r>
    <r>
      <rPr>
        <sz val="10"/>
        <rFont val="宋体"/>
        <family val="3"/>
        <charset val="134"/>
      </rPr>
      <t>㎡</t>
    </r>
    <r>
      <rPr>
        <sz val="10"/>
        <rFont val="Calibri"/>
        <family val="2"/>
      </rPr>
      <t xml:space="preserve"> and 13.8 </t>
    </r>
    <r>
      <rPr>
        <sz val="10"/>
        <rFont val="Calibri"/>
        <family val="2"/>
      </rPr>
      <t xml:space="preserve">kwh per year per </t>
    </r>
    <r>
      <rPr>
        <sz val="10"/>
        <rFont val="宋体"/>
        <family val="3"/>
        <charset val="134"/>
      </rPr>
      <t>㎡</t>
    </r>
    <r>
      <rPr>
        <sz val="10"/>
        <rFont val="Calibri"/>
        <family val="2"/>
      </rPr>
      <t xml:space="preserve"> </t>
    </r>
    <r>
      <rPr>
        <sz val="10"/>
        <rFont val="Calibri"/>
        <family val="2"/>
      </rPr>
      <t xml:space="preserve">for urban residential, while the rural residential will increase to 29 </t>
    </r>
    <r>
      <rPr>
        <b/>
        <sz val="10"/>
        <rFont val="Calibri"/>
        <family val="2"/>
      </rPr>
      <t xml:space="preserve">kwh per year per </t>
    </r>
    <r>
      <rPr>
        <b/>
        <sz val="10"/>
        <rFont val="宋体"/>
        <family val="3"/>
        <charset val="134"/>
      </rPr>
      <t>㎡</t>
    </r>
    <r>
      <rPr>
        <b/>
        <sz val="10"/>
        <rFont val="Calibri"/>
        <family val="2"/>
      </rPr>
      <t xml:space="preserve"> </t>
    </r>
    <r>
      <rPr>
        <sz val="10"/>
        <rFont val="Calibri"/>
        <family val="2"/>
      </rPr>
      <t xml:space="preserve">and 4.6 kwh per year per </t>
    </r>
    <r>
      <rPr>
        <sz val="10"/>
        <rFont val="宋体"/>
        <family val="3"/>
        <charset val="134"/>
      </rPr>
      <t>㎡</t>
    </r>
    <r>
      <rPr>
        <sz val="10"/>
        <rFont val="Calibri"/>
        <family val="2"/>
      </rPr>
      <t>.</t>
    </r>
    <phoneticPr fontId="79" type="noConversion"/>
  </si>
  <si>
    <r>
      <t xml:space="preserve">In 2050 the heating intensity and cooling intensity will increase about 15% from the 2011. The number will be 57.5 kwh per year per </t>
    </r>
    <r>
      <rPr>
        <sz val="10"/>
        <rFont val="宋体"/>
        <family val="3"/>
        <charset val="134"/>
      </rPr>
      <t>㎡</t>
    </r>
    <r>
      <rPr>
        <sz val="10"/>
        <rFont val="Calibri"/>
        <family val="2"/>
      </rPr>
      <t xml:space="preserve"> and 13.8 kwh per year per </t>
    </r>
    <r>
      <rPr>
        <sz val="10"/>
        <rFont val="宋体"/>
        <family val="3"/>
        <charset val="134"/>
      </rPr>
      <t>㎡</t>
    </r>
    <r>
      <rPr>
        <sz val="10"/>
        <rFont val="Calibri"/>
        <family val="2"/>
      </rPr>
      <t xml:space="preserve"> for urban residential, while the rural residential will increase to 29 kwh per year per </t>
    </r>
    <r>
      <rPr>
        <sz val="10"/>
        <rFont val="宋体"/>
        <family val="3"/>
        <charset val="134"/>
      </rPr>
      <t>㎡</t>
    </r>
    <r>
      <rPr>
        <sz val="10"/>
        <rFont val="Calibri"/>
        <family val="2"/>
      </rPr>
      <t xml:space="preserve"> and 4.6 kwh per year per </t>
    </r>
    <r>
      <rPr>
        <sz val="10"/>
        <rFont val="宋体"/>
        <family val="3"/>
        <charset val="134"/>
      </rPr>
      <t>㎡</t>
    </r>
    <r>
      <rPr>
        <sz val="10"/>
        <rFont val="Calibri"/>
        <family val="2"/>
      </rPr>
      <t>.</t>
    </r>
  </si>
  <si>
    <r>
      <t xml:space="preserve">In 2050 the heating intensity and cooling intensity will be the same from the 2011. The number will be 45 kwh per year per </t>
    </r>
    <r>
      <rPr>
        <sz val="10"/>
        <rFont val="宋体"/>
        <family val="3"/>
        <charset val="134"/>
      </rPr>
      <t>㎡</t>
    </r>
    <r>
      <rPr>
        <sz val="10"/>
        <rFont val="Calibri"/>
        <family val="2"/>
      </rPr>
      <t xml:space="preserve"> and 12 </t>
    </r>
    <r>
      <rPr>
        <sz val="10"/>
        <rFont val="Calibri"/>
        <family val="2"/>
      </rPr>
      <t xml:space="preserve">kwh per year per </t>
    </r>
    <r>
      <rPr>
        <sz val="10"/>
        <rFont val="宋体"/>
        <family val="3"/>
        <charset val="134"/>
      </rPr>
      <t>㎡</t>
    </r>
    <r>
      <rPr>
        <sz val="10"/>
        <rFont val="Calibri"/>
        <family val="2"/>
      </rPr>
      <t xml:space="preserve"> </t>
    </r>
    <r>
      <rPr>
        <sz val="10"/>
        <rFont val="Calibri"/>
        <family val="2"/>
      </rPr>
      <t xml:space="preserve">for urban residential, while the rural residential will be 25 </t>
    </r>
    <r>
      <rPr>
        <b/>
        <sz val="10"/>
        <rFont val="Calibri"/>
        <family val="2"/>
      </rPr>
      <t xml:space="preserve">kwh per year per </t>
    </r>
    <r>
      <rPr>
        <b/>
        <sz val="10"/>
        <rFont val="宋体"/>
        <family val="3"/>
        <charset val="134"/>
      </rPr>
      <t>㎡</t>
    </r>
    <r>
      <rPr>
        <b/>
        <sz val="10"/>
        <rFont val="Calibri"/>
        <family val="2"/>
      </rPr>
      <t xml:space="preserve"> </t>
    </r>
    <r>
      <rPr>
        <sz val="10"/>
        <rFont val="Calibri"/>
        <family val="2"/>
      </rPr>
      <t xml:space="preserve">and 4 kwh per year per </t>
    </r>
    <r>
      <rPr>
        <sz val="10"/>
        <rFont val="宋体"/>
        <family val="3"/>
        <charset val="134"/>
      </rPr>
      <t>㎡</t>
    </r>
    <r>
      <rPr>
        <sz val="10"/>
        <rFont val="Calibri"/>
        <family val="2"/>
      </rPr>
      <t>.</t>
    </r>
    <phoneticPr fontId="79" type="noConversion"/>
  </si>
  <si>
    <r>
      <t xml:space="preserve">In 2050 the heating intensity and cooling intensity will be the same from the 2011. The number will be 36 kwh per year per </t>
    </r>
    <r>
      <rPr>
        <sz val="10"/>
        <rFont val="宋体"/>
        <family val="3"/>
        <charset val="134"/>
      </rPr>
      <t>㎡</t>
    </r>
    <r>
      <rPr>
        <sz val="10"/>
        <rFont val="Calibri"/>
        <family val="2"/>
      </rPr>
      <t xml:space="preserve"> and 9.6 </t>
    </r>
    <r>
      <rPr>
        <sz val="10"/>
        <rFont val="Calibri"/>
        <family val="2"/>
      </rPr>
      <t xml:space="preserve">kwh per year per </t>
    </r>
    <r>
      <rPr>
        <sz val="10"/>
        <rFont val="宋体"/>
        <family val="3"/>
        <charset val="134"/>
      </rPr>
      <t>㎡</t>
    </r>
    <r>
      <rPr>
        <sz val="10"/>
        <rFont val="Calibri"/>
        <family val="2"/>
      </rPr>
      <t xml:space="preserve"> </t>
    </r>
    <r>
      <rPr>
        <sz val="10"/>
        <rFont val="Calibri"/>
        <family val="2"/>
      </rPr>
      <t xml:space="preserve">for urban residential, while the rural residential will be 20 </t>
    </r>
    <r>
      <rPr>
        <b/>
        <sz val="10"/>
        <rFont val="Calibri"/>
        <family val="2"/>
      </rPr>
      <t xml:space="preserve">kwh per year per </t>
    </r>
    <r>
      <rPr>
        <b/>
        <sz val="10"/>
        <rFont val="宋体"/>
        <family val="3"/>
        <charset val="134"/>
      </rPr>
      <t>㎡</t>
    </r>
    <r>
      <rPr>
        <b/>
        <sz val="10"/>
        <rFont val="Calibri"/>
        <family val="2"/>
      </rPr>
      <t xml:space="preserve"> </t>
    </r>
    <r>
      <rPr>
        <sz val="10"/>
        <rFont val="Calibri"/>
        <family val="2"/>
      </rPr>
      <t xml:space="preserve">and 3.2 kwh per year per </t>
    </r>
    <r>
      <rPr>
        <sz val="10"/>
        <rFont val="宋体"/>
        <family val="3"/>
        <charset val="134"/>
      </rPr>
      <t>㎡</t>
    </r>
    <r>
      <rPr>
        <sz val="10"/>
        <rFont val="Calibri"/>
        <family val="2"/>
      </rPr>
      <t>.</t>
    </r>
    <phoneticPr fontId="79" type="noConversion"/>
  </si>
  <si>
    <t>For urban residential there is a big proportial of CHP and district heating and gas boiler, but for the rural residential the most important technology is solid boiler.</t>
    <phoneticPr fontId="79" type="noConversion"/>
  </si>
  <si>
    <t>The same as today, the proportion of gas boiler, chp and district heating is 30%, 15% and 30% for urban residential, for the rural residential the technology structure is solid boiler takes 74% and oil boiler takes 10%.</t>
    <phoneticPr fontId="79" type="noConversion"/>
  </si>
  <si>
    <t>The electricity heater will increase rapidly, the proportion of electricity heater, gas boiler, chp and district heating is 20%, 40%, 10% and 25% for urban residential. For the rural residential the technology structure of solid boiler, oil boiler, gas boiler and electricity heater is 60%, 10%, 10% and 10%.</t>
    <phoneticPr fontId="79" type="noConversion"/>
  </si>
  <si>
    <t>The technology will be much more cleaner with gas and electricity base heating technology increase. For urban residential the gas boiler, electricity heater, chp and district heating takes 35%, 5%, 20% and 35%, there will be no solid boiler in 2050. For rural residential the gas and electricity heater will increase to 22% an 15%, the solid boiler will decrease to 45%.</t>
    <phoneticPr fontId="79" type="noConversion"/>
  </si>
  <si>
    <t>The technology will be more cleaner with gas and electricity base heating technology increase. For urban residential the gas boiler, electricity heater, chp and district heating takes 25%, 20%, 15% and 25%, there will be no solid boiler in 2050. For rural residential the gas and electricity heater will increase to 15% an 25%, the solid boiler will decrease to 30%.</t>
    <phoneticPr fontId="79" type="noConversion"/>
  </si>
  <si>
    <t>There is a big gap of the lifestyle between urban and rural residential, especially for the developing country. Urban residential have more appliances than the rural residential. Refrigerator, dishwashers, clothwasher, clothwahers and TV is 1.0, 0.3, 0.8, 0.3, 1.6 per household and rural residential about half of the urban level.</t>
    <phoneticPr fontId="79" type="noConversion"/>
  </si>
  <si>
    <t>The lifestyle of both urban and rural residential improved. The appliances ownership will increase about 30%.</t>
    <phoneticPr fontId="79" type="noConversion"/>
  </si>
  <si>
    <t>The lifestyle of both urban and rural residential improved. The appliances ownership will increase about 15%.</t>
    <phoneticPr fontId="79" type="noConversion"/>
  </si>
  <si>
    <t>The lifestyle of both urban and rural residential improved. The appliances ownership will increase about 10%.</t>
    <phoneticPr fontId="79" type="noConversion"/>
  </si>
  <si>
    <t>The lifestyle of both urban and rural residential improved. The appliances ownership will be the same as today.</t>
    <phoneticPr fontId="79" type="noConversion"/>
  </si>
  <si>
    <t>The use mode of the appliances, lighting and cooking has big influence to the energy consumption of residential. In 2011, the average hours per day is Refrigerator, dishwashers, clothwasher, clothwahers, TV, light and cooking is 11, 0.3, 0.8, 0.9, 2.4, 4 and 0.5 hours.</t>
    <phoneticPr fontId="79" type="noConversion"/>
  </si>
  <si>
    <t>The lifestyle of both urban and rural residential improved. Electricity devices hours will increase about 30%.</t>
    <phoneticPr fontId="79" type="noConversion"/>
  </si>
  <si>
    <t>The lifestyle of both urban and rural residential improved. Electricity devices hours will increase about 15%.</t>
    <phoneticPr fontId="79" type="noConversion"/>
  </si>
  <si>
    <t>The lifestyle of both urban and rural residential improved. Electricity devices hours will increase about 10%.</t>
    <phoneticPr fontId="79" type="noConversion"/>
  </si>
  <si>
    <t>The lifestyle of both urban and rural residential improved. Electricity devices hours will be the same as today.</t>
    <phoneticPr fontId="79" type="noConversion"/>
  </si>
  <si>
    <r>
      <t xml:space="preserve">In 2011 the energy intensity of non-residential buildings is 216 kwh per </t>
    </r>
    <r>
      <rPr>
        <sz val="10"/>
        <rFont val="宋体"/>
        <family val="3"/>
        <charset val="134"/>
      </rPr>
      <t>㎡</t>
    </r>
    <r>
      <rPr>
        <sz val="10"/>
        <rFont val="Calibri"/>
        <family val="2"/>
      </rPr>
      <t xml:space="preserve"> per year.</t>
    </r>
    <phoneticPr fontId="79" type="noConversion"/>
  </si>
  <si>
    <r>
      <t xml:space="preserve">The intensity will increase to 300 kwh per </t>
    </r>
    <r>
      <rPr>
        <sz val="10"/>
        <rFont val="宋体"/>
        <family val="3"/>
        <charset val="134"/>
      </rPr>
      <t>㎡</t>
    </r>
    <r>
      <rPr>
        <sz val="10"/>
        <rFont val="Calibri"/>
        <family val="2"/>
      </rPr>
      <t xml:space="preserve"> per year.</t>
    </r>
    <phoneticPr fontId="79" type="noConversion"/>
  </si>
  <si>
    <r>
      <t xml:space="preserve">The intensity will increase to 250 kwh per </t>
    </r>
    <r>
      <rPr>
        <sz val="10"/>
        <rFont val="宋体"/>
        <family val="3"/>
        <charset val="134"/>
      </rPr>
      <t>㎡</t>
    </r>
    <r>
      <rPr>
        <sz val="10"/>
        <rFont val="Calibri"/>
        <family val="2"/>
      </rPr>
      <t xml:space="preserve"> per year.</t>
    </r>
    <phoneticPr fontId="79" type="noConversion"/>
  </si>
  <si>
    <t>The intensity will be the same as today.</t>
    <phoneticPr fontId="79" type="noConversion"/>
  </si>
  <si>
    <r>
      <t xml:space="preserve">The intensity will decrease to 180 kwh per </t>
    </r>
    <r>
      <rPr>
        <sz val="10"/>
        <rFont val="宋体"/>
        <family val="3"/>
        <charset val="134"/>
      </rPr>
      <t>㎡</t>
    </r>
    <r>
      <rPr>
        <sz val="10"/>
        <rFont val="Calibri"/>
        <family val="2"/>
      </rPr>
      <t xml:space="preserve"> per year.</t>
    </r>
    <phoneticPr fontId="79" type="noConversion"/>
  </si>
  <si>
    <t>In 2010 the world's population was around 6.9 billion</t>
  </si>
  <si>
    <t>This lever also drives the total food consumption, total buidlings demand and total transport demand</t>
  </si>
  <si>
    <t>This lever also drives the total buidlings demand and total transport demand</t>
  </si>
  <si>
    <t>In 2010, 52% of the world's population lived in urban area</t>
  </si>
  <si>
    <t>G.M.02</t>
  </si>
  <si>
    <t>For lookups</t>
  </si>
  <si>
    <t>unabated power</t>
  </si>
  <si>
    <t>Consistent with IEA categories</t>
  </si>
  <si>
    <t>Split by model conventions</t>
  </si>
  <si>
    <t>Coking coal</t>
  </si>
  <si>
    <t>Lignite</t>
  </si>
  <si>
    <t>Peat</t>
  </si>
  <si>
    <t>Other bitumous coal</t>
  </si>
  <si>
    <t>Sub bitumous coal</t>
  </si>
  <si>
    <t>Gasoline</t>
  </si>
  <si>
    <t>Gas / diesel oil</t>
  </si>
  <si>
    <t>Liquified Petroleum Gas</t>
  </si>
  <si>
    <t>CO2 data is default IPPC Emission Factors, taken from: http://acm.eionet.europa.eu/docs/ETCACC_TechnPaper_2003_10_CO2_EF_fuels.pdf</t>
  </si>
  <si>
    <t>CH4 and N2O data is based on data in the UK's 2050 Calculator</t>
  </si>
  <si>
    <t xml:space="preserve"> 2.4% growth in VKT annually leading to a 150% by 2050 in total VKT</t>
  </si>
  <si>
    <t>1.5% growth in VKT annually , similar to the 4DS and 6DS scenarios from the IEA ETP 2012</t>
  </si>
  <si>
    <t>1.2% growth in VKT annually, similar to the 2DS scenario from the IEA ETP 2012</t>
  </si>
  <si>
    <t>To reach other targets, such as road safety, without large investments, total VKT must be reduced to 85% of 2DS, 0.8% growth rate leading to 33% increase in total VKT</t>
  </si>
  <si>
    <t>Assumed slightly higher growth rates for NA and EU than IEA 6DS scenario - assuming the 'leveling-off' trend is anomaly rather than future trend. Used research showing more extreme projections for China and India vehicle growth - assuming that congestion will get increasingly worse</t>
  </si>
  <si>
    <t xml:space="preserve">Passengers travelled about 40,000 billion kms in 2011, with about 75% of these kms in personal vehicles. </t>
  </si>
  <si>
    <t xml:space="preserve">About 18,000 billion tonne.kms of freight transport over land in 2011, with roughly a 50/50 split between road and rail. Additionally, large amounts were also transported by ship internationally. </t>
  </si>
  <si>
    <t>2.5% annual increase globally in domestic freight, and 5,3% in international freight</t>
  </si>
  <si>
    <t>2.1% annual increase globally in domestic freight, and 2,8% in international freight</t>
  </si>
  <si>
    <t>1.5% annual increase globally in domestic and international freight</t>
  </si>
  <si>
    <t>Based on ITF 2008 projection for increase in ground freight plus constrained growth in rail, 2.5% annual increase globally in domestic freight;
Based on ITF as well,  5,3% annual growth in international freight - this is an extreme scenario, but extends current trends. Assumes 6% annual increase in air and 5% in maritime.</t>
  </si>
  <si>
    <t>Based on WBCSD 2004 projection for increase in ground and rail freight, 2.1% annual increase globally in domestic freight;
Based on UN and ITF lower estimates, 2,8% annual growth in international freight. Total growth of 200%, more growth in air cargo.</t>
  </si>
  <si>
    <t>1.5% annual increase globally in domestic and international freight : as manufacturing moves back to countries like US, international trade levels off to some degree, with some growth in faster shipping (air cargo). Domestic shipping increases.</t>
  </si>
  <si>
    <t>Only a 0,5% annual growth in international freight, with limited growth of domestic freight</t>
  </si>
  <si>
    <t xml:space="preserve">As manufacturing moves back to countries like US, international trade levels off, with some growth in faster shipping (air cargo), we observe only a 0,5% annual growth in international freight. Domestic shipping increases to compensate. </t>
  </si>
  <si>
    <t>Modal shares for passenger transport various significantly by geographies, very car-based in developed countries, and more public transport and non-motorized in developing countries. Globally this translates to the following shares for urban travel: Car - 40%, 2-3 Wheelers - 15%, Bus - 24%, Rail - 1%, 20% Non-Motorized
Goods transported by land are split roughly 50% road and 50% rail globally</t>
  </si>
  <si>
    <t>Growth in private vehicle share continues. Cities develop more like North American cities or suffer from severe congestion, leading to the following mode shares : Car - 55%, 2-3 Wheelers - 25%, Bus - 14%, Rail - 1%, 5% Non-motorized
As for land freight, No expansion of rail freight leads to up to 80% share of road-based transport</t>
  </si>
  <si>
    <t xml:space="preserve">Global mode shares : Car - 35%, 2-3 Wheelers - 20%, Bus - 30%, Rail - 5%, 10% Non-motorized
As for freight, it reaches 45% road and 35% rail, 20% waterborne </t>
  </si>
  <si>
    <t xml:space="preserve">Assuming that achieving "full TOD"  (transit-oriented development) is not possible, a larger portion of people shift to transit (Similar to Curitiba, Bogota, Paris, or Tokyo) leading to the following mode shares : Car - 35%, 2-3 Wheelers - 20%, Bus - 30%, Rail - 5%, 10% Non-motorized
As for freight, expansion of rail freight (35%) and more use of shipping (20%) limits road-based transport to a 45% share </t>
  </si>
  <si>
    <t>Global mode shares : Car - 25%, 2-3 Wheelers - 15%, Bus - 38%, Rail - 7%, 15% Non-motorized
As for freight, it reaches 20% road and 50% rail; 30% waterborne</t>
  </si>
  <si>
    <t xml:space="preserve">Due to TOD (transit-oriented development) and smart development, cities around the world achieve 33 -33 -33 mode split (similar to Copenhagen - also a rough average of various cities around the world today), leading to the following mode shares : Car - 25%, 2-3 Wheelers - 15%, Bus - 38%, Rail - 7%, 15% Non-motorized
As for freight, a larger expansion of rail freight (50%) and more use of shipping (30%) limits road-based transport to a 20% share </t>
  </si>
  <si>
    <t xml:space="preserve">Some change in development patterns and improvements in transit slightly decrease vehicle mode share and shift more significantly to transit, leading to the following mode shares : Car - 45%, 2-3 Wheelers - 25%, Bus - 19%, Rail - 1%, 10% Non-motorized
As for land freight, some expansion of rail and shipping freight limits road-based transport to a 65% share </t>
  </si>
  <si>
    <t>Global mode shares : Car - 45%, 2-3 Wheelers - 25%, Bus - 19%, Rail - 1%, 10% Non-motorized
As for land freight, it reaches 65% road, rail 25% rail and shipping 10% globally</t>
  </si>
  <si>
    <t>Global mode shares for urban passengers : Car - 55%, 2-3 Wheelers - 25%, Bus - 14%, Rail - 1%, 5% Non-motorized
As for land freight, it reaches 80% road, 15% rail and 5% shipping globally</t>
  </si>
  <si>
    <t>Private cars consume on average about 8 liters / 100km in 2010, while buses consume about 32. 
Heavy trucks, which transport about 95% of road-based freight, consume about 32 liters per 100 km.</t>
  </si>
  <si>
    <t xml:space="preserve">Limited improvement, with most transport modes decreasing their energy intensity by 0.5% annually. </t>
  </si>
  <si>
    <t>The pace of improvement doubles from level 1, with most transport modes decreasing their energy intensity by 1% annually or ~1/3 over 40 years.</t>
  </si>
  <si>
    <t>The pace of improvement is significant, with most transport modes decreasing their energy intensity by ~2% annually or ~50% over 40 years.</t>
  </si>
  <si>
    <t>The pace of improvement is extreme, with most transport modes decreasing their energy intensity by ~3% annually or ~70% over 40 years.</t>
  </si>
  <si>
    <t xml:space="preserve">There is very limited electricity or hydrogen-based transport across all modes. </t>
  </si>
  <si>
    <t>Limited electrification occurs, with  20% hybrids and 15% electric for passenger cars, and  5% hybrids for trucks</t>
  </si>
  <si>
    <t>Electrification increases, with 50% hybrids and 30% electric for passenger cars, and  10% hybrids and 3 to 5% electric for trucks.</t>
  </si>
  <si>
    <t>Massive electrification with 10% hybrids, 70% electric and 20% H2 for passenger cars.
For trucks, 20% hybrids while 10 to 30% are full electric depending on their size. 30% of trucks are also running on H2.</t>
  </si>
  <si>
    <t>Large electrification with 20% hybrids and 60% electric for passenger cars, and H2 also taking up to 10%.
For trucks, 15% hybrids and 6 to 15% electric depending on their size. 15% of trucks are also running on H2.</t>
  </si>
  <si>
    <t>B.04</t>
  </si>
  <si>
    <t>Non-residential</t>
  </si>
  <si>
    <t>Energy demand for non-residential buildings</t>
  </si>
  <si>
    <t>YEAR</t>
  </si>
  <si>
    <t>heating urban access to elec</t>
  </si>
  <si>
    <t>cooling urban access to elec</t>
  </si>
  <si>
    <t>cooking urban access to elec</t>
  </si>
  <si>
    <t>heating rural access to elec</t>
  </si>
  <si>
    <t>cooling rural access to elec</t>
  </si>
  <si>
    <t>cooking rural access to elec</t>
  </si>
  <si>
    <t>heating urban no access to elec</t>
  </si>
  <si>
    <t>cooking urban no access to elec</t>
  </si>
  <si>
    <t>lighting urban no access to elec</t>
  </si>
  <si>
    <t>heating rural no access to elec</t>
  </si>
  <si>
    <t>cooking rural no access to elec</t>
  </si>
  <si>
    <t>lighting rural no access to elec</t>
  </si>
  <si>
    <t>http://cdiac.ornl.gov/pns/convert.html#3</t>
  </si>
  <si>
    <t>IPCC p12-19</t>
  </si>
  <si>
    <t>http://www.ocean.washington.edu/courses/envir215/energynumbers.pdf</t>
  </si>
  <si>
    <t>1.18.0</t>
  </si>
  <si>
    <t>2012</t>
  </si>
  <si>
    <t>2013</t>
  </si>
  <si>
    <t>2014</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</si>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</sst>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0.0_);\(#,##0.0\);&quot;-&quot;_);@"/>
    <numFmt numFmtId="165" formatCode="0%;\ \(0%\);\ \-"/>
    <numFmt numFmtId="166" formatCode="#,##0.0_);\(#,##0.0\);&quot;-&quot;;@"/>
    <numFmt numFmtId="167" formatCode="0.0E+00"/>
    <numFmt numFmtId="168" formatCode="_-* #,##0_-;\-* #,##0_-;_-* &quot;-&quot;??_-;_-@_-"/>
    <numFmt numFmtId="170" formatCode="#,##0_ ;\-#,##0\ "/>
    <numFmt numFmtId="171" formatCode="0.0"/>
    <numFmt numFmtId="172" formatCode="0.000000"/>
    <numFmt numFmtId="173" formatCode="0.0000000000000"/>
    <numFmt numFmtId="174" formatCode="0.00000000000000"/>
    <numFmt numFmtId="176" formatCode="0_ ;\-0\ "/>
    <numFmt numFmtId="179" formatCode="#,##0.000_);\(#,##0.000\);&quot;-&quot;_);@"/>
    <numFmt numFmtId="180" formatCode="#,##0_);\(#,##0\);&quot;-&quot;_);@"/>
    <numFmt numFmtId="181" formatCode="0.000"/>
    <numFmt numFmtId="185" formatCode="#,##0.0"/>
    <numFmt numFmtId="186" formatCode="0.000000000"/>
    <numFmt numFmtId="187" formatCode="#,##0.00_);\(#,##0.00\);&quot;-&quot;_);@"/>
    <numFmt numFmtId="190" formatCode="0.00000"/>
    <numFmt numFmtId="191" formatCode="0.00000000"/>
    <numFmt numFmtId="192" formatCode="0.0000%"/>
    <numFmt numFmtId="198" formatCode="#,##0.000000000_);\(#,##0.000000000\);&quot;-&quot;_);@"/>
  </numFmts>
  <fonts count="97" x14ac:knownFonts="1">
    <font>
      <sz val="1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Arial"/>
      <family val="2"/>
    </font>
    <font>
      <sz val="10"/>
      <color theme="0"/>
      <name val="Arial"/>
      <family val="2"/>
    </font>
    <font>
      <sz val="10"/>
      <color theme="1"/>
      <name val="Calibri"/>
      <family val="1"/>
      <scheme val="minor"/>
    </font>
    <font>
      <b/>
      <i/>
      <sz val="8"/>
      <color theme="3" tint="0.39997558519241921"/>
      <name val="Arial"/>
      <family val="2"/>
    </font>
    <font>
      <sz val="8"/>
      <color theme="1"/>
      <name val="Arial"/>
      <family val="2"/>
    </font>
    <font>
      <b/>
      <sz val="12"/>
      <color theme="1"/>
      <name val="Arial"/>
      <family val="2"/>
    </font>
    <font>
      <b/>
      <sz val="12"/>
      <color theme="3" tint="-0.249977111117893"/>
      <name val="Arial"/>
      <family val="2"/>
    </font>
    <font>
      <sz val="10"/>
      <color theme="1"/>
      <name val="Calibri"/>
      <family val="2"/>
    </font>
    <font>
      <b/>
      <sz val="10"/>
      <color theme="1"/>
      <name val="Calibri"/>
      <family val="2"/>
    </font>
    <font>
      <b/>
      <sz val="12"/>
      <color theme="1"/>
      <name val="Calibri"/>
      <family val="1"/>
      <scheme val="minor"/>
    </font>
    <font>
      <b/>
      <sz val="12"/>
      <color theme="1"/>
      <name val="Calibri"/>
      <family val="2"/>
    </font>
    <font>
      <sz val="10"/>
      <name val="Calibri"/>
      <family val="1"/>
    </font>
    <font>
      <b/>
      <sz val="16"/>
      <color theme="3"/>
      <name val="Calibri"/>
      <family val="2"/>
      <scheme val="minor"/>
    </font>
    <font>
      <i/>
      <sz val="10"/>
      <color theme="1"/>
      <name val="Calibri"/>
      <family val="1"/>
      <scheme val="minor"/>
    </font>
    <font>
      <sz val="12"/>
      <color theme="1"/>
      <name val="Calibri"/>
      <family val="1"/>
      <scheme val="minor"/>
    </font>
    <font>
      <sz val="14"/>
      <color theme="1"/>
      <name val="Calibri"/>
      <family val="1"/>
      <scheme val="minor"/>
    </font>
    <font>
      <b/>
      <sz val="12"/>
      <color theme="0"/>
      <name val="Arial"/>
      <family val="2"/>
    </font>
    <font>
      <b/>
      <sz val="12"/>
      <color theme="0"/>
      <name val="Calibri"/>
      <family val="2"/>
    </font>
    <font>
      <b/>
      <sz val="10"/>
      <color theme="9" tint="-0.24994659260841701"/>
      <name val="Calibri"/>
      <family val="1"/>
      <scheme val="minor"/>
    </font>
    <font>
      <sz val="28"/>
      <name val="Calibri"/>
      <family val="2"/>
    </font>
    <font>
      <u/>
      <sz val="10"/>
      <color theme="10"/>
      <name val="Calibri"/>
      <family val="2"/>
    </font>
    <font>
      <sz val="11"/>
      <color rgb="FFFF0000"/>
      <name val="Calibri"/>
      <family val="2"/>
      <scheme val="minor"/>
    </font>
    <font>
      <sz val="10"/>
      <name val="Calibri"/>
      <family val="1"/>
      <scheme val="minor"/>
    </font>
    <font>
      <i/>
      <sz val="10"/>
      <name val="Calibri"/>
      <family val="1"/>
      <scheme val="minor"/>
    </font>
    <font>
      <b/>
      <sz val="10"/>
      <name val="Calibri"/>
      <family val="1"/>
      <scheme val="minor"/>
    </font>
    <font>
      <sz val="10"/>
      <color theme="0" tint="-0.499984740745262"/>
      <name val="Calibri"/>
      <family val="1"/>
      <scheme val="minor"/>
    </font>
    <font>
      <b/>
      <sz val="10"/>
      <name val="Calibri"/>
      <family val="2"/>
    </font>
    <font>
      <b/>
      <sz val="12"/>
      <color theme="0"/>
      <name val="Calibri"/>
      <family val="1"/>
      <scheme val="minor"/>
    </font>
    <font>
      <b/>
      <sz val="10"/>
      <color theme="1"/>
      <name val="Calibri"/>
      <family val="1"/>
      <scheme val="minor"/>
    </font>
    <font>
      <sz val="10"/>
      <name val="Calibri"/>
      <family val="2"/>
    </font>
    <font>
      <b/>
      <sz val="20"/>
      <color rgb="FF0070C0"/>
      <name val="Wingdings 3"/>
      <family val="1"/>
      <charset val="2"/>
    </font>
    <font>
      <sz val="4"/>
      <color theme="1"/>
      <name val="Calibri"/>
      <family val="1"/>
      <scheme val="minor"/>
    </font>
    <font>
      <sz val="8"/>
      <color theme="1"/>
      <name val="Calibri"/>
      <family val="1"/>
      <scheme val="minor"/>
    </font>
    <font>
      <sz val="8"/>
      <color theme="1"/>
      <name val="Calibri"/>
      <family val="1"/>
    </font>
    <font>
      <sz val="10"/>
      <color theme="1"/>
      <name val="Calibri"/>
      <family val="1"/>
    </font>
    <font>
      <i/>
      <sz val="10"/>
      <color theme="1"/>
      <name val="Calibri"/>
      <family val="2"/>
    </font>
    <font>
      <sz val="4"/>
      <color theme="0" tint="-0.499984740745262"/>
      <name val="Calibri"/>
      <family val="1"/>
      <scheme val="minor"/>
    </font>
    <font>
      <sz val="10"/>
      <color theme="0" tint="-0.4999847407452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4" tint="-0.499984740745262"/>
      <name val="Calibri"/>
      <family val="1"/>
      <scheme val="minor"/>
    </font>
    <font>
      <sz val="11"/>
      <name val="Calibri"/>
      <family val="2"/>
    </font>
    <font>
      <sz val="11"/>
      <color theme="1"/>
      <name val="Calibri"/>
      <family val="2"/>
    </font>
    <font>
      <sz val="11"/>
      <color theme="0" tint="-0.499984740745262"/>
      <name val="Calibri"/>
      <family val="2"/>
      <scheme val="minor"/>
    </font>
    <font>
      <b/>
      <sz val="10"/>
      <color theme="1" tint="0.24994659260841701"/>
      <name val="Calibri"/>
      <family val="2"/>
    </font>
    <font>
      <b/>
      <sz val="12"/>
      <color theme="3"/>
      <name val="Calibri"/>
      <family val="1"/>
      <scheme val="minor"/>
    </font>
    <font>
      <b/>
      <sz val="9"/>
      <color indexed="81"/>
      <name val="Tahoma"/>
      <family val="2"/>
    </font>
    <font>
      <b/>
      <sz val="10"/>
      <color rgb="FFFF0000"/>
      <name val="Calibri"/>
      <family val="1"/>
      <scheme val="minor"/>
    </font>
    <font>
      <sz val="10"/>
      <color rgb="FFFF0000"/>
      <name val="Calibri"/>
      <family val="1"/>
    </font>
    <font>
      <sz val="10"/>
      <color rgb="FFFF0000"/>
      <name val="Calibri"/>
      <family val="2"/>
    </font>
    <font>
      <sz val="11"/>
      <color rgb="FF000000"/>
      <name val="Calibri"/>
      <family val="2"/>
      <scheme val="minor"/>
    </font>
    <font>
      <b/>
      <sz val="12"/>
      <name val="Calibri"/>
      <family val="1"/>
      <scheme val="minor"/>
    </font>
    <font>
      <b/>
      <sz val="10"/>
      <color theme="0" tint="-0.499984740745262"/>
      <name val="Calibri"/>
      <family val="1"/>
      <scheme val="minor"/>
    </font>
    <font>
      <b/>
      <sz val="11"/>
      <color theme="1"/>
      <name val="Calibri"/>
      <family val="1"/>
      <scheme val="minor"/>
    </font>
    <font>
      <sz val="10"/>
      <color theme="1" tint="0.24994659260841701"/>
      <name val="Calibri"/>
      <family val="2"/>
    </font>
    <font>
      <b/>
      <sz val="12"/>
      <color rgb="FFFF0000"/>
      <name val="Calibri"/>
      <family val="2"/>
    </font>
    <font>
      <b/>
      <sz val="14"/>
      <color theme="3"/>
      <name val="Calibri"/>
      <family val="2"/>
    </font>
    <font>
      <sz val="9"/>
      <name val="Calibri"/>
      <family val="2"/>
    </font>
    <font>
      <b/>
      <sz val="10"/>
      <color rgb="FFFF0000"/>
      <name val="Calibri"/>
      <family val="2"/>
    </font>
    <font>
      <b/>
      <sz val="10"/>
      <color rgb="FFFF0000"/>
      <name val="Calibri"/>
      <family val="2"/>
      <scheme val="minor"/>
    </font>
    <font>
      <sz val="9"/>
      <name val="宋体"/>
      <family val="3"/>
      <charset val="134"/>
    </font>
    <font>
      <sz val="10"/>
      <color rgb="FFFF0000"/>
      <name val="Calibri"/>
      <family val="1"/>
      <scheme val="minor"/>
    </font>
    <font>
      <sz val="11"/>
      <color rgb="FFFF0000"/>
      <name val="Calibri"/>
      <family val="2"/>
    </font>
    <font>
      <u/>
      <sz val="10"/>
      <color theme="11"/>
      <name val="Calibri"/>
      <family val="2"/>
    </font>
    <font>
      <b/>
      <sz val="10"/>
      <color rgb="FFFF6600"/>
      <name val="Calibri"/>
      <family val="2"/>
    </font>
    <font>
      <b/>
      <u/>
      <sz val="10"/>
      <color theme="10"/>
      <name val="Calibri"/>
      <family val="2"/>
    </font>
    <font>
      <sz val="12"/>
      <color theme="1"/>
      <name val="Arial"/>
      <family val="2"/>
    </font>
    <font>
      <sz val="10"/>
      <name val="Arial"/>
      <family val="2"/>
    </font>
    <font>
      <sz val="10"/>
      <color theme="9" tint="-0.249977111117893"/>
      <name val="Calibri"/>
      <family val="2"/>
    </font>
    <font>
      <i/>
      <sz val="10"/>
      <name val="Calibri"/>
      <family val="2"/>
    </font>
    <font>
      <i/>
      <sz val="11"/>
      <name val="Calibri"/>
      <family val="2"/>
    </font>
    <font>
      <sz val="10"/>
      <color theme="1"/>
      <name val="Cambria"/>
      <family val="2"/>
      <scheme val="major"/>
    </font>
    <font>
      <b/>
      <sz val="10"/>
      <color theme="1"/>
      <name val="Calibri"/>
    </font>
    <font>
      <sz val="10"/>
      <color theme="1"/>
      <name val="Calibri"/>
    </font>
    <font>
      <b/>
      <sz val="10"/>
      <name val="Calibri"/>
    </font>
    <font>
      <sz val="10"/>
      <name val="Calibri"/>
    </font>
    <font>
      <sz val="10"/>
      <name val="宋体"/>
      <family val="3"/>
      <charset val="134"/>
    </font>
    <font>
      <b/>
      <sz val="10"/>
      <name val="宋体"/>
      <family val="3"/>
      <charset val="134"/>
    </font>
  </fonts>
  <fills count="65">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tint="0.7999816888943144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9" tint="0.59996337778862885"/>
        <bgColor indexed="64"/>
      </patternFill>
    </fill>
    <fill>
      <patternFill patternType="solid">
        <fgColor theme="3" tint="-0.49998474074526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9" tint="-0.24994659260841701"/>
        <bgColor indexed="64"/>
      </patternFill>
    </fill>
    <fill>
      <patternFill patternType="solid">
        <fgColor theme="3" tint="-0.24994659260841701"/>
        <bgColor indexed="64"/>
      </patternFill>
    </fill>
    <fill>
      <patternFill patternType="solid">
        <fgColor theme="6" tint="0.79998168889431442"/>
        <bgColor indexed="64"/>
      </patternFill>
    </fill>
    <fill>
      <patternFill patternType="solid">
        <fgColor theme="1"/>
        <bgColor indexed="64"/>
      </patternFill>
    </fill>
    <fill>
      <patternFill patternType="solid">
        <fgColor rgb="FF52963A"/>
        <bgColor indexed="64"/>
      </patternFill>
    </fill>
    <fill>
      <patternFill patternType="solid">
        <fgColor theme="5" tint="0.79998168889431442"/>
        <bgColor indexed="64"/>
      </patternFill>
    </fill>
    <fill>
      <patternFill patternType="solid">
        <fgColor theme="7"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rgb="FF00B050"/>
        <bgColor indexed="64"/>
      </patternFill>
    </fill>
    <fill>
      <patternFill patternType="solid">
        <fgColor rgb="FFFFFFA7"/>
        <bgColor indexed="64"/>
      </patternFill>
    </fill>
    <fill>
      <patternFill patternType="solid">
        <fgColor rgb="FF92D050"/>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8" tint="0.39994506668294322"/>
        <bgColor indexed="64"/>
      </patternFill>
    </fill>
    <fill>
      <patternFill patternType="solid">
        <fgColor theme="3" tint="0.59999389629810485"/>
        <bgColor indexed="64"/>
      </patternFill>
    </fill>
    <fill>
      <patternFill patternType="solid">
        <fgColor theme="5" tint="-0.499984740745262"/>
        <bgColor indexed="64"/>
      </patternFill>
    </fill>
    <fill>
      <patternFill patternType="solid">
        <fgColor theme="7" tint="0.79998168889431442"/>
        <bgColor indexed="64"/>
      </patternFill>
    </fill>
    <fill>
      <patternFill patternType="solid">
        <fgColor rgb="FFC00000"/>
        <bgColor indexed="64"/>
      </patternFill>
    </fill>
    <fill>
      <patternFill patternType="solid">
        <fgColor theme="9" tint="-0.24994659260841701"/>
        <bgColor theme="0"/>
      </patternFill>
    </fill>
    <fill>
      <patternFill patternType="solid">
        <fgColor rgb="FF00B050"/>
        <bgColor theme="0"/>
      </patternFill>
    </fill>
    <fill>
      <patternFill patternType="solid">
        <fgColor theme="0"/>
        <bgColor indexed="64"/>
      </patternFill>
    </fill>
    <fill>
      <patternFill patternType="solid">
        <fgColor rgb="FF7030A0"/>
        <bgColor indexed="64"/>
      </patternFill>
    </fill>
    <fill>
      <patternFill patternType="solid">
        <fgColor rgb="FFFF0000"/>
        <bgColor indexed="64"/>
      </patternFill>
    </fill>
    <fill>
      <patternFill patternType="solid">
        <fgColor rgb="FFFF0000"/>
        <bgColor theme="0"/>
      </patternFill>
    </fill>
    <fill>
      <patternFill patternType="solid">
        <fgColor theme="9" tint="0.79998168889431442"/>
        <bgColor indexed="64"/>
      </patternFill>
    </fill>
    <fill>
      <patternFill patternType="solid">
        <fgColor theme="4" tint="0.59999389629810485"/>
        <bgColor indexed="64"/>
      </patternFill>
    </fill>
  </fills>
  <borders count="36">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top/>
      <bottom style="medium">
        <color theme="0" tint="-0.499984740745262"/>
      </bottom>
      <diagonal/>
    </border>
    <border>
      <left style="thin">
        <color theme="0"/>
      </left>
      <right style="thin">
        <color theme="0"/>
      </right>
      <top style="thin">
        <color theme="0"/>
      </top>
      <bottom style="thin">
        <color theme="0"/>
      </bottom>
      <diagonal/>
    </border>
    <border>
      <left/>
      <right/>
      <top style="thin">
        <color auto="1"/>
      </top>
      <bottom style="medium">
        <color auto="1"/>
      </bottom>
      <diagonal/>
    </border>
    <border>
      <left style="thin">
        <color theme="0"/>
      </left>
      <right style="thin">
        <color theme="0"/>
      </right>
      <top/>
      <bottom/>
      <diagonal/>
    </border>
    <border>
      <left/>
      <right/>
      <top/>
      <bottom style="medium">
        <color auto="1"/>
      </bottom>
      <diagonal/>
    </border>
    <border>
      <left/>
      <right/>
      <top style="thin">
        <color theme="0" tint="-0.499984740745262"/>
      </top>
      <bottom style="medium">
        <color theme="0" tint="-0.499984740745262"/>
      </bottom>
      <diagonal/>
    </border>
    <border>
      <left/>
      <right/>
      <top/>
      <bottom style="thin">
        <color theme="0" tint="-0.499984740745262"/>
      </bottom>
      <diagonal/>
    </border>
    <border>
      <left style="thin">
        <color theme="0" tint="-0.499984740745262"/>
      </left>
      <right/>
      <top/>
      <bottom/>
      <diagonal/>
    </border>
    <border>
      <left/>
      <right/>
      <top style="thin">
        <color theme="1"/>
      </top>
      <bottom style="medium">
        <color theme="0" tint="-0.4999847407452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auto="1"/>
      </top>
      <bottom style="thin">
        <color auto="1"/>
      </bottom>
      <diagonal/>
    </border>
    <border>
      <left/>
      <right/>
      <top style="medium">
        <color theme="1"/>
      </top>
      <bottom style="thin">
        <color theme="1"/>
      </bottom>
      <diagonal/>
    </border>
    <border>
      <left/>
      <right/>
      <top/>
      <bottom style="thin">
        <color auto="1"/>
      </bottom>
      <diagonal/>
    </border>
    <border>
      <left/>
      <right/>
      <top style="medium">
        <color theme="1"/>
      </top>
      <bottom style="medium">
        <color theme="0" tint="-0.499984740745262"/>
      </bottom>
      <diagonal/>
    </border>
    <border>
      <left/>
      <right/>
      <top style="thin">
        <color auto="1"/>
      </top>
      <bottom/>
      <diagonal/>
    </border>
    <border>
      <left/>
      <right/>
      <top/>
      <bottom style="thin">
        <color theme="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right/>
      <top style="thin">
        <color theme="1"/>
      </top>
      <bottom style="thin">
        <color theme="1"/>
      </bottom>
      <diagonal/>
    </border>
    <border>
      <left style="thick">
        <color theme="0"/>
      </left>
      <right/>
      <top/>
      <bottom style="thick">
        <color theme="0"/>
      </bottom>
      <diagonal/>
    </border>
    <border>
      <left/>
      <right/>
      <top/>
      <bottom style="thick">
        <color theme="0"/>
      </bottom>
      <diagonal/>
    </border>
  </borders>
  <cellStyleXfs count="300">
    <xf numFmtId="1" fontId="0" fillId="0" borderId="0">
      <alignment horizontal="left"/>
    </xf>
    <xf numFmtId="1" fontId="59" fillId="0" borderId="0">
      <alignment horizontal="left"/>
    </xf>
    <xf numFmtId="1" fontId="34" fillId="0" borderId="0" applyBorder="0" applyProtection="0">
      <alignment horizontal="left"/>
    </xf>
    <xf numFmtId="1" fontId="14" fillId="16" borderId="1" applyProtection="0">
      <alignment horizontal="left" vertical="center"/>
    </xf>
    <xf numFmtId="166" fontId="17" fillId="15" borderId="9" applyNumberFormat="0" applyAlignment="0" applyProtection="0"/>
    <xf numFmtId="0" fontId="31" fillId="18" borderId="0" applyNumberFormat="0" applyBorder="0" applyProtection="0">
      <alignment horizontal="left"/>
    </xf>
    <xf numFmtId="0" fontId="42" fillId="0" borderId="0" applyNumberFormat="0" applyFill="0" applyBorder="0" applyProtection="0">
      <alignment horizontal="right"/>
    </xf>
    <xf numFmtId="0" fontId="30" fillId="27" borderId="0" applyNumberFormat="0" applyBorder="0" applyProtection="0">
      <alignment horizontal="left" wrapText="1"/>
    </xf>
    <xf numFmtId="1" fontId="30" fillId="18" borderId="0" applyBorder="0" applyProtection="0">
      <alignment horizontal="left" wrapText="1"/>
    </xf>
    <xf numFmtId="0" fontId="33" fillId="28" borderId="0" applyNumberFormat="0" applyBorder="0" applyAlignment="0" applyProtection="0"/>
    <xf numFmtId="170" fontId="8" fillId="27" borderId="0" applyBorder="0" applyProtection="0">
      <alignment horizontal="left"/>
    </xf>
    <xf numFmtId="1" fontId="28" fillId="24" borderId="10" applyProtection="0">
      <alignment horizontal="left"/>
    </xf>
    <xf numFmtId="0" fontId="33" fillId="25" borderId="0" applyNumberFormat="0" applyBorder="0" applyAlignment="0" applyProtection="0"/>
    <xf numFmtId="1" fontId="28" fillId="18" borderId="12" applyProtection="0">
      <alignment horizontal="left"/>
    </xf>
    <xf numFmtId="1" fontId="28" fillId="18" borderId="26" applyProtection="0">
      <alignment horizontal="left" vertical="top"/>
    </xf>
    <xf numFmtId="1" fontId="28" fillId="24" borderId="26" applyProtection="0">
      <alignment horizontal="left"/>
    </xf>
    <xf numFmtId="185" fontId="28" fillId="24" borderId="0" applyBorder="0" applyProtection="0">
      <alignment horizontal="left"/>
    </xf>
    <xf numFmtId="0" fontId="33" fillId="26" borderId="0" applyNumberFormat="0" applyBorder="0" applyProtection="0">
      <alignment horizontal="left"/>
    </xf>
    <xf numFmtId="176" fontId="31" fillId="15" borderId="0" applyBorder="0" applyProtection="0">
      <alignment horizontal="left"/>
    </xf>
    <xf numFmtId="176" fontId="30" fillId="15" borderId="0" applyBorder="0" applyProtection="0">
      <alignment horizontal="left"/>
    </xf>
    <xf numFmtId="0" fontId="24" fillId="0" borderId="0" applyNumberFormat="0" applyBorder="0" applyAlignment="0" applyProtection="0"/>
    <xf numFmtId="1" fontId="8" fillId="0" borderId="28" applyFill="0" applyProtection="0">
      <alignment horizontal="left"/>
    </xf>
    <xf numFmtId="0" fontId="22" fillId="19" borderId="1">
      <alignment horizontal="centerContinuous"/>
    </xf>
    <xf numFmtId="1" fontId="35" fillId="21" borderId="9">
      <alignment horizontal="left"/>
    </xf>
    <xf numFmtId="3" fontId="13" fillId="18" borderId="0">
      <alignment horizontal="left"/>
    </xf>
    <xf numFmtId="0" fontId="23" fillId="23" borderId="0"/>
    <xf numFmtId="1" fontId="13" fillId="15" borderId="26">
      <alignment horizontal="left"/>
    </xf>
    <xf numFmtId="0" fontId="18" fillId="0" borderId="0">
      <alignment horizontal="left"/>
    </xf>
    <xf numFmtId="0" fontId="16" fillId="17" borderId="1" applyNumberFormat="0" applyAlignment="0" applyProtection="0"/>
    <xf numFmtId="0" fontId="15" fillId="52" borderId="0" applyNumberFormat="0">
      <alignment horizontal="left" vertical="center"/>
    </xf>
    <xf numFmtId="1" fontId="31" fillId="24" borderId="26" applyProtection="0">
      <alignment horizontal="left"/>
    </xf>
    <xf numFmtId="0" fontId="26" fillId="0" borderId="0" applyNumberFormat="0" applyFill="0" applyBorder="0" applyAlignment="0" applyProtection="0"/>
    <xf numFmtId="0" fontId="27" fillId="0" borderId="0" applyNumberFormat="0" applyFill="0" applyBorder="0" applyAlignment="0" applyProtection="0"/>
    <xf numFmtId="43" fontId="35" fillId="0" borderId="0" applyFont="0" applyFill="0" applyBorder="0" applyAlignment="0" applyProtection="0"/>
    <xf numFmtId="9" fontId="35" fillId="0" borderId="0" applyFont="0" applyFill="0" applyBorder="0" applyAlignment="0" applyProtection="0"/>
    <xf numFmtId="41" fontId="35" fillId="0" borderId="0" applyFont="0" applyFill="0" applyBorder="0" applyAlignment="0" applyProtection="0"/>
    <xf numFmtId="44" fontId="35" fillId="0" borderId="0" applyFont="0" applyFill="0" applyBorder="0" applyAlignment="0" applyProtection="0"/>
    <xf numFmtId="42" fontId="35" fillId="0" borderId="0" applyFont="0" applyFill="0" applyBorder="0" applyAlignment="0" applyProtection="0"/>
    <xf numFmtId="0" fontId="44" fillId="0" borderId="0" applyNumberFormat="0" applyFill="0" applyBorder="0" applyAlignment="0" applyProtection="0"/>
    <xf numFmtId="0" fontId="45" fillId="0" borderId="17" applyNumberFormat="0" applyFill="0" applyAlignment="0" applyProtection="0"/>
    <xf numFmtId="0" fontId="46" fillId="0" borderId="18" applyNumberFormat="0" applyFill="0" applyAlignment="0" applyProtection="0"/>
    <xf numFmtId="0" fontId="47" fillId="0" borderId="19" applyNumberFormat="0" applyFill="0" applyAlignment="0" applyProtection="0"/>
    <xf numFmtId="0" fontId="47" fillId="0" borderId="0" applyNumberFormat="0" applyFill="0" applyBorder="0" applyAlignment="0" applyProtection="0"/>
    <xf numFmtId="0" fontId="48" fillId="29" borderId="0" applyNumberFormat="0" applyBorder="0" applyAlignment="0" applyProtection="0"/>
    <xf numFmtId="0" fontId="49" fillId="30" borderId="0" applyNumberFormat="0" applyBorder="0" applyAlignment="0" applyProtection="0"/>
    <xf numFmtId="0" fontId="50" fillId="31" borderId="0" applyNumberFormat="0" applyBorder="0" applyAlignment="0" applyProtection="0"/>
    <xf numFmtId="0" fontId="51" fillId="32" borderId="20" applyNumberFormat="0" applyAlignment="0" applyProtection="0"/>
    <xf numFmtId="0" fontId="52" fillId="33" borderId="21" applyNumberFormat="0" applyAlignment="0" applyProtection="0"/>
    <xf numFmtId="0" fontId="53" fillId="33" borderId="20" applyNumberFormat="0" applyAlignment="0" applyProtection="0"/>
    <xf numFmtId="0" fontId="54" fillId="0" borderId="22" applyNumberFormat="0" applyFill="0" applyAlignment="0" applyProtection="0"/>
    <xf numFmtId="0" fontId="55" fillId="34" borderId="23" applyNumberFormat="0" applyAlignment="0" applyProtection="0"/>
    <xf numFmtId="0" fontId="35" fillId="2" borderId="24" applyNumberFormat="0" applyFont="0" applyAlignment="0" applyProtection="0"/>
    <xf numFmtId="0" fontId="56" fillId="0" borderId="0" applyNumberFormat="0" applyFill="0" applyBorder="0" applyAlignment="0" applyProtection="0"/>
    <xf numFmtId="0" fontId="57" fillId="0" borderId="25" applyNumberFormat="0" applyFill="0" applyAlignment="0" applyProtection="0"/>
    <xf numFmtId="0" fontId="58" fillId="35"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8" fillId="46" borderId="0" applyNumberFormat="0" applyBorder="0" applyAlignment="0" applyProtection="0"/>
    <xf numFmtId="0" fontId="26" fillId="0" borderId="0" applyNumberFormat="0" applyFill="0" applyBorder="0" applyAlignment="0" applyProtection="0"/>
    <xf numFmtId="1" fontId="13" fillId="0" borderId="27" applyProtection="0">
      <alignment horizontal="left"/>
    </xf>
    <xf numFmtId="164" fontId="8" fillId="0" borderId="0" applyFont="0" applyFill="0" applyBorder="0" applyAlignment="0" applyProtection="0"/>
    <xf numFmtId="1" fontId="13" fillId="15" borderId="10">
      <alignment horizontal="left"/>
    </xf>
    <xf numFmtId="1" fontId="31" fillId="0" borderId="0" applyFill="0" applyBorder="0" applyProtection="0">
      <alignment horizontal="left"/>
    </xf>
    <xf numFmtId="1" fontId="19" fillId="0" borderId="0" applyFill="0" applyBorder="0" applyProtection="0">
      <alignment horizontal="left" indent="1"/>
    </xf>
    <xf numFmtId="176" fontId="8" fillId="0" borderId="12" applyFill="0" applyProtection="0">
      <alignment horizontal="left"/>
    </xf>
    <xf numFmtId="171" fontId="13" fillId="15" borderId="0">
      <alignment horizontal="left"/>
    </xf>
    <xf numFmtId="1" fontId="43" fillId="15" borderId="26">
      <alignment horizontal="left"/>
    </xf>
    <xf numFmtId="1" fontId="31" fillId="24" borderId="0" applyBorder="0" applyProtection="0">
      <alignment horizontal="left"/>
    </xf>
    <xf numFmtId="1" fontId="30" fillId="24" borderId="0" applyBorder="0" applyProtection="0">
      <alignment horizontal="left"/>
    </xf>
    <xf numFmtId="171" fontId="28" fillId="24" borderId="12" applyProtection="0">
      <alignment horizontal="left"/>
    </xf>
    <xf numFmtId="1" fontId="31" fillId="18" borderId="26" applyProtection="0">
      <alignment horizontal="left" vertical="top"/>
    </xf>
    <xf numFmtId="171" fontId="13" fillId="15" borderId="12">
      <alignment horizontal="left"/>
    </xf>
    <xf numFmtId="1" fontId="16" fillId="2" borderId="0" applyFill="0" applyProtection="0">
      <alignment horizontal="left"/>
    </xf>
    <xf numFmtId="1" fontId="19" fillId="0" borderId="0" applyFill="0" applyBorder="0" applyProtection="0">
      <alignment horizontal="left" indent="2"/>
    </xf>
    <xf numFmtId="1" fontId="41" fillId="15" borderId="0">
      <alignment horizontal="left" indent="1"/>
    </xf>
    <xf numFmtId="1" fontId="29" fillId="24" borderId="0" applyBorder="0" applyProtection="0">
      <alignment horizontal="left"/>
    </xf>
    <xf numFmtId="3" fontId="41" fillId="18" borderId="0">
      <alignment horizontal="left"/>
    </xf>
    <xf numFmtId="170" fontId="19" fillId="27" borderId="0" applyBorder="0" applyProtection="0">
      <alignment horizontal="left"/>
    </xf>
    <xf numFmtId="3" fontId="23" fillId="22" borderId="0">
      <alignment horizontal="left"/>
    </xf>
    <xf numFmtId="171" fontId="63" fillId="21" borderId="9">
      <alignment horizontal="center"/>
    </xf>
    <xf numFmtId="2" fontId="13" fillId="48" borderId="0">
      <alignment horizontal="left"/>
    </xf>
    <xf numFmtId="1" fontId="43" fillId="15" borderId="10">
      <alignment horizontal="left"/>
    </xf>
    <xf numFmtId="9" fontId="13" fillId="15" borderId="12">
      <alignment horizontal="left"/>
    </xf>
    <xf numFmtId="1" fontId="8" fillId="0" borderId="0" applyFill="0" applyBorder="0" applyProtection="0">
      <alignment horizontal="left"/>
    </xf>
    <xf numFmtId="1" fontId="8" fillId="0" borderId="0" applyFill="0" applyBorder="0" applyProtection="0">
      <alignment horizontal="left" wrapText="1"/>
    </xf>
    <xf numFmtId="0" fontId="64" fillId="15" borderId="0" applyNumberFormat="0" applyBorder="0" applyProtection="0">
      <alignment horizontal="left"/>
    </xf>
    <xf numFmtId="0" fontId="35" fillId="0" borderId="0"/>
    <xf numFmtId="0" fontId="4" fillId="0" borderId="0"/>
    <xf numFmtId="0" fontId="44" fillId="0" borderId="0" applyNumberFormat="0" applyFill="0" applyBorder="0" applyAlignment="0" applyProtection="0"/>
    <xf numFmtId="0" fontId="45" fillId="0" borderId="17" applyNumberFormat="0" applyFill="0" applyAlignment="0" applyProtection="0"/>
    <xf numFmtId="0" fontId="46" fillId="0" borderId="18" applyNumberFormat="0" applyFill="0" applyAlignment="0" applyProtection="0"/>
    <xf numFmtId="0" fontId="47" fillId="0" borderId="19" applyNumberFormat="0" applyFill="0" applyAlignment="0" applyProtection="0"/>
    <xf numFmtId="0" fontId="47" fillId="0" borderId="0" applyNumberFormat="0" applyFill="0" applyBorder="0" applyAlignment="0" applyProtection="0"/>
    <xf numFmtId="0" fontId="48" fillId="29" borderId="0" applyNumberFormat="0" applyBorder="0" applyAlignment="0" applyProtection="0"/>
    <xf numFmtId="0" fontId="49" fillId="30" borderId="0" applyNumberFormat="0" applyBorder="0" applyAlignment="0" applyProtection="0"/>
    <xf numFmtId="0" fontId="50" fillId="31" borderId="0" applyNumberFormat="0" applyBorder="0" applyAlignment="0" applyProtection="0"/>
    <xf numFmtId="0" fontId="51" fillId="32" borderId="20" applyNumberFormat="0" applyAlignment="0" applyProtection="0"/>
    <xf numFmtId="0" fontId="52" fillId="33" borderId="21" applyNumberFormat="0" applyAlignment="0" applyProtection="0"/>
    <xf numFmtId="0" fontId="53" fillId="33" borderId="20" applyNumberFormat="0" applyAlignment="0" applyProtection="0"/>
    <xf numFmtId="0" fontId="54" fillId="0" borderId="22" applyNumberFormat="0" applyFill="0" applyAlignment="0" applyProtection="0"/>
    <xf numFmtId="0" fontId="55" fillId="34" borderId="23" applyNumberFormat="0" applyAlignment="0" applyProtection="0"/>
    <xf numFmtId="0" fontId="27" fillId="0" borderId="0" applyNumberFormat="0" applyFill="0" applyBorder="0" applyAlignment="0" applyProtection="0"/>
    <xf numFmtId="0" fontId="56" fillId="0" borderId="0" applyNumberFormat="0" applyFill="0" applyBorder="0" applyAlignment="0" applyProtection="0"/>
    <xf numFmtId="0" fontId="57" fillId="0" borderId="25" applyNumberFormat="0" applyFill="0" applyAlignment="0" applyProtection="0"/>
    <xf numFmtId="0" fontId="58" fillId="35"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0" fontId="58" fillId="46" borderId="0" applyNumberFormat="0" applyBorder="0" applyAlignment="0" applyProtection="0"/>
    <xf numFmtId="0" fontId="69" fillId="0" borderId="0"/>
    <xf numFmtId="41" fontId="31" fillId="0" borderId="0" applyFill="0" applyBorder="0" applyAlignment="0" applyProtection="0"/>
    <xf numFmtId="41" fontId="13" fillId="15" borderId="0">
      <alignment horizontal="left"/>
    </xf>
    <xf numFmtId="0" fontId="13" fillId="15" borderId="0">
      <alignment horizontal="left"/>
    </xf>
    <xf numFmtId="41" fontId="13" fillId="15" borderId="14" applyFont="0">
      <alignment horizontal="right"/>
    </xf>
    <xf numFmtId="49" fontId="13" fillId="15" borderId="14" applyFont="0">
      <alignment horizontal="left"/>
    </xf>
    <xf numFmtId="41" fontId="28" fillId="15" borderId="0" applyBorder="0" applyProtection="0">
      <alignment horizontal="right"/>
    </xf>
    <xf numFmtId="41" fontId="31" fillId="15" borderId="0" applyBorder="0" applyAlignment="0" applyProtection="0"/>
    <xf numFmtId="49" fontId="13" fillId="15" borderId="26">
      <alignment vertical="top"/>
    </xf>
    <xf numFmtId="0" fontId="42" fillId="0" borderId="0" applyNumberFormat="0" applyFill="0" applyBorder="0" applyProtection="0">
      <alignment horizontal="right"/>
    </xf>
    <xf numFmtId="41" fontId="30" fillId="15" borderId="0" applyBorder="0" applyProtection="0">
      <alignment horizontal="right"/>
    </xf>
    <xf numFmtId="0" fontId="30" fillId="15" borderId="0" applyNumberFormat="0" applyBorder="0" applyProtection="0">
      <alignment horizontal="left"/>
    </xf>
    <xf numFmtId="49" fontId="28" fillId="15" borderId="0" applyBorder="0" applyProtection="0">
      <alignment horizontal="right"/>
    </xf>
    <xf numFmtId="0" fontId="8" fillId="15" borderId="26" applyProtection="0">
      <alignment horizontal="right" vertical="top"/>
    </xf>
    <xf numFmtId="0" fontId="23" fillId="23" borderId="0"/>
    <xf numFmtId="0" fontId="24" fillId="0" borderId="0" applyNumberFormat="0" applyBorder="0" applyAlignment="0" applyProtection="0"/>
    <xf numFmtId="0" fontId="30" fillId="27" borderId="0" applyNumberFormat="0" applyBorder="0" applyProtection="0">
      <alignment horizontal="right"/>
    </xf>
    <xf numFmtId="41" fontId="30" fillId="27" borderId="0" applyBorder="0" applyProtection="0">
      <alignment horizontal="right"/>
    </xf>
    <xf numFmtId="0" fontId="33" fillId="54" borderId="0" applyNumberFormat="0" applyBorder="0" applyAlignment="0" applyProtection="0"/>
    <xf numFmtId="41" fontId="8" fillId="27" borderId="0" applyBorder="0" applyProtection="0">
      <alignment horizontal="right"/>
    </xf>
    <xf numFmtId="41" fontId="70" fillId="27" borderId="0" applyBorder="0" applyProtection="0">
      <alignment horizontal="right"/>
    </xf>
    <xf numFmtId="0" fontId="28" fillId="0" borderId="0" applyNumberFormat="0" applyBorder="0" applyAlignment="0" applyProtection="0"/>
    <xf numFmtId="0" fontId="34" fillId="0" borderId="0" applyBorder="0" applyAlignment="0" applyProtection="0"/>
    <xf numFmtId="0" fontId="33" fillId="25" borderId="0" applyNumberFormat="0" applyBorder="0" applyAlignment="0" applyProtection="0"/>
    <xf numFmtId="0" fontId="28" fillId="0" borderId="10" applyNumberFormat="0" applyAlignment="0" applyProtection="0"/>
    <xf numFmtId="41" fontId="28" fillId="0" borderId="0" applyBorder="0" applyAlignment="0" applyProtection="0"/>
    <xf numFmtId="1" fontId="28" fillId="15" borderId="0" applyBorder="0" applyProtection="0">
      <alignment horizontal="right"/>
    </xf>
    <xf numFmtId="0" fontId="34" fillId="55" borderId="0" applyNumberFormat="0" applyBorder="0" applyAlignment="0" applyProtection="0"/>
    <xf numFmtId="41" fontId="34" fillId="55" borderId="0" applyBorder="0" applyProtection="0">
      <alignment horizontal="right"/>
    </xf>
    <xf numFmtId="0" fontId="33" fillId="28" borderId="0" applyNumberFormat="0" applyBorder="0" applyAlignment="0" applyProtection="0"/>
    <xf numFmtId="0" fontId="28" fillId="55" borderId="0" applyNumberFormat="0" applyBorder="0" applyProtection="0">
      <alignment horizontal="right"/>
    </xf>
    <xf numFmtId="0" fontId="28" fillId="55" borderId="14" applyProtection="0">
      <alignment horizontal="right"/>
    </xf>
    <xf numFmtId="0" fontId="28" fillId="55" borderId="15" applyProtection="0">
      <alignment horizontal="right"/>
    </xf>
    <xf numFmtId="0" fontId="70" fillId="55" borderId="0" applyNumberFormat="0" applyBorder="0" applyProtection="0">
      <alignment horizontal="right"/>
    </xf>
    <xf numFmtId="0" fontId="16" fillId="17" borderId="1" applyNumberFormat="0" applyAlignment="0" applyProtection="0"/>
    <xf numFmtId="0" fontId="22" fillId="19" borderId="1"/>
    <xf numFmtId="0" fontId="14" fillId="2" borderId="0" applyFill="0" applyProtection="0">
      <alignment horizontal="left"/>
    </xf>
    <xf numFmtId="165" fontId="14" fillId="16" borderId="1" applyAlignment="0" applyProtection="0"/>
    <xf numFmtId="41" fontId="14" fillId="0" borderId="0" applyProtection="0">
      <alignment horizontal="right"/>
    </xf>
    <xf numFmtId="3" fontId="28" fillId="0" borderId="0" applyFill="0" applyBorder="0" applyAlignment="0" applyProtection="0"/>
    <xf numFmtId="0" fontId="13" fillId="0" borderId="0">
      <alignment horizontal="left" vertical="center"/>
    </xf>
    <xf numFmtId="166" fontId="17" fillId="15" borderId="9" applyNumberFormat="0" applyAlignment="0" applyProtection="0"/>
    <xf numFmtId="0" fontId="13" fillId="0" borderId="14" applyFont="0" applyAlignment="0">
      <alignment horizontal="left" vertical="center"/>
    </xf>
    <xf numFmtId="41" fontId="13" fillId="0" borderId="14" applyFont="0">
      <alignment horizontal="right" vertical="center"/>
    </xf>
    <xf numFmtId="0" fontId="19" fillId="0" borderId="0" applyFill="0" applyBorder="0" applyProtection="0">
      <alignment horizontal="left" indent="3"/>
    </xf>
    <xf numFmtId="0" fontId="8" fillId="0" borderId="0" applyNumberFormat="0" applyFill="0" applyBorder="0" applyProtection="0">
      <alignment horizontal="left" indent="1"/>
    </xf>
    <xf numFmtId="0" fontId="19" fillId="0" borderId="0" applyFill="0" applyBorder="0" applyProtection="0">
      <alignment horizontal="left" indent="2"/>
    </xf>
    <xf numFmtId="0" fontId="71" fillId="0" borderId="0" applyFill="0" applyBorder="0" applyAlignment="0" applyProtection="0"/>
    <xf numFmtId="41" fontId="31" fillId="0" borderId="0" applyFill="0" applyBorder="0" applyProtection="0">
      <alignment horizontal="right"/>
    </xf>
    <xf numFmtId="41" fontId="31" fillId="0" borderId="14" applyFill="0" applyProtection="0">
      <alignment horizontal="right"/>
    </xf>
    <xf numFmtId="41" fontId="8" fillId="0" borderId="0" applyFill="0" applyBorder="0" applyProtection="0">
      <alignment horizontal="right"/>
    </xf>
    <xf numFmtId="41" fontId="28" fillId="0" borderId="14" applyFill="0" applyProtection="0">
      <alignment horizontal="right"/>
    </xf>
    <xf numFmtId="0" fontId="30" fillId="24" borderId="0" applyNumberFormat="0" applyBorder="0" applyProtection="0">
      <alignment horizontal="left"/>
    </xf>
    <xf numFmtId="41" fontId="30" fillId="24" borderId="0" applyBorder="0" applyProtection="0">
      <alignment horizontal="right"/>
    </xf>
    <xf numFmtId="0" fontId="28" fillId="24" borderId="12" applyNumberFormat="0" applyAlignment="0" applyProtection="0"/>
    <xf numFmtId="0" fontId="28" fillId="24" borderId="12" applyNumberFormat="0" applyAlignment="0" applyProtection="0"/>
    <xf numFmtId="0" fontId="33" fillId="26" borderId="0" applyNumberFormat="0" applyBorder="0" applyProtection="0">
      <alignment horizontal="left"/>
    </xf>
    <xf numFmtId="0" fontId="28" fillId="24" borderId="26" applyNumberFormat="0" applyProtection="0">
      <alignment horizontal="left"/>
    </xf>
    <xf numFmtId="0" fontId="31" fillId="24" borderId="26" applyAlignment="0" applyProtection="0"/>
    <xf numFmtId="0" fontId="28" fillId="24" borderId="26" applyNumberFormat="0" applyProtection="0">
      <alignment horizontal="right"/>
    </xf>
    <xf numFmtId="0" fontId="29" fillId="24" borderId="0" applyNumberFormat="0" applyBorder="0" applyProtection="0">
      <alignment horizontal="left" indent="3"/>
    </xf>
    <xf numFmtId="0" fontId="31" fillId="24" borderId="0" applyNumberFormat="0" applyBorder="0" applyAlignment="0" applyProtection="0"/>
    <xf numFmtId="0" fontId="28" fillId="24" borderId="0" applyBorder="0" applyAlignment="0" applyProtection="0"/>
    <xf numFmtId="41" fontId="28" fillId="24" borderId="0" applyBorder="0" applyProtection="0">
      <alignment horizontal="right"/>
    </xf>
    <xf numFmtId="41" fontId="28" fillId="24" borderId="14" applyProtection="0">
      <alignment horizontal="right"/>
    </xf>
    <xf numFmtId="0" fontId="34" fillId="18" borderId="0" applyNumberFormat="0" applyBorder="0" applyProtection="0">
      <alignment horizontal="right"/>
    </xf>
    <xf numFmtId="41" fontId="28" fillId="18" borderId="0" applyBorder="0" applyProtection="0">
      <alignment horizontal="right"/>
    </xf>
    <xf numFmtId="41" fontId="28" fillId="18" borderId="14" applyProtection="0">
      <alignment horizontal="right"/>
    </xf>
    <xf numFmtId="0" fontId="59" fillId="0" borderId="0"/>
    <xf numFmtId="41" fontId="72" fillId="55" borderId="0" applyBorder="0" applyProtection="0">
      <alignment horizontal="right"/>
    </xf>
    <xf numFmtId="41" fontId="72" fillId="24" borderId="0" applyBorder="0" applyProtection="0">
      <alignment horizontal="right"/>
    </xf>
    <xf numFmtId="41" fontId="72" fillId="15" borderId="0" applyBorder="0" applyProtection="0">
      <alignment horizontal="right"/>
    </xf>
    <xf numFmtId="0" fontId="8" fillId="0" borderId="12" applyFill="0" applyAlignment="0" applyProtection="0"/>
    <xf numFmtId="41" fontId="31" fillId="0" borderId="12" applyFill="0" applyProtection="0">
      <alignment horizontal="left"/>
    </xf>
    <xf numFmtId="41" fontId="8" fillId="0" borderId="12" applyFill="0" applyProtection="0">
      <alignment horizontal="right"/>
    </xf>
    <xf numFmtId="41" fontId="31" fillId="0" borderId="12" applyFill="0" applyProtection="0">
      <alignment horizontal="right"/>
    </xf>
    <xf numFmtId="1" fontId="73" fillId="21" borderId="32">
      <alignment horizontal="left"/>
    </xf>
    <xf numFmtId="0" fontId="13" fillId="0" borderId="27" applyNumberFormat="0" applyProtection="0">
      <alignment horizontal="right" vertical="top"/>
    </xf>
    <xf numFmtId="0" fontId="13" fillId="0" borderId="27" applyProtection="0">
      <alignment horizontal="left" vertical="top"/>
    </xf>
    <xf numFmtId="0" fontId="43" fillId="0" borderId="27" applyProtection="0">
      <alignment horizontal="right" vertical="top"/>
    </xf>
    <xf numFmtId="0" fontId="70" fillId="18" borderId="0" applyNumberFormat="0" applyBorder="0" applyProtection="0">
      <alignment horizontal="right"/>
    </xf>
    <xf numFmtId="0" fontId="70" fillId="24" borderId="0" applyNumberFormat="0" applyBorder="0" applyAlignment="0" applyProtection="0"/>
    <xf numFmtId="41" fontId="70" fillId="0" borderId="0" applyBorder="0" applyProtection="0">
      <alignment horizontal="right"/>
    </xf>
    <xf numFmtId="41" fontId="15" fillId="15" borderId="0" applyBorder="0" applyProtection="0">
      <alignment horizontal="right"/>
    </xf>
    <xf numFmtId="0" fontId="30" fillId="18" borderId="0" applyNumberFormat="0" applyBorder="0" applyAlignment="0" applyProtection="0"/>
    <xf numFmtId="0" fontId="30" fillId="18" borderId="0" applyBorder="0" applyProtection="0">
      <alignment horizontal="right"/>
    </xf>
    <xf numFmtId="49" fontId="13" fillId="15" borderId="12">
      <alignment horizontal="left"/>
    </xf>
    <xf numFmtId="0" fontId="29" fillId="15" borderId="0" applyNumberFormat="0" applyBorder="0" applyProtection="0">
      <alignment horizontal="left" indent="3"/>
    </xf>
    <xf numFmtId="1" fontId="13" fillId="18" borderId="0">
      <alignment horizontal="left"/>
    </xf>
    <xf numFmtId="0" fontId="28" fillId="18" borderId="26" applyNumberFormat="0" applyProtection="0">
      <alignment vertical="top"/>
    </xf>
    <xf numFmtId="0" fontId="31" fillId="18" borderId="26" applyProtection="0">
      <alignment vertical="top"/>
    </xf>
    <xf numFmtId="0" fontId="28" fillId="18" borderId="12" applyNumberFormat="0" applyAlignment="0" applyProtection="0"/>
    <xf numFmtId="0" fontId="28" fillId="18" borderId="30" applyNumberFormat="0" applyAlignment="0" applyProtection="0"/>
    <xf numFmtId="0" fontId="23" fillId="22" borderId="0"/>
    <xf numFmtId="0" fontId="31" fillId="18" borderId="0" applyNumberFormat="0" applyBorder="0" applyProtection="0">
      <alignment horizontal="left"/>
    </xf>
    <xf numFmtId="49" fontId="31" fillId="15" borderId="26" applyProtection="0">
      <alignment horizontal="right" vertical="top"/>
    </xf>
    <xf numFmtId="9" fontId="28" fillId="15" borderId="0" applyBorder="0" applyProtection="0">
      <alignment horizontal="right"/>
    </xf>
    <xf numFmtId="0" fontId="13" fillId="15" borderId="10">
      <alignment vertical="top"/>
    </xf>
    <xf numFmtId="41" fontId="28" fillId="15" borderId="12" applyProtection="0">
      <alignment horizontal="left"/>
    </xf>
    <xf numFmtId="41" fontId="28" fillId="15" borderId="12" applyProtection="0">
      <alignment horizontal="right"/>
    </xf>
    <xf numFmtId="0" fontId="15" fillId="20" borderId="0" applyNumberFormat="0">
      <alignment horizontal="left" vertical="center"/>
    </xf>
    <xf numFmtId="43" fontId="4" fillId="0" borderId="0" applyFont="0" applyFill="0" applyBorder="0" applyAlignment="0" applyProtection="0"/>
    <xf numFmtId="164" fontId="8" fillId="0" borderId="0" applyFont="0" applyFill="0" applyBorder="0" applyAlignment="0" applyProtection="0"/>
    <xf numFmtId="0" fontId="4" fillId="0" borderId="0"/>
    <xf numFmtId="1" fontId="41" fillId="15" borderId="12">
      <alignment horizontal="left" indent="1"/>
    </xf>
    <xf numFmtId="171" fontId="13" fillId="15" borderId="28">
      <alignment horizontal="left"/>
    </xf>
    <xf numFmtId="9" fontId="13" fillId="15" borderId="28">
      <alignment horizontal="left"/>
    </xf>
    <xf numFmtId="171" fontId="63" fillId="56" borderId="9">
      <alignment horizontal="center"/>
    </xf>
    <xf numFmtId="171" fontId="63" fillId="57" borderId="9">
      <alignment horizontal="center"/>
    </xf>
    <xf numFmtId="171" fontId="63" fillId="58" borderId="9">
      <alignment horizontal="center"/>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171" fontId="82" fillId="0" borderId="0" applyNumberFormat="0" applyFill="0" applyBorder="0" applyAlignment="0" applyProtection="0">
      <alignment horizontal="left"/>
    </xf>
    <xf numFmtId="9" fontId="28" fillId="24" borderId="0" applyBorder="0" applyProtection="0">
      <alignment horizontal="left"/>
    </xf>
    <xf numFmtId="165" fontId="85" fillId="0" borderId="0" applyFont="0" applyFill="0" applyBorder="0" applyAlignment="0" applyProtection="0"/>
    <xf numFmtId="1" fontId="35" fillId="0" borderId="0">
      <alignment horizontal="left"/>
    </xf>
    <xf numFmtId="164" fontId="8" fillId="0" borderId="0" applyFont="0" applyFill="0" applyBorder="0" applyAlignment="0" applyProtection="0"/>
    <xf numFmtId="165" fontId="85" fillId="0" borderId="0" applyFont="0" applyFill="0" applyBorder="0" applyAlignment="0" applyProtection="0"/>
    <xf numFmtId="0" fontId="3" fillId="0" borderId="0"/>
    <xf numFmtId="0" fontId="86" fillId="0" borderId="0"/>
    <xf numFmtId="0" fontId="61" fillId="0" borderId="0"/>
    <xf numFmtId="1" fontId="13" fillId="15" borderId="0">
      <alignment horizontal="left"/>
    </xf>
    <xf numFmtId="171" fontId="43" fillId="15" borderId="12">
      <alignment horizontal="left"/>
    </xf>
    <xf numFmtId="0" fontId="2" fillId="0" borderId="0"/>
    <xf numFmtId="9" fontId="13" fillId="15" borderId="0">
      <alignment horizontal="left"/>
    </xf>
    <xf numFmtId="9" fontId="43" fillId="15" borderId="0">
      <alignment horizontal="left"/>
    </xf>
    <xf numFmtId="171" fontId="13" fillId="15" borderId="0">
      <alignment horizontal="left"/>
    </xf>
    <xf numFmtId="9" fontId="43" fillId="15" borderId="10">
      <alignment horizontal="left"/>
    </xf>
    <xf numFmtId="9" fontId="13" fillId="15" borderId="10">
      <alignment horizontal="left"/>
    </xf>
    <xf numFmtId="0" fontId="1" fillId="2" borderId="24" applyNumberFormat="0" applyFont="0" applyAlignment="0" applyProtection="0"/>
  </cellStyleXfs>
  <cellXfs count="462">
    <xf numFmtId="1" fontId="0" fillId="0" borderId="0" xfId="0">
      <alignment horizontal="left"/>
    </xf>
    <xf numFmtId="1" fontId="6" fillId="0" borderId="0" xfId="0" applyFont="1">
      <alignment horizontal="left"/>
    </xf>
    <xf numFmtId="1" fontId="7" fillId="0" borderId="0" xfId="0" applyFont="1">
      <alignment horizontal="left"/>
    </xf>
    <xf numFmtId="1" fontId="9" fillId="0" borderId="0" xfId="0" applyFont="1">
      <alignment horizontal="left"/>
    </xf>
    <xf numFmtId="1" fontId="10" fillId="0" borderId="0" xfId="0" applyFont="1">
      <alignment horizontal="left"/>
    </xf>
    <xf numFmtId="1" fontId="11" fillId="0" borderId="0" xfId="0" applyFont="1">
      <alignment horizontal="left"/>
    </xf>
    <xf numFmtId="1" fontId="12" fillId="0" borderId="0" xfId="0" applyFont="1">
      <alignment horizontal="left"/>
    </xf>
    <xf numFmtId="1" fontId="0" fillId="0" borderId="0" xfId="0">
      <alignment horizontal="left"/>
    </xf>
    <xf numFmtId="0" fontId="17" fillId="15" borderId="9" xfId="4" applyNumberFormat="1"/>
    <xf numFmtId="0" fontId="18" fillId="0" borderId="0" xfId="27">
      <alignment horizontal="left"/>
    </xf>
    <xf numFmtId="1" fontId="0" fillId="0" borderId="0" xfId="0" applyFill="1">
      <alignment horizontal="left"/>
    </xf>
    <xf numFmtId="0" fontId="15" fillId="52" borderId="0" xfId="29">
      <alignment horizontal="left" vertical="center"/>
    </xf>
    <xf numFmtId="1" fontId="0" fillId="0" borderId="0" xfId="0" applyFill="1" applyAlignment="1">
      <alignment vertical="center"/>
    </xf>
    <xf numFmtId="1" fontId="14" fillId="16" borderId="1" xfId="3">
      <alignment horizontal="left" vertical="center"/>
    </xf>
    <xf numFmtId="1" fontId="0" fillId="0" borderId="0" xfId="0" applyBorder="1">
      <alignment horizontal="left"/>
    </xf>
    <xf numFmtId="1" fontId="59" fillId="0" borderId="0" xfId="1">
      <alignment horizontal="left"/>
    </xf>
    <xf numFmtId="1" fontId="19" fillId="0" borderId="0" xfId="0" applyFont="1">
      <alignment horizontal="left"/>
    </xf>
    <xf numFmtId="1" fontId="20" fillId="0" borderId="0" xfId="0" applyFont="1">
      <alignment horizontal="left"/>
    </xf>
    <xf numFmtId="1" fontId="21" fillId="0" borderId="0" xfId="0" applyFont="1">
      <alignment horizontal="left"/>
    </xf>
    <xf numFmtId="167" fontId="0" fillId="0" borderId="0" xfId="0" applyNumberFormat="1">
      <alignment horizontal="left"/>
    </xf>
    <xf numFmtId="1" fontId="35" fillId="21" borderId="9" xfId="23">
      <alignment horizontal="left"/>
    </xf>
    <xf numFmtId="3" fontId="13" fillId="18" borderId="0" xfId="24">
      <alignment horizontal="left"/>
    </xf>
    <xf numFmtId="0" fontId="23" fillId="23" borderId="0" xfId="25"/>
    <xf numFmtId="1" fontId="0" fillId="0" borderId="0" xfId="0">
      <alignment horizontal="left"/>
    </xf>
    <xf numFmtId="1" fontId="0" fillId="0" borderId="8" xfId="0" applyBorder="1" applyAlignment="1">
      <alignment vertical="center"/>
    </xf>
    <xf numFmtId="1" fontId="8" fillId="0" borderId="0" xfId="21" applyBorder="1" applyAlignment="1">
      <alignment vertical="center"/>
    </xf>
    <xf numFmtId="1" fontId="0" fillId="0" borderId="0" xfId="0" applyAlignment="1">
      <alignment vertical="center" wrapText="1"/>
    </xf>
    <xf numFmtId="1" fontId="0" fillId="0" borderId="8" xfId="0" applyBorder="1" applyAlignment="1">
      <alignment vertical="center" wrapText="1"/>
    </xf>
    <xf numFmtId="1" fontId="8" fillId="0" borderId="0" xfId="21" applyBorder="1" applyAlignment="1">
      <alignment vertical="center" wrapText="1"/>
    </xf>
    <xf numFmtId="1" fontId="25" fillId="0" borderId="0" xfId="0" applyFont="1">
      <alignment horizontal="left"/>
    </xf>
    <xf numFmtId="1" fontId="0" fillId="0" borderId="0" xfId="0">
      <alignment horizontal="left"/>
    </xf>
    <xf numFmtId="1" fontId="0" fillId="0" borderId="0" xfId="0" quotePrefix="1">
      <alignment horizontal="left"/>
    </xf>
    <xf numFmtId="1" fontId="0" fillId="0" borderId="0" xfId="0" applyAlignment="1">
      <alignment horizontal="center"/>
    </xf>
    <xf numFmtId="165" fontId="16" fillId="17" borderId="1" xfId="28" applyNumberFormat="1" applyAlignment="1">
      <alignment horizontal="center" wrapText="1"/>
    </xf>
    <xf numFmtId="165" fontId="16" fillId="17" borderId="1" xfId="28" applyNumberFormat="1" applyAlignment="1">
      <alignment horizontal="center"/>
    </xf>
    <xf numFmtId="0" fontId="17" fillId="15" borderId="11" xfId="4" applyNumberFormat="1" applyBorder="1"/>
    <xf numFmtId="164" fontId="0" fillId="0" borderId="0" xfId="0" applyNumberFormat="1">
      <alignment horizontal="left"/>
    </xf>
    <xf numFmtId="0" fontId="33" fillId="26" borderId="0" xfId="17">
      <alignment horizontal="left"/>
    </xf>
    <xf numFmtId="164" fontId="33" fillId="26" borderId="0" xfId="17" applyNumberFormat="1">
      <alignment horizontal="left"/>
    </xf>
    <xf numFmtId="1" fontId="0" fillId="0" borderId="0" xfId="0">
      <alignment horizontal="left"/>
    </xf>
    <xf numFmtId="1" fontId="0" fillId="0" borderId="0" xfId="0">
      <alignment horizontal="left"/>
    </xf>
    <xf numFmtId="0" fontId="23" fillId="23" borderId="0" xfId="25"/>
    <xf numFmtId="1" fontId="13" fillId="15" borderId="26" xfId="26">
      <alignment horizontal="left"/>
    </xf>
    <xf numFmtId="1" fontId="0" fillId="0" borderId="0" xfId="0" applyAlignment="1">
      <alignment vertical="center" wrapText="1"/>
    </xf>
    <xf numFmtId="1" fontId="0" fillId="0" borderId="0" xfId="0" applyFill="1" applyAlignment="1">
      <alignment vertical="center" wrapText="1"/>
    </xf>
    <xf numFmtId="0" fontId="33" fillId="25" borderId="0" xfId="12"/>
    <xf numFmtId="1" fontId="34" fillId="0" borderId="0" xfId="2">
      <alignment horizontal="left"/>
    </xf>
    <xf numFmtId="1" fontId="0" fillId="0" borderId="0" xfId="0" applyFill="1">
      <alignment horizontal="left"/>
    </xf>
    <xf numFmtId="1" fontId="0" fillId="0" borderId="0" xfId="0" applyAlignment="1">
      <alignment wrapText="1"/>
    </xf>
    <xf numFmtId="170" fontId="8" fillId="27" borderId="0" xfId="10">
      <alignment horizontal="left"/>
    </xf>
    <xf numFmtId="176" fontId="30" fillId="15" borderId="0" xfId="19">
      <alignment horizontal="left"/>
    </xf>
    <xf numFmtId="1" fontId="0" fillId="0" borderId="0" xfId="0">
      <alignment horizontal="left"/>
    </xf>
    <xf numFmtId="1" fontId="36" fillId="0" borderId="0" xfId="0" applyFont="1" applyAlignment="1">
      <alignment horizontal="center"/>
    </xf>
    <xf numFmtId="1" fontId="0" fillId="0" borderId="0" xfId="0" applyAlignment="1">
      <alignment horizontal="left" vertical="center"/>
    </xf>
    <xf numFmtId="0" fontId="42" fillId="0" borderId="0" xfId="6">
      <alignment horizontal="right"/>
    </xf>
    <xf numFmtId="0" fontId="42" fillId="0" borderId="0" xfId="6" applyAlignment="1">
      <alignment horizontal="left" vertical="center"/>
    </xf>
    <xf numFmtId="0" fontId="42" fillId="0" borderId="0" xfId="6" applyAlignment="1">
      <alignment horizontal="left" indent="1"/>
    </xf>
    <xf numFmtId="0" fontId="24" fillId="0" borderId="0" xfId="20"/>
    <xf numFmtId="168" fontId="0" fillId="0" borderId="0" xfId="0" applyNumberFormat="1" applyFont="1">
      <alignment horizontal="left"/>
    </xf>
    <xf numFmtId="168" fontId="13" fillId="0" borderId="0" xfId="0" applyNumberFormat="1" applyFont="1" applyAlignment="1">
      <alignment horizontal="left" vertical="center"/>
    </xf>
    <xf numFmtId="168" fontId="37" fillId="0" borderId="0" xfId="0" applyNumberFormat="1" applyFont="1">
      <alignment horizontal="left"/>
    </xf>
    <xf numFmtId="0" fontId="24" fillId="0" borderId="0" xfId="20" applyAlignment="1">
      <alignment horizontal="left"/>
    </xf>
    <xf numFmtId="1" fontId="0" fillId="0" borderId="0" xfId="0" applyAlignment="1">
      <alignment vertical="center"/>
    </xf>
    <xf numFmtId="1" fontId="14" fillId="0" borderId="0" xfId="0" applyFont="1" applyAlignment="1">
      <alignment vertical="center"/>
    </xf>
    <xf numFmtId="1" fontId="14" fillId="0" borderId="0" xfId="0" applyFont="1" applyBorder="1" applyAlignment="1">
      <alignment vertical="center" wrapText="1"/>
    </xf>
    <xf numFmtId="1" fontId="0" fillId="0" borderId="0" xfId="0" applyAlignment="1"/>
    <xf numFmtId="1" fontId="38" fillId="0" borderId="0" xfId="21" applyFont="1" applyBorder="1" applyAlignment="1">
      <alignment vertical="center" wrapText="1"/>
    </xf>
    <xf numFmtId="1" fontId="39" fillId="0" borderId="0" xfId="0" applyFont="1" applyAlignment="1">
      <alignment vertical="center" wrapText="1"/>
    </xf>
    <xf numFmtId="1" fontId="0" fillId="0" borderId="0" xfId="0" applyFill="1" applyBorder="1" applyAlignment="1">
      <alignment vertical="center" wrapText="1"/>
    </xf>
    <xf numFmtId="1" fontId="39" fillId="0" borderId="0" xfId="0" applyFont="1" applyBorder="1" applyAlignment="1">
      <alignment vertical="center" wrapText="1"/>
    </xf>
    <xf numFmtId="0" fontId="22" fillId="19" borderId="5" xfId="22" applyBorder="1">
      <alignment horizontal="centerContinuous"/>
    </xf>
    <xf numFmtId="0" fontId="22" fillId="19" borderId="6" xfId="22" applyBorder="1">
      <alignment horizontal="centerContinuous"/>
    </xf>
    <xf numFmtId="0" fontId="22" fillId="19" borderId="7" xfId="22" applyBorder="1">
      <alignment horizontal="centerContinuous"/>
    </xf>
    <xf numFmtId="0" fontId="13" fillId="0" borderId="0" xfId="0" applyNumberFormat="1" applyFont="1" applyBorder="1" applyAlignment="1">
      <alignment vertical="center" wrapText="1"/>
    </xf>
    <xf numFmtId="1" fontId="8" fillId="0" borderId="0" xfId="21" applyFont="1" applyBorder="1" applyAlignment="1">
      <alignment vertical="center" wrapText="1"/>
    </xf>
    <xf numFmtId="1" fontId="0" fillId="0" borderId="0" xfId="0" applyFill="1" applyBorder="1">
      <alignment horizontal="left"/>
    </xf>
    <xf numFmtId="1" fontId="14" fillId="0" borderId="0" xfId="0" applyFont="1" applyFill="1" applyBorder="1" applyAlignment="1">
      <alignment vertical="center" wrapText="1"/>
    </xf>
    <xf numFmtId="0" fontId="13" fillId="0" borderId="0" xfId="0" applyNumberFormat="1" applyFont="1" applyFill="1" applyBorder="1" applyAlignment="1">
      <alignment vertical="center" wrapText="1"/>
    </xf>
    <xf numFmtId="1" fontId="0" fillId="0" borderId="14" xfId="0" applyBorder="1" applyAlignment="1">
      <alignment vertical="center" wrapText="1"/>
    </xf>
    <xf numFmtId="0" fontId="24" fillId="0" borderId="0" xfId="20" applyAlignment="1">
      <alignment vertical="center"/>
    </xf>
    <xf numFmtId="1" fontId="14" fillId="0" borderId="0" xfId="0" applyFont="1" applyAlignment="1">
      <alignment vertical="center" wrapText="1"/>
    </xf>
    <xf numFmtId="1" fontId="13" fillId="0" borderId="0" xfId="0" applyFont="1" applyAlignment="1">
      <alignment vertical="center"/>
    </xf>
    <xf numFmtId="1" fontId="41" fillId="0" borderId="0" xfId="0" applyFont="1" applyAlignment="1">
      <alignment vertical="center"/>
    </xf>
    <xf numFmtId="1" fontId="0" fillId="0" borderId="14" xfId="0" applyBorder="1" applyAlignment="1">
      <alignment vertical="center"/>
    </xf>
    <xf numFmtId="1" fontId="0" fillId="0" borderId="14" xfId="0" applyBorder="1" applyAlignment="1"/>
    <xf numFmtId="1" fontId="14" fillId="0" borderId="13" xfId="0" applyFont="1" applyBorder="1" applyAlignment="1">
      <alignment vertical="center"/>
    </xf>
    <xf numFmtId="1" fontId="32" fillId="0" borderId="13" xfId="0" applyFont="1" applyBorder="1">
      <alignment horizontal="left"/>
    </xf>
    <xf numFmtId="1" fontId="0" fillId="0" borderId="0" xfId="0" applyBorder="1" applyAlignment="1">
      <alignment vertical="center"/>
    </xf>
    <xf numFmtId="1" fontId="0" fillId="0" borderId="0" xfId="0" applyBorder="1" applyAlignment="1"/>
    <xf numFmtId="1" fontId="0" fillId="0" borderId="8" xfId="0" applyBorder="1" applyAlignment="1">
      <alignment vertical="center"/>
    </xf>
    <xf numFmtId="1" fontId="0" fillId="0" borderId="8" xfId="0" applyBorder="1" applyAlignment="1"/>
    <xf numFmtId="1" fontId="0" fillId="0" borderId="0" xfId="0" quotePrefix="1">
      <alignment horizontal="left"/>
    </xf>
    <xf numFmtId="1" fontId="0" fillId="0" borderId="0" xfId="0" applyFont="1">
      <alignment horizontal="left"/>
    </xf>
    <xf numFmtId="1" fontId="0" fillId="0" borderId="0" xfId="0" applyFill="1" applyBorder="1">
      <alignment horizontal="left"/>
    </xf>
    <xf numFmtId="1" fontId="32" fillId="0" borderId="0" xfId="0" applyFont="1">
      <alignment horizontal="left"/>
    </xf>
    <xf numFmtId="1" fontId="0" fillId="0" borderId="0" xfId="0" applyBorder="1">
      <alignment horizontal="left"/>
    </xf>
    <xf numFmtId="1" fontId="0" fillId="0" borderId="16" xfId="0" applyFill="1" applyBorder="1" applyAlignment="1">
      <alignment vertical="center" wrapText="1"/>
    </xf>
    <xf numFmtId="0" fontId="24" fillId="0" borderId="0" xfId="20" applyAlignment="1">
      <alignment horizontal="left" vertical="center"/>
    </xf>
    <xf numFmtId="1" fontId="0" fillId="0" borderId="0" xfId="0">
      <alignment horizontal="left"/>
    </xf>
    <xf numFmtId="0" fontId="26" fillId="0" borderId="0" xfId="78"/>
    <xf numFmtId="1" fontId="13" fillId="0" borderId="27" xfId="79">
      <alignment horizontal="left"/>
    </xf>
    <xf numFmtId="0" fontId="26" fillId="0" borderId="0" xfId="78" applyAlignment="1">
      <alignment horizontal="left" vertical="center"/>
    </xf>
    <xf numFmtId="164" fontId="0" fillId="0" borderId="0" xfId="80" applyFont="1" applyAlignment="1">
      <alignment vertical="center"/>
    </xf>
    <xf numFmtId="1" fontId="13" fillId="15" borderId="10" xfId="81">
      <alignment horizontal="left"/>
    </xf>
    <xf numFmtId="1" fontId="14" fillId="0" borderId="29" xfId="0" applyFont="1" applyFill="1" applyBorder="1" applyAlignment="1">
      <alignment vertical="center" wrapText="1"/>
    </xf>
    <xf numFmtId="1" fontId="31" fillId="0" borderId="0" xfId="82" applyFill="1" applyAlignment="1">
      <alignment horizontal="right"/>
    </xf>
    <xf numFmtId="0" fontId="42" fillId="0" borderId="0" xfId="6" applyFill="1">
      <alignment horizontal="right"/>
    </xf>
    <xf numFmtId="44" fontId="42" fillId="0" borderId="0" xfId="6" applyNumberFormat="1" applyFill="1">
      <alignment horizontal="right"/>
    </xf>
    <xf numFmtId="168" fontId="42" fillId="0" borderId="0" xfId="6" applyNumberFormat="1">
      <alignment horizontal="right"/>
    </xf>
    <xf numFmtId="1" fontId="42" fillId="0" borderId="0" xfId="6" applyNumberFormat="1">
      <alignment horizontal="right"/>
    </xf>
    <xf numFmtId="168" fontId="13" fillId="0" borderId="15" xfId="0" applyNumberFormat="1" applyFont="1" applyBorder="1" applyAlignment="1">
      <alignment horizontal="left" vertical="center"/>
    </xf>
    <xf numFmtId="1" fontId="0" fillId="0" borderId="0" xfId="0">
      <alignment horizontal="left"/>
    </xf>
    <xf numFmtId="176" fontId="30" fillId="15" borderId="15" xfId="19" applyBorder="1">
      <alignment horizontal="left"/>
    </xf>
    <xf numFmtId="1" fontId="0" fillId="0" borderId="15" xfId="0" applyBorder="1">
      <alignment horizontal="left"/>
    </xf>
    <xf numFmtId="1" fontId="19" fillId="0" borderId="0" xfId="83">
      <alignment horizontal="left" indent="1"/>
    </xf>
    <xf numFmtId="176" fontId="8" fillId="0" borderId="12" xfId="84">
      <alignment horizontal="left"/>
    </xf>
    <xf numFmtId="41" fontId="24" fillId="0" borderId="0" xfId="20" applyNumberFormat="1" applyBorder="1" applyAlignment="1">
      <alignment horizontal="right" vertical="center"/>
    </xf>
    <xf numFmtId="1" fontId="0" fillId="0" borderId="0" xfId="0" applyBorder="1">
      <alignment horizontal="left"/>
    </xf>
    <xf numFmtId="1" fontId="60" fillId="0" borderId="0" xfId="0" applyFont="1">
      <alignment horizontal="left"/>
    </xf>
    <xf numFmtId="1" fontId="61" fillId="0" borderId="0" xfId="0" applyFont="1">
      <alignment horizontal="left"/>
    </xf>
    <xf numFmtId="1" fontId="60" fillId="0" borderId="0" xfId="0" applyFont="1" applyFill="1">
      <alignment horizontal="left"/>
    </xf>
    <xf numFmtId="171" fontId="13" fillId="15" borderId="0" xfId="85">
      <alignment horizontal="left"/>
    </xf>
    <xf numFmtId="1" fontId="0" fillId="0" borderId="0" xfId="0" applyBorder="1" applyAlignment="1">
      <alignment vertical="center" wrapText="1"/>
    </xf>
    <xf numFmtId="1" fontId="0" fillId="0" borderId="0" xfId="0" applyBorder="1" applyAlignment="1">
      <alignment vertical="center" wrapText="1"/>
    </xf>
    <xf numFmtId="1" fontId="0" fillId="0" borderId="0" xfId="0" applyFill="1" applyBorder="1" applyAlignment="1">
      <alignment horizontal="left" vertical="center" wrapText="1"/>
    </xf>
    <xf numFmtId="0" fontId="24" fillId="0" borderId="0" xfId="20" applyBorder="1" applyAlignment="1">
      <alignment vertical="center"/>
    </xf>
    <xf numFmtId="1" fontId="59" fillId="0" borderId="0" xfId="1" applyBorder="1">
      <alignment horizontal="left"/>
    </xf>
    <xf numFmtId="1" fontId="40" fillId="0" borderId="0" xfId="0" applyFont="1" applyBorder="1" applyAlignment="1">
      <alignment vertical="center" wrapText="1"/>
    </xf>
    <xf numFmtId="0" fontId="13" fillId="0" borderId="0" xfId="0" applyNumberFormat="1" applyFont="1" applyFill="1" applyAlignment="1">
      <alignment vertical="center" wrapText="1"/>
    </xf>
    <xf numFmtId="0" fontId="13" fillId="0" borderId="0" xfId="0" applyNumberFormat="1" applyFont="1" applyFill="1" applyBorder="1" applyAlignment="1">
      <alignment horizontal="left" vertical="center"/>
    </xf>
    <xf numFmtId="0" fontId="14" fillId="0" borderId="0" xfId="0" applyNumberFormat="1" applyFont="1" applyBorder="1" applyAlignment="1">
      <alignment vertical="center" wrapText="1"/>
    </xf>
    <xf numFmtId="1" fontId="0" fillId="0" borderId="0" xfId="0" applyAlignment="1">
      <alignment horizontal="left" vertical="center" wrapText="1"/>
    </xf>
    <xf numFmtId="1" fontId="61" fillId="0" borderId="0" xfId="0" applyFont="1" applyFill="1">
      <alignment horizontal="left"/>
    </xf>
    <xf numFmtId="0" fontId="62" fillId="0" borderId="0" xfId="6" applyFont="1" applyFill="1">
      <alignment horizontal="right"/>
    </xf>
    <xf numFmtId="1" fontId="62" fillId="0" borderId="0" xfId="0" applyFont="1" applyFill="1">
      <alignment horizontal="left"/>
    </xf>
    <xf numFmtId="1" fontId="0" fillId="0" borderId="14" xfId="0" applyFill="1" applyBorder="1">
      <alignment horizontal="left"/>
    </xf>
    <xf numFmtId="1" fontId="0" fillId="0" borderId="14" xfId="0" applyBorder="1">
      <alignment horizontal="left"/>
    </xf>
    <xf numFmtId="1" fontId="0" fillId="0" borderId="0" xfId="0" quotePrefix="1" applyAlignment="1">
      <alignment horizontal="left" indent="1"/>
    </xf>
    <xf numFmtId="1" fontId="0" fillId="0" borderId="28" xfId="0" applyBorder="1" applyAlignment="1">
      <alignment vertical="center" wrapText="1"/>
    </xf>
    <xf numFmtId="0" fontId="13" fillId="0" borderId="0" xfId="0" applyNumberFormat="1" applyFont="1" applyFill="1" applyBorder="1" applyAlignment="1">
      <alignment horizontal="left" vertical="center" wrapText="1"/>
    </xf>
    <xf numFmtId="0" fontId="13" fillId="0" borderId="8" xfId="0" applyNumberFormat="1" applyFont="1" applyFill="1" applyBorder="1" applyAlignment="1">
      <alignment horizontal="left" vertical="center" wrapText="1"/>
    </xf>
    <xf numFmtId="0" fontId="13" fillId="0" borderId="28" xfId="0" applyNumberFormat="1" applyFont="1" applyFill="1" applyBorder="1" applyAlignment="1">
      <alignment vertical="center" wrapText="1"/>
    </xf>
    <xf numFmtId="1" fontId="14" fillId="0" borderId="0" xfId="0" applyFont="1" applyBorder="1" applyAlignment="1">
      <alignment vertical="center"/>
    </xf>
    <xf numFmtId="1" fontId="14" fillId="0" borderId="8" xfId="0" applyFont="1" applyBorder="1" applyAlignment="1">
      <alignment vertical="center"/>
    </xf>
    <xf numFmtId="1" fontId="28" fillId="24" borderId="26" xfId="15">
      <alignment horizontal="left"/>
    </xf>
    <xf numFmtId="1" fontId="28" fillId="24" borderId="10" xfId="11">
      <alignment horizontal="left"/>
    </xf>
    <xf numFmtId="0" fontId="33" fillId="0" borderId="0" xfId="12" applyFill="1"/>
    <xf numFmtId="1" fontId="0" fillId="0" borderId="0" xfId="0" applyFill="1">
      <alignment horizontal="left"/>
    </xf>
    <xf numFmtId="176" fontId="31" fillId="15" borderId="0" xfId="18">
      <alignment horizontal="left"/>
    </xf>
    <xf numFmtId="1" fontId="43" fillId="15" borderId="26" xfId="86">
      <alignment horizontal="left"/>
    </xf>
    <xf numFmtId="185" fontId="28" fillId="24" borderId="0" xfId="16" applyBorder="1" applyAlignment="1">
      <alignment horizontal="left"/>
    </xf>
    <xf numFmtId="185" fontId="28" fillId="24" borderId="0" xfId="16" applyBorder="1" applyAlignment="1">
      <alignment horizontal="right"/>
    </xf>
    <xf numFmtId="185" fontId="28" fillId="24" borderId="0" xfId="16" applyBorder="1">
      <alignment horizontal="left"/>
    </xf>
    <xf numFmtId="2" fontId="28" fillId="24" borderId="26" xfId="15" applyNumberFormat="1">
      <alignment horizontal="left"/>
    </xf>
    <xf numFmtId="2" fontId="28" fillId="24" borderId="10" xfId="11" applyNumberFormat="1">
      <alignment horizontal="left"/>
    </xf>
    <xf numFmtId="1" fontId="31" fillId="24" borderId="26" xfId="30">
      <alignment horizontal="left"/>
    </xf>
    <xf numFmtId="1" fontId="31" fillId="24" borderId="0" xfId="87" applyBorder="1">
      <alignment horizontal="left"/>
    </xf>
    <xf numFmtId="1" fontId="30" fillId="24" borderId="0" xfId="88" applyBorder="1">
      <alignment horizontal="left"/>
    </xf>
    <xf numFmtId="1" fontId="60" fillId="0" borderId="0" xfId="0" applyFont="1" applyBorder="1">
      <alignment horizontal="left"/>
    </xf>
    <xf numFmtId="171" fontId="13" fillId="15" borderId="0" xfId="85" applyBorder="1">
      <alignment horizontal="left"/>
    </xf>
    <xf numFmtId="1" fontId="60" fillId="0" borderId="0" xfId="0" applyFont="1" applyBorder="1" applyAlignment="1">
      <alignment wrapText="1"/>
    </xf>
    <xf numFmtId="1" fontId="0" fillId="0" borderId="0" xfId="0" applyBorder="1" applyAlignment="1">
      <alignment wrapText="1"/>
    </xf>
    <xf numFmtId="171" fontId="13" fillId="15" borderId="12" xfId="91">
      <alignment horizontal="left"/>
    </xf>
    <xf numFmtId="176" fontId="30" fillId="15" borderId="0" xfId="19" applyBorder="1">
      <alignment horizontal="left"/>
    </xf>
    <xf numFmtId="1" fontId="30" fillId="27" borderId="0" xfId="7" applyNumberFormat="1">
      <alignment horizontal="left" wrapText="1"/>
    </xf>
    <xf numFmtId="1" fontId="0" fillId="0" borderId="0" xfId="0">
      <alignment horizontal="left"/>
    </xf>
    <xf numFmtId="1" fontId="24" fillId="0" borderId="0" xfId="20" applyNumberFormat="1" applyAlignment="1">
      <alignment horizontal="left"/>
    </xf>
    <xf numFmtId="1" fontId="31" fillId="0" borderId="0" xfId="82">
      <alignment horizontal="left"/>
    </xf>
    <xf numFmtId="1" fontId="0" fillId="0" borderId="0" xfId="0" applyBorder="1">
      <alignment horizontal="left"/>
    </xf>
    <xf numFmtId="1" fontId="41" fillId="15" borderId="0" xfId="94">
      <alignment horizontal="left" indent="1"/>
    </xf>
    <xf numFmtId="168" fontId="13" fillId="0" borderId="0" xfId="0" applyNumberFormat="1" applyFont="1" applyBorder="1" applyAlignment="1">
      <alignment horizontal="left" vertical="center"/>
    </xf>
    <xf numFmtId="1" fontId="29" fillId="24" borderId="0" xfId="95" applyBorder="1">
      <alignment horizontal="left"/>
    </xf>
    <xf numFmtId="1" fontId="30" fillId="18" borderId="0" xfId="8">
      <alignment horizontal="left" wrapText="1"/>
    </xf>
    <xf numFmtId="3" fontId="41" fillId="18" borderId="0" xfId="96">
      <alignment horizontal="left"/>
    </xf>
    <xf numFmtId="1" fontId="31" fillId="0" borderId="0" xfId="82" applyAlignment="1">
      <alignment horizontal="left"/>
    </xf>
    <xf numFmtId="170" fontId="19" fillId="27" borderId="0" xfId="97">
      <alignment horizontal="left"/>
    </xf>
    <xf numFmtId="1" fontId="31" fillId="0" borderId="0" xfId="82" applyAlignment="1">
      <alignment horizontal="right"/>
    </xf>
    <xf numFmtId="1" fontId="26" fillId="0" borderId="0" xfId="78" applyNumberFormat="1" applyAlignment="1">
      <alignment horizontal="left"/>
    </xf>
    <xf numFmtId="1" fontId="33" fillId="25" borderId="0" xfId="12" applyNumberFormat="1" applyAlignment="1">
      <alignment horizontal="left"/>
    </xf>
    <xf numFmtId="171" fontId="63" fillId="21" borderId="9" xfId="99">
      <alignment horizontal="center"/>
    </xf>
    <xf numFmtId="1" fontId="35" fillId="47" borderId="9" xfId="23" applyFill="1">
      <alignment horizontal="left"/>
    </xf>
    <xf numFmtId="1" fontId="43" fillId="15" borderId="10" xfId="101">
      <alignment horizontal="left"/>
    </xf>
    <xf numFmtId="176" fontId="31" fillId="15" borderId="10" xfId="18" applyBorder="1">
      <alignment horizontal="left"/>
    </xf>
    <xf numFmtId="1" fontId="13" fillId="15" borderId="28" xfId="26" applyBorder="1">
      <alignment horizontal="left"/>
    </xf>
    <xf numFmtId="1" fontId="13" fillId="15" borderId="26" xfId="26" applyBorder="1">
      <alignment horizontal="left"/>
    </xf>
    <xf numFmtId="9" fontId="13" fillId="15" borderId="12" xfId="102">
      <alignment horizontal="left"/>
    </xf>
    <xf numFmtId="171" fontId="24" fillId="0" borderId="0" xfId="20" applyNumberFormat="1" applyAlignment="1">
      <alignment horizontal="left"/>
    </xf>
    <xf numFmtId="1" fontId="8" fillId="0" borderId="0" xfId="103">
      <alignment horizontal="left"/>
    </xf>
    <xf numFmtId="1" fontId="8" fillId="0" borderId="0" xfId="103" applyBorder="1">
      <alignment horizontal="left"/>
    </xf>
    <xf numFmtId="171" fontId="24" fillId="0" borderId="0" xfId="20" applyNumberFormat="1" applyBorder="1" applyAlignment="1">
      <alignment horizontal="left"/>
    </xf>
    <xf numFmtId="2" fontId="0" fillId="0" borderId="0" xfId="0" applyNumberFormat="1">
      <alignment horizontal="left"/>
    </xf>
    <xf numFmtId="172" fontId="0" fillId="0" borderId="0" xfId="0" applyNumberFormat="1">
      <alignment horizontal="left"/>
    </xf>
    <xf numFmtId="171" fontId="0" fillId="0" borderId="0" xfId="0" applyNumberFormat="1">
      <alignment horizontal="left"/>
    </xf>
    <xf numFmtId="1" fontId="13" fillId="0" borderId="0" xfId="79" applyFill="1" applyBorder="1">
      <alignment horizontal="left"/>
    </xf>
    <xf numFmtId="1" fontId="14" fillId="16" borderId="2" xfId="3" applyBorder="1" applyAlignment="1">
      <alignment vertical="center" wrapText="1"/>
    </xf>
    <xf numFmtId="1" fontId="0" fillId="0" borderId="0" xfId="0" applyAlignment="1">
      <alignment horizontal="center"/>
    </xf>
    <xf numFmtId="1" fontId="13" fillId="0" borderId="0" xfId="79" applyBorder="1">
      <alignment horizontal="left"/>
    </xf>
    <xf numFmtId="1" fontId="8" fillId="0" borderId="0" xfId="103" applyFill="1" applyBorder="1">
      <alignment horizontal="left"/>
    </xf>
    <xf numFmtId="1" fontId="8" fillId="0" borderId="0" xfId="103" applyFill="1">
      <alignment horizontal="left"/>
    </xf>
    <xf numFmtId="176" fontId="8" fillId="0" borderId="12" xfId="84" applyFill="1">
      <alignment horizontal="left"/>
    </xf>
    <xf numFmtId="174" fontId="8" fillId="0" borderId="0" xfId="103" applyNumberFormat="1">
      <alignment horizontal="left"/>
    </xf>
    <xf numFmtId="173" fontId="0" fillId="0" borderId="0" xfId="0" applyNumberFormat="1">
      <alignment horizontal="left"/>
    </xf>
    <xf numFmtId="176" fontId="31" fillId="15" borderId="0" xfId="18" applyBorder="1">
      <alignment horizontal="left"/>
    </xf>
    <xf numFmtId="176" fontId="31" fillId="15" borderId="12" xfId="18" applyBorder="1">
      <alignment horizontal="left"/>
    </xf>
    <xf numFmtId="1" fontId="13" fillId="20" borderId="27" xfId="79" applyFill="1">
      <alignment horizontal="left"/>
    </xf>
    <xf numFmtId="1" fontId="13" fillId="49" borderId="27" xfId="79" applyFill="1">
      <alignment horizontal="left"/>
    </xf>
    <xf numFmtId="1" fontId="8" fillId="0" borderId="0" xfId="104">
      <alignment horizontal="left" wrapText="1"/>
    </xf>
    <xf numFmtId="0" fontId="22" fillId="19" borderId="5" xfId="22" applyBorder="1" applyAlignment="1">
      <alignment horizontal="center"/>
    </xf>
    <xf numFmtId="1" fontId="13" fillId="50" borderId="27" xfId="79" applyFill="1">
      <alignment horizontal="left"/>
    </xf>
    <xf numFmtId="1" fontId="13" fillId="51" borderId="27" xfId="79" applyFill="1">
      <alignment horizontal="left"/>
    </xf>
    <xf numFmtId="171" fontId="13" fillId="15" borderId="0" xfId="91" applyBorder="1">
      <alignment horizontal="left"/>
    </xf>
    <xf numFmtId="1" fontId="17" fillId="15" borderId="9" xfId="4" applyNumberFormat="1" applyAlignment="1">
      <alignment horizontal="left"/>
    </xf>
    <xf numFmtId="0" fontId="16" fillId="17" borderId="1" xfId="28" applyAlignment="1"/>
    <xf numFmtId="1" fontId="35" fillId="51" borderId="9" xfId="23" applyFill="1">
      <alignment horizontal="left"/>
    </xf>
    <xf numFmtId="1" fontId="0" fillId="21" borderId="9" xfId="23" applyFont="1">
      <alignment horizontal="left"/>
    </xf>
    <xf numFmtId="171" fontId="63" fillId="53" borderId="9" xfId="99" applyFill="1">
      <alignment horizontal="center"/>
    </xf>
    <xf numFmtId="185" fontId="28" fillId="24" borderId="0" xfId="16">
      <alignment horizontal="left"/>
    </xf>
    <xf numFmtId="1" fontId="13" fillId="15" borderId="0" xfId="85" applyNumberFormat="1">
      <alignment horizontal="left"/>
    </xf>
    <xf numFmtId="1" fontId="0" fillId="0" borderId="0" xfId="0">
      <alignment horizontal="left"/>
    </xf>
    <xf numFmtId="1" fontId="0" fillId="0" borderId="0" xfId="0">
      <alignment horizontal="left"/>
    </xf>
    <xf numFmtId="1" fontId="13" fillId="0" borderId="31" xfId="79" applyBorder="1">
      <alignment horizontal="left"/>
    </xf>
    <xf numFmtId="171" fontId="0" fillId="0" borderId="0" xfId="0" applyNumberFormat="1">
      <alignment horizontal="left"/>
    </xf>
    <xf numFmtId="0" fontId="0" fillId="0" borderId="0" xfId="0" applyNumberFormat="1">
      <alignment horizontal="left"/>
    </xf>
    <xf numFmtId="171" fontId="13" fillId="15" borderId="0" xfId="85" applyNumberFormat="1">
      <alignment horizontal="left"/>
    </xf>
    <xf numFmtId="176" fontId="66" fillId="15" borderId="0" xfId="19" applyFont="1">
      <alignment horizontal="left"/>
    </xf>
    <xf numFmtId="1" fontId="74" fillId="0" borderId="0" xfId="0" applyFont="1">
      <alignment horizontal="left"/>
    </xf>
    <xf numFmtId="1" fontId="75" fillId="0" borderId="0" xfId="0" applyFont="1">
      <alignment horizontal="left"/>
    </xf>
    <xf numFmtId="1" fontId="0" fillId="0" borderId="0" xfId="0" applyAlignment="1">
      <alignment horizontal="left" vertical="top" wrapText="1"/>
    </xf>
    <xf numFmtId="1" fontId="76" fillId="0" borderId="0" xfId="0" applyFont="1" applyAlignment="1">
      <alignment vertical="top"/>
    </xf>
    <xf numFmtId="1" fontId="76" fillId="0" borderId="0" xfId="0" applyFont="1" applyAlignment="1">
      <alignment vertical="top" wrapText="1"/>
    </xf>
    <xf numFmtId="171" fontId="77" fillId="15" borderId="0" xfId="85" applyFont="1">
      <alignment horizontal="left"/>
    </xf>
    <xf numFmtId="1" fontId="17" fillId="15" borderId="9" xfId="4" applyNumberFormat="1" applyAlignment="1">
      <alignment horizontal="left" wrapText="1"/>
    </xf>
    <xf numFmtId="0" fontId="17" fillId="15" borderId="9" xfId="4" applyNumberFormat="1" applyAlignment="1">
      <alignment horizontal="left" vertical="top" wrapText="1"/>
    </xf>
    <xf numFmtId="0" fontId="17" fillId="15" borderId="9" xfId="4" applyNumberFormat="1" applyAlignment="1">
      <alignment vertical="top" wrapText="1"/>
    </xf>
    <xf numFmtId="1" fontId="17" fillId="15" borderId="9" xfId="4" applyNumberFormat="1" applyAlignment="1">
      <alignment vertical="top" wrapText="1"/>
    </xf>
    <xf numFmtId="1" fontId="17" fillId="15" borderId="9" xfId="4" applyNumberFormat="1" applyAlignment="1">
      <alignment horizontal="left" vertical="top" wrapText="1"/>
    </xf>
    <xf numFmtId="171" fontId="17" fillId="15" borderId="9" xfId="4" applyNumberFormat="1" applyAlignment="1">
      <alignment horizontal="left"/>
    </xf>
    <xf numFmtId="171" fontId="13" fillId="15" borderId="0" xfId="85" applyNumberFormat="1" applyBorder="1">
      <alignment horizontal="left"/>
    </xf>
    <xf numFmtId="171" fontId="14" fillId="15" borderId="0" xfId="85" applyFont="1">
      <alignment horizontal="left"/>
    </xf>
    <xf numFmtId="171" fontId="13" fillId="15" borderId="0" xfId="85" quotePrefix="1">
      <alignment horizontal="left"/>
    </xf>
    <xf numFmtId="181" fontId="13" fillId="15" borderId="0" xfId="85" applyNumberFormat="1">
      <alignment horizontal="left"/>
    </xf>
    <xf numFmtId="11" fontId="0" fillId="0" borderId="0" xfId="0" applyNumberFormat="1">
      <alignment horizontal="left"/>
    </xf>
    <xf numFmtId="1" fontId="0" fillId="15" borderId="0" xfId="0" applyFill="1" applyAlignment="1"/>
    <xf numFmtId="1" fontId="80" fillId="15" borderId="0" xfId="0" applyFont="1" applyFill="1" applyAlignment="1"/>
    <xf numFmtId="1" fontId="34" fillId="15" borderId="0" xfId="0" applyFont="1" applyFill="1" applyAlignment="1"/>
    <xf numFmtId="1" fontId="28" fillId="15" borderId="0" xfId="0" applyFont="1" applyFill="1" applyAlignment="1"/>
    <xf numFmtId="1" fontId="0" fillId="15" borderId="0" xfId="0" quotePrefix="1" applyFill="1" applyAlignment="1"/>
    <xf numFmtId="1" fontId="0" fillId="15" borderId="0" xfId="0" applyFill="1" applyBorder="1" applyAlignment="1"/>
    <xf numFmtId="1" fontId="32" fillId="15" borderId="0" xfId="0" applyFont="1" applyFill="1" applyAlignment="1"/>
    <xf numFmtId="164" fontId="0" fillId="15" borderId="0" xfId="80" applyFont="1" applyFill="1" applyAlignment="1"/>
    <xf numFmtId="180" fontId="0" fillId="15" borderId="0" xfId="80" applyNumberFormat="1" applyFont="1" applyFill="1" applyAlignment="1"/>
    <xf numFmtId="1" fontId="13" fillId="15" borderId="0" xfId="0" applyFont="1" applyFill="1" applyAlignment="1"/>
    <xf numFmtId="1" fontId="14" fillId="15" borderId="33" xfId="0" applyFont="1" applyFill="1" applyBorder="1" applyAlignment="1"/>
    <xf numFmtId="1" fontId="0" fillId="0" borderId="0" xfId="0" applyAlignment="1">
      <alignment horizontal="left"/>
    </xf>
    <xf numFmtId="1" fontId="0" fillId="0" borderId="0" xfId="0" applyFill="1" applyBorder="1" applyAlignment="1">
      <alignment horizontal="left"/>
    </xf>
    <xf numFmtId="1" fontId="68" fillId="0" borderId="0" xfId="0" applyFont="1">
      <alignment horizontal="left"/>
    </xf>
    <xf numFmtId="1" fontId="68" fillId="15" borderId="0" xfId="0" applyFont="1" applyFill="1" applyAlignment="1"/>
    <xf numFmtId="1" fontId="81" fillId="0" borderId="0" xfId="0" applyFont="1">
      <alignment horizontal="left"/>
    </xf>
    <xf numFmtId="1" fontId="14" fillId="15" borderId="31" xfId="0" applyFont="1" applyFill="1" applyBorder="1" applyAlignment="1"/>
    <xf numFmtId="164" fontId="68" fillId="15" borderId="0" xfId="80" applyFont="1" applyFill="1" applyAlignment="1"/>
    <xf numFmtId="1" fontId="68" fillId="15" borderId="0" xfId="0" quotePrefix="1" applyFont="1" applyFill="1" applyAlignment="1"/>
    <xf numFmtId="176" fontId="30" fillId="15" borderId="1" xfId="19" applyBorder="1">
      <alignment horizontal="left"/>
    </xf>
    <xf numFmtId="171" fontId="63" fillId="57" borderId="9" xfId="244">
      <alignment horizontal="center"/>
    </xf>
    <xf numFmtId="171" fontId="63" fillId="58" borderId="9" xfId="245">
      <alignment horizontal="center"/>
    </xf>
    <xf numFmtId="1" fontId="0" fillId="0" borderId="0" xfId="0" quotePrefix="1">
      <alignment horizontal="left"/>
    </xf>
    <xf numFmtId="1" fontId="0" fillId="15" borderId="0" xfId="0" applyFill="1">
      <alignment horizontal="left"/>
    </xf>
    <xf numFmtId="181" fontId="0" fillId="0" borderId="0" xfId="0" applyNumberFormat="1">
      <alignment horizontal="left"/>
    </xf>
    <xf numFmtId="171" fontId="8" fillId="0" borderId="12" xfId="84" applyNumberFormat="1">
      <alignment horizontal="left"/>
    </xf>
    <xf numFmtId="1" fontId="83" fillId="0" borderId="0" xfId="0" applyFont="1">
      <alignment horizontal="left"/>
    </xf>
    <xf numFmtId="171" fontId="26" fillId="0" borderId="0" xfId="78" applyNumberFormat="1" applyAlignment="1">
      <alignment horizontal="left"/>
    </xf>
    <xf numFmtId="41" fontId="28" fillId="0" borderId="0" xfId="161" applyBorder="1" applyAlignment="1">
      <alignment horizontal="left"/>
    </xf>
    <xf numFmtId="171" fontId="0" fillId="15" borderId="9" xfId="4" applyNumberFormat="1" applyFont="1" applyAlignment="1">
      <alignment horizontal="left"/>
    </xf>
    <xf numFmtId="1" fontId="0" fillId="15" borderId="9" xfId="4" applyNumberFormat="1" applyFont="1" applyAlignment="1">
      <alignment horizontal="left" wrapText="1"/>
    </xf>
    <xf numFmtId="171" fontId="28" fillId="0" borderId="10" xfId="160" applyNumberFormat="1" applyAlignment="1">
      <alignment vertical="top"/>
    </xf>
    <xf numFmtId="1" fontId="31" fillId="24" borderId="0" xfId="87">
      <alignment horizontal="left"/>
    </xf>
    <xf numFmtId="171" fontId="13" fillId="15" borderId="0" xfId="85" applyFill="1">
      <alignment horizontal="left"/>
    </xf>
    <xf numFmtId="165" fontId="13" fillId="15" borderId="0" xfId="284" applyFont="1" applyFill="1" applyAlignment="1">
      <alignment horizontal="left"/>
    </xf>
    <xf numFmtId="1" fontId="32" fillId="21" borderId="9" xfId="23" applyFont="1">
      <alignment horizontal="left"/>
    </xf>
    <xf numFmtId="0" fontId="0" fillId="0" borderId="0" xfId="0" applyNumberFormat="1" applyAlignment="1">
      <alignment vertical="center" wrapText="1"/>
    </xf>
    <xf numFmtId="1" fontId="87" fillId="0" borderId="0" xfId="0" applyFont="1" applyAlignment="1">
      <alignment vertical="center"/>
    </xf>
    <xf numFmtId="1" fontId="43" fillId="15" borderId="0" xfId="85" applyNumberFormat="1" applyFont="1" applyAlignment="1">
      <alignment horizontal="left"/>
    </xf>
    <xf numFmtId="1" fontId="41" fillId="15" borderId="0" xfId="94" applyAlignment="1">
      <alignment horizontal="left" indent="2"/>
    </xf>
    <xf numFmtId="1" fontId="41" fillId="15" borderId="0" xfId="94" applyAlignment="1">
      <alignment horizontal="left" indent="3"/>
    </xf>
    <xf numFmtId="1" fontId="41" fillId="15" borderId="0" xfId="94" applyBorder="1">
      <alignment horizontal="left" indent="1"/>
    </xf>
    <xf numFmtId="1" fontId="41" fillId="15" borderId="0" xfId="94" applyBorder="1" applyAlignment="1">
      <alignment horizontal="left" indent="2"/>
    </xf>
    <xf numFmtId="1" fontId="0" fillId="60" borderId="0" xfId="0" applyFill="1">
      <alignment horizontal="left"/>
    </xf>
    <xf numFmtId="1" fontId="0" fillId="0" borderId="0" xfId="0" applyAlignment="1">
      <alignment horizontal="right"/>
    </xf>
    <xf numFmtId="9" fontId="13" fillId="15" borderId="0" xfId="85" applyNumberFormat="1" applyAlignment="1">
      <alignment horizontal="right"/>
    </xf>
    <xf numFmtId="9" fontId="13" fillId="15" borderId="12" xfId="91" applyNumberFormat="1" applyAlignment="1">
      <alignment horizontal="right"/>
    </xf>
    <xf numFmtId="180" fontId="13" fillId="15" borderId="0" xfId="80" applyNumberFormat="1" applyFont="1" applyFill="1" applyAlignment="1">
      <alignment horizontal="left"/>
    </xf>
    <xf numFmtId="180" fontId="13" fillId="15" borderId="10" xfId="80" applyNumberFormat="1" applyFont="1" applyFill="1" applyBorder="1" applyAlignment="1">
      <alignment horizontal="left"/>
    </xf>
    <xf numFmtId="1" fontId="43" fillId="15" borderId="0" xfId="0" applyFont="1" applyFill="1" applyAlignment="1"/>
    <xf numFmtId="171" fontId="43" fillId="15" borderId="0" xfId="85" applyFont="1">
      <alignment horizontal="left"/>
    </xf>
    <xf numFmtId="2" fontId="0" fillId="15" borderId="0" xfId="0" applyNumberFormat="1" applyFill="1" applyAlignment="1"/>
    <xf numFmtId="171" fontId="63" fillId="62" borderId="9" xfId="245" applyFill="1">
      <alignment horizontal="center"/>
    </xf>
    <xf numFmtId="164" fontId="0" fillId="15" borderId="0" xfId="80" applyNumberFormat="1" applyFont="1" applyFill="1" applyAlignment="1"/>
    <xf numFmtId="171" fontId="14" fillId="15" borderId="12" xfId="91" applyFont="1">
      <alignment horizontal="left"/>
    </xf>
    <xf numFmtId="164" fontId="14" fillId="15" borderId="12" xfId="80" applyFont="1" applyFill="1" applyBorder="1" applyAlignment="1">
      <alignment horizontal="right"/>
    </xf>
    <xf numFmtId="164" fontId="32" fillId="15" borderId="0" xfId="80" applyNumberFormat="1" applyFont="1" applyFill="1" applyAlignment="1"/>
    <xf numFmtId="1" fontId="77" fillId="15" borderId="0" xfId="0" quotePrefix="1" applyFont="1" applyFill="1" applyAlignment="1"/>
    <xf numFmtId="171" fontId="0" fillId="15" borderId="0" xfId="0" applyNumberFormat="1" applyFill="1" applyAlignment="1"/>
    <xf numFmtId="1" fontId="77" fillId="15" borderId="0" xfId="0" applyFont="1" applyFill="1" applyAlignment="1"/>
    <xf numFmtId="171" fontId="63" fillId="57" borderId="9" xfId="244" applyAlignment="1">
      <alignment horizontal="left"/>
    </xf>
    <xf numFmtId="171" fontId="13" fillId="15" borderId="0" xfId="85" applyFill="1" applyAlignment="1"/>
    <xf numFmtId="1" fontId="0" fillId="15" borderId="0" xfId="0" applyFont="1" applyFill="1" applyAlignment="1"/>
    <xf numFmtId="180" fontId="13" fillId="15" borderId="0" xfId="80" applyNumberFormat="1" applyFont="1" applyFill="1" applyAlignment="1">
      <alignment horizontal="right" vertical="center" indent="1"/>
    </xf>
    <xf numFmtId="180" fontId="13" fillId="15" borderId="12" xfId="80" applyNumberFormat="1" applyFont="1" applyFill="1" applyBorder="1" applyAlignment="1">
      <alignment horizontal="right" vertical="center" indent="1"/>
    </xf>
    <xf numFmtId="0" fontId="13" fillId="15" borderId="0" xfId="0" applyNumberFormat="1" applyFont="1" applyFill="1" applyBorder="1" applyAlignment="1" applyProtection="1">
      <alignment horizontal="left"/>
    </xf>
    <xf numFmtId="164" fontId="13" fillId="15" borderId="0" xfId="80" quotePrefix="1" applyFont="1" applyFill="1" applyAlignment="1">
      <alignment horizontal="right"/>
    </xf>
    <xf numFmtId="1" fontId="0" fillId="15" borderId="0" xfId="0" applyFont="1" applyFill="1" applyAlignment="1">
      <alignment horizontal="left"/>
    </xf>
    <xf numFmtId="0" fontId="13" fillId="15" borderId="0" xfId="0" applyNumberFormat="1" applyFont="1" applyFill="1" applyAlignment="1"/>
    <xf numFmtId="0" fontId="13" fillId="15" borderId="0" xfId="0" applyNumberFormat="1" applyFont="1" applyFill="1" applyBorder="1" applyAlignment="1" applyProtection="1"/>
    <xf numFmtId="0" fontId="0" fillId="15" borderId="0" xfId="0" applyNumberFormat="1" applyFill="1" applyAlignment="1"/>
    <xf numFmtId="1" fontId="14" fillId="15" borderId="0" xfId="0" applyFont="1" applyFill="1" applyAlignment="1"/>
    <xf numFmtId="180" fontId="13" fillId="15" borderId="0" xfId="80" applyNumberFormat="1" applyFont="1" applyFill="1" applyBorder="1" applyAlignment="1">
      <alignment horizontal="right"/>
    </xf>
    <xf numFmtId="171" fontId="13" fillId="15" borderId="0" xfId="0" applyNumberFormat="1" applyFont="1" applyFill="1" applyAlignment="1"/>
    <xf numFmtId="164" fontId="13" fillId="15" borderId="0" xfId="80" applyNumberFormat="1" applyFont="1" applyFill="1" applyBorder="1" applyAlignment="1">
      <alignment horizontal="right"/>
    </xf>
    <xf numFmtId="1" fontId="88" fillId="15" borderId="0" xfId="0" applyFont="1" applyFill="1" applyAlignment="1"/>
    <xf numFmtId="180" fontId="13" fillId="15" borderId="0" xfId="80" quotePrefix="1" applyNumberFormat="1" applyFont="1" applyFill="1" applyAlignment="1">
      <alignment horizontal="right"/>
    </xf>
    <xf numFmtId="164" fontId="13" fillId="15" borderId="0" xfId="80" quotePrefix="1" applyFont="1" applyFill="1" applyBorder="1" applyAlignment="1">
      <alignment horizontal="right" wrapText="1"/>
    </xf>
    <xf numFmtId="1" fontId="89" fillId="0" borderId="0" xfId="0" applyFont="1">
      <alignment horizontal="left"/>
    </xf>
    <xf numFmtId="171" fontId="13" fillId="15" borderId="0" xfId="85" quotePrefix="1" applyNumberFormat="1">
      <alignment horizontal="left"/>
    </xf>
    <xf numFmtId="1" fontId="13" fillId="15" borderId="31" xfId="0" applyFont="1" applyFill="1" applyBorder="1" applyAlignment="1"/>
    <xf numFmtId="1" fontId="89" fillId="15" borderId="0" xfId="0" applyFont="1" applyFill="1">
      <alignment horizontal="left"/>
    </xf>
    <xf numFmtId="171" fontId="13" fillId="15" borderId="0" xfId="85" quotePrefix="1" applyAlignment="1">
      <alignment horizontal="right"/>
    </xf>
    <xf numFmtId="171" fontId="73" fillId="57" borderId="9" xfId="244" applyFont="1" applyAlignment="1"/>
    <xf numFmtId="171" fontId="73" fillId="58" borderId="9" xfId="245" applyFont="1" applyAlignment="1"/>
    <xf numFmtId="0" fontId="32" fillId="0" borderId="0" xfId="0" applyNumberFormat="1" applyFont="1">
      <alignment horizontal="left"/>
    </xf>
    <xf numFmtId="164" fontId="32" fillId="0" borderId="0" xfId="80" applyFont="1" applyAlignment="1">
      <alignment horizontal="right"/>
    </xf>
    <xf numFmtId="171" fontId="13" fillId="15" borderId="0" xfId="85" quotePrefix="1" applyAlignment="1">
      <alignment horizontal="left"/>
    </xf>
    <xf numFmtId="180" fontId="13" fillId="15" borderId="12" xfId="80" applyNumberFormat="1" applyFont="1" applyFill="1" applyBorder="1" applyAlignment="1">
      <alignment horizontal="right"/>
    </xf>
    <xf numFmtId="180" fontId="0" fillId="15" borderId="12" xfId="80" applyNumberFormat="1" applyFont="1" applyFill="1" applyBorder="1" applyAlignment="1"/>
    <xf numFmtId="164" fontId="13" fillId="15" borderId="12" xfId="80" applyNumberFormat="1" applyFont="1" applyFill="1" applyBorder="1" applyAlignment="1">
      <alignment horizontal="right"/>
    </xf>
    <xf numFmtId="164" fontId="0" fillId="15" borderId="12" xfId="80" applyNumberFormat="1" applyFont="1" applyFill="1" applyBorder="1" applyAlignment="1"/>
    <xf numFmtId="0" fontId="14" fillId="15" borderId="0" xfId="0" applyNumberFormat="1" applyFont="1" applyFill="1" applyAlignment="1"/>
    <xf numFmtId="0" fontId="32" fillId="15" borderId="0" xfId="0" applyNumberFormat="1" applyFont="1" applyFill="1" applyAlignment="1"/>
    <xf numFmtId="0" fontId="14" fillId="15" borderId="0" xfId="0" applyNumberFormat="1" applyFont="1" applyFill="1" applyBorder="1" applyAlignment="1" applyProtection="1">
      <alignment horizontal="left"/>
    </xf>
    <xf numFmtId="180" fontId="14" fillId="15" borderId="0" xfId="0" applyNumberFormat="1" applyFont="1" applyFill="1" applyAlignment="1">
      <alignment horizontal="right"/>
    </xf>
    <xf numFmtId="187" fontId="14" fillId="15" borderId="0" xfId="0" applyNumberFormat="1" applyFont="1" applyFill="1" applyAlignment="1">
      <alignment horizontal="right"/>
    </xf>
    <xf numFmtId="164" fontId="14" fillId="15" borderId="0" xfId="0" applyNumberFormat="1" applyFont="1" applyFill="1" applyAlignment="1">
      <alignment horizontal="right"/>
    </xf>
    <xf numFmtId="164" fontId="13" fillId="15" borderId="0" xfId="0" applyNumberFormat="1" applyFont="1" applyFill="1" applyBorder="1" applyAlignment="1" applyProtection="1">
      <alignment horizontal="right"/>
    </xf>
    <xf numFmtId="180" fontId="13" fillId="15" borderId="0" xfId="0" applyNumberFormat="1" applyFont="1" applyFill="1" applyBorder="1" applyAlignment="1" applyProtection="1">
      <alignment horizontal="right"/>
    </xf>
    <xf numFmtId="1" fontId="13" fillId="15" borderId="0" xfId="85" applyNumberFormat="1" applyAlignment="1">
      <alignment horizontal="left" indent="1"/>
    </xf>
    <xf numFmtId="1" fontId="13" fillId="15" borderId="0" xfId="85" applyNumberFormat="1" applyAlignment="1">
      <alignment horizontal="left" indent="2"/>
    </xf>
    <xf numFmtId="1" fontId="13" fillId="15" borderId="0" xfId="85" applyNumberFormat="1" applyAlignment="1">
      <alignment horizontal="left" indent="3"/>
    </xf>
    <xf numFmtId="1" fontId="13" fillId="15" borderId="0" xfId="85" applyNumberFormat="1" applyBorder="1" applyAlignment="1">
      <alignment horizontal="left" indent="1"/>
    </xf>
    <xf numFmtId="1" fontId="13" fillId="15" borderId="0" xfId="85" applyNumberFormat="1" applyBorder="1" applyAlignment="1">
      <alignment horizontal="left" indent="2"/>
    </xf>
    <xf numFmtId="1" fontId="13" fillId="15" borderId="0" xfId="85" applyNumberFormat="1" applyBorder="1" applyAlignment="1">
      <alignment horizontal="left" indent="3"/>
    </xf>
    <xf numFmtId="171" fontId="13" fillId="15" borderId="0" xfId="85" applyBorder="1" applyAlignment="1">
      <alignment horizontal="left" indent="1"/>
    </xf>
    <xf numFmtId="171" fontId="13" fillId="15" borderId="0" xfId="85" applyBorder="1" applyAlignment="1">
      <alignment horizontal="left" indent="2"/>
    </xf>
    <xf numFmtId="171" fontId="13" fillId="15" borderId="0" xfId="85" applyAlignment="1">
      <alignment horizontal="left" indent="1"/>
    </xf>
    <xf numFmtId="171" fontId="13" fillId="15" borderId="0" xfId="85" applyAlignment="1">
      <alignment horizontal="left" indent="2"/>
    </xf>
    <xf numFmtId="171" fontId="13" fillId="15" borderId="0" xfId="91" applyBorder="1" applyAlignment="1">
      <alignment horizontal="left" indent="1"/>
    </xf>
    <xf numFmtId="0" fontId="90" fillId="63" borderId="0" xfId="0" applyNumberFormat="1" applyFont="1" applyFill="1" applyBorder="1" applyAlignment="1">
      <alignment horizontal="left" vertical="center"/>
    </xf>
    <xf numFmtId="1" fontId="0" fillId="63" borderId="0" xfId="0" applyFill="1" applyBorder="1" applyAlignment="1"/>
    <xf numFmtId="9" fontId="90" fillId="63" borderId="0" xfId="0" applyNumberFormat="1" applyFont="1" applyFill="1" applyBorder="1" applyAlignment="1">
      <alignment horizontal="left" vertical="center"/>
    </xf>
    <xf numFmtId="9" fontId="0" fillId="63" borderId="0" xfId="0" applyNumberFormat="1" applyFill="1" applyBorder="1" applyAlignment="1"/>
    <xf numFmtId="165" fontId="0" fillId="15" borderId="0" xfId="284" applyFont="1" applyFill="1" applyAlignment="1"/>
    <xf numFmtId="181" fontId="0" fillId="15" borderId="0" xfId="0" applyNumberFormat="1" applyFill="1" applyAlignment="1"/>
    <xf numFmtId="180" fontId="14" fillId="15" borderId="0" xfId="0" applyNumberFormat="1" applyFont="1" applyFill="1" applyBorder="1" applyAlignment="1" applyProtection="1">
      <alignment horizontal="right" vertical="center" indent="1"/>
    </xf>
    <xf numFmtId="171" fontId="13" fillId="15" borderId="0" xfId="85" quotePrefix="1" applyAlignment="1">
      <alignment horizontal="right" indent="1"/>
    </xf>
    <xf numFmtId="171" fontId="13" fillId="15" borderId="0" xfId="85" quotePrefix="1" applyAlignment="1">
      <alignment horizontal="left" wrapText="1"/>
    </xf>
    <xf numFmtId="164" fontId="13" fillId="15" borderId="0" xfId="80" quotePrefix="1" applyFont="1" applyFill="1" applyBorder="1" applyAlignment="1">
      <alignment horizontal="right"/>
    </xf>
    <xf numFmtId="180" fontId="13" fillId="15" borderId="0" xfId="85" quotePrefix="1" applyNumberFormat="1" applyAlignment="1">
      <alignment horizontal="right"/>
    </xf>
    <xf numFmtId="171" fontId="13" fillId="15" borderId="0" xfId="85" applyFont="1" applyFill="1" applyAlignment="1"/>
    <xf numFmtId="180" fontId="13" fillId="15" borderId="0" xfId="0" applyNumberFormat="1" applyFont="1" applyFill="1" applyAlignment="1">
      <alignment horizontal="right"/>
    </xf>
    <xf numFmtId="187" fontId="13" fillId="15" borderId="0" xfId="80" applyNumberFormat="1" applyFont="1" applyFill="1" applyBorder="1" applyAlignment="1">
      <alignment horizontal="right"/>
    </xf>
    <xf numFmtId="187" fontId="13" fillId="15" borderId="0" xfId="80" quotePrefix="1" applyNumberFormat="1" applyFont="1" applyFill="1" applyBorder="1" applyAlignment="1">
      <alignment horizontal="right"/>
    </xf>
    <xf numFmtId="164" fontId="13" fillId="15" borderId="0" xfId="80" quotePrefix="1" applyNumberFormat="1" applyFont="1" applyFill="1" applyBorder="1" applyAlignment="1">
      <alignment horizontal="right" wrapText="1"/>
    </xf>
    <xf numFmtId="1" fontId="43" fillId="15" borderId="0" xfId="85" applyNumberFormat="1" applyFont="1" applyBorder="1" applyAlignment="1">
      <alignment horizontal="left"/>
    </xf>
    <xf numFmtId="9" fontId="13" fillId="15" borderId="0" xfId="294">
      <alignment horizontal="left"/>
    </xf>
    <xf numFmtId="9" fontId="43" fillId="15" borderId="0" xfId="295">
      <alignment horizontal="left"/>
    </xf>
    <xf numFmtId="0" fontId="67" fillId="15" borderId="9" xfId="4" applyNumberFormat="1" applyFont="1" applyAlignment="1">
      <alignment horizontal="left" vertical="top" wrapText="1"/>
    </xf>
    <xf numFmtId="1" fontId="67" fillId="15" borderId="9" xfId="4" applyNumberFormat="1" applyFont="1" applyAlignment="1">
      <alignment horizontal="left" vertical="top" wrapText="1"/>
    </xf>
    <xf numFmtId="1" fontId="35" fillId="20" borderId="9" xfId="23" applyFill="1">
      <alignment horizontal="left"/>
    </xf>
    <xf numFmtId="176" fontId="30" fillId="15" borderId="1" xfId="19" applyBorder="1" applyAlignment="1">
      <alignment horizontal="left" vertical="top"/>
    </xf>
    <xf numFmtId="171" fontId="77" fillId="59" borderId="0" xfId="85" applyFont="1" applyFill="1">
      <alignment horizontal="left"/>
    </xf>
    <xf numFmtId="1" fontId="13" fillId="15" borderId="12" xfId="91" applyNumberFormat="1">
      <alignment horizontal="left"/>
    </xf>
    <xf numFmtId="1" fontId="26" fillId="0" borderId="0" xfId="78" applyNumberFormat="1" applyAlignment="1">
      <alignment horizontal="left" vertical="center"/>
    </xf>
    <xf numFmtId="190" fontId="0" fillId="0" borderId="0" xfId="0" applyNumberFormat="1">
      <alignment horizontal="left"/>
    </xf>
    <xf numFmtId="176" fontId="24" fillId="0" borderId="12" xfId="151" applyNumberFormat="1" applyBorder="1" applyAlignment="1">
      <alignment horizontal="left"/>
    </xf>
    <xf numFmtId="176" fontId="28" fillId="0" borderId="0" xfId="18" applyFont="1" applyFill="1">
      <alignment horizontal="left"/>
    </xf>
    <xf numFmtId="176" fontId="30" fillId="15" borderId="0" xfId="19" applyAlignment="1">
      <alignment horizontal="left" wrapText="1"/>
    </xf>
    <xf numFmtId="176" fontId="30" fillId="15" borderId="0" xfId="19" applyBorder="1" applyAlignment="1">
      <alignment horizontal="left" wrapText="1"/>
    </xf>
    <xf numFmtId="1" fontId="30" fillId="24" borderId="0" xfId="88" applyBorder="1" applyAlignment="1">
      <alignment horizontal="left" wrapText="1"/>
    </xf>
    <xf numFmtId="1" fontId="30" fillId="18" borderId="0" xfId="8" applyAlignment="1">
      <alignment horizontal="left" wrapText="1"/>
    </xf>
    <xf numFmtId="1" fontId="30" fillId="18" borderId="0" xfId="8" applyBorder="1" applyAlignment="1">
      <alignment horizontal="left" wrapText="1"/>
    </xf>
    <xf numFmtId="0" fontId="30" fillId="27" borderId="0" xfId="7" applyAlignment="1">
      <alignment horizontal="left" wrapText="1"/>
    </xf>
    <xf numFmtId="0" fontId="30" fillId="27" borderId="0" xfId="7" applyBorder="1" applyAlignment="1">
      <alignment horizontal="left" wrapText="1"/>
    </xf>
    <xf numFmtId="1" fontId="34" fillId="0" borderId="0" xfId="2" applyAlignment="1">
      <alignment horizontal="left" wrapText="1"/>
    </xf>
    <xf numFmtId="164" fontId="0" fillId="0" borderId="0" xfId="80" applyFont="1" applyBorder="1" applyAlignment="1">
      <alignment horizontal="left"/>
    </xf>
    <xf numFmtId="0" fontId="23" fillId="23" borderId="0" xfId="25" applyAlignment="1">
      <alignment horizontal="center"/>
    </xf>
    <xf numFmtId="1" fontId="60" fillId="60" borderId="0" xfId="0" applyFont="1" applyFill="1">
      <alignment horizontal="left"/>
    </xf>
    <xf numFmtId="171" fontId="41" fillId="15" borderId="0" xfId="94" applyNumberFormat="1">
      <alignment horizontal="left" indent="1"/>
    </xf>
    <xf numFmtId="171" fontId="41" fillId="15" borderId="0" xfId="94" applyNumberFormat="1" applyAlignment="1">
      <alignment horizontal="left" indent="2"/>
    </xf>
    <xf numFmtId="171" fontId="41" fillId="15" borderId="0" xfId="94" applyNumberFormat="1" applyAlignment="1">
      <alignment horizontal="left" indent="3"/>
    </xf>
    <xf numFmtId="171" fontId="41" fillId="15" borderId="0" xfId="85" applyNumberFormat="1" applyFont="1" applyAlignment="1">
      <alignment horizontal="left" indent="3"/>
    </xf>
    <xf numFmtId="171" fontId="41" fillId="15" borderId="0" xfId="94" applyNumberFormat="1" applyBorder="1">
      <alignment horizontal="left" indent="1"/>
    </xf>
    <xf numFmtId="171" fontId="41" fillId="15" borderId="0" xfId="94" applyNumberFormat="1" applyBorder="1" applyAlignment="1">
      <alignment horizontal="left" indent="2"/>
    </xf>
    <xf numFmtId="171" fontId="41" fillId="15" borderId="0" xfId="94" applyNumberFormat="1" applyBorder="1" applyAlignment="1">
      <alignment horizontal="left" indent="3"/>
    </xf>
    <xf numFmtId="171" fontId="41" fillId="15" borderId="0" xfId="85" applyNumberFormat="1" applyFont="1" applyBorder="1" applyAlignment="1">
      <alignment horizontal="left" indent="2"/>
    </xf>
    <xf numFmtId="171" fontId="41" fillId="15" borderId="0" xfId="85" applyNumberFormat="1" applyFont="1" applyBorder="1" applyAlignment="1">
      <alignment horizontal="left" indent="3"/>
    </xf>
    <xf numFmtId="9" fontId="13" fillId="15" borderId="0" xfId="294" applyAlignment="1">
      <alignment horizontal="right"/>
    </xf>
    <xf numFmtId="180" fontId="13" fillId="15" borderId="0" xfId="80" applyNumberFormat="1" applyFont="1" applyFill="1" applyAlignment="1">
      <alignment horizontal="right"/>
    </xf>
    <xf numFmtId="164" fontId="13" fillId="61" borderId="0" xfId="80" applyNumberFormat="1" applyFont="1" applyFill="1" applyAlignment="1">
      <alignment horizontal="right"/>
    </xf>
    <xf numFmtId="180" fontId="0" fillId="64" borderId="0" xfId="80" applyNumberFormat="1" applyFont="1" applyFill="1" applyAlignment="1"/>
    <xf numFmtId="165" fontId="0" fillId="15" borderId="0" xfId="284" quotePrefix="1" applyFont="1" applyFill="1" applyAlignment="1">
      <alignment horizontal="right"/>
    </xf>
    <xf numFmtId="9" fontId="0" fillId="15" borderId="0" xfId="0" applyNumberFormat="1" applyFill="1">
      <alignment horizontal="left"/>
    </xf>
    <xf numFmtId="164" fontId="13" fillId="15" borderId="0" xfId="80" applyNumberFormat="1" applyFont="1" applyFill="1" applyAlignment="1">
      <alignment horizontal="right" vertical="center" indent="1"/>
    </xf>
    <xf numFmtId="0" fontId="91" fillId="15" borderId="0" xfId="0" applyNumberFormat="1" applyFont="1" applyFill="1" applyBorder="1" applyAlignment="1" applyProtection="1">
      <alignment horizontal="left"/>
    </xf>
    <xf numFmtId="180" fontId="91" fillId="15" borderId="0" xfId="0" applyNumberFormat="1" applyFont="1" applyFill="1" applyBorder="1" applyAlignment="1" applyProtection="1">
      <alignment horizontal="right" vertical="center" indent="1"/>
    </xf>
    <xf numFmtId="192" fontId="13" fillId="15" borderId="0" xfId="85" applyNumberFormat="1" applyAlignment="1">
      <alignment horizontal="right"/>
    </xf>
    <xf numFmtId="192" fontId="13" fillId="15" borderId="12" xfId="91" applyNumberFormat="1" applyAlignment="1">
      <alignment horizontal="right"/>
    </xf>
    <xf numFmtId="1" fontId="92" fillId="15" borderId="0" xfId="0" applyFont="1" applyFill="1" applyAlignment="1"/>
    <xf numFmtId="0" fontId="92" fillId="15" borderId="0" xfId="0" applyNumberFormat="1" applyFont="1" applyFill="1" applyAlignment="1"/>
    <xf numFmtId="0" fontId="92" fillId="15" borderId="0" xfId="0" applyNumberFormat="1" applyFont="1" applyFill="1" applyBorder="1" applyAlignment="1" applyProtection="1"/>
    <xf numFmtId="0" fontId="92" fillId="15" borderId="0" xfId="0" applyNumberFormat="1" applyFont="1" applyFill="1" applyBorder="1" applyAlignment="1" applyProtection="1">
      <alignment horizontal="left"/>
    </xf>
    <xf numFmtId="164" fontId="92" fillId="15" borderId="0" xfId="0" applyNumberFormat="1" applyFont="1" applyFill="1" applyBorder="1" applyAlignment="1" applyProtection="1">
      <alignment horizontal="right"/>
    </xf>
    <xf numFmtId="1" fontId="0" fillId="15" borderId="0" xfId="0" quotePrefix="1" applyFill="1">
      <alignment horizontal="left"/>
    </xf>
    <xf numFmtId="165" fontId="0" fillId="15" borderId="0" xfId="284" quotePrefix="1" applyFont="1" applyFill="1" applyAlignment="1">
      <alignment horizontal="right" wrapText="1"/>
    </xf>
    <xf numFmtId="9" fontId="0" fillId="15" borderId="0" xfId="0" quotePrefix="1" applyNumberFormat="1" applyFill="1">
      <alignment horizontal="left"/>
    </xf>
    <xf numFmtId="9" fontId="0" fillId="15" borderId="0" xfId="0" applyNumberFormat="1" applyFill="1" applyAlignment="1">
      <alignment horizontal="right"/>
    </xf>
    <xf numFmtId="1" fontId="0" fillId="15" borderId="0" xfId="0" applyFill="1" applyAlignment="1">
      <alignment horizontal="right"/>
    </xf>
    <xf numFmtId="0" fontId="91" fillId="15" borderId="0" xfId="0" applyNumberFormat="1" applyFont="1" applyFill="1" applyAlignment="1"/>
    <xf numFmtId="0" fontId="93" fillId="15" borderId="0" xfId="0" applyNumberFormat="1" applyFont="1" applyFill="1" applyAlignment="1"/>
    <xf numFmtId="0" fontId="91" fillId="15" borderId="0" xfId="0" applyNumberFormat="1" applyFont="1" applyFill="1" applyBorder="1" applyAlignment="1" applyProtection="1"/>
    <xf numFmtId="164" fontId="91" fillId="15" borderId="0" xfId="0" applyNumberFormat="1" applyFont="1" applyFill="1" applyAlignment="1">
      <alignment horizontal="right"/>
    </xf>
    <xf numFmtId="164" fontId="0" fillId="0" borderId="0" xfId="80" quotePrefix="1" applyFont="1" applyAlignment="1">
      <alignment horizontal="right"/>
    </xf>
    <xf numFmtId="164" fontId="94" fillId="0" borderId="0" xfId="0" applyNumberFormat="1" applyFont="1" applyAlignment="1">
      <alignment horizontal="right"/>
    </xf>
    <xf numFmtId="0" fontId="93" fillId="0" borderId="0" xfId="0" applyNumberFormat="1" applyFont="1">
      <alignment horizontal="left"/>
    </xf>
    <xf numFmtId="164" fontId="93" fillId="0" borderId="0" xfId="0" applyNumberFormat="1" applyFont="1" applyAlignment="1">
      <alignment horizontal="right"/>
    </xf>
    <xf numFmtId="179" fontId="13" fillId="15" borderId="10" xfId="80" applyNumberFormat="1" applyFont="1" applyFill="1" applyBorder="1" applyAlignment="1">
      <alignment horizontal="right"/>
    </xf>
    <xf numFmtId="181" fontId="13" fillId="15" borderId="12" xfId="91" applyNumberFormat="1">
      <alignment horizontal="left"/>
    </xf>
    <xf numFmtId="1" fontId="35" fillId="15" borderId="9" xfId="4" applyNumberFormat="1" applyFont="1" applyAlignment="1">
      <alignment horizontal="left" wrapText="1"/>
    </xf>
    <xf numFmtId="165" fontId="31" fillId="15" borderId="12" xfId="284" applyFont="1" applyFill="1" applyBorder="1" applyAlignment="1">
      <alignment horizontal="left"/>
    </xf>
    <xf numFmtId="1" fontId="13" fillId="0" borderId="0" xfId="79" applyBorder="1" applyAlignment="1">
      <alignment horizontal="right"/>
    </xf>
    <xf numFmtId="1" fontId="8" fillId="0" borderId="0" xfId="103" quotePrefix="1">
      <alignment horizontal="left"/>
    </xf>
    <xf numFmtId="190" fontId="8" fillId="0" borderId="12" xfId="84" applyNumberFormat="1">
      <alignment horizontal="left"/>
    </xf>
    <xf numFmtId="176" fontId="8" fillId="0" borderId="12" xfId="0" applyNumberFormat="1" applyFont="1" applyFill="1" applyBorder="1" applyAlignment="1">
      <alignment horizontal="left"/>
    </xf>
    <xf numFmtId="179" fontId="0" fillId="0" borderId="0" xfId="80" applyNumberFormat="1" applyFont="1" applyAlignment="1">
      <alignment horizontal="left"/>
    </xf>
    <xf numFmtId="198" fontId="0" fillId="0" borderId="0" xfId="80" applyNumberFormat="1" applyFont="1" applyAlignment="1">
      <alignment horizontal="left"/>
    </xf>
    <xf numFmtId="198" fontId="8" fillId="0" borderId="12" xfId="80" applyNumberFormat="1" applyBorder="1" applyAlignment="1">
      <alignment horizontal="left"/>
    </xf>
    <xf numFmtId="191" fontId="0" fillId="0" borderId="0" xfId="0" applyNumberFormat="1">
      <alignment horizontal="left"/>
    </xf>
    <xf numFmtId="186" fontId="8" fillId="0" borderId="0" xfId="103" applyNumberFormat="1" applyFill="1">
      <alignment horizontal="left"/>
    </xf>
    <xf numFmtId="164" fontId="13" fillId="15" borderId="0" xfId="80" applyFont="1" applyFill="1" applyAlignment="1">
      <alignment horizontal="left"/>
    </xf>
    <xf numFmtId="0" fontId="22" fillId="19" borderId="34" xfId="22" applyBorder="1" applyAlignment="1">
      <alignment horizontal="center"/>
    </xf>
    <xf numFmtId="0" fontId="22" fillId="19" borderId="35" xfId="22" applyBorder="1" applyAlignment="1">
      <alignment horizontal="center"/>
    </xf>
    <xf numFmtId="1" fontId="17" fillId="15" borderId="9" xfId="4" applyNumberFormat="1" applyAlignment="1">
      <alignment vertical="center"/>
    </xf>
    <xf numFmtId="1" fontId="14" fillId="16" borderId="3" xfId="3" applyBorder="1" applyAlignment="1">
      <alignment horizontal="left" vertical="center" wrapText="1"/>
    </xf>
    <xf numFmtId="1" fontId="14" fillId="16" borderId="4" xfId="3" applyBorder="1" applyAlignment="1">
      <alignment horizontal="left" vertical="center" wrapText="1"/>
    </xf>
    <xf numFmtId="1" fontId="14" fillId="16" borderId="2" xfId="3" applyBorder="1" applyAlignment="1">
      <alignment vertical="center" wrapText="1"/>
    </xf>
    <xf numFmtId="1" fontId="14" fillId="16" borderId="3" xfId="3" applyBorder="1" applyAlignment="1">
      <alignment vertical="center" wrapText="1"/>
    </xf>
    <xf numFmtId="1" fontId="14" fillId="16" borderId="4" xfId="3" applyBorder="1" applyAlignment="1">
      <alignment vertical="center" wrapText="1"/>
    </xf>
    <xf numFmtId="1" fontId="14" fillId="16" borderId="1" xfId="3" applyAlignment="1">
      <alignment horizontal="left" vertical="center" wrapText="1"/>
    </xf>
    <xf numFmtId="1" fontId="14" fillId="16" borderId="2" xfId="3" applyBorder="1" applyAlignment="1">
      <alignment vertical="center"/>
    </xf>
    <xf numFmtId="1" fontId="14" fillId="16" borderId="4" xfId="3" applyBorder="1" applyAlignment="1">
      <alignment vertical="center"/>
    </xf>
    <xf numFmtId="1" fontId="14" fillId="16" borderId="2" xfId="3" applyBorder="1" applyAlignment="1">
      <alignment horizontal="left" vertical="center" wrapText="1"/>
    </xf>
    <xf numFmtId="1" fontId="14" fillId="16" borderId="1" xfId="3">
      <alignment horizontal="left" vertical="center"/>
    </xf>
    <xf numFmtId="0" fontId="23" fillId="23" borderId="0" xfId="25" applyAlignment="1">
      <alignment horizontal="center"/>
    </xf>
    <xf numFmtId="0" fontId="33" fillId="26" borderId="0" xfId="17" applyAlignment="1">
      <alignment horizontal="center"/>
    </xf>
    <xf numFmtId="3" fontId="23" fillId="22" borderId="0" xfId="98">
      <alignment horizontal="left"/>
    </xf>
    <xf numFmtId="1" fontId="33" fillId="28" borderId="0" xfId="9" applyNumberFormat="1" applyAlignment="1">
      <alignment horizontal="center"/>
    </xf>
  </cellXfs>
  <cellStyles count="300">
    <cellStyle name="20% - Accent1" xfId="55" hidden="1"/>
    <cellStyle name="20% - Accent2" xfId="59" hidden="1"/>
    <cellStyle name="20% - Accent3" xfId="63" hidden="1"/>
    <cellStyle name="20% - Accent4" xfId="67" hidden="1"/>
    <cellStyle name="20% - Accent5" xfId="71" hidden="1"/>
    <cellStyle name="20% - Accent6" xfId="75" hidden="1"/>
    <cellStyle name="40% - Accent1" xfId="56" hidden="1"/>
    <cellStyle name="40% - Accent2" xfId="60" hidden="1"/>
    <cellStyle name="40% - Accent3" xfId="64" hidden="1"/>
    <cellStyle name="40% - Accent4" xfId="68" hidden="1"/>
    <cellStyle name="40% - Accent5" xfId="72" hidden="1"/>
    <cellStyle name="40% - Accent6" xfId="76" hidden="1"/>
    <cellStyle name="60% - Accent1" xfId="57" builtinId="32" hidden="1"/>
    <cellStyle name="60% - Accent1" xfId="125" builtinId="32" customBuiltin="1"/>
    <cellStyle name="60% - Accent2" xfId="61" builtinId="36" hidden="1"/>
    <cellStyle name="60% - Accent2" xfId="127" builtinId="36" customBuiltin="1"/>
    <cellStyle name="60% - Accent3" xfId="65" builtinId="40" hidden="1"/>
    <cellStyle name="60% - Accent3" xfId="129" builtinId="40" customBuiltin="1"/>
    <cellStyle name="60% - Accent4" xfId="69" builtinId="44" hidden="1"/>
    <cellStyle name="60% - Accent4" xfId="131" builtinId="44" customBuiltin="1"/>
    <cellStyle name="60% - Accent5" xfId="73" builtinId="48" hidden="1"/>
    <cellStyle name="60% - Accent5" xfId="133" builtinId="48" customBuiltin="1"/>
    <cellStyle name="60% - Accent6" xfId="77" builtinId="52" hidden="1"/>
    <cellStyle name="60% - Accent6" xfId="135" builtinId="52" customBuiltin="1"/>
    <cellStyle name="A - a heading" xfId="25"/>
    <cellStyle name="A - bold" xfId="19"/>
    <cellStyle name="A - bottom border" xfId="91"/>
    <cellStyle name="A - footer" xfId="81"/>
    <cellStyle name="A - header" xfId="26"/>
    <cellStyle name="A - italic" xfId="94"/>
    <cellStyle name="A - italic bottom" xfId="240"/>
    <cellStyle name="A - muted" xfId="18"/>
    <cellStyle name="A - muted bottom border" xfId="292"/>
    <cellStyle name="A - muted footer" xfId="101"/>
    <cellStyle name="A - muted header" xfId="86"/>
    <cellStyle name="A - normal" xfId="85"/>
    <cellStyle name="A - normal 2" xfId="296"/>
    <cellStyle name="A - normal divider" xfId="241"/>
    <cellStyle name="A - normal no decimal" xfId="291"/>
    <cellStyle name="A - percent" xfId="294"/>
    <cellStyle name="A - percent bottom border" xfId="102"/>
    <cellStyle name="A - percent divider" xfId="242"/>
    <cellStyle name="A - percent footer" xfId="298"/>
    <cellStyle name="A - percent muted" xfId="295"/>
    <cellStyle name="A - percent muted footer" xfId="297"/>
    <cellStyle name="Accent1" xfId="54" builtinId="29" hidden="1"/>
    <cellStyle name="Accent1" xfId="124" builtinId="29" customBuiltin="1"/>
    <cellStyle name="Accent2" xfId="58" builtinId="33" hidden="1"/>
    <cellStyle name="Accent2" xfId="126" builtinId="33" customBuiltin="1"/>
    <cellStyle name="Accent3" xfId="62" builtinId="37" hidden="1"/>
    <cellStyle name="Accent3" xfId="128" builtinId="37" customBuiltin="1"/>
    <cellStyle name="Accent4" xfId="66" builtinId="41" hidden="1"/>
    <cellStyle name="Accent4" xfId="130" builtinId="41" customBuiltin="1"/>
    <cellStyle name="Accent5" xfId="70" builtinId="45" hidden="1"/>
    <cellStyle name="Accent5" xfId="132" builtinId="45" customBuiltin="1"/>
    <cellStyle name="Accent6" xfId="74" builtinId="49" hidden="1"/>
    <cellStyle name="Accent6" xfId="134" builtinId="49" customBuiltin="1"/>
    <cellStyle name="Adjustments bold" xfId="152"/>
    <cellStyle name="Adjustments bold right" xfId="153"/>
    <cellStyle name="Adjustments header" xfId="154"/>
    <cellStyle name="Adjustments normal" xfId="155"/>
    <cellStyle name="Adjustments TOTAL right" xfId="156"/>
    <cellStyle name="Assumptions sub header" xfId="105"/>
    <cellStyle name="B - a heading" xfId="17"/>
    <cellStyle name="B - bold" xfId="88"/>
    <cellStyle name="B - bottom border" xfId="89"/>
    <cellStyle name="B - footer" xfId="11"/>
    <cellStyle name="B - header" xfId="15"/>
    <cellStyle name="B - italic" xfId="95"/>
    <cellStyle name="B - muted" xfId="87"/>
    <cellStyle name="B - muted header" xfId="30"/>
    <cellStyle name="B - normal" xfId="16"/>
    <cellStyle name="B - percent" xfId="283"/>
    <cellStyle name="Bad" xfId="44" builtinId="27" hidden="1"/>
    <cellStyle name="Bad" xfId="114" builtinId="27" customBuiltin="1"/>
    <cellStyle name="C - a heading" xfId="98"/>
    <cellStyle name="C - bold" xfId="8"/>
    <cellStyle name="C - bottom border" xfId="13"/>
    <cellStyle name="C - header" xfId="14"/>
    <cellStyle name="C - italic" xfId="96"/>
    <cellStyle name="C - muted" xfId="5"/>
    <cellStyle name="C - muted header" xfId="90"/>
    <cellStyle name="C - normal" xfId="24"/>
    <cellStyle name="Calculation" xfId="48" builtinId="22" hidden="1"/>
    <cellStyle name="Calculation" xfId="118" builtinId="22" customBuiltin="1"/>
    <cellStyle name="Calculations" xfId="157"/>
    <cellStyle name="Calculations bold" xfId="158"/>
    <cellStyle name="Calculations header" xfId="159"/>
    <cellStyle name="Calculations header right" xfId="160"/>
    <cellStyle name="Calculations normal left" xfId="161"/>
    <cellStyle name="Check Cell" xfId="50" builtinId="23" hidden="1"/>
    <cellStyle name="Check Cell" xfId="120" builtinId="23" customBuiltin="1"/>
    <cellStyle name="Comma" xfId="33" builtinId="3" hidden="1"/>
    <cellStyle name="Comma" xfId="80" builtinId="3"/>
    <cellStyle name="Comma [0]" xfId="35" builtinId="6" hidden="1"/>
    <cellStyle name="Comma 2" xfId="238"/>
    <cellStyle name="Comma 3" xfId="237"/>
    <cellStyle name="Comma 4" xfId="286"/>
    <cellStyle name="Cost assumption currency" xfId="162"/>
    <cellStyle name="Currency" xfId="36" builtinId="4" hidden="1"/>
    <cellStyle name="Currency [0]" xfId="37" builtinId="7" hidden="1"/>
    <cellStyle name="D - a header" xfId="12"/>
    <cellStyle name="D - bold" xfId="2"/>
    <cellStyle name="D - bottom border" xfId="84"/>
    <cellStyle name="D - divider" xfId="21"/>
    <cellStyle name="D - headers" xfId="79"/>
    <cellStyle name="D - indent" xfId="83"/>
    <cellStyle name="D - indent 2" xfId="93"/>
    <cellStyle name="D - muted" xfId="82"/>
    <cellStyle name="D - normal" xfId="103"/>
    <cellStyle name="D - normal wrapped text" xfId="104"/>
    <cellStyle name="D - sub heading" xfId="92"/>
    <cellStyle name="E - a header" xfId="9"/>
    <cellStyle name="E - bold" xfId="7"/>
    <cellStyle name="E - italic" xfId="97"/>
    <cellStyle name="E - normal" xfId="10"/>
    <cellStyle name="Editor notes" xfId="151"/>
    <cellStyle name="Emissions bold" xfId="163"/>
    <cellStyle name="Emissions bold right" xfId="164"/>
    <cellStyle name="Emissions header" xfId="165"/>
    <cellStyle name="Emissions normal" xfId="166"/>
    <cellStyle name="Emissions normal bottom border" xfId="167"/>
    <cellStyle name="Emissions normal left border" xfId="168"/>
    <cellStyle name="Emissions TOTAL" xfId="169"/>
    <cellStyle name="Explanatory Text" xfId="52" builtinId="53" hidden="1"/>
    <cellStyle name="Explanatory Text" xfId="122" builtinId="53" customBuiltin="1"/>
    <cellStyle name="F - a major heading" xfId="22"/>
    <cellStyle name="F - bold centre" xfId="3"/>
    <cellStyle name="F - centre bold" xfId="29"/>
    <cellStyle name="F - Larger header" xfId="28"/>
    <cellStyle name="F - normal grid line" xfId="4"/>
    <cellStyle name="F - risk - amber" xfId="244"/>
    <cellStyle name="F - risk - green" xfId="245"/>
    <cellStyle name="F - risk - red" xfId="243"/>
    <cellStyle name="F - table grid bold" xfId="99"/>
    <cellStyle name="F - table grid line" xfId="23"/>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Good" xfId="43" builtinId="26" hidden="1"/>
    <cellStyle name="Good" xfId="113" builtinId="26" customBuiltin="1"/>
    <cellStyle name="Heading 1" xfId="39" builtinId="16" hidden="1"/>
    <cellStyle name="Heading 1" xfId="109" builtinId="16" customBuiltin="1"/>
    <cellStyle name="Heading 2" xfId="40" builtinId="17" hidden="1"/>
    <cellStyle name="Heading 2" xfId="110" builtinId="17" customBuiltin="1"/>
    <cellStyle name="Heading 3" xfId="41" builtinId="18" hidden="1"/>
    <cellStyle name="Heading 3" xfId="111" builtinId="18" customBuiltin="1"/>
    <cellStyle name="Heading 4" xfId="42" builtinId="19" hidden="1"/>
    <cellStyle name="Heading 4" xfId="112" builtinId="19" customBuiltin="1"/>
    <cellStyle name="Hyperlink" xfId="31" builtinId="8" hidden="1"/>
    <cellStyle name="Hyperlink" xfId="78" builtinId="8"/>
    <cellStyle name="Input" xfId="46" builtinId="20" hidden="1"/>
    <cellStyle name="Input" xfId="116" builtinId="20" customBuiltin="1"/>
    <cellStyle name="Larger header" xfId="170"/>
    <cellStyle name="Linked Cell" xfId="49" builtinId="24" hidden="1"/>
    <cellStyle name="Linked Cell" xfId="119" builtinId="24" customBuiltin="1"/>
    <cellStyle name="Major heading" xfId="171"/>
    <cellStyle name="Narrow" xfId="6"/>
    <cellStyle name="Neutral" xfId="45" builtinId="28" hidden="1"/>
    <cellStyle name="Neutral" xfId="115" builtinId="28" customBuiltin="1"/>
    <cellStyle name="Normal" xfId="0" builtinId="0" customBuiltin="1"/>
    <cellStyle name="Normal 2" xfId="136"/>
    <cellStyle name="Normal 2 2" xfId="289"/>
    <cellStyle name="Normal 3" xfId="106"/>
    <cellStyle name="Normal 4" xfId="239"/>
    <cellStyle name="Normal 5" xfId="107"/>
    <cellStyle name="Normal 6" xfId="285"/>
    <cellStyle name="Normal 7" xfId="288"/>
    <cellStyle name="Normal 7 2" xfId="293"/>
    <cellStyle name="Normal 8" xfId="290"/>
    <cellStyle name="Normal bold" xfId="172"/>
    <cellStyle name="Normal bold background" xfId="173"/>
    <cellStyle name="Normal bold right" xfId="174"/>
    <cellStyle name="Normal comma number" xfId="175"/>
    <cellStyle name="Normal font" xfId="176"/>
    <cellStyle name="Normal font background" xfId="177"/>
    <cellStyle name="Normal font border" xfId="178"/>
    <cellStyle name="Normal font border right" xfId="179"/>
    <cellStyle name="Normal font double indent italic" xfId="180"/>
    <cellStyle name="Normal font indent" xfId="181"/>
    <cellStyle name="Normal font indent italic" xfId="182"/>
    <cellStyle name="Normal font muted" xfId="137"/>
    <cellStyle name="Normal font muted bold" xfId="183"/>
    <cellStyle name="Normal font muted right" xfId="184"/>
    <cellStyle name="Normal font muted right border" xfId="185"/>
    <cellStyle name="Normal font right align" xfId="186"/>
    <cellStyle name="Normal font right border" xfId="187"/>
    <cellStyle name="Normal narrow" xfId="145"/>
    <cellStyle name="Note" xfId="51" hidden="1"/>
    <cellStyle name="Note" xfId="299"/>
    <cellStyle name="Notes" xfId="20"/>
    <cellStyle name="Output" xfId="47" builtinId="21" hidden="1"/>
    <cellStyle name="Output" xfId="117" builtinId="21" customBuiltin="1"/>
    <cellStyle name="Outputs bold" xfId="188"/>
    <cellStyle name="Outputs bold right" xfId="189"/>
    <cellStyle name="Outputs footer left" xfId="190"/>
    <cellStyle name="Outputs footer right" xfId="191"/>
    <cellStyle name="Outputs header" xfId="192"/>
    <cellStyle name="Outputs header left bold" xfId="193"/>
    <cellStyle name="Outputs header muted left" xfId="194"/>
    <cellStyle name="Outputs header right align" xfId="195"/>
    <cellStyle name="Outputs indent" xfId="196"/>
    <cellStyle name="Outputs muted" xfId="197"/>
    <cellStyle name="Outputs normal" xfId="198"/>
    <cellStyle name="Outputs right" xfId="199"/>
    <cellStyle name="Outputs right border" xfId="200"/>
    <cellStyle name="Percent" xfId="34" builtinId="5" hidden="1"/>
    <cellStyle name="Percent" xfId="284" builtinId="5"/>
    <cellStyle name="Percent 2" xfId="287"/>
    <cellStyle name="Primary bold" xfId="201"/>
    <cellStyle name="Primary right" xfId="202"/>
    <cellStyle name="Primary right border" xfId="203"/>
    <cellStyle name="Sub heading" xfId="1"/>
    <cellStyle name="Sub heading 2" xfId="204"/>
    <cellStyle name="SUB TOTAL year emissions" xfId="205"/>
    <cellStyle name="SUB TOTAL year secondary" xfId="206"/>
    <cellStyle name="SUB TOTAL year uses" xfId="207"/>
    <cellStyle name="Table footer" xfId="208"/>
    <cellStyle name="Table footer left muted" xfId="209"/>
    <cellStyle name="Table footer right" xfId="210"/>
    <cellStyle name="Table footer right muted" xfId="211"/>
    <cellStyle name="Table grid lines" xfId="212"/>
    <cellStyle name="Table headers" xfId="213"/>
    <cellStyle name="Table headers left" xfId="214"/>
    <cellStyle name="Table headers muted" xfId="215"/>
    <cellStyle name="Title" xfId="38" builtinId="15" hidden="1"/>
    <cellStyle name="Title" xfId="108" builtinId="15" customBuiltin="1"/>
    <cellStyle name="Title heading" xfId="27"/>
    <cellStyle name="Total" xfId="53" builtinId="25" hidden="1"/>
    <cellStyle name="Total" xfId="123" builtinId="25" customBuiltin="1"/>
    <cellStyle name="TOTAL Primary" xfId="216"/>
    <cellStyle name="TOTAL secondary" xfId="217"/>
    <cellStyle name="TOTAL unallocated" xfId="218"/>
    <cellStyle name="TOTAL year sheet" xfId="219"/>
    <cellStyle name="Trajectory assump bold" xfId="220"/>
    <cellStyle name="Trajectory assump bold right" xfId="221"/>
    <cellStyle name="Trajectory assump muted" xfId="143"/>
    <cellStyle name="Trajectory assumption box" xfId="138"/>
    <cellStyle name="Trajectory assumption heading" xfId="150"/>
    <cellStyle name="Trajectory assumption text left" xfId="139"/>
    <cellStyle name="Trajectory assumption text left border" xfId="222"/>
    <cellStyle name="Trajectory assumptions indent" xfId="223"/>
    <cellStyle name="Trajectory bold left align" xfId="147"/>
    <cellStyle name="Trajectory bold right align" xfId="146"/>
    <cellStyle name="Trajectory box" xfId="224"/>
    <cellStyle name="Trajectory box gridlines" xfId="225"/>
    <cellStyle name="Trajectory box gridlines muted" xfId="226"/>
    <cellStyle name="Trajectory footer" xfId="227"/>
    <cellStyle name="Trajectory header" xfId="228"/>
    <cellStyle name="Trajectory heading" xfId="229"/>
    <cellStyle name="Trajectory left underline grey" xfId="141"/>
    <cellStyle name="Trajectory muted" xfId="230"/>
    <cellStyle name="Trajectory muted header" xfId="231"/>
    <cellStyle name="Trajectory right align" xfId="142"/>
    <cellStyle name="Trajectory right align %" xfId="232"/>
    <cellStyle name="Trajectory right align text" xfId="148"/>
    <cellStyle name="Trajectory right underline grey" xfId="140"/>
    <cellStyle name="Trajectory table footer double" xfId="233"/>
    <cellStyle name="Trajectory table footer left" xfId="234"/>
    <cellStyle name="Trajectory table footer right" xfId="235"/>
    <cellStyle name="Trajectory table header" xfId="144"/>
    <cellStyle name="Trajectory table heading right align" xfId="149"/>
    <cellStyle name="User choice" xfId="236"/>
    <cellStyle name="Warning Text" xfId="32" builtinId="11" hidden="1"/>
    <cellStyle name="Warning Text" xfId="121" builtinId="11" customBuiltin="1"/>
    <cellStyle name="working assumption" xfId="100"/>
  </cellStyles>
  <dxfs count="1290">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font>
        <b val="0"/>
        <i val="0"/>
        <strike val="0"/>
        <condense val="0"/>
        <extend val="0"/>
        <outline val="0"/>
        <shadow val="0"/>
        <u val="none"/>
        <vertAlign val="baseline"/>
        <sz val="10"/>
        <color auto="1"/>
        <name val="Calibri"/>
        <scheme val="none"/>
      </font>
      <numFmt numFmtId="164" formatCode="#,##0.0_);\(#,##0.0\);&quot;-&quot;_);@"/>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b val="0"/>
        <i val="0"/>
        <strike val="0"/>
        <condense val="0"/>
        <extend val="0"/>
        <outline val="0"/>
        <shadow val="0"/>
        <u val="none"/>
        <vertAlign val="baseline"/>
        <sz val="10"/>
        <color theme="1"/>
        <name val="Calibri"/>
        <scheme val="minor"/>
      </font>
      <numFmt numFmtId="176" formatCode="0_ ;\-0\ "/>
      <fill>
        <patternFill patternType="none">
          <fgColor indexed="64"/>
          <bgColor indexed="65"/>
        </patternFill>
      </fill>
      <alignment horizontal="left" vertical="bottom" textRotation="0" wrapText="0" indent="0" justifyLastLine="0" shrinkToFit="0" readingOrder="0"/>
      <border diagonalUp="0" diagonalDown="0" outline="0">
        <left/>
        <right/>
        <top/>
        <bottom style="medium">
          <color auto="1"/>
        </bottom>
      </border>
    </dxf>
    <dxf>
      <font>
        <strike val="0"/>
        <outline val="0"/>
        <shadow val="0"/>
        <u val="none"/>
        <vertAlign val="baseline"/>
        <sz val="9"/>
        <color auto="1"/>
        <name val="Calibri"/>
        <scheme val="none"/>
      </font>
      <alignment horizontal="general" vertical="top" textRotation="0" indent="0" justifyLastLine="0" shrinkToFit="0" readingOrder="0"/>
    </dxf>
    <dxf>
      <font>
        <b val="0"/>
        <i val="0"/>
        <strike val="0"/>
        <condense val="0"/>
        <extend val="0"/>
        <outline val="0"/>
        <shadow val="0"/>
        <u val="none"/>
        <vertAlign val="baseline"/>
        <sz val="9"/>
        <color auto="1"/>
        <name val="Calibri"/>
        <scheme val="none"/>
      </font>
      <alignment horizontal="general" vertical="top" textRotation="0" wrapText="1" indent="0" justifyLastLine="0" shrinkToFit="0" readingOrder="0"/>
    </dxf>
    <dxf>
      <font>
        <strike val="0"/>
        <outline val="0"/>
        <shadow val="0"/>
        <u val="none"/>
        <vertAlign val="baseline"/>
        <sz val="9"/>
        <color auto="1"/>
        <name val="Calibri"/>
        <scheme val="none"/>
      </font>
      <alignment horizontal="general" vertical="top" textRotation="0" indent="0" justifyLastLine="0" shrinkToFit="0" readingOrder="0"/>
    </dxf>
    <dxf>
      <font>
        <strike val="0"/>
        <outline val="0"/>
        <shadow val="0"/>
        <u val="none"/>
        <vertAlign val="baseline"/>
        <sz val="9"/>
        <color auto="1"/>
        <name val="Calibri"/>
        <scheme val="none"/>
      </font>
      <alignment horizontal="general" vertical="top" textRotation="0" wrapText="1" indent="0" justifyLastLine="0" shrinkToFit="0" readingOrder="0"/>
    </dxf>
    <dxf>
      <font>
        <strike val="0"/>
        <outline val="0"/>
        <shadow val="0"/>
        <u val="none"/>
        <vertAlign val="baseline"/>
        <sz val="9"/>
        <color auto="1"/>
        <name val="Calibri"/>
        <scheme val="none"/>
      </font>
      <alignment horizontal="general" vertical="top"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font>
        <b/>
        <i val="0"/>
        <strike val="0"/>
        <condense val="0"/>
        <extend val="0"/>
        <outline val="0"/>
        <shadow val="0"/>
        <u val="none"/>
        <vertAlign val="baseline"/>
        <sz val="10"/>
        <color auto="1"/>
        <name val="Calibri"/>
        <scheme val="none"/>
      </font>
      <numFmt numFmtId="0" formatCode="General"/>
    </dxf>
    <dxf>
      <font>
        <b/>
        <i val="0"/>
        <strike val="0"/>
        <condense val="0"/>
        <extend val="0"/>
        <outline val="0"/>
        <shadow val="0"/>
        <u val="none"/>
        <vertAlign val="baseline"/>
        <sz val="10"/>
        <color auto="1"/>
        <name val="Calibri"/>
        <scheme val="none"/>
      </font>
      <numFmt numFmtId="0" formatCode="General"/>
    </dxf>
    <dxf>
      <font>
        <b/>
        <i val="0"/>
        <strike val="0"/>
        <condense val="0"/>
        <extend val="0"/>
        <outline val="0"/>
        <shadow val="0"/>
        <u val="none"/>
        <vertAlign val="baseline"/>
        <sz val="10"/>
        <color auto="1"/>
        <name val="Calibri"/>
        <scheme val="none"/>
      </font>
      <numFmt numFmtId="0" formatCode="General"/>
    </dxf>
    <dxf>
      <font>
        <b/>
        <i val="0"/>
        <strike val="0"/>
        <condense val="0"/>
        <extend val="0"/>
        <outline val="0"/>
        <shadow val="0"/>
        <u val="none"/>
        <vertAlign val="baseline"/>
        <sz val="10"/>
        <color auto="1"/>
        <name val="Calibri"/>
        <scheme val="none"/>
      </font>
      <numFmt numFmtId="0" formatCode="General"/>
    </dxf>
    <dxf>
      <font>
        <b/>
        <i val="0"/>
        <strike val="0"/>
        <condense val="0"/>
        <extend val="0"/>
        <outline val="0"/>
        <shadow val="0"/>
        <u val="none"/>
        <vertAlign val="baseline"/>
        <sz val="10"/>
        <color auto="1"/>
        <name val="Calibri"/>
        <scheme val="none"/>
      </font>
      <numFmt numFmtId="0" formatCode="General"/>
    </dxf>
    <dxf>
      <font>
        <b/>
        <i val="0"/>
        <strike val="0"/>
        <condense val="0"/>
        <extend val="0"/>
        <outline val="0"/>
        <shadow val="0"/>
        <u val="none"/>
        <vertAlign val="baseline"/>
        <sz val="10"/>
        <color auto="1"/>
        <name val="Calibri"/>
        <scheme val="none"/>
      </font>
      <numFmt numFmtId="0" formatCode="General"/>
    </dxf>
    <dxf>
      <font>
        <b/>
      </font>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border outline="0">
        <top style="medium">
          <color theme="1"/>
        </top>
      </border>
    </dxf>
    <dxf>
      <border outline="0">
        <bottom style="thin">
          <color theme="1"/>
        </bottom>
      </border>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font>
    </dxf>
    <dxf>
      <border outline="0">
        <top style="thin">
          <color theme="1"/>
        </top>
      </border>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alignment horizontal="general" vertical="bottom" textRotation="0" wrapText="0" indent="0" justifyLastLine="0" shrinkToFit="0" readingOrder="0"/>
    </dxf>
    <dxf>
      <border outline="0">
        <top style="thin">
          <color auto="1"/>
        </top>
      </border>
    </dxf>
    <dxf>
      <alignment horizontal="right" vertical="bottom" textRotation="0" wrapText="0" indent="0" justifyLastLine="0" shrinkToFit="0" readingOrder="0"/>
    </dxf>
    <dxf>
      <border outline="0">
        <bottom style="thin">
          <color indexed="64"/>
        </bottom>
      </border>
    </dxf>
    <dxf>
      <fill>
        <patternFill patternType="solid">
          <fgColor indexed="64"/>
          <bgColor theme="4" tint="0.79998168889431442"/>
        </patternFill>
      </fill>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protection locked="1" hidden="0"/>
    </dxf>
    <dxf>
      <font>
        <b/>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protection locked="1" hidden="0"/>
    </dxf>
    <dxf>
      <font>
        <b/>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7" formatCode="#,##0.00_);\(#,##0.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7" formatCode="#,##0.00_);\(#,##0.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strike val="0"/>
        <condense val="0"/>
        <extend val="0"/>
        <outline val="0"/>
        <shadow val="0"/>
        <u val="none"/>
        <vertAlign val="baseline"/>
        <sz val="10"/>
        <color theme="1"/>
        <name val="Calibri"/>
        <scheme val="none"/>
      </font>
      <numFmt numFmtId="171" formatCode="0.0"/>
      <alignment horizontal="left" vertical="bottom" textRotation="0" wrapText="0" indent="3" justifyLastLine="0" shrinkToFit="0" readingOrder="0"/>
    </dxf>
    <dxf>
      <font>
        <b val="0"/>
        <i val="0"/>
        <strike val="0"/>
        <condense val="0"/>
        <extend val="0"/>
        <outline val="0"/>
        <shadow val="0"/>
        <u val="none"/>
        <vertAlign val="baseline"/>
        <sz val="10"/>
        <color theme="0" tint="-0.499984740745262"/>
        <name val="Calibri"/>
        <scheme val="none"/>
      </font>
      <numFmt numFmtId="1" formatCode="0"/>
      <alignment horizontal="left" vertical="bottom" textRotation="0" wrapText="0" relativeIndent="-1" justifyLastLine="0" shrinkToFit="0" readingOrder="0"/>
    </dxf>
    <dxf>
      <alignment horizontal="left" vertical="bottom" textRotation="0" wrapText="0" indent="3" justifyLastLine="0" shrinkToFit="0" readingOrder="0"/>
    </dxf>
    <dxf>
      <border outline="0">
        <top style="medium">
          <color auto="1"/>
        </top>
        <bottom style="medium">
          <color auto="1"/>
        </bottom>
      </border>
    </dxf>
    <dxf>
      <border outline="0">
        <bottom style="thin">
          <color auto="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font>
        <b/>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71" formatCode="0.0"/>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font>
    </dxf>
    <dxf>
      <border outline="0">
        <top style="thin">
          <color theme="1"/>
        </top>
      </border>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right"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fill>
        <patternFill patternType="solid">
          <fgColor indexed="64"/>
          <bgColor theme="4" tint="0.79998168889431442"/>
        </patternFill>
      </fill>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numFmt numFmtId="180" formatCode="#,##0_);\(#,##0\);&quot;-&quot;_);@"/>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180" formatCode="#,##0_);\(#,##0\);&quot;-&quot;_);@"/>
      <fill>
        <patternFill patternType="solid">
          <fgColor indexed="64"/>
          <bgColor theme="4" tint="0.79998168889431442"/>
        </patternFill>
      </fill>
      <alignment horizontal="right" vertical="center" textRotation="0" wrapText="0" indent="1" justifyLastLine="0" shrinkToFit="0" readingOrder="0"/>
      <border diagonalUp="0" diagonalDown="0" outline="0">
        <left/>
        <right/>
        <top/>
        <bottom/>
      </border>
      <protection locked="1" hidden="0"/>
    </dxf>
    <dxf>
      <numFmt numFmtId="180" formatCode="#,##0_);\(#,##0\);&quot;-&quot;_);@"/>
      <alignment horizontal="right" vertical="center" textRotation="0" wrapText="0" indent="1" justifyLastLine="0" shrinkToFit="0" readingOrder="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font>
        <b/>
      </font>
    </dxf>
    <dxf>
      <border outline="0">
        <top style="thin">
          <color theme="1"/>
        </top>
      </border>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0_);\(#,##0.0\);&quot;-&quot;_);@"/>
      <fill>
        <patternFill patternType="solid">
          <fgColor indexed="64"/>
          <bgColor theme="4" tint="0.79998168889431442"/>
        </patternFill>
      </fill>
      <alignment horizontal="right" vertical="bottom" textRotation="0" wrapText="0" indent="0" justifyLastLine="0" shrinkToFit="0" readingOrder="0"/>
      <border diagonalUp="0" diagonalDown="0" outline="0">
        <left/>
        <right/>
        <top/>
        <bottom/>
      </border>
      <protection locked="1" hidden="0"/>
    </dxf>
    <dxf>
      <alignment horizontal="right"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ont>
        <color theme="1"/>
      </font>
      <fill>
        <patternFill patternType="solid">
          <fgColor indexed="64"/>
          <bgColor theme="4" tint="0.79998168889431442"/>
        </patternFill>
      </fill>
      <alignment horizontal="general" vertical="bottom" textRotation="0" wrapText="0" indent="0" justifyLastLine="0" shrinkToFit="0" readingOrder="0"/>
    </dxf>
    <dxf>
      <numFmt numFmtId="0" formatCode="General"/>
      <fill>
        <patternFill patternType="solid">
          <fgColor indexed="64"/>
          <bgColor theme="4" tint="0.79998168889431442"/>
        </patternFill>
      </fill>
      <alignment horizontal="general" vertical="bottom" textRotation="0" wrapText="0" indent="0" justifyLastLine="0" shrinkToFit="0" readingOrder="0"/>
    </dxf>
    <dxf>
      <numFmt numFmtId="171" formatCode="0.0"/>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left" vertical="bottom" textRotation="0" wrapText="0" indent="0" justifyLastLine="0" shrinkToFit="0" readingOrder="0"/>
      <border diagonalUp="0" diagonalDown="0" outline="0">
        <left/>
        <right/>
        <top/>
        <bottom/>
      </border>
      <protection locked="1" hidden="0"/>
    </dxf>
    <dxf>
      <numFmt numFmtId="0" formatCode="General"/>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border outline="0">
        <top style="thin">
          <color theme="1"/>
        </top>
      </border>
    </dxf>
    <dxf>
      <fill>
        <patternFill patternType="solid">
          <fgColor indexed="64"/>
          <bgColor theme="4" tint="0.79998168889431442"/>
        </patternFill>
      </fill>
      <alignment horizontal="general" vertical="bottom" textRotation="0" wrapText="0" indent="0" justifyLastLine="0" shrinkToFit="0" readingOrder="0"/>
    </dxf>
    <dxf>
      <border outline="0">
        <bottom style="thin">
          <color theme="1"/>
        </bottom>
      </border>
    </dxf>
    <dxf>
      <font>
        <b/>
        <i val="0"/>
        <strike val="0"/>
        <condense val="0"/>
        <extend val="0"/>
        <outline val="0"/>
        <shadow val="0"/>
        <u val="none"/>
        <vertAlign val="baseline"/>
        <sz val="10"/>
        <color theme="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alignment horizontal="general" vertical="bottom" textRotation="0" wrapText="0" indent="0" justifyLastLine="0" shrinkToFit="0" readingOrder="0"/>
    </dxf>
    <dxf>
      <numFmt numFmtId="171" formatCode="0.0"/>
      <fill>
        <patternFill patternType="solid">
          <fgColor indexed="64"/>
          <bgColor theme="4" tint="0.79998168889431442"/>
        </patternFill>
      </fill>
      <alignment horizontal="general" vertical="bottom" textRotation="0" wrapText="0" indent="0" justifyLastLine="0" shrinkToFit="0" readingOrder="0"/>
    </dxf>
    <dxf>
      <font>
        <strike val="0"/>
        <outline val="0"/>
        <shadow val="0"/>
        <u val="none"/>
        <vertAlign val="baseline"/>
        <sz val="10"/>
        <color auto="1"/>
        <name val="Calibri"/>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ont>
        <sz val="10"/>
        <color auto="1"/>
        <name val="Calibri"/>
      </font>
      <fill>
        <patternFill patternType="solid">
          <fgColor indexed="64"/>
          <bgColor theme="4" tint="0.79998168889431442"/>
        </patternFill>
      </fill>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Calibri"/>
        <scheme val="none"/>
      </font>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border outline="0">
        <top style="thin">
          <color auto="1"/>
        </top>
      </border>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border outline="0">
        <top style="thin">
          <color auto="1"/>
        </top>
      </border>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border outline="0">
        <top style="thin">
          <color auto="1"/>
        </top>
      </border>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outline="0">
        <top style="thin">
          <color auto="1"/>
        </top>
      </border>
    </dxf>
    <dxf>
      <fill>
        <patternFill patternType="solid">
          <fgColor indexed="64"/>
          <bgColor theme="4" tint="0.79998168889431442"/>
        </patternFill>
      </fill>
    </dxf>
    <dxf>
      <border outline="0">
        <bottom style="thin">
          <color indexed="64"/>
        </bottom>
      </border>
    </dxf>
    <dxf>
      <fill>
        <patternFill patternType="solid">
          <fgColor indexed="64"/>
          <bgColor theme="4" tint="0.79998168889431442"/>
        </patternFill>
      </fill>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border outline="0">
        <top style="thin">
          <color auto="1"/>
        </top>
      </border>
    </dxf>
    <dxf>
      <fill>
        <patternFill patternType="solid">
          <fgColor indexed="64"/>
          <bgColor theme="4" tint="0.79998168889431442"/>
        </patternFill>
      </fill>
    </dxf>
    <dxf>
      <border outline="0">
        <bottom style="thin">
          <color indexed="64"/>
        </bottom>
      </border>
    </dxf>
    <dxf>
      <fill>
        <patternFill patternType="solid">
          <fgColor indexed="64"/>
          <bgColor theme="4" tint="0.79998168889431442"/>
        </patternFill>
      </fill>
    </dxf>
    <dxf>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alignment horizontal="right"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alignment horizontal="general" vertical="bottom" textRotation="0" wrapText="0"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border outline="0">
        <top style="thin">
          <color auto="1"/>
        </top>
      </border>
    </dxf>
    <dxf>
      <fill>
        <patternFill patternType="solid">
          <fgColor indexed="64"/>
          <bgColor theme="4" tint="0.79998168889431442"/>
        </patternFill>
      </fill>
    </dxf>
    <dxf>
      <numFmt numFmtId="1" formatCode="0"/>
    </dxf>
    <dxf>
      <border outline="0">
        <top style="thin">
          <color auto="1"/>
        </top>
      </border>
    </dxf>
    <dxf>
      <border outline="0">
        <top style="medium">
          <color auto="1"/>
        </top>
        <bottom style="medium">
          <color auto="1"/>
        </bottom>
      </border>
    </dxf>
    <dxf>
      <border outline="0">
        <bottom style="thin">
          <color auto="1"/>
        </bottom>
      </border>
    </dxf>
    <dxf>
      <border outline="0">
        <top style="medium">
          <color auto="1"/>
        </top>
        <bottom style="thin">
          <color theme="0" tint="-0.499984740745262"/>
        </bottom>
      </border>
    </dxf>
    <dxf>
      <numFmt numFmtId="171" formatCode="0.0"/>
    </dxf>
    <dxf>
      <font>
        <b/>
        <strike val="0"/>
        <outline val="0"/>
        <shadow val="0"/>
        <u val="none"/>
        <vertAlign val="baseline"/>
        <sz val="10"/>
        <color rgb="FFFF0000"/>
        <name val="Calibri"/>
        <scheme val="minor"/>
      </font>
    </dxf>
    <dxf>
      <numFmt numFmtId="1" formatCode="0"/>
    </dxf>
    <dxf>
      <font>
        <b val="0"/>
        <i val="0"/>
        <strike val="0"/>
        <condense val="0"/>
        <extend val="0"/>
        <outline val="0"/>
        <shadow val="0"/>
        <u val="none"/>
        <vertAlign val="baseline"/>
        <sz val="10"/>
        <color theme="1"/>
        <name val="Calibri"/>
        <scheme val="none"/>
      </font>
      <numFmt numFmtId="171" formatCode="0.0"/>
      <fill>
        <patternFill patternType="solid">
          <fgColor indexed="64"/>
          <bgColor rgb="FFFFFF00"/>
        </patternFill>
      </fill>
      <alignment horizontal="left" vertical="bottom" textRotation="0" wrapText="0" indent="0" justifyLastLine="0" shrinkToFit="0" readingOrder="0"/>
    </dxf>
    <dxf>
      <numFmt numFmtId="171" formatCode="0.0"/>
    </dxf>
    <dxf>
      <numFmt numFmtId="171" formatCode="0.0"/>
    </dxf>
    <dxf>
      <numFmt numFmtId="190" formatCode="0.00000"/>
    </dxf>
    <dxf>
      <numFmt numFmtId="190" formatCode="0.00000"/>
    </dxf>
    <dxf>
      <numFmt numFmtId="190" formatCode="0.00000"/>
    </dxf>
    <dxf>
      <border diagonalUp="0" diagonalDown="0">
        <left/>
        <right/>
        <top style="thin">
          <color theme="0" tint="-0.499984740745262"/>
        </top>
        <bottom style="medium">
          <color theme="0" tint="-0.499984740745262"/>
        </bottom>
      </border>
    </dxf>
    <dxf>
      <border outline="0">
        <bottom style="medium">
          <color theme="0" tint="-0.499984740745262"/>
        </bottom>
      </border>
    </dxf>
    <dxf>
      <font>
        <b/>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theme="0" tint="-0.499984740745262"/>
        </top>
      </border>
    </dxf>
    <dxf>
      <alignment horizontal="general" vertical="center" textRotation="0" wrapText="1" indent="0" justifyLastLine="0" shrinkToFit="0" readingOrder="0"/>
    </dxf>
    <dxf>
      <border outline="0">
        <bottom style="medium">
          <color theme="0" tint="-0.499984740745262"/>
        </bottom>
      </border>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0"/>
        <color theme="1"/>
        <name val="Calibri"/>
        <scheme val="none"/>
      </font>
      <alignment horizontal="general" vertical="center" textRotation="0" wrapText="1" indent="0" justifyLastLine="0" shrinkToFit="0" readingOrder="0"/>
    </dxf>
    <dxf>
      <font>
        <b/>
        <i val="0"/>
        <strike val="0"/>
        <condense val="0"/>
        <extend val="0"/>
        <outline val="0"/>
        <shadow val="0"/>
        <u val="none"/>
        <vertAlign val="baseline"/>
        <sz val="10"/>
        <color theme="1"/>
        <name val="Calibri"/>
        <scheme val="none"/>
      </font>
      <alignment horizontal="general" vertical="center" textRotation="0" wrapText="1" indent="0" justifyLastLine="0" shrinkToFit="0" readingOrder="0"/>
    </dxf>
    <dxf>
      <numFmt numFmtId="0" formatCode="General"/>
    </dxf>
    <dxf>
      <numFmt numFmtId="0" formatCode="General"/>
    </dxf>
    <dxf>
      <fill>
        <patternFill patternType="none">
          <fgColor indexed="64"/>
          <bgColor indexed="65"/>
        </patternFill>
      </fill>
    </dxf>
    <dxf>
      <border outline="0">
        <top style="thin">
          <color theme="0" tint="-0.499984740745262"/>
        </top>
      </border>
    </dxf>
    <dxf>
      <border outline="0">
        <bottom style="medium">
          <color theme="0" tint="-0.499984740745262"/>
        </bottom>
      </border>
    </dxf>
    <dxf>
      <font>
        <b/>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1" indent="0" justifyLastLine="0" shrinkToFit="0" readingOrder="0"/>
    </dxf>
    <dxf>
      <alignment textRotation="0" wrapText="0" indent="0" justifyLastLine="0" shrinkToFit="0" readingOrder="0"/>
    </dxf>
    <dxf>
      <border diagonalUp="0" diagonalDown="0">
        <left/>
        <right/>
        <top style="thin">
          <color theme="0" tint="-0.499984740745262"/>
        </top>
        <bottom style="medium">
          <color theme="0" tint="-0.499984740745262"/>
        </bottom>
      </border>
    </dxf>
    <dxf>
      <border outline="0">
        <bottom style="medium">
          <color theme="0" tint="-0.499984740745262"/>
        </bottom>
      </border>
    </dxf>
    <dxf>
      <font>
        <b/>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left" vertical="center" textRotation="0" wrapText="1" indent="0" justifyLastLine="0" shrinkToFit="0" readingOrder="0"/>
    </dxf>
    <dxf>
      <border outline="0">
        <top style="thin">
          <color theme="0" tint="-0.499984740745262"/>
        </top>
        <bottom style="medium">
          <color theme="0" tint="-0.499984740745262"/>
        </bottom>
      </border>
    </dxf>
    <dxf>
      <fill>
        <patternFill patternType="none">
          <fgColor indexed="64"/>
          <bgColor indexed="65"/>
        </patternFill>
      </fill>
      <alignment horizontal="general" vertical="center" textRotation="0" wrapText="1" indent="0" justifyLastLine="0" shrinkToFit="0" readingOrder="0"/>
    </dxf>
    <dxf>
      <border outline="0">
        <bottom style="medium">
          <color theme="0" tint="-0.499984740745262"/>
        </bottom>
      </border>
    </dxf>
    <dxf>
      <font>
        <b/>
        <i val="0"/>
        <strike val="0"/>
        <condense val="0"/>
        <extend val="0"/>
        <outline val="0"/>
        <shadow val="0"/>
        <u val="none"/>
        <vertAlign val="baseline"/>
        <sz val="10"/>
        <color theme="1"/>
        <name val="Calibri"/>
        <scheme val="none"/>
      </font>
      <alignment horizontal="general" vertical="center"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strike val="0"/>
        <condense val="0"/>
        <extend val="0"/>
        <outline val="0"/>
        <shadow val="0"/>
        <u val="none"/>
        <vertAlign val="baseline"/>
        <sz val="10"/>
        <color theme="1"/>
        <name val="Calibri"/>
        <scheme val="none"/>
      </font>
      <alignment horizontal="general" vertical="center" textRotation="0" wrapText="1" indent="0" justifyLastLine="0" shrinkToFit="0" readingOrder="0"/>
    </dxf>
    <dxf>
      <border outline="0">
        <top style="thin">
          <color theme="0" tint="-0.499984740745262"/>
        </top>
        <bottom style="medium">
          <color theme="0" tint="-0.499984740745262"/>
        </bottom>
      </border>
    </dxf>
    <dxf>
      <border outline="0">
        <bottom style="medium">
          <color theme="0" tint="-0.499984740745262"/>
        </bottom>
      </border>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theme="0" tint="-0.499984740745262"/>
        </top>
        <bottom style="thick">
          <color theme="0" tint="-0.499984740745262"/>
        </bottom>
      </border>
    </dxf>
    <dxf>
      <border outline="0">
        <bottom style="medium">
          <color theme="0" tint="-0.499984740745262"/>
        </bottom>
      </border>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theme="0" tint="-0.499984740745262"/>
        </top>
      </border>
    </dxf>
    <dxf>
      <alignment horizontal="general" vertical="center" textRotation="0" wrapText="1" indent="0" justifyLastLine="0" shrinkToFit="0" readingOrder="0"/>
    </dxf>
    <dxf>
      <border outline="0">
        <bottom style="medium">
          <color theme="0" tint="-0.499984740745262"/>
        </bottom>
      </border>
    </dxf>
    <dxf>
      <alignment horizontal="general" vertical="center" textRotation="0" wrapText="1" indent="0" justifyLastLine="0" shrinkToFit="0" readingOrder="0"/>
    </dxf>
    <dxf>
      <font>
        <b/>
        <i val="0"/>
        <color theme="0"/>
      </font>
      <fill>
        <patternFill>
          <bgColor theme="5" tint="-0.24994659260841701"/>
        </patternFill>
      </fill>
    </dxf>
    <dxf>
      <fill>
        <patternFill>
          <bgColor theme="9" tint="-0.24994659260841701"/>
        </patternFill>
      </fill>
    </dxf>
    <dxf>
      <fill>
        <patternFill>
          <bgColor rgb="FFFFC000"/>
        </patternFill>
      </fill>
    </dxf>
    <dxf>
      <fill>
        <patternFill>
          <bgColor rgb="FF92D050"/>
        </patternFill>
      </fill>
    </dxf>
    <dxf>
      <font>
        <b/>
        <i val="0"/>
        <color theme="0"/>
      </font>
      <fill>
        <patternFill>
          <bgColor theme="5" tint="-0.24994659260841701"/>
        </patternFill>
      </fill>
    </dxf>
    <dxf>
      <fill>
        <patternFill>
          <bgColor theme="9" tint="-0.24994659260841701"/>
        </patternFill>
      </fill>
    </dxf>
    <dxf>
      <fill>
        <patternFill>
          <bgColor rgb="FFFFC000"/>
        </patternFill>
      </fill>
    </dxf>
    <dxf>
      <fill>
        <patternFill>
          <bgColor rgb="FF92D050"/>
        </patternFill>
      </fill>
    </dxf>
    <dxf>
      <font>
        <b/>
        <i val="0"/>
        <color theme="0"/>
      </font>
      <fill>
        <patternFill>
          <bgColor theme="5" tint="-0.24994659260841701"/>
        </patternFill>
      </fill>
    </dxf>
    <dxf>
      <fill>
        <patternFill>
          <bgColor theme="9" tint="-0.24994659260841701"/>
        </patternFill>
      </fill>
    </dxf>
    <dxf>
      <fill>
        <patternFill>
          <bgColor rgb="FFFFC000"/>
        </patternFill>
      </fill>
    </dxf>
    <dxf>
      <fill>
        <patternFill>
          <bgColor rgb="FF92D050"/>
        </patternFill>
      </fill>
    </dxf>
    <dxf>
      <border>
        <bottom style="medium">
          <color theme="1"/>
        </bottom>
      </border>
    </dxf>
  </dxfs>
  <tableStyles count="4" defaultTableStyle="TableStyleMedium2" defaultPivotStyle="PivotStyleLight16">
    <tableStyle name="EnergyCalcTables" pivot="0" count="0"/>
    <tableStyle name="EnergyCalcTables 2" pivot="0" count="0"/>
    <tableStyle name="Technology" pivot="0" count="0"/>
    <tableStyle name="Technology 2" pivot="0" count="1">
      <tableStyleElement type="wholeTable" dxfId="1289"/>
    </tableStyle>
  </tableStyles>
  <colors>
    <mruColors>
      <color rgb="FF098909"/>
      <color rgb="FF0BA50B"/>
      <color rgb="FF725F18"/>
      <color rgb="FFFFFFA7"/>
      <color rgb="FF52963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242511</xdr:colOff>
      <xdr:row>11</xdr:row>
      <xdr:rowOff>99812</xdr:rowOff>
    </xdr:from>
    <xdr:to>
      <xdr:col>17</xdr:col>
      <xdr:colOff>466725</xdr:colOff>
      <xdr:row>22</xdr:row>
      <xdr:rowOff>101561</xdr:rowOff>
    </xdr:to>
    <xdr:sp macro="" textlink="">
      <xdr:nvSpPr>
        <xdr:cNvPr id="14" name="Rectangle 13"/>
        <xdr:cNvSpPr/>
      </xdr:nvSpPr>
      <xdr:spPr>
        <a:xfrm>
          <a:off x="5233611" y="2281037"/>
          <a:ext cx="4358064" cy="1782924"/>
        </a:xfrm>
        <a:prstGeom prst="rect">
          <a:avLst/>
        </a:prstGeom>
        <a:noFill/>
      </xdr:spPr>
      <xdr:txBody>
        <a:bodyPr wrap="square" lIns="91440" tIns="45720" rIns="91440" bIns="4572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5400" b="1" cap="none" spc="0">
              <a:ln w="12700">
                <a:solidFill>
                  <a:schemeClr val="tx2">
                    <a:satMod val="155000"/>
                  </a:schemeClr>
                </a:solidFill>
                <a:prstDash val="solid"/>
              </a:ln>
              <a:solidFill>
                <a:schemeClr val="accent1">
                  <a:lumMod val="60000"/>
                  <a:lumOff val="40000"/>
                </a:schemeClr>
              </a:solidFill>
              <a:effectLst/>
              <a:latin typeface="Calibri" pitchFamily="34" charset="0"/>
              <a:cs typeface="Calibri" pitchFamily="34" charset="0"/>
            </a:rPr>
            <a:t>Global</a:t>
          </a:r>
          <a:r>
            <a:rPr lang="en-US" sz="5400" b="1" cap="none" spc="0">
              <a:ln w="12700">
                <a:solidFill>
                  <a:schemeClr val="tx2">
                    <a:satMod val="155000"/>
                  </a:schemeClr>
                </a:solidFill>
                <a:prstDash val="solid"/>
              </a:ln>
              <a:solidFill>
                <a:schemeClr val="accent1">
                  <a:lumMod val="60000"/>
                  <a:lumOff val="40000"/>
                </a:schemeClr>
              </a:solidFill>
              <a:effectLst/>
            </a:rPr>
            <a:t> </a:t>
          </a:r>
        </a:p>
        <a:p>
          <a:pPr algn="ctr"/>
          <a:r>
            <a:rPr lang="en-US" sz="5400" b="1" cap="none" spc="0">
              <a:ln w="12700">
                <a:solidFill>
                  <a:schemeClr val="tx2">
                    <a:satMod val="155000"/>
                  </a:schemeClr>
                </a:solidFill>
                <a:prstDash val="solid"/>
              </a:ln>
              <a:solidFill>
                <a:schemeClr val="accent1">
                  <a:lumMod val="60000"/>
                  <a:lumOff val="40000"/>
                </a:schemeClr>
              </a:solidFill>
              <a:effectLst/>
            </a:rPr>
            <a:t>Calculator</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161925</xdr:colOff>
      <xdr:row>23</xdr:row>
      <xdr:rowOff>123825</xdr:rowOff>
    </xdr:from>
    <xdr:ext cx="5667375" cy="346632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3848100"/>
          <a:ext cx="5667375" cy="3466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187140</xdr:colOff>
      <xdr:row>1</xdr:row>
      <xdr:rowOff>190500</xdr:rowOff>
    </xdr:from>
    <xdr:to>
      <xdr:col>4</xdr:col>
      <xdr:colOff>549089</xdr:colOff>
      <xdr:row>4</xdr:row>
      <xdr:rowOff>156882</xdr:rowOff>
    </xdr:to>
    <xdr:sp macro="" textlink="">
      <xdr:nvSpPr>
        <xdr:cNvPr id="2" name="Down Arrow 1"/>
        <xdr:cNvSpPr/>
      </xdr:nvSpPr>
      <xdr:spPr>
        <a:xfrm>
          <a:off x="6193493" y="392206"/>
          <a:ext cx="361949" cy="437029"/>
        </a:xfrm>
        <a:prstGeom prst="downArrow">
          <a:avLst/>
        </a:prstGeom>
        <a:solidFill>
          <a:srgbClr val="00B050"/>
        </a:solidFill>
        <a:ln>
          <a:solidFill>
            <a:srgbClr val="098909"/>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3441890</xdr:colOff>
      <xdr:row>0</xdr:row>
      <xdr:rowOff>168086</xdr:rowOff>
    </xdr:from>
    <xdr:to>
      <xdr:col>6</xdr:col>
      <xdr:colOff>100857</xdr:colOff>
      <xdr:row>2</xdr:row>
      <xdr:rowOff>33616</xdr:rowOff>
    </xdr:to>
    <xdr:sp macro="" textlink="">
      <xdr:nvSpPr>
        <xdr:cNvPr id="3" name="Rectangle 2"/>
        <xdr:cNvSpPr/>
      </xdr:nvSpPr>
      <xdr:spPr>
        <a:xfrm>
          <a:off x="5425331" y="168086"/>
          <a:ext cx="1880908" cy="2689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00" b="1">
              <a:solidFill>
                <a:srgbClr val="098909"/>
              </a:solidFill>
            </a:rPr>
            <a:t>Make your choices here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28575</xdr:colOff>
      <xdr:row>6</xdr:row>
      <xdr:rowOff>9525</xdr:rowOff>
    </xdr:from>
    <xdr:to>
      <xdr:col>9</xdr:col>
      <xdr:colOff>579844</xdr:colOff>
      <xdr:row>7</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29425" y="1066800"/>
          <a:ext cx="551269"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76200</xdr:colOff>
      <xdr:row>6</xdr:row>
      <xdr:rowOff>9525</xdr:rowOff>
    </xdr:from>
    <xdr:to>
      <xdr:col>10</xdr:col>
      <xdr:colOff>552450</xdr:colOff>
      <xdr:row>7</xdr:row>
      <xdr:rowOff>85725</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486650" y="1066800"/>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930098</xdr:colOff>
      <xdr:row>2</xdr:row>
      <xdr:rowOff>89651</xdr:rowOff>
    </xdr:from>
    <xdr:to>
      <xdr:col>17</xdr:col>
      <xdr:colOff>102544</xdr:colOff>
      <xdr:row>2</xdr:row>
      <xdr:rowOff>177617</xdr:rowOff>
    </xdr:to>
    <xdr:sp macro="" textlink="">
      <xdr:nvSpPr>
        <xdr:cNvPr id="3" name="Right Arrow 2"/>
        <xdr:cNvSpPr/>
      </xdr:nvSpPr>
      <xdr:spPr>
        <a:xfrm>
          <a:off x="16876069" y="549092"/>
          <a:ext cx="1144681"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963716</xdr:colOff>
      <xdr:row>2</xdr:row>
      <xdr:rowOff>67239</xdr:rowOff>
    </xdr:from>
    <xdr:to>
      <xdr:col>17</xdr:col>
      <xdr:colOff>136162</xdr:colOff>
      <xdr:row>2</xdr:row>
      <xdr:rowOff>155205</xdr:rowOff>
    </xdr:to>
    <xdr:sp macro="" textlink="">
      <xdr:nvSpPr>
        <xdr:cNvPr id="2" name="Right Arrow 1"/>
        <xdr:cNvSpPr/>
      </xdr:nvSpPr>
      <xdr:spPr>
        <a:xfrm>
          <a:off x="16909687" y="470651"/>
          <a:ext cx="1144681"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3" name="Right Arrow 2"/>
        <xdr:cNvSpPr/>
      </xdr:nvSpPr>
      <xdr:spPr>
        <a:xfrm>
          <a:off x="21911096" y="463479"/>
          <a:ext cx="119936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4" name="Right Arrow 3"/>
        <xdr:cNvSpPr/>
      </xdr:nvSpPr>
      <xdr:spPr>
        <a:xfrm>
          <a:off x="21911096" y="463479"/>
          <a:ext cx="119936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5" name="Right Arrow 4"/>
        <xdr:cNvSpPr/>
      </xdr:nvSpPr>
      <xdr:spPr>
        <a:xfrm>
          <a:off x="24098036" y="463479"/>
          <a:ext cx="119936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6" name="Right Arrow 5"/>
        <xdr:cNvSpPr/>
      </xdr:nvSpPr>
      <xdr:spPr>
        <a:xfrm>
          <a:off x="24098036" y="463479"/>
          <a:ext cx="119936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7" name="Right Arrow 6"/>
        <xdr:cNvSpPr/>
      </xdr:nvSpPr>
      <xdr:spPr>
        <a:xfrm>
          <a:off x="24098036" y="463479"/>
          <a:ext cx="119936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8" name="Right Arrow 7"/>
        <xdr:cNvSpPr/>
      </xdr:nvSpPr>
      <xdr:spPr>
        <a:xfrm>
          <a:off x="16462796" y="463479"/>
          <a:ext cx="82598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9" name="Right Arrow 8"/>
        <xdr:cNvSpPr/>
      </xdr:nvSpPr>
      <xdr:spPr>
        <a:xfrm>
          <a:off x="16462796" y="463479"/>
          <a:ext cx="82598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10" name="Right Arrow 9"/>
        <xdr:cNvSpPr/>
      </xdr:nvSpPr>
      <xdr:spPr>
        <a:xfrm>
          <a:off x="16462796" y="463479"/>
          <a:ext cx="82598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11" name="Right Arrow 10"/>
        <xdr:cNvSpPr/>
      </xdr:nvSpPr>
      <xdr:spPr>
        <a:xfrm>
          <a:off x="16462796" y="463479"/>
          <a:ext cx="82598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12" name="Right Arrow 11"/>
        <xdr:cNvSpPr/>
      </xdr:nvSpPr>
      <xdr:spPr>
        <a:xfrm>
          <a:off x="16462796" y="463479"/>
          <a:ext cx="82598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963716</xdr:colOff>
      <xdr:row>2</xdr:row>
      <xdr:rowOff>67239</xdr:rowOff>
    </xdr:from>
    <xdr:to>
      <xdr:col>17</xdr:col>
      <xdr:colOff>136162</xdr:colOff>
      <xdr:row>2</xdr:row>
      <xdr:rowOff>155205</xdr:rowOff>
    </xdr:to>
    <xdr:sp macro="" textlink="">
      <xdr:nvSpPr>
        <xdr:cNvPr id="13" name="Right Arrow 12"/>
        <xdr:cNvSpPr/>
      </xdr:nvSpPr>
      <xdr:spPr>
        <a:xfrm>
          <a:off x="16462796" y="463479"/>
          <a:ext cx="825986" cy="87966"/>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27</xdr:col>
      <xdr:colOff>266700</xdr:colOff>
      <xdr:row>2</xdr:row>
      <xdr:rowOff>266699</xdr:rowOff>
    </xdr:from>
    <xdr:to>
      <xdr:col>30</xdr:col>
      <xdr:colOff>323850</xdr:colOff>
      <xdr:row>3</xdr:row>
      <xdr:rowOff>85724</xdr:rowOff>
    </xdr:to>
    <xdr:sp macro="" textlink="">
      <xdr:nvSpPr>
        <xdr:cNvPr id="2" name="Right Arrow 1"/>
        <xdr:cNvSpPr/>
      </xdr:nvSpPr>
      <xdr:spPr>
        <a:xfrm>
          <a:off x="13449300" y="657224"/>
          <a:ext cx="1200150" cy="85725"/>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27</xdr:col>
      <xdr:colOff>266700</xdr:colOff>
      <xdr:row>2</xdr:row>
      <xdr:rowOff>266699</xdr:rowOff>
    </xdr:from>
    <xdr:to>
      <xdr:col>30</xdr:col>
      <xdr:colOff>323850</xdr:colOff>
      <xdr:row>3</xdr:row>
      <xdr:rowOff>85724</xdr:rowOff>
    </xdr:to>
    <xdr:sp macro="" textlink="">
      <xdr:nvSpPr>
        <xdr:cNvPr id="3" name="Right Arrow 2"/>
        <xdr:cNvSpPr/>
      </xdr:nvSpPr>
      <xdr:spPr>
        <a:xfrm>
          <a:off x="13449300" y="657224"/>
          <a:ext cx="1200150" cy="85725"/>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100853</xdr:colOff>
      <xdr:row>3</xdr:row>
      <xdr:rowOff>22413</xdr:rowOff>
    </xdr:from>
    <xdr:to>
      <xdr:col>16</xdr:col>
      <xdr:colOff>179294</xdr:colOff>
      <xdr:row>3</xdr:row>
      <xdr:rowOff>158565</xdr:rowOff>
    </xdr:to>
    <xdr:sp macro="" textlink="">
      <xdr:nvSpPr>
        <xdr:cNvPr id="4" name="Right Arrow 3"/>
        <xdr:cNvSpPr/>
      </xdr:nvSpPr>
      <xdr:spPr>
        <a:xfrm>
          <a:off x="17032941" y="694766"/>
          <a:ext cx="941294" cy="136152"/>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27</xdr:col>
      <xdr:colOff>266700</xdr:colOff>
      <xdr:row>2</xdr:row>
      <xdr:rowOff>266699</xdr:rowOff>
    </xdr:from>
    <xdr:to>
      <xdr:col>30</xdr:col>
      <xdr:colOff>323850</xdr:colOff>
      <xdr:row>3</xdr:row>
      <xdr:rowOff>85724</xdr:rowOff>
    </xdr:to>
    <xdr:sp macro="" textlink="">
      <xdr:nvSpPr>
        <xdr:cNvPr id="5" name="Right Arrow 4"/>
        <xdr:cNvSpPr/>
      </xdr:nvSpPr>
      <xdr:spPr>
        <a:xfrm>
          <a:off x="24345900" y="662939"/>
          <a:ext cx="1588770" cy="85725"/>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27</xdr:col>
      <xdr:colOff>266700</xdr:colOff>
      <xdr:row>2</xdr:row>
      <xdr:rowOff>266699</xdr:rowOff>
    </xdr:from>
    <xdr:to>
      <xdr:col>30</xdr:col>
      <xdr:colOff>323850</xdr:colOff>
      <xdr:row>3</xdr:row>
      <xdr:rowOff>85724</xdr:rowOff>
    </xdr:to>
    <xdr:sp macro="" textlink="">
      <xdr:nvSpPr>
        <xdr:cNvPr id="6" name="Right Arrow 5"/>
        <xdr:cNvSpPr/>
      </xdr:nvSpPr>
      <xdr:spPr>
        <a:xfrm>
          <a:off x="24345900" y="662939"/>
          <a:ext cx="1588770" cy="85725"/>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100853</xdr:colOff>
      <xdr:row>3</xdr:row>
      <xdr:rowOff>22413</xdr:rowOff>
    </xdr:from>
    <xdr:to>
      <xdr:col>16</xdr:col>
      <xdr:colOff>179294</xdr:colOff>
      <xdr:row>3</xdr:row>
      <xdr:rowOff>158565</xdr:rowOff>
    </xdr:to>
    <xdr:sp macro="" textlink="">
      <xdr:nvSpPr>
        <xdr:cNvPr id="7" name="Right Arrow 6"/>
        <xdr:cNvSpPr/>
      </xdr:nvSpPr>
      <xdr:spPr>
        <a:xfrm>
          <a:off x="17169653" y="685353"/>
          <a:ext cx="1030941" cy="136152"/>
        </a:xfrm>
        <a:prstGeom prst="rightArrow">
          <a:avLst/>
        </a:prstGeom>
        <a:solidFill>
          <a:schemeClr val="accent5">
            <a:lumMod val="7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tables/table1.xml><?xml version="1.0" encoding="utf-8"?>
<table xmlns="http://schemas.openxmlformats.org/spreadsheetml/2006/main" id="10" name="Cost.vectors" displayName="Cost.vectors" ref="AV8:AX17" totalsRowShown="0" headerRowDxfId="1276" dataDxfId="1274" headerRowBorderDxfId="1275" tableBorderDxfId="1273">
  <autoFilter ref="AV8:AX17"/>
  <tableColumns count="3">
    <tableColumn id="1" name="Code" dataDxfId="1272"/>
    <tableColumn id="2" name="Description" dataDxfId="1271"/>
    <tableColumn id="3" name="Comment" dataDxfId="1270"/>
  </tableColumns>
  <tableStyleInfo name="TableStyleLight7" showFirstColumn="0" showLastColumn="0" showRowStripes="1" showColumnStripes="0"/>
</table>
</file>

<file path=xl/tables/table2.xml><?xml version="1.0" encoding="utf-8"?>
<table xmlns="http://schemas.openxmlformats.org/spreadsheetml/2006/main" id="13" name="Greenhouse.gases" displayName="Greenhouse.gases" ref="AR8:AT12" totalsRowShown="0" headerRowDxfId="1269" headerRowBorderDxfId="1268" tableBorderDxfId="1267">
  <autoFilter ref="AR8:AT12"/>
  <tableColumns count="3">
    <tableColumn id="1" name="Code"/>
    <tableColumn id="2" name="Description"/>
    <tableColumn id="3" name="Comment" dataDxfId="1266"/>
  </tableColumns>
  <tableStyleInfo name="TableStyleLight7" showFirstColumn="0" showLastColumn="0" showRowStripes="1" showColumnStripes="0"/>
</table>
</file>

<file path=xl/tables/table3.xml><?xml version="1.0" encoding="utf-8"?>
<table xmlns="http://schemas.openxmlformats.org/spreadsheetml/2006/main" id="2" name="Region.codes" displayName="Region.codes" ref="B8:C9" totalsRowShown="0" headerRowDxfId="1265" headerRowBorderDxfId="1264" tableBorderDxfId="1263">
  <autoFilter ref="B8:C9"/>
  <tableColumns count="2">
    <tableColumn id="1" name="Code"/>
    <tableColumn id="2" name="Description"/>
  </tableColumns>
  <tableStyleInfo name="TableStyleLight7" showFirstColumn="0" showLastColumn="0" showRowStripes="1" showColumnStripes="0"/>
</table>
</file>

<file path=xl/tables/table4.xml><?xml version="1.0" encoding="utf-8"?>
<table xmlns="http://schemas.openxmlformats.org/spreadsheetml/2006/main" id="3" name="IPCC.emissions.sectors" displayName="IPCC.emissions.sectors" ref="AI8:AK20" totalsRowShown="0" headerRowDxfId="1262" dataDxfId="1261">
  <autoFilter ref="AI8:AK20"/>
  <tableColumns count="3">
    <tableColumn id="5" name="IPCC sector code" dataDxfId="1260"/>
    <tableColumn id="3" name="Description" dataDxfId="1259"/>
    <tableColumn id="4" name="Comment" dataDxfId="1258"/>
  </tableColumns>
  <tableStyleInfo name="TableStyleLight7" showFirstColumn="0" showLastColumn="0" showRowStripes="1" showColumnStripes="0"/>
</table>
</file>

<file path=xl/tables/table5.xml><?xml version="1.0" encoding="utf-8"?>
<table xmlns="http://schemas.openxmlformats.org/spreadsheetml/2006/main" id="5" name="Sector.codes" displayName="Sector.codes" ref="E8:G14" totalsRowShown="0" headerRowDxfId="1257" dataDxfId="1255" headerRowBorderDxfId="1256" tableBorderDxfId="1254">
  <autoFilter ref="E8:G14"/>
  <tableColumns count="3">
    <tableColumn id="2" name="Code" dataDxfId="1253"/>
    <tableColumn id="4" name="Description " dataDxfId="1252"/>
    <tableColumn id="5" name="Contains"/>
  </tableColumns>
  <tableStyleInfo name="TableStyleLight7" showFirstColumn="0" showLastColumn="0" showRowStripes="1" showColumnStripes="0"/>
</table>
</file>

<file path=xl/tables/table6.xml><?xml version="1.0" encoding="utf-8"?>
<table xmlns="http://schemas.openxmlformats.org/spreadsheetml/2006/main" id="6" name="Technology.codes" displayName="Technology.codes" ref="N8:Q228" totalsRowShown="0" headerRowDxfId="1251" headerRowBorderDxfId="1250" tableBorderDxfId="1249">
  <autoFilter ref="N8:Q228"/>
  <tableColumns count="4">
    <tableColumn id="5" name="Code" dataDxfId="1248"/>
    <tableColumn id="8" name="Description"/>
    <tableColumn id="1" name="Energy service"/>
    <tableColumn id="11" name="Notes"/>
  </tableColumns>
  <tableStyleInfo name="TableStyleLight7" showFirstColumn="0" showLastColumn="0" showRowStripes="1" showColumnStripes="0"/>
</table>
</file>

<file path=xl/tables/table7.xml><?xml version="1.0" encoding="utf-8"?>
<table xmlns="http://schemas.openxmlformats.org/spreadsheetml/2006/main" id="8" name="Regional.sectors" displayName="Regional.sectors" ref="I8:L14" totalsRowShown="0" headerRowDxfId="1247" headerRowBorderDxfId="1246" tableBorderDxfId="1245">
  <autoFilter ref="I8:L14"/>
  <tableColumns count="4">
    <tableColumn id="3" name="Region"/>
    <tableColumn id="4" name="Sector" dataDxfId="1244"/>
    <tableColumn id="1" name="Code" dataDxfId="1243">
      <calculatedColumnFormula>Regional.sectors[[#This Row],[Region]]&amp;"."&amp;Regional.sectors[[#This Row],[Sector]]</calculatedColumnFormula>
    </tableColumn>
    <tableColumn id="2" name="Description" dataDxfId="1242">
      <calculatedColumnFormula>INDEX(Region.codes[Description],MATCH(Regional.sectors[[#This Row],[Region]],Region.codes[Code],0))&amp;" "&amp;INDEX(Sector.codes[[Description ]],MATCH(Regional.sectors[[#This Row],[Sector]],Sector.codes[Code],0))</calculatedColumnFormula>
    </tableColumn>
  </tableColumns>
  <tableStyleInfo name="TableStyleLight2" showFirstColumn="0" showLastColumn="0" showRowStripes="1" showColumnStripes="0"/>
</table>
</file>

<file path=xl/tables/table8.xml><?xml version="1.0" encoding="utf-8"?>
<table xmlns="http://schemas.openxmlformats.org/spreadsheetml/2006/main" id="9" name="Energy.codes" displayName="Energy.codes" ref="X8:AB74" totalsRowShown="0" headerRowDxfId="1241">
  <autoFilter ref="X8:AB74"/>
  <tableColumns count="5">
    <tableColumn id="6" name="Code"/>
    <tableColumn id="3" name="Category"/>
    <tableColumn id="1" name="Subcategory"/>
    <tableColumn id="2" name="Description"/>
    <tableColumn id="4" name="Comment"/>
  </tableColumns>
  <tableStyleInfo name="TableStyleLight7" showFirstColumn="0" showLastColumn="0" showRowStripes="1" showColumnStripes="0"/>
</table>
</file>

<file path=xl/tables/table9.xml><?xml version="1.0" encoding="utf-8"?>
<table xmlns="http://schemas.openxmlformats.org/spreadsheetml/2006/main" id="14" name="Regional.energy" displayName="Regional.energy" ref="AD8:AG74" totalsRowShown="0" headerRowDxfId="1240" dataDxfId="1239">
  <autoFilter ref="AD8:AG74"/>
  <tableColumns count="4">
    <tableColumn id="5" name="Region code" dataDxfId="1238"/>
    <tableColumn id="6" name="Energy code" dataDxfId="1237">
      <calculatedColumnFormula>Energy.codes[[#This Row],[Code]]</calculatedColumnFormula>
    </tableColumn>
    <tableColumn id="2" name="Regional energy code" dataDxfId="1236">
      <calculatedColumnFormula>Regional.energy[[#This Row],[Region code]]&amp;"."&amp;Regional.energy[[#This Row],[Energy code]]</calculatedColumnFormula>
    </tableColumn>
    <tableColumn id="3" name="Description" dataDxfId="1235">
      <calculatedColumnFormula>INDEX(Region.codes[Description],MATCH(Regional.energy[[#This Row],[Region code]],Region.codes[Code],0))&amp;" "&amp;INDEX(Energy.codes[Description],MATCH(Regional.energy[[#This Row],[Energy code]],Energy.codes[Code],0))</calculatedColumnFormula>
    </tableColumn>
  </tableColumns>
  <tableStyleInfo name="TableStyleLight2" showFirstColumn="0" showLastColumn="0" showRowStripes="1" showColumnStripes="0"/>
</table>
</file>

<file path=xl/tables/table10.xml><?xml version="1.0" encoding="utf-8"?>
<table xmlns="http://schemas.openxmlformats.org/spreadsheetml/2006/main" id="21" name="Regional.costs" displayName="Regional.costs" ref="AZ8:BD17" totalsRowShown="0" headerRowDxfId="1234" dataDxfId="1232" headerRowBorderDxfId="1233" tableBorderDxfId="1231">
  <autoFilter ref="AZ8:BD17"/>
  <tableColumns count="5">
    <tableColumn id="4" name="Region" dataDxfId="1230"/>
    <tableColumn id="1" name="Cost code" dataDxfId="1229"/>
    <tableColumn id="5" name="Code" dataDxfId="1228">
      <calculatedColumnFormula>Regional.costs[[#This Row],[Region]]&amp;"."&amp;Regional.costs[[#This Row],[Cost code]]</calculatedColumnFormula>
    </tableColumn>
    <tableColumn id="2" name="Description" dataDxfId="1227">
      <calculatedColumnFormula>INDEX(Region.codes[Description],MATCH(Regional.costs[[#This Row],[Region]],Region.codes[Code],0))&amp;" "&amp;INDEX(Cost.vectors[Description],MATCH(Regional.costs[[#This Row],[Cost code]],Cost.vectors[Code],0))</calculatedColumnFormula>
    </tableColumn>
    <tableColumn id="3" name="Comment" dataDxfId="1226"/>
  </tableColumns>
  <tableStyleInfo name="TableStyleLight2" showFirstColumn="0" showLastColumn="0" showRowStripes="1" showColumnStripes="0"/>
</table>
</file>

<file path=xl/tables/table11.xml><?xml version="1.0" encoding="utf-8"?>
<table xmlns="http://schemas.openxmlformats.org/spreadsheetml/2006/main" id="20" name="Regional.emissions" displayName="Regional.emissions" ref="AM8:AP20" totalsRowShown="0" headerRowDxfId="1225" dataDxfId="1224">
  <autoFilter ref="AM8:AP20"/>
  <tableColumns count="4">
    <tableColumn id="1" name="Region code" dataDxfId="1223"/>
    <tableColumn id="2" name="IPCC code" dataDxfId="1222">
      <calculatedColumnFormula>IPCC.emissions.sectors[[#This Row],[IPCC sector code]]</calculatedColumnFormula>
    </tableColumn>
    <tableColumn id="3" name="Regional emissions code" dataDxfId="1221">
      <calculatedColumnFormula>Regional.emissions[[#This Row],[Region code]]&amp;"."&amp;Regional.emissions[[#This Row],[IPCC code]]</calculatedColumnFormula>
    </tableColumn>
    <tableColumn id="4" name="Description" dataDxfId="1220">
      <calculatedColumnFormula>INDEX(Region.codes[Description],MATCH(Regional.emissions[[#This Row],[Region code]],Region.codes[Code],0))&amp;" "&amp;INDEX(IPCC.emissions.sectors[Description],MATCH(Regional.emissions[[#This Row],[IPCC code]],IPCC.emissions.sectors[IPCC sector code],0))</calculatedColumnFormula>
    </tableColumn>
  </tableColumns>
  <tableStyleInfo name="TableStyleLight2" showFirstColumn="0" showLastColumn="0" showRowStripes="1" showColumnStripes="0"/>
</table>
</file>

<file path=xl/tables/table12.xml><?xml version="1.0" encoding="utf-8"?>
<table xmlns="http://schemas.openxmlformats.org/spreadsheetml/2006/main" id="25" name="Regional.Technologies" displayName="Regional.Technologies" ref="S8:V228" totalsRowShown="0" headerRowDxfId="1219" headerRowBorderDxfId="1218" tableBorderDxfId="1217">
  <autoFilter ref="S8:V228"/>
  <tableColumns count="4">
    <tableColumn id="2" name="Region">
      <calculatedColumnFormula>Region.codes[Code]</calculatedColumnFormula>
    </tableColumn>
    <tableColumn id="5" name="Technology">
      <calculatedColumnFormula>Technology.codes[[#This Row],[Code]]</calculatedColumnFormula>
    </tableColumn>
    <tableColumn id="8" name="Code">
      <calculatedColumnFormula>S9&amp;"."&amp;Regional.Technologies[[#This Row],[Technology]]</calculatedColumnFormula>
    </tableColumn>
    <tableColumn id="1" name="Description">
      <calculatedColumnFormula>INDEX(Region.codes[Description],MATCH(S9,Region.codes[Code],0))&amp;" "&amp;INDEX(Technology.codes[Description],MATCH(Regional.Technologies[[#This Row],[Technology]],Technology.codes[Code],0))</calculatedColumnFormula>
    </tableColumn>
  </tableColumns>
  <tableStyleInfo name="TableStyleLight2" showFirstColumn="0" showLastColumn="0" showRowStripes="1" showColumnStripes="0"/>
</table>
</file>

<file path=xl/tables/table13.xml><?xml version="1.0" encoding="utf-8"?>
<table xmlns="http://schemas.openxmlformats.org/spreadsheetml/2006/main" id="18" name="EF" displayName="EF" ref="Q6:V14" totalsRowShown="0">
  <autoFilter ref="Q6:V14"/>
  <tableColumns count="6">
    <tableColumn id="1" name="Vector"/>
    <tableColumn id="6" name="Description">
      <calculatedColumnFormula>INDEX(Regional.energy[Description],MATCH(EF[[#This Row],[Vector]],Regional.energy[Regional energy code],0))</calculatedColumnFormula>
    </tableColumn>
    <tableColumn id="2" name="CO2" dataDxfId="1216"/>
    <tableColumn id="3" name="CH4" dataDxfId="1215"/>
    <tableColumn id="4" name="N2O" dataDxfId="1214"/>
    <tableColumn id="5" name="Comments"/>
  </tableColumns>
  <tableStyleInfo name="TableStyleLight2" showFirstColumn="0" showLastColumn="0" showRowStripes="1" showColumnStripes="0"/>
</table>
</file>

<file path=xl/tables/table14.xml><?xml version="1.0" encoding="utf-8"?>
<table xmlns="http://schemas.openxmlformats.org/spreadsheetml/2006/main" id="31" name="energy.content" displayName="energy.content" ref="G6:J9" totalsRowShown="0">
  <autoFilter ref="G6:J9"/>
  <tableColumns count="4">
    <tableColumn id="1" name="Vector"/>
    <tableColumn id="2" name="Description" dataDxfId="1213">
      <calculatedColumnFormula>INDEX(Regional.energy[Description],MATCH(G7,Regional.energy[Regional energy code],0))</calculatedColumnFormula>
    </tableColumn>
    <tableColumn id="3" name="unit" dataDxfId="1212">
      <calculatedColumnFormula>C14</calculatedColumnFormula>
    </tableColumn>
    <tableColumn id="4" name="Gross energy"/>
  </tableColumns>
  <tableStyleInfo name="TableStyleLight3" showFirstColumn="0" showLastColumn="0" showRowStripes="1" showColumnStripes="0"/>
</table>
</file>

<file path=xl/tables/table15.xml><?xml version="1.0" encoding="utf-8"?>
<table xmlns="http://schemas.openxmlformats.org/spreadsheetml/2006/main" id="1" name="Language.translation" displayName="Language.translation" ref="B15:D47" totalsRowShown="0">
  <autoFilter ref="B15:D47"/>
  <tableColumns count="3">
    <tableColumn id="1" name="English"/>
    <tableColumn id="2" name="French"/>
    <tableColumn id="3" name="Spanish"/>
  </tableColumns>
  <tableStyleInfo name="TableStyleLight2" showFirstColumn="0" showLastColumn="0" showRowStripes="1" showColumnStripes="0"/>
</table>
</file>

<file path=xl/tables/table16.xml><?xml version="1.0" encoding="utf-8"?>
<table xmlns="http://schemas.openxmlformats.org/spreadsheetml/2006/main" id="12" name="assumptions.technology.baseyear" displayName="assumptions.technology.baseyear" ref="C48:O74" totalsRowShown="0" headerRowCellStyle="A - header" dataCellStyle="A - normal">
  <autoFilter ref="C48:O74"/>
  <tableColumns count="13">
    <tableColumn id="7" name="Technology code" dataCellStyle="A - normal"/>
    <tableColumn id="8" name="Description" dataCellStyle="A - normal">
      <calculatedColumnFormula>INDEX(#REF!,MATCH($B$2&amp;"."&amp;$B$3&amp;"."&amp;assumptions.technology.baseyear[[#This Row],[Technology code]],#REF!,0))</calculatedColumnFormula>
    </tableColumn>
    <tableColumn id="12" name="Unit capacity" dataDxfId="1211" dataCellStyle="A - normal"/>
    <tableColumn id="23" name="Max capacity" dataDxfId="1210" dataCellStyle="A - normal">
      <calculatedColumnFormula>assumptions.technology.baseyear[[#This Row],[Unit capacity]]*90%</calculatedColumnFormula>
    </tableColumn>
    <tableColumn id="22" name="Min capacity" dataCellStyle="A - normal">
      <calculatedColumnFormula>assumptions.technology.baseyear[[#This Row],[Unit capacity]]*10%</calculatedColumnFormula>
    </tableColumn>
    <tableColumn id="15" name="Capacity unit" dataDxfId="1209" dataCellStyle="A - muted">
      <calculatedColumnFormula>Preferences.power</calculatedColumnFormula>
    </tableColumn>
    <tableColumn id="10" name="Efficiency" dataCellStyle="A - normal"/>
    <tableColumn id="16" name="Explanation" dataCellStyle="A - muted"/>
    <tableColumn id="11" name="Capacity factor" dataCellStyle="A - normal"/>
    <tableColumn id="14" name="Own use (% of gen)" dataCellStyle="A - normal"/>
    <tableColumn id="13" name="Life span (years)" dataDxfId="1208" dataCellStyle="A - normal">
      <calculatedColumnFormula>0*(unit.y)</calculatedColumnFormula>
    </tableColumn>
    <tableColumn id="19" name="Column1" dataCellStyle="A - muted"/>
    <tableColumn id="4" name="% GHGs abated"/>
  </tableColumns>
  <tableStyleInfo name="Technology" showFirstColumn="0" showLastColumn="0" showRowStripes="1" showColumnStripes="0"/>
</table>
</file>

<file path=xl/tables/table17.xml><?xml version="1.0" encoding="utf-8"?>
<table xmlns="http://schemas.openxmlformats.org/spreadsheetml/2006/main" id="19" name="assumptions.costs" displayName="assumptions.costs" ref="C78:Q195" totalsRowShown="0" tableBorderDxfId="1207" headerRowCellStyle="A - header" dataCellStyle="A - normal">
  <autoFilter ref="C78:Q195"/>
  <tableColumns count="15">
    <tableColumn id="1" name="Technology code" dataCellStyle="A - normal"/>
    <tableColumn id="2" name="Technology description" dataCellStyle="A - normal">
      <calculatedColumnFormula>INDEX(#REF!,MATCH(#REF!&amp;"."&amp;#REF!&amp;"."&amp;C79,#REF!,0))</calculatedColumnFormula>
    </tableColumn>
    <tableColumn id="3" name="Cost code" dataCellStyle="A - normal"/>
    <tableColumn id="4" name="Cost description" dataCellStyle="A - normal">
      <calculatedColumnFormula>INDEX(Region.codes[Description],MATCH(#REF!,Region.codes[Code],0))&amp;" "&amp;INDEX(Cost.vectors[Description],MATCH(E79,Cost.vectors[Code],0))</calculatedColumnFormula>
    </tableColumn>
    <tableColumn id="5" name="." dataCellStyle="A - normal"/>
    <tableColumn id="6" name=".." dataCellStyle="A - normal"/>
    <tableColumn id="17" name="2011" dataCellStyle="A - normal">
      <calculatedColumnFormula>(5)*MGBP/Unit.GW*INDEX(assumptions.technology.baseyear[[Unit capacity]:[Unit capacity]],MATCH($D79,assumptions.technology.baseyear[[Description]:[Description]],0))*Unit.GW</calculatedColumnFormula>
    </tableColumn>
    <tableColumn id="18" name="2015" dataCellStyle="A - normal">
      <calculatedColumnFormula>(5)*MGBP/Unit.GW*INDEX(assumptions.technology.baseyear[[Unit capacity]:[Unit capacity]],MATCH($D79,assumptions.technology.baseyear[[Description]:[Description]],0))*Unit.GW</calculatedColumnFormula>
    </tableColumn>
    <tableColumn id="19" name="2020" dataCellStyle="A - normal">
      <calculatedColumnFormula>(5)*MGBP/Unit.GW*INDEX(assumptions.technology.baseyear[[Unit capacity]:[Unit capacity]],MATCH($D79,assumptions.technology.baseyear[[Description]:[Description]],0))*Unit.GW</calculatedColumnFormula>
    </tableColumn>
    <tableColumn id="20" name="2025" dataCellStyle="A - normal">
      <calculatedColumnFormula>(5)*MGBP/Unit.GW*INDEX(assumptions.technology.baseyear[[Unit capacity]:[Unit capacity]],MATCH($D79,assumptions.technology.baseyear[[Description]:[Description]],0))*Unit.GW</calculatedColumnFormula>
    </tableColumn>
    <tableColumn id="21" name="2030" dataCellStyle="A - normal">
      <calculatedColumnFormula>(5)*MGBP/Unit.GW*INDEX(assumptions.technology.baseyear[[Unit capacity]:[Unit capacity]],MATCH($D79,assumptions.technology.baseyear[[Description]:[Description]],0))*Unit.GW</calculatedColumnFormula>
    </tableColumn>
    <tableColumn id="22" name="2035" dataCellStyle="A - normal">
      <calculatedColumnFormula>(5)*MGBP/Unit.GW*INDEX(assumptions.technology.baseyear[[Unit capacity]:[Unit capacity]],MATCH($D79,assumptions.technology.baseyear[[Description]:[Description]],0))*Unit.GW</calculatedColumnFormula>
    </tableColumn>
    <tableColumn id="23" name="2040" dataCellStyle="A - normal">
      <calculatedColumnFormula>(5)*MGBP/Unit.GW*INDEX(assumptions.technology.baseyear[[Unit capacity]:[Unit capacity]],MATCH($D79,assumptions.technology.baseyear[[Description]:[Description]],0))*Unit.GW</calculatedColumnFormula>
    </tableColumn>
    <tableColumn id="24" name="2045" dataCellStyle="A - normal">
      <calculatedColumnFormula>(5)*MGBP/Unit.GW*INDEX(assumptions.technology.baseyear[[Unit capacity]:[Unit capacity]],MATCH($D79,assumptions.technology.baseyear[[Description]:[Description]],0))*Unit.GW</calculatedColumnFormula>
    </tableColumn>
    <tableColumn id="25" name="2050" dataCellStyle="A - normal">
      <calculatedColumnFormula>(5)*MGBP/Unit.GW*INDEX(assumptions.technology.baseyear[[Unit capacity]:[Unit capacity]],MATCH($D79,assumptions.technology.baseyear[[Description]:[Description]],0))*Unit.GW</calculatedColumnFormula>
    </tableColumn>
  </tableColumns>
  <tableStyleInfo name="Technology" showFirstColumn="0" showLastColumn="0" showRowStripes="1" showColumnStripes="0"/>
</table>
</file>

<file path=xl/tables/table18.xml><?xml version="1.0" encoding="utf-8"?>
<table xmlns="http://schemas.openxmlformats.org/spreadsheetml/2006/main" id="27" name="Universal.assumptions.global.population" displayName="Universal.assumptions.global.population" ref="C39:Q42" totalsRowShown="0" headerRowBorderDxfId="1206" tableBorderDxfId="1205" totalsRowBorderDxfId="1204" headerRowCellStyle="A - header" dataCellStyle="A - normal">
  <autoFilter ref="C39:Q42"/>
  <tableColumns count="15">
    <tableColumn id="1" name="Column1" dataCellStyle="A - normal"/>
    <tableColumn id="2" name="Column2" dataCellStyle="A - normal"/>
    <tableColumn id="3" name="Selected level" dataCellStyle="A - normal">
      <calculatedColumnFormula>H9</calculatedColumnFormula>
    </tableColumn>
    <tableColumn id="4" name="." dataCellStyle="A - normal"/>
    <tableColumn id="5" name=".." dataCellStyle="A - normal"/>
    <tableColumn id="6" name="…" dataCellStyle="A - normal"/>
    <tableColumn id="7" name="2011" dataDxfId="1203" dataCellStyle="A - normal">
      <calculatedColumnFormula>(INDEX(I$25:I$27,ROUNDDOWN($E$40,0))*(1-MOD($E$40,1)))+(INDEX(I$25:I$27,ROUNDUP($E$40,0))*MOD($E$40,1))</calculatedColumnFormula>
    </tableColumn>
    <tableColumn id="8" name="2015" dataCellStyle="A - normal">
      <calculatedColumnFormula>(INDEX(J$25:J$27,ROUNDDOWN($E$40,0))*(1-MOD($E$40,1)))+(INDEX(J$25:J$27,ROUNDUP($E$40,0))*MOD($E$40,1))</calculatedColumnFormula>
    </tableColumn>
    <tableColumn id="9" name="2020" dataCellStyle="A - normal">
      <calculatedColumnFormula>(INDEX(K$25:K$27,ROUNDDOWN($E$40,0))*(1-MOD($E$40,1)))+(INDEX(K$25:K$27,ROUNDUP($E$40,0))*MOD($E$40,1))</calculatedColumnFormula>
    </tableColumn>
    <tableColumn id="10" name="2025" dataCellStyle="A - normal">
      <calculatedColumnFormula>(INDEX(L$25:L$27,ROUNDDOWN($E$40,0))*(1-MOD($E$40,1)))+(INDEX(L$25:L$27,ROUNDUP($E$40,0))*MOD($E$40,1))</calculatedColumnFormula>
    </tableColumn>
    <tableColumn id="11" name="2030" dataCellStyle="A - normal">
      <calculatedColumnFormula>(INDEX(M$25:M$27,ROUNDDOWN($E$40,0))*(1-MOD($E$40,1)))+(INDEX(M$25:M$27,ROUNDUP($E$40,0))*MOD($E$40,1))</calculatedColumnFormula>
    </tableColumn>
    <tableColumn id="12" name="2035" dataCellStyle="A - normal">
      <calculatedColumnFormula>(INDEX(N$25:N$27,ROUNDDOWN($E$40,0))*(1-MOD($E$40,1)))+(INDEX(N$25:N$27,ROUNDUP($E$40,0))*MOD($E$40,1))</calculatedColumnFormula>
    </tableColumn>
    <tableColumn id="13" name="2040" dataCellStyle="A - normal">
      <calculatedColumnFormula>(INDEX(O$25:O$27,ROUNDDOWN($E$40,0))*(1-MOD($E$40,1)))+(INDEX(O$25:O$27,ROUNDUP($E$40,0))*MOD($E$40,1))</calculatedColumnFormula>
    </tableColumn>
    <tableColumn id="14" name="2045" dataCellStyle="A - normal">
      <calculatedColumnFormula>(INDEX(P$25:P$27,ROUNDDOWN($E$40,0))*(1-MOD($E$40,1)))+(INDEX(P$25:P$27,ROUNDUP($E$40,0))*MOD($E$40,1))</calculatedColumnFormula>
    </tableColumn>
    <tableColumn id="15" name="2050" dataCellStyle="A - normal">
      <calculatedColumnFormula>(INDEX(Q$25:Q$27,ROUNDDOWN($E$40,0))*(1-MOD($E$40,1)))+(INDEX(Q$25:Q$27,ROUNDUP($E$40,0))*MOD($E$40,1))</calculatedColumnFormula>
    </tableColumn>
  </tableColumns>
  <tableStyleInfo name="Technology" showFirstColumn="0" showLastColumn="0" showRowStripes="1" showColumnStripes="0"/>
</table>
</file>

<file path=xl/tables/table19.xml><?xml version="1.0" encoding="utf-8"?>
<table xmlns="http://schemas.openxmlformats.org/spreadsheetml/2006/main" id="111" name="G.30.levels.productDemand" displayName="G.30.levels.productDemand" ref="C121:Q177" totalsRowShown="0" dataDxfId="1202" tableBorderDxfId="1201" headerRowCellStyle="A - header">
  <autoFilter ref="C121:Q177"/>
  <tableColumns count="15">
    <tableColumn id="1" name="Technology code" dataDxfId="1200"/>
    <tableColumn id="2" name="Description" dataDxfId="1199"/>
    <tableColumn id="3" name="Level" dataCellStyle="A - normal"/>
    <tableColumn id="4" name="Notes" dataDxfId="1198"/>
    <tableColumn id="5" name="." dataDxfId="1197"/>
    <tableColumn id="6" name=".." dataDxfId="1196"/>
    <tableColumn id="7" name="2011" dataDxfId="1195"/>
    <tableColumn id="8" name="2015" dataDxfId="1194" dataCellStyle="A - normal">
      <calculatedColumnFormula>(($Q122-$I122)/($Q$121-$I$121))*(J$121-$I$121)+$I122</calculatedColumnFormula>
    </tableColumn>
    <tableColumn id="9" name="2020" dataDxfId="1193" dataCellStyle="A - normal">
      <calculatedColumnFormula>(($Q122-$I122)/($Q$121-$I$121))*(K$121-$I$121)+$I122</calculatedColumnFormula>
    </tableColumn>
    <tableColumn id="10" name="2025" dataDxfId="1192" dataCellStyle="A - normal">
      <calculatedColumnFormula>(($Q122-$I122)/($Q$121-$I$121))*(L$121-$I$121)+$I122</calculatedColumnFormula>
    </tableColumn>
    <tableColumn id="11" name="2030" dataDxfId="1191" dataCellStyle="A - normal">
      <calculatedColumnFormula>(($Q122-$I122)/($Q$121-$I$121))*(M$121-$I$121)+$I122</calculatedColumnFormula>
    </tableColumn>
    <tableColumn id="12" name="2035" dataDxfId="1190" dataCellStyle="A - normal">
      <calculatedColumnFormula>(($Q122-$I122)/($Q$121-$I$121))*(N$121-$I$121)+$I122</calculatedColumnFormula>
    </tableColumn>
    <tableColumn id="13" name="2040" dataDxfId="1189" dataCellStyle="A - normal">
      <calculatedColumnFormula>(($Q122-$I122)/($Q$121-$I$121))*(O$121-$I$121)+$I122</calculatedColumnFormula>
    </tableColumn>
    <tableColumn id="14" name="2045" dataDxfId="1188" dataCellStyle="A - normal">
      <calculatedColumnFormula>(($Q122-$I122)/($Q$121-$I$121))*(P$121-$I$121)+$I122</calculatedColumnFormula>
    </tableColumn>
    <tableColumn id="15" name="2050" dataDxfId="1187"/>
  </tableColumns>
  <tableStyleInfo name="EnergyCalcTables" showFirstColumn="0" showLastColumn="0" showRowStripes="0" showColumnStripes="0"/>
</table>
</file>

<file path=xl/tables/table20.xml><?xml version="1.0" encoding="utf-8"?>
<table xmlns="http://schemas.openxmlformats.org/spreadsheetml/2006/main" id="120" name="G.30.levels.materialsProductionEfficiency" displayName="G.30.levels.materialsProductionEfficiency" ref="C181:Q253" totalsRowShown="0" headerRowDxfId="1186" dataDxfId="1184" headerRowBorderDxfId="1185" tableBorderDxfId="1183">
  <autoFilter ref="C181:Q253"/>
  <tableColumns count="15">
    <tableColumn id="1" name="Technology code" dataDxfId="1182"/>
    <tableColumn id="2" name="Description" dataDxfId="1181"/>
    <tableColumn id="3" name="Level" dataCellStyle="A - normal"/>
    <tableColumn id="4" name="Notes" dataDxfId="1180"/>
    <tableColumn id="5" name="." dataDxfId="1179"/>
    <tableColumn id="6" name=".." dataDxfId="1178"/>
    <tableColumn id="7" name="2011" dataDxfId="1177" dataCellStyle="A - percent"/>
    <tableColumn id="8" name="2015" dataDxfId="1176" dataCellStyle="A - percent">
      <calculatedColumnFormula>(($Q182-$I182)/($Q$121-$I$121))*(J$121-$I$121)+$I182</calculatedColumnFormula>
    </tableColumn>
    <tableColumn id="9" name="2020" dataDxfId="1175" dataCellStyle="A - percent">
      <calculatedColumnFormula>(($Q182-$I182)/($Q$121-$I$121))*(K$121-$I$121)+$I182</calculatedColumnFormula>
    </tableColumn>
    <tableColumn id="10" name="2025" dataDxfId="1174" dataCellStyle="A - percent">
      <calculatedColumnFormula>(($Q182-$I182)/($Q$121-$I$121))*(L$121-$I$121)+$I182</calculatedColumnFormula>
    </tableColumn>
    <tableColumn id="11" name="2030" dataDxfId="1173" dataCellStyle="A - percent">
      <calculatedColumnFormula>(($Q182-$I182)/($Q$121-$I$121))*(M$121-$I$121)+$I182</calculatedColumnFormula>
    </tableColumn>
    <tableColumn id="12" name="2035" dataDxfId="1172" dataCellStyle="A - percent">
      <calculatedColumnFormula>(($Q182-$I182)/($Q$121-$I$121))*(N$121-$I$121)+$I182</calculatedColumnFormula>
    </tableColumn>
    <tableColumn id="13" name="2040" dataDxfId="1171" dataCellStyle="A - percent">
      <calculatedColumnFormula>(($Q182-$I182)/($Q$121-$I$121))*(O$121-$I$121)+$I182</calculatedColumnFormula>
    </tableColumn>
    <tableColumn id="14" name="2045" dataDxfId="1170" dataCellStyle="A - percent">
      <calculatedColumnFormula>(($Q182-$I182)/($Q$121-$I$121))*(P$121-$I$121)+$I182</calculatedColumnFormula>
    </tableColumn>
    <tableColumn id="15" name="2050" dataDxfId="1169" dataCellStyle="A - percent"/>
  </tableColumns>
  <tableStyleInfo name="TableStyleLight1" showFirstColumn="0" showLastColumn="0" showRowStripes="0" showColumnStripes="0"/>
</table>
</file>

<file path=xl/tables/table21.xml><?xml version="1.0" encoding="utf-8"?>
<table xmlns="http://schemas.openxmlformats.org/spreadsheetml/2006/main" id="121" name="G.30.levels.EnergyEfficiency" displayName="G.30.levels.EnergyEfficiency" ref="C684:Q976" totalsRowShown="0" headerRowDxfId="1168" dataDxfId="1166" headerRowBorderDxfId="1167" tableBorderDxfId="1165">
  <autoFilter ref="C684:Q976"/>
  <tableColumns count="15">
    <tableColumn id="1" name="Technology code" dataDxfId="1164"/>
    <tableColumn id="2" name="Description" dataDxfId="1163" dataCellStyle="A - normal"/>
    <tableColumn id="3" name="Level" dataCellStyle="A - normal"/>
    <tableColumn id="4" name="Notes" dataDxfId="1162"/>
    <tableColumn id="5" name="." dataDxfId="1161"/>
    <tableColumn id="6" name=".." dataDxfId="1160"/>
    <tableColumn id="7" name="2011" dataCellStyle="A - percent"/>
    <tableColumn id="8" name="2015" dataCellStyle="A - percent">
      <calculatedColumnFormula>(($Q685-$I685)/($Q$121-$I$121))*(J$121-$I$121)+$I685</calculatedColumnFormula>
    </tableColumn>
    <tableColumn id="9" name="2020" dataCellStyle="A - percent">
      <calculatedColumnFormula>(($Q685-$I685)/($Q$121-$I$121))*(K$121-$I$121)+$I685</calculatedColumnFormula>
    </tableColumn>
    <tableColumn id="10" name="2025" dataCellStyle="A - percent">
      <calculatedColumnFormula>(($Q685-$I685)/($Q$121-$I$121))*(L$121-$I$121)+$I685</calculatedColumnFormula>
    </tableColumn>
    <tableColumn id="11" name="2030" dataCellStyle="A - percent">
      <calculatedColumnFormula>(($Q685-$I685)/($Q$121-$I$121))*(M$121-$I$121)+$I685</calculatedColumnFormula>
    </tableColumn>
    <tableColumn id="12" name="2035" dataCellStyle="A - percent">
      <calculatedColumnFormula>(($Q685-$I685)/($Q$121-$I$121))*(N$121-$I$121)+$I685</calculatedColumnFormula>
    </tableColumn>
    <tableColumn id="13" name="2040" dataCellStyle="A - percent">
      <calculatedColumnFormula>(($Q685-$I685)/($Q$121-$I$121))*(O$121-$I$121)+$I685</calculatedColumnFormula>
    </tableColumn>
    <tableColumn id="14" name="2045" dataCellStyle="A - percent">
      <calculatedColumnFormula>(($Q685-$I685)/($Q$121-$I$121))*(P$121-$I$121)+$I685</calculatedColumnFormula>
    </tableColumn>
    <tableColumn id="15" name="2050" dataCellStyle="A - percent"/>
  </tableColumns>
  <tableStyleInfo name="TableStyleLight1" showFirstColumn="0" showLastColumn="0" showRowStripes="0" showColumnStripes="0"/>
</table>
</file>

<file path=xl/tables/table22.xml><?xml version="1.0" encoding="utf-8"?>
<table xmlns="http://schemas.openxmlformats.org/spreadsheetml/2006/main" id="122" name="G.30.levels.ProcessImprovements" displayName="G.30.levels.ProcessImprovements" ref="C259:Q523" totalsRowShown="0" headerRowDxfId="1159" dataDxfId="1158" tableBorderDxfId="1157">
  <autoFilter ref="C259:Q523"/>
  <tableColumns count="15">
    <tableColumn id="1" name="Technology code" dataDxfId="1156"/>
    <tableColumn id="2" name="Description" dataDxfId="1155"/>
    <tableColumn id="3" name="Level" dataCellStyle="A - normal"/>
    <tableColumn id="4" name="Notes" dataDxfId="1154"/>
    <tableColumn id="5" name="." dataDxfId="1153"/>
    <tableColumn id="6" name=".." dataDxfId="1152"/>
    <tableColumn id="7" name="2011" dataDxfId="1151" dataCellStyle="A - percent"/>
    <tableColumn id="8" name="2015" dataDxfId="1150" dataCellStyle="A - percent">
      <calculatedColumnFormula>(($Q260-$I260)/($Q$121-$I$121))*(J$121-$I$121)+$I260</calculatedColumnFormula>
    </tableColumn>
    <tableColumn id="9" name="2020" dataDxfId="1149" dataCellStyle="A - percent">
      <calculatedColumnFormula>(($Q260-$I260)/($Q$121-$I$121))*(K$121-$I$121)+$I260</calculatedColumnFormula>
    </tableColumn>
    <tableColumn id="10" name="2025" dataDxfId="1148" dataCellStyle="A - percent">
      <calculatedColumnFormula>(($Q260-$I260)/($Q$121-$I$121))*(L$121-$I$121)+$I260</calculatedColumnFormula>
    </tableColumn>
    <tableColumn id="11" name="2030" dataDxfId="1147" dataCellStyle="A - percent">
      <calculatedColumnFormula>(($Q260-$I260)/($Q$121-$I$121))*(M$121-$I$121)+$I260</calculatedColumnFormula>
    </tableColumn>
    <tableColumn id="12" name="2035" dataDxfId="1146" dataCellStyle="A - percent">
      <calculatedColumnFormula>(($Q260-$I260)/($Q$121-$I$121))*(N$121-$I$121)+$I260</calculatedColumnFormula>
    </tableColumn>
    <tableColumn id="13" name="2040" dataDxfId="1145" dataCellStyle="A - percent">
      <calculatedColumnFormula>(($Q260-$I260)/($Q$121-$I$121))*(O$121-$I$121)+$I260</calculatedColumnFormula>
    </tableColumn>
    <tableColumn id="14" name="2045" dataDxfId="1144" dataCellStyle="A - percent">
      <calculatedColumnFormula>(($Q260-$I260)/($Q$121-$I$121))*(P$121-$I$121)+$I260</calculatedColumnFormula>
    </tableColumn>
    <tableColumn id="15" name="2050" dataDxfId="1143" dataCellStyle="A - percent"/>
  </tableColumns>
  <tableStyleInfo name="TableStyleLight1" showFirstColumn="0" showLastColumn="0" showRowStripes="0" showColumnStripes="0"/>
</table>
</file>

<file path=xl/tables/table23.xml><?xml version="1.0" encoding="utf-8"?>
<table xmlns="http://schemas.openxmlformats.org/spreadsheetml/2006/main" id="123" name="G.30.levels.AlternativeFuels" displayName="G.30.levels.AlternativeFuels" ref="C528:Q624" totalsRowShown="0" headerRowDxfId="1142" dataDxfId="1141" tableBorderDxfId="1140">
  <autoFilter ref="C528:Q624"/>
  <tableColumns count="15">
    <tableColumn id="1" name="Technology code" dataDxfId="1139"/>
    <tableColumn id="2" name="Description" dataDxfId="1138" dataCellStyle="A - normal"/>
    <tableColumn id="3" name="Level" dataCellStyle="A - normal"/>
    <tableColumn id="4" name="Notes" dataCellStyle="A - normal"/>
    <tableColumn id="5" name="." dataDxfId="1137"/>
    <tableColumn id="6" name=".." dataDxfId="1136"/>
    <tableColumn id="7" name="2011" dataCellStyle="A - percent"/>
    <tableColumn id="8" name="2015" dataCellStyle="A - percent">
      <calculatedColumnFormula>(($Q529-$I529)/($Q$121-$I$121))*(J$121-$I$121)+$I529</calculatedColumnFormula>
    </tableColumn>
    <tableColumn id="9" name="2020" dataCellStyle="A - percent">
      <calculatedColumnFormula>(($Q529-$I529)/($Q$121-$I$121))*(K$121-$I$121)+$I529</calculatedColumnFormula>
    </tableColumn>
    <tableColumn id="10" name="2025" dataCellStyle="A - percent">
      <calculatedColumnFormula>(($Q529-$I529)/($Q$121-$I$121))*(L$121-$I$121)+$I529</calculatedColumnFormula>
    </tableColumn>
    <tableColumn id="11" name="2030" dataCellStyle="A - percent">
      <calculatedColumnFormula>(($Q529-$I529)/($Q$121-$I$121))*(M$121-$I$121)+$I529</calculatedColumnFormula>
    </tableColumn>
    <tableColumn id="12" name="2035" dataCellStyle="A - percent">
      <calculatedColumnFormula>(($Q529-$I529)/($Q$121-$I$121))*(N$121-$I$121)+$I529</calculatedColumnFormula>
    </tableColumn>
    <tableColumn id="13" name="2040" dataCellStyle="A - percent">
      <calculatedColumnFormula>(($Q529-$I529)/($Q$121-$I$121))*(O$121-$I$121)+$I529</calculatedColumnFormula>
    </tableColumn>
    <tableColumn id="14" name="2045" dataCellStyle="A - percent">
      <calculatedColumnFormula>(($Q529-$I529)/($Q$121-$I$121))*(P$121-$I$121)+$I529</calculatedColumnFormula>
    </tableColumn>
    <tableColumn id="15" name="2050" dataCellStyle="A - percent"/>
  </tableColumns>
  <tableStyleInfo name="TableStyleLight1" showFirstColumn="0" showLastColumn="0" showRowStripes="0" showColumnStripes="0"/>
</table>
</file>

<file path=xl/tables/table24.xml><?xml version="1.0" encoding="utf-8"?>
<table xmlns="http://schemas.openxmlformats.org/spreadsheetml/2006/main" id="124" name="G.30.levels.CCS" displayName="G.30.levels.CCS" ref="C980:Q1032" totalsRowShown="0" headerRowDxfId="1135" dataDxfId="1134" tableBorderDxfId="1133">
  <autoFilter ref="C980:Q1032"/>
  <tableColumns count="15">
    <tableColumn id="1" name="Technology code" dataDxfId="1132"/>
    <tableColumn id="2" name="Description" dataDxfId="1131"/>
    <tableColumn id="3" name="Level" dataCellStyle="A - normal"/>
    <tableColumn id="4" name="Notes" dataCellStyle="A - normal"/>
    <tableColumn id="5" name="." dataDxfId="1130"/>
    <tableColumn id="6" name=".." dataDxfId="1129"/>
    <tableColumn id="7" name="2011" dataCellStyle="A - percent"/>
    <tableColumn id="8" name="2015" dataCellStyle="A - percent"/>
    <tableColumn id="9" name="2020" dataCellStyle="A - percent"/>
    <tableColumn id="10" name="2025" dataCellStyle="A - percent"/>
    <tableColumn id="11" name="2030" dataCellStyle="A - percent">
      <calculatedColumnFormula>(($Q981-$L981)/($Q$980-$L$980))*(M$980-$L$980)+$L981</calculatedColumnFormula>
    </tableColumn>
    <tableColumn id="12" name="2035" dataCellStyle="A - percent">
      <calculatedColumnFormula>(($Q981-$L981)/($Q$980-$L$980))*(N$980-$L$980)+$L981</calculatedColumnFormula>
    </tableColumn>
    <tableColumn id="13" name="2040" dataCellStyle="A - percent">
      <calculatedColumnFormula>(($Q981-$L981)/($Q$980-$L$980))*(O$980-$L$980)+$L981</calculatedColumnFormula>
    </tableColumn>
    <tableColumn id="14" name="2045" dataCellStyle="A - percent">
      <calculatedColumnFormula>(($Q981-$L981)/($Q$980-$L$980))*(P$980-$L$980)+$L981</calculatedColumnFormula>
    </tableColumn>
    <tableColumn id="15" name="2050" dataCellStyle="A - percent"/>
  </tableColumns>
  <tableStyleInfo name="TableStyleLight1" showFirstColumn="0" showLastColumn="0" showRowStripes="0" showColumnStripes="0"/>
</table>
</file>

<file path=xl/tables/table25.xml><?xml version="1.0" encoding="utf-8"?>
<table xmlns="http://schemas.openxmlformats.org/spreadsheetml/2006/main" id="125" name="G.30.assumptions.productDemand" displayName="G.30.assumptions.productDemand" ref="C1281:Q1308" totalsRowShown="0" headerRowDxfId="1128" dataDxfId="1127">
  <autoFilter ref="C1281:Q1308"/>
  <tableColumns count="15">
    <tableColumn id="1" name="Technology code" dataDxfId="1126"/>
    <tableColumn id="2" name="Description" dataDxfId="1125"/>
    <tableColumn id="3" name="Level" dataDxfId="1124">
      <calculatedColumnFormula>INDEX(G.30.Levers[],MATCH(G.30.assumptions.productDemand[[#This Row],[..]],G.30.Levers[Lever code],0),4)</calculatedColumnFormula>
    </tableColumn>
    <tableColumn id="4" name="Notes" dataDxfId="1123"/>
    <tableColumn id="5" name="." dataDxfId="1122"/>
    <tableColumn id="6" name=".." dataDxfId="1121"/>
    <tableColumn id="7" name="2011" dataDxfId="1120">
      <calculatedColumnFormula array="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8" name="2015" dataDxfId="1119">
      <calculatedColumnFormula array="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9" name="2020" dataDxfId="1118">
      <calculatedColumnFormula array="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10" name="2025" dataDxfId="1117">
      <calculatedColumnFormula array="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11" name="2030" dataDxfId="1116">
      <calculatedColumnFormula array="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12" name="2035" dataDxfId="1115">
      <calculatedColumnFormula array="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13" name="2040" dataDxfId="1114">
      <calculatedColumnFormula array="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14" name="2045" dataDxfId="1113">
      <calculatedColumnFormula array="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 id="15" name="2050" dataDxfId="1112">
      <calculatedColumnFormula array="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calculatedColumnFormula>
    </tableColumn>
  </tableColumns>
  <tableStyleInfo name="TableStyleLight1" showFirstColumn="0" showLastColumn="0" showRowStripes="0" showColumnStripes="0"/>
</table>
</file>

<file path=xl/tables/table26.xml><?xml version="1.0" encoding="utf-8"?>
<table xmlns="http://schemas.openxmlformats.org/spreadsheetml/2006/main" id="126" name="G.30.assumptions.materialsProductionEfficiency" displayName="G.30.assumptions.materialsProductionEfficiency" ref="C1313:Q1331" totalsRowShown="0" headerRowDxfId="1111" dataDxfId="1110">
  <autoFilter ref="C1313:Q1331"/>
  <tableColumns count="15">
    <tableColumn id="1" name="Technology code" dataDxfId="1109"/>
    <tableColumn id="2" name="Description" dataDxfId="1108"/>
    <tableColumn id="3" name="Level" dataDxfId="1107">
      <calculatedColumnFormula>INDEX(G.30.Levers[],MATCH(G.30.assumptions.materialsProductionEfficiency[[#This Row],[Description]],G.30.Levers[Lever code],0),4)</calculatedColumnFormula>
    </tableColumn>
    <tableColumn id="4" name="Notes" dataDxfId="1106"/>
    <tableColumn id="5" name="." dataDxfId="1105"/>
    <tableColumn id="6" name=".." dataDxfId="1104"/>
    <tableColumn id="7" name="2011" dataDxfId="1103">
      <calculatedColumnFormula array="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8" name="2015" dataDxfId="1102">
      <calculatedColumnFormula array="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9" name="2020" dataDxfId="1101">
      <calculatedColumnFormula array="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10" name="2025" dataDxfId="1100">
      <calculatedColumnFormula array="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11" name="2030" dataDxfId="1099">
      <calculatedColumnFormula array="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12" name="2035" dataDxfId="1098">
      <calculatedColumnFormula array="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13" name="2040" dataDxfId="1097">
      <calculatedColumnFormula array="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14" name="2045" dataDxfId="1096">
      <calculatedColumnFormula array="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 id="15" name="2050" dataDxfId="1095">
      <calculatedColumnFormula array="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calculatedColumnFormula>
    </tableColumn>
  </tableColumns>
  <tableStyleInfo name="TableStyleLight1" showFirstColumn="0" showLastColumn="0" showRowStripes="0" showColumnStripes="0"/>
</table>
</file>

<file path=xl/tables/table27.xml><?xml version="1.0" encoding="utf-8"?>
<table xmlns="http://schemas.openxmlformats.org/spreadsheetml/2006/main" id="127" name="G.30.assumptions.EnergyEfficiency" displayName="G.30.assumptions.EnergyEfficiency" ref="C2039:Q2063" totalsRowShown="0" headerRowDxfId="1094" dataDxfId="1093">
  <autoFilter ref="C2039:Q2063"/>
  <tableColumns count="15">
    <tableColumn id="1" name="Technology code" dataDxfId="1092"/>
    <tableColumn id="2" name="Description" dataDxfId="1091" dataCellStyle="A - normal"/>
    <tableColumn id="3" name="Level" dataDxfId="1090">
      <calculatedColumnFormula>INDEX(G.30.Levers[],MATCH(G.30.assumptions.EnergyEfficiency[[#This Row],[.]],G.30.Levers[Lever code],0),4)</calculatedColumnFormula>
    </tableColumn>
    <tableColumn id="4" name="Notes" dataCellStyle="A - normal"/>
    <tableColumn id="5" name="." dataDxfId="1089">
      <calculatedColumnFormula>$C$2037&amp;"."&amp;LEFT(C2040,FIND("|",SUBSTITUTE(C2040,".","|",LEN(C2040)-LEN(SUBSTITUTE(C2040,".",""))))-1)</calculatedColumnFormula>
    </tableColumn>
    <tableColumn id="6" name=".." dataDxfId="1088"/>
    <tableColumn id="7" name="2011" dataDxfId="1087">
      <calculatedColumnFormula array="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8" name="2015" dataDxfId="1086">
      <calculatedColumnFormula array="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9" name="2020" dataDxfId="1085">
      <calculatedColumnFormula array="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10" name="2025" dataDxfId="1084">
      <calculatedColumnFormula array="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11" name="2030" dataDxfId="1083">
      <calculatedColumnFormula array="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12" name="2035" dataDxfId="1082">
      <calculatedColumnFormula array="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13" name="2040" dataDxfId="1081">
      <calculatedColumnFormula array="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14" name="2045" dataDxfId="1080">
      <calculatedColumnFormula array="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 id="15" name="2050" dataDxfId="1079">
      <calculatedColumnFormula array="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calculatedColumnFormula>
    </tableColumn>
  </tableColumns>
  <tableStyleInfo name="TableStyleLight1" showFirstColumn="0" showLastColumn="0" showRowStripes="0" showColumnStripes="0"/>
</table>
</file>

<file path=xl/tables/table28.xml><?xml version="1.0" encoding="utf-8"?>
<table xmlns="http://schemas.openxmlformats.org/spreadsheetml/2006/main" id="128" name="G.30.assumptions.ProcessImprovements" displayName="G.30.assumptions.ProcessImprovements" ref="C1627:Q1633" totalsRowShown="0" headerRowDxfId="1078" dataDxfId="1077">
  <autoFilter ref="C1627:Q1633"/>
  <tableColumns count="15">
    <tableColumn id="1" name="Technology code" dataDxfId="1076"/>
    <tableColumn id="2" name="Description" dataDxfId="1075" dataCellStyle="A - normal"/>
    <tableColumn id="3" name="level" dataDxfId="1074">
      <calculatedColumnFormula>INDEX(G.30.Levers[],MATCH(G.30.assumptions.ProcessImprovements[[#This Row],[.]],G.30.Levers[Lever code],0),4)</calculatedColumnFormula>
    </tableColumn>
    <tableColumn id="4" name="Notes" dataCellStyle="A - normal"/>
    <tableColumn id="5" name="." dataDxfId="1073">
      <calculatedColumnFormula>"Process."&amp;LEFT(C1628,FIND("|",SUBSTITUTE(C1628,".","|",LEN(C1628)-LEN(SUBSTITUTE(C1628,".",""))))-1)</calculatedColumnFormula>
    </tableColumn>
    <tableColumn id="6" name=".." dataDxfId="1072" dataCellStyle="A - normal"/>
    <tableColumn id="7" name="2011" dataDxfId="1071">
      <calculatedColumnFormula array="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8" name="2015" dataDxfId="1070">
      <calculatedColumnFormula array="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9" name="2020" dataDxfId="1069">
      <calculatedColumnFormula array="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10" name="2025" dataDxfId="1068">
      <calculatedColumnFormula array="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11" name="2030" dataDxfId="1067">
      <calculatedColumnFormula array="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12" name="2035" dataDxfId="1066">
      <calculatedColumnFormula array="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13" name="2040" dataDxfId="1065">
      <calculatedColumnFormula array="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14" name="2045" dataDxfId="1064">
      <calculatedColumnFormula array="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 id="15" name="2050" dataDxfId="1063">
      <calculatedColumnFormula array="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calculatedColumnFormula>
    </tableColumn>
  </tableColumns>
  <tableStyleInfo name="TableStyleLight1" showFirstColumn="0" showLastColumn="0" showRowStripes="0" showColumnStripes="0"/>
</table>
</file>

<file path=xl/tables/table29.xml><?xml version="1.0" encoding="utf-8"?>
<table xmlns="http://schemas.openxmlformats.org/spreadsheetml/2006/main" id="142" name="G.30.assumptions.AlternativeFuels" displayName="G.30.assumptions.AlternativeFuels" ref="C1811:Q1825" totalsRowShown="0" headerRowDxfId="1062" dataDxfId="1061">
  <autoFilter ref="C1811:Q1825"/>
  <tableColumns count="15">
    <tableColumn id="1" name="Technology code" dataDxfId="1060"/>
    <tableColumn id="2" name="Description" dataDxfId="1059" dataCellStyle="A - normal"/>
    <tableColumn id="3" name="Level" dataDxfId="1058">
      <calculatedColumnFormula>INDEX(G.30.Levers[],MATCH(G.30.assumptions.AlternativeFuels[[#This Row],[.]],G.30.Levers[Lever code],0),4)</calculatedColumnFormula>
    </tableColumn>
    <tableColumn id="4" name="Notes" dataCellStyle="A - normal"/>
    <tableColumn id="5" name="." dataDxfId="1057">
      <calculatedColumnFormula>$C$1809&amp;"."&amp;LEFT(C1812,FIND("|",SUBSTITUTE(C1812,".","|",LEN(C1812)-LEN(SUBSTITUTE(C1812,".",""))))-1)</calculatedColumnFormula>
    </tableColumn>
    <tableColumn id="6" name=".." dataDxfId="1056"/>
    <tableColumn id="7" name="2011" dataDxfId="1055">
      <calculatedColumnFormula array="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8" name="2015" dataDxfId="1054">
      <calculatedColumnFormula array="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9" name="2020" dataDxfId="1053">
      <calculatedColumnFormula array="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10" name="2025" dataDxfId="1052">
      <calculatedColumnFormula array="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11" name="2030" dataDxfId="1051">
      <calculatedColumnFormula array="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12" name="2035" dataDxfId="1050">
      <calculatedColumnFormula array="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13" name="2040" dataDxfId="1049">
      <calculatedColumnFormula array="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14" name="2045" dataDxfId="1048">
      <calculatedColumnFormula array="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 id="15" name="2050" dataDxfId="1047">
      <calculatedColumnFormula array="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calculatedColumnFormula>
    </tableColumn>
  </tableColumns>
  <tableStyleInfo name="TableStyleLight1" showFirstColumn="0" showLastColumn="0" showRowStripes="0" showColumnStripes="0"/>
</table>
</file>

<file path=xl/tables/table30.xml><?xml version="1.0" encoding="utf-8"?>
<table xmlns="http://schemas.openxmlformats.org/spreadsheetml/2006/main" id="143" name="G.30.assumptions.CCS" displayName="G.30.assumptions.CCS" ref="C2281:Q2296" totalsRowShown="0" headerRowDxfId="1046" dataDxfId="1045">
  <autoFilter ref="C2281:Q2296"/>
  <tableColumns count="15">
    <tableColumn id="1" name="Technology code"/>
    <tableColumn id="2" name="Description" dataDxfId="1044"/>
    <tableColumn id="3" name="Level" dataDxfId="1043">
      <calculatedColumnFormula>INDEX(G.30.Levers[],MATCH(G.30.assumptions.CCS[[#This Row],[.]],G.30.Levers[Lever code],0),4)</calculatedColumnFormula>
    </tableColumn>
    <tableColumn id="4" name="Notes" dataCellStyle="A - normal"/>
    <tableColumn id="5" name="." dataDxfId="1042">
      <calculatedColumnFormula>"CCS."&amp;LEFT(D2282,FIND("|",SUBSTITUTE(D2282,".","|",LEN(D2282)-LEN(SUBSTITUTE(D2282,".",""))))-1)</calculatedColumnFormula>
    </tableColumn>
    <tableColumn id="6" name=".." dataDxfId="1041"/>
    <tableColumn id="7" name="2011" dataDxfId="1040">
      <calculatedColumnFormula array="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calculatedColumnFormula>
    </tableColumn>
    <tableColumn id="8" name="2015" dataDxfId="1039">
      <calculatedColumnFormula array="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calculatedColumnFormula>
    </tableColumn>
    <tableColumn id="9" name="2020" dataDxfId="1038">
      <calculatedColumnFormula array="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calculatedColumnFormula>
    </tableColumn>
    <tableColumn id="10" name="2025" dataDxfId="1037">
      <calculatedColumnFormula array="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calculatedColumnFormula>
    </tableColumn>
    <tableColumn id="11" name="2030" dataDxfId="1036">
      <calculatedColumnFormula array="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calculatedColumnFormula>
    </tableColumn>
    <tableColumn id="12" name="2035" dataDxfId="1035">
      <calculatedColumnFormula array="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calculatedColumnFormula>
    </tableColumn>
    <tableColumn id="13" name="2040" dataDxfId="1034">
      <calculatedColumnFormula array="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calculatedColumnFormula>
    </tableColumn>
    <tableColumn id="14" name="2045" dataDxfId="1033">
      <calculatedColumnFormula array="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calculatedColumnFormula>
    </tableColumn>
    <tableColumn id="15" name="2050" dataDxfId="1032">
      <calculatedColumnFormula array="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calculatedColumnFormula>
    </tableColumn>
  </tableColumns>
  <tableStyleInfo name="TableStyleLight1" showFirstColumn="0" showLastColumn="0" showRowStripes="0" showColumnStripes="0"/>
</table>
</file>

<file path=xl/tables/table31.xml><?xml version="1.0" encoding="utf-8"?>
<table xmlns="http://schemas.openxmlformats.org/spreadsheetml/2006/main" id="145" name="G.30.assumptions.EnergyDemandAfterProductManufacturingEfficiency" displayName="G.30.assumptions.EnergyDemandAfterProductManufacturingEfficiency" ref="C1366:Q1451" totalsRowCount="1" headerRowDxfId="1031" dataDxfId="1029" headerRowBorderDxfId="1030" tableBorderDxfId="1028">
  <autoFilter ref="C1366:Q1450"/>
  <tableColumns count="15">
    <tableColumn id="1" name="Technology code" totalsRowLabel="Total" dataDxfId="1027" totalsRowDxfId="1026"/>
    <tableColumn id="2" name="Description" dataDxfId="1025" totalsRowDxfId="1024" dataCellStyle="A - normal"/>
    <tableColumn id="3" name="Selected level" dataDxfId="1023" totalsRowDxfId="1022"/>
    <tableColumn id="4" name="Notes" totalsRowDxfId="1021" dataCellStyle="A - normal"/>
    <tableColumn id="5" name="." dataDxfId="1020" totalsRowDxfId="1019"/>
    <tableColumn id="6" name=".." dataDxfId="1018" totalsRowDxfId="1017"/>
    <tableColumn id="7" name="2011" totalsRowFunction="sum" dataDxfId="1016" totalsRowDxfId="1015">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calculatedColumnFormula>
    </tableColumn>
    <tableColumn id="8" name="2015" totalsRowFunction="sum" dataDxfId="1014" totalsRowDxfId="1013">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calculatedColumnFormula>
    </tableColumn>
    <tableColumn id="9" name="2020" totalsRowFunction="sum" dataDxfId="1012" totalsRowDxfId="1011">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calculatedColumnFormula>
    </tableColumn>
    <tableColumn id="10" name="2025" totalsRowFunction="sum" dataDxfId="1010" totalsRowDxfId="1009">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calculatedColumnFormula>
    </tableColumn>
    <tableColumn id="11" name="2030" totalsRowFunction="sum" dataDxfId="1008" totalsRowDxfId="1007">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calculatedColumnFormula>
    </tableColumn>
    <tableColumn id="12" name="2035" totalsRowFunction="sum" dataDxfId="1006" totalsRowDxfId="1005">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calculatedColumnFormula>
    </tableColumn>
    <tableColumn id="13" name="2040" totalsRowFunction="sum" dataDxfId="1004" totalsRowDxfId="1003">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calculatedColumnFormula>
    </tableColumn>
    <tableColumn id="14" name="2045" totalsRowFunction="sum" dataDxfId="1002" totalsRowDxfId="1001">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calculatedColumnFormula>
    </tableColumn>
    <tableColumn id="15" name="2050" totalsRowFunction="sum" dataDxfId="1000" totalsRowDxfId="999" dataCellStyle="A - normal">
      <calculatedColumnFormula>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calculatedColumnFormula>
    </tableColumn>
  </tableColumns>
  <tableStyleInfo name="TableStyleLight1" showFirstColumn="0" showLastColumn="0" showRowStripes="0" showColumnStripes="0"/>
</table>
</file>

<file path=xl/tables/table32.xml><?xml version="1.0" encoding="utf-8"?>
<table xmlns="http://schemas.openxmlformats.org/spreadsheetml/2006/main" id="146" name="G.30.assumptions.MaterialDemandAfterMaterialsProductionEfficiency" displayName="G.30.assumptions.MaterialDemandAfterMaterialsProductionEfficiency" ref="C1336:Q1352" totalsRowCount="1" headerRowDxfId="998" totalsRowDxfId="995" headerRowBorderDxfId="997" tableBorderDxfId="996" dataCellStyle="A - normal">
  <autoFilter ref="C1336:Q1351"/>
  <tableColumns count="15">
    <tableColumn id="1" name="Technology code" totalsRowLabel="Total" totalsRowDxfId="994" dataCellStyle="A - normal"/>
    <tableColumn id="2" name="Description" totalsRowDxfId="993" dataCellStyle="A - normal"/>
    <tableColumn id="3" name="Column1" totalsRowDxfId="992" dataCellStyle="A - normal"/>
    <tableColumn id="4" name="Notes" totalsRowDxfId="991" dataCellStyle="A - normal"/>
    <tableColumn id="5" name="." totalsRowDxfId="990" dataCellStyle="A - normal"/>
    <tableColumn id="6" name=".." totalsRowDxfId="989" dataCellStyle="A - normal"/>
    <tableColumn id="7" name="2011" totalsRowFunction="sum" dataDxfId="988" totalsRowDxfId="987"/>
    <tableColumn id="8" name="2015" totalsRowFunction="sum" dataDxfId="986" totalsRowDxfId="985"/>
    <tableColumn id="9" name="2020" totalsRowFunction="sum" dataDxfId="984" totalsRowDxfId="983"/>
    <tableColumn id="10" name="2025" totalsRowFunction="sum" dataDxfId="982" totalsRowDxfId="981"/>
    <tableColumn id="11" name="2030" totalsRowFunction="sum" dataDxfId="980" totalsRowDxfId="979"/>
    <tableColumn id="12" name="2035" totalsRowFunction="sum" dataDxfId="978" totalsRowDxfId="977"/>
    <tableColumn id="13" name="2040" totalsRowFunction="sum" dataDxfId="976" totalsRowDxfId="975"/>
    <tableColumn id="14" name="2045" totalsRowFunction="sum" dataDxfId="974" totalsRowDxfId="973"/>
    <tableColumn id="15" name="2050" totalsRowFunction="sum" dataDxfId="972" totalsRowDxfId="971"/>
  </tableColumns>
  <tableStyleInfo showFirstColumn="0" showLastColumn="0" showRowStripes="1" showColumnStripes="0"/>
</table>
</file>

<file path=xl/tables/table33.xml><?xml version="1.0" encoding="utf-8"?>
<table xmlns="http://schemas.openxmlformats.org/spreadsheetml/2006/main" id="147" name="G.30.Assumptions.EnergyDemandAfterEnergyEfficiency" displayName="G.30.Assumptions.EnergyDemandAfterEnergyEfficiency" ref="C2068:Q2159" totalsRowCount="1" headerRowDxfId="970" dataDxfId="968" headerRowBorderDxfId="969" tableBorderDxfId="967">
  <autoFilter ref="C2068:Q2158"/>
  <tableColumns count="15">
    <tableColumn id="1" name="Technology code" totalsRowLabel="Total" dataDxfId="966" totalsRowDxfId="965"/>
    <tableColumn id="2" name="Description" dataDxfId="964" totalsRowDxfId="963" dataCellStyle="A - normal"/>
    <tableColumn id="3" name="Selected level" dataDxfId="962" totalsRowDxfId="961"/>
    <tableColumn id="4" name="Notes" totalsRowDxfId="960" dataCellStyle="A - normal"/>
    <tableColumn id="5" name="." dataDxfId="959" totalsRowDxfId="958"/>
    <tableColumn id="6" name=".." dataDxfId="957" totalsRowDxfId="956"/>
    <tableColumn id="7" name="2011" totalsRowFunction="sum" dataDxfId="955" totalsRowDxfId="954">
      <calculatedColumnFormula array="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calculatedColumnFormula>
    </tableColumn>
    <tableColumn id="8" name="2015" totalsRowFunction="sum" dataDxfId="953" totalsRowDxfId="952">
      <calculatedColumnFormula array="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calculatedColumnFormula>
    </tableColumn>
    <tableColumn id="9" name="2020" totalsRowFunction="sum" dataDxfId="951" totalsRowDxfId="950">
      <calculatedColumnFormula array="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calculatedColumnFormula>
    </tableColumn>
    <tableColumn id="10" name="2025" totalsRowFunction="sum" dataDxfId="949" totalsRowDxfId="948">
      <calculatedColumnFormula array="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calculatedColumnFormula>
    </tableColumn>
    <tableColumn id="11" name="2030" totalsRowFunction="sum" dataDxfId="947" totalsRowDxfId="946">
      <calculatedColumnFormula array="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calculatedColumnFormula>
    </tableColumn>
    <tableColumn id="12" name="2035" totalsRowFunction="sum" dataDxfId="945" totalsRowDxfId="944">
      <calculatedColumnFormula array="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calculatedColumnFormula>
    </tableColumn>
    <tableColumn id="13" name="2040" totalsRowFunction="sum" dataDxfId="943" totalsRowDxfId="942">
      <calculatedColumnFormula array="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calculatedColumnFormula>
    </tableColumn>
    <tableColumn id="14" name="2045" totalsRowFunction="sum" dataDxfId="941" totalsRowDxfId="940">
      <calculatedColumnFormula array="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calculatedColumnFormula>
    </tableColumn>
    <tableColumn id="15" name="2050" totalsRowFunction="sum" dataDxfId="939" totalsRowDxfId="938" dataCellStyle="A - normal">
      <calculatedColumnFormula array="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calculatedColumnFormula>
    </tableColumn>
  </tableColumns>
  <tableStyleInfo name="TableStyleLight1" showFirstColumn="0" showLastColumn="0" showRowStripes="0" showColumnStripes="0"/>
</table>
</file>

<file path=xl/tables/table34.xml><?xml version="1.0" encoding="utf-8"?>
<table xmlns="http://schemas.openxmlformats.org/spreadsheetml/2006/main" id="148" name="G.30.assumptions.EnergyDemandAfterProcessImprovements" displayName="G.30.assumptions.EnergyDemandAfterProcessImprovements" ref="C1657:Q1748" totalsRowCount="1" headerRowDxfId="937" dataDxfId="935" headerRowBorderDxfId="936" tableBorderDxfId="934">
  <autoFilter ref="C1657:Q1747"/>
  <tableColumns count="15">
    <tableColumn id="1" name="Technology code" totalsRowLabel="Total" dataDxfId="933" totalsRowDxfId="932"/>
    <tableColumn id="2" name="Description" dataDxfId="931" totalsRowDxfId="930" dataCellStyle="A - normal"/>
    <tableColumn id="3" name="Selected level" dataDxfId="929" totalsRowDxfId="928"/>
    <tableColumn id="4" name="Notes" totalsRowDxfId="927" dataCellStyle="A - normal"/>
    <tableColumn id="5" name="." dataDxfId="926" totalsRowDxfId="925"/>
    <tableColumn id="6" name=".." dataDxfId="924" totalsRowDxfId="923"/>
    <tableColumn id="7" name="2011" totalsRowFunction="sum" dataDxfId="922" totalsRowDxfId="921"/>
    <tableColumn id="8" name="2015" totalsRowFunction="sum" dataDxfId="920" totalsRowDxfId="919"/>
    <tableColumn id="9" name="2020" totalsRowFunction="sum" dataDxfId="918" totalsRowDxfId="917"/>
    <tableColumn id="10" name="2025" totalsRowFunction="sum" dataDxfId="916" totalsRowDxfId="915"/>
    <tableColumn id="11" name="2030" totalsRowFunction="sum" dataDxfId="914" totalsRowDxfId="913"/>
    <tableColumn id="12" name="2035" totalsRowFunction="sum" dataDxfId="912" totalsRowDxfId="911"/>
    <tableColumn id="13" name="2040" totalsRowFunction="sum" dataDxfId="910" totalsRowDxfId="909"/>
    <tableColumn id="14" name="2045" dataDxfId="908" totalsRowDxfId="907" dataCellStyle="A - normal"/>
    <tableColumn id="15" name="2050" totalsRowFunction="sum" dataDxfId="906" totalsRowDxfId="905" dataCellStyle="A - normal"/>
  </tableColumns>
  <tableStyleInfo name="TableStyleLight1" showFirstColumn="0" showLastColumn="0" showRowStripes="0" showColumnStripes="0"/>
</table>
</file>

<file path=xl/tables/table35.xml><?xml version="1.0" encoding="utf-8"?>
<table xmlns="http://schemas.openxmlformats.org/spreadsheetml/2006/main" id="149" name="G.30.assumptions.EnergyDemandAfterAlternativeFuels" displayName="G.30.assumptions.EnergyDemandAfterAlternativeFuels" ref="C1834:Q1925" totalsRowCount="1" headerRowDxfId="904" dataDxfId="902" headerRowBorderDxfId="903" tableBorderDxfId="901">
  <autoFilter ref="C1834:Q1924"/>
  <tableColumns count="15">
    <tableColumn id="1" name="Technology code" totalsRowLabel="Total" dataDxfId="900" totalsRowDxfId="899"/>
    <tableColumn id="2" name="Description" dataDxfId="898" totalsRowDxfId="897" dataCellStyle="A - normal"/>
    <tableColumn id="3" name="Selected level" dataDxfId="896" totalsRowDxfId="895"/>
    <tableColumn id="4" name="Notes" totalsRowDxfId="894" dataCellStyle="A - normal"/>
    <tableColumn id="5" name="." dataDxfId="893" totalsRowDxfId="892"/>
    <tableColumn id="6" name=".." dataDxfId="891" totalsRowDxfId="890"/>
    <tableColumn id="7" name="2011" totalsRowFunction="sum" dataDxfId="889" totalsRowDxfId="888"/>
    <tableColumn id="8" name="2015" totalsRowFunction="sum" dataDxfId="887" totalsRowDxfId="886"/>
    <tableColumn id="9" name="2020" totalsRowFunction="sum" dataDxfId="885" totalsRowDxfId="884"/>
    <tableColumn id="10" name="2025" totalsRowFunction="sum" dataDxfId="883" totalsRowDxfId="882"/>
    <tableColumn id="11" name="2030" totalsRowFunction="sum" dataDxfId="881" totalsRowDxfId="880"/>
    <tableColumn id="12" name="2035" totalsRowFunction="sum" dataDxfId="879" totalsRowDxfId="878"/>
    <tableColumn id="13" name="2040" totalsRowFunction="sum" dataDxfId="877" totalsRowDxfId="876"/>
    <tableColumn id="14" name="2045" totalsRowFunction="sum" dataDxfId="875" totalsRowDxfId="874"/>
    <tableColumn id="15" name="2050" totalsRowFunction="sum" dataDxfId="873" totalsRowDxfId="872" dataCellStyle="A - normal"/>
  </tableColumns>
  <tableStyleInfo name="TableStyleLight1" showFirstColumn="0" showLastColumn="0" showRowStripes="0" showColumnStripes="0"/>
</table>
</file>

<file path=xl/tables/table36.xml><?xml version="1.0" encoding="utf-8"?>
<table xmlns="http://schemas.openxmlformats.org/spreadsheetml/2006/main" id="150" name="G.30.assumptions.EnergyDemandAfterCCS" displayName="G.30.assumptions.EnergyDemandAfterCCS" ref="C2301:Q2392" totalsRowCount="1" headerRowDxfId="871" dataDxfId="869" headerRowBorderDxfId="870" tableBorderDxfId="868">
  <autoFilter ref="C2301:Q2391"/>
  <tableColumns count="15">
    <tableColumn id="1" name="Technology code" totalsRowLabel="Total" dataDxfId="867" totalsRowDxfId="866"/>
    <tableColumn id="2" name="Description" dataDxfId="865" totalsRowDxfId="864" dataCellStyle="A - normal"/>
    <tableColumn id="3" name="Selected level" dataDxfId="863" totalsRowDxfId="862"/>
    <tableColumn id="4" name="Notes" totalsRowDxfId="861" dataCellStyle="A - normal"/>
    <tableColumn id="5" name="." dataDxfId="860" totalsRowDxfId="859"/>
    <tableColumn id="6" name=".." dataDxfId="858" totalsRowDxfId="857"/>
    <tableColumn id="7" name="2011" totalsRowFunction="sum" dataDxfId="856" totalsRowDxfId="855">
      <calculatedColumnFormula array="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calculatedColumnFormula>
    </tableColumn>
    <tableColumn id="8" name="2015" totalsRowFunction="sum" dataDxfId="854" totalsRowDxfId="853">
      <calculatedColumnFormula array="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calculatedColumnFormula>
    </tableColumn>
    <tableColumn id="9" name="2020" totalsRowFunction="sum" dataDxfId="852" totalsRowDxfId="851">
      <calculatedColumnFormula array="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calculatedColumnFormula>
    </tableColumn>
    <tableColumn id="10" name="2025" totalsRowFunction="sum" dataDxfId="850" totalsRowDxfId="849">
      <calculatedColumnFormula array="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calculatedColumnFormula>
    </tableColumn>
    <tableColumn id="11" name="2030" totalsRowFunction="sum" dataDxfId="848" totalsRowDxfId="847">
      <calculatedColumnFormula array="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calculatedColumnFormula>
    </tableColumn>
    <tableColumn id="12" name="2035" totalsRowFunction="sum" dataDxfId="846" totalsRowDxfId="845">
      <calculatedColumnFormula array="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calculatedColumnFormula>
    </tableColumn>
    <tableColumn id="13" name="2040" totalsRowFunction="sum" dataDxfId="844" totalsRowDxfId="843">
      <calculatedColumnFormula array="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calculatedColumnFormula>
    </tableColumn>
    <tableColumn id="14" name="2045" totalsRowFunction="sum" dataDxfId="842" totalsRowDxfId="841">
      <calculatedColumnFormula array="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calculatedColumnFormula>
    </tableColumn>
    <tableColumn id="15" name="2050" totalsRowFunction="sum" dataDxfId="840" totalsRowDxfId="839">
      <calculatedColumnFormula array="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calculatedColumnFormula>
    </tableColumn>
  </tableColumns>
  <tableStyleInfo name="TableStyleLight1" showFirstColumn="0" showLastColumn="0" showRowStripes="0" showColumnStripes="0"/>
</table>
</file>

<file path=xl/tables/table37.xml><?xml version="1.0" encoding="utf-8"?>
<table xmlns="http://schemas.openxmlformats.org/spreadsheetml/2006/main" id="151" name="G.30.assumptions.CombustionCO2EmissionsAfterProductManufacturingEfficiency" displayName="G.30.assumptions.CombustionCO2EmissionsAfterProductManufacturingEfficiency" ref="C1456:Q1471" totalsRowCount="1" headerRowDxfId="838" dataDxfId="836" totalsRowDxfId="834" headerRowBorderDxfId="837" tableBorderDxfId="835">
  <autoFilter ref="C1456:Q1470"/>
  <tableColumns count="15">
    <tableColumn id="1" name="Technology code" totalsRowLabel="Total" dataDxfId="833" totalsRowDxfId="832"/>
    <tableColumn id="2" name="Description" dataDxfId="831" totalsRowDxfId="830"/>
    <tableColumn id="3" name="Selected level" dataDxfId="829" totalsRowDxfId="828"/>
    <tableColumn id="4" name="Notes" totalsRowDxfId="827" dataCellStyle="A - normal"/>
    <tableColumn id="5" name="." dataDxfId="826" totalsRowDxfId="825"/>
    <tableColumn id="6" name=".." dataDxfId="824" totalsRowDxfId="823"/>
    <tableColumn id="7" name="2011" totalsRowFunction="sum" dataDxfId="822" totalsRowDxfId="821"/>
    <tableColumn id="8" name="2015" totalsRowFunction="sum" dataDxfId="820" totalsRowDxfId="819"/>
    <tableColumn id="9" name="2020" totalsRowFunction="sum" dataDxfId="818" totalsRowDxfId="817"/>
    <tableColumn id="10" name="2025" totalsRowFunction="sum" dataDxfId="816" totalsRowDxfId="815"/>
    <tableColumn id="11" name="2030" totalsRowFunction="sum" dataDxfId="814" totalsRowDxfId="813"/>
    <tableColumn id="12" name="2035" totalsRowFunction="sum" dataDxfId="812" totalsRowDxfId="811"/>
    <tableColumn id="13" name="2040" totalsRowFunction="sum" dataDxfId="810" totalsRowDxfId="809"/>
    <tableColumn id="14" name="2045" totalsRowFunction="sum" dataDxfId="808" totalsRowDxfId="807"/>
    <tableColumn id="15" name="2050" totalsRowFunction="sum" dataDxfId="806" totalsRowDxfId="805"/>
  </tableColumns>
  <tableStyleInfo name="EnergyCalcTables" showFirstColumn="0" showLastColumn="0" showRowStripes="1" showColumnStripes="0"/>
</table>
</file>

<file path=xl/tables/table38.xml><?xml version="1.0" encoding="utf-8"?>
<table xmlns="http://schemas.openxmlformats.org/spreadsheetml/2006/main" id="152" name="G.30.assumptions.SpecificProcessCO2EmissionsAfterProductManufacturingEfficiency" displayName="G.30.assumptions.SpecificProcessCO2EmissionsAfterProductManufacturingEfficiency" ref="C1572:Q1586" totalsRowShown="0" headerRowDxfId="804" dataDxfId="802" headerRowBorderDxfId="803" tableBorderDxfId="801">
  <autoFilter ref="C1572:Q1586"/>
  <tableColumns count="15">
    <tableColumn id="1" name="Technology code" dataDxfId="800" totalsRowDxfId="799"/>
    <tableColumn id="2" name="Description" dataDxfId="798" totalsRowDxfId="797"/>
    <tableColumn id="3" name="Selected level" dataDxfId="796" totalsRowDxfId="795"/>
    <tableColumn id="4" name="Notes" totalsRowDxfId="794" dataCellStyle="A - normal"/>
    <tableColumn id="5" name="." dataDxfId="793" totalsRowDxfId="792"/>
    <tableColumn id="6" name=".." dataDxfId="791" totalsRowDxfId="790"/>
    <tableColumn id="7" name="2011" dataDxfId="789" totalsRowDxfId="788">
      <calculatedColumnFormula>$M1263/$I1337*I1337</calculatedColumnFormula>
    </tableColumn>
    <tableColumn id="8" name="2015" dataDxfId="787" totalsRowDxfId="786">
      <calculatedColumnFormula>$M1263/$I1337*J1337</calculatedColumnFormula>
    </tableColumn>
    <tableColumn id="9" name="2020" dataDxfId="785" totalsRowDxfId="784">
      <calculatedColumnFormula>$M1263/$I1337*K1337</calculatedColumnFormula>
    </tableColumn>
    <tableColumn id="10" name="2025" dataDxfId="783" totalsRowDxfId="782">
      <calculatedColumnFormula>$M1263/$I1337*L1337</calculatedColumnFormula>
    </tableColumn>
    <tableColumn id="11" name="2030" dataDxfId="781" totalsRowDxfId="780">
      <calculatedColumnFormula>$M1263/$I1337*M1337</calculatedColumnFormula>
    </tableColumn>
    <tableColumn id="12" name="2035" dataDxfId="779" totalsRowDxfId="778">
      <calculatedColumnFormula>$M1263/$I1337*N1337</calculatedColumnFormula>
    </tableColumn>
    <tableColumn id="13" name="2040" dataDxfId="777" totalsRowDxfId="776">
      <calculatedColumnFormula>$M1263/$I1337*O1337</calculatedColumnFormula>
    </tableColumn>
    <tableColumn id="14" name="2045" dataDxfId="775" totalsRowDxfId="774">
      <calculatedColumnFormula>$M1263/$I1337*P1337</calculatedColumnFormula>
    </tableColumn>
    <tableColumn id="15" name="2050" dataDxfId="773" totalsRowDxfId="772">
      <calculatedColumnFormula>$M1263/$I1337*Q1337</calculatedColumnFormula>
    </tableColumn>
  </tableColumns>
  <tableStyleInfo name="EnergyCalcTables" showFirstColumn="0" showLastColumn="0" showRowStripes="1" showColumnStripes="0"/>
</table>
</file>

<file path=xl/tables/table39.xml><?xml version="1.0" encoding="utf-8"?>
<table xmlns="http://schemas.openxmlformats.org/spreadsheetml/2006/main" id="153" name="G.30.assumptions.SpecificProcessCO2EmissionsAfterProcessImprovements" displayName="G.30.assumptions.SpecificProcessCO2EmissionsAfterProcessImprovements" ref="C1754:Q1769" totalsRowShown="0" headerRowDxfId="771" dataDxfId="769" headerRowBorderDxfId="770" tableBorderDxfId="768">
  <autoFilter ref="C1754:Q1769"/>
  <tableColumns count="15">
    <tableColumn id="1" name="Technology code" dataDxfId="767"/>
    <tableColumn id="2" name="Description" dataDxfId="766"/>
    <tableColumn id="3" name="Selected level" dataDxfId="765"/>
    <tableColumn id="4" name="Notes" dataCellStyle="A - normal"/>
    <tableColumn id="5" name="." dataDxfId="764"/>
    <tableColumn id="6" name=".." dataDxfId="763"/>
    <tableColumn id="7" name="2011" dataDxfId="762"/>
    <tableColumn id="8" name="2015" dataDxfId="761"/>
    <tableColumn id="9" name="2020" dataDxfId="760"/>
    <tableColumn id="10" name="2025" dataDxfId="759"/>
    <tableColumn id="11" name="2030" dataDxfId="758"/>
    <tableColumn id="12" name="2035" dataDxfId="757"/>
    <tableColumn id="13" name="2040" dataDxfId="756"/>
    <tableColumn id="14" name="2045" dataDxfId="755"/>
    <tableColumn id="15" name="2050" dataDxfId="754"/>
  </tableColumns>
  <tableStyleInfo name="EnergyCalcTables" showFirstColumn="0" showLastColumn="0" showRowStripes="1" showColumnStripes="0"/>
</table>
</file>

<file path=xl/tables/table40.xml><?xml version="1.0" encoding="utf-8"?>
<table xmlns="http://schemas.openxmlformats.org/spreadsheetml/2006/main" id="154" name="G.30.assumptions.SpecificProcessCO2EmissionsAfterCCS" displayName="G.30.assumptions.SpecificProcessCO2EmissionsAfterCCS" ref="C2398:Q2413" totalsRowShown="0" headerRowDxfId="753" dataDxfId="751" headerRowBorderDxfId="752" tableBorderDxfId="750">
  <autoFilter ref="C2398:Q2413"/>
  <tableColumns count="15">
    <tableColumn id="1" name="Technology code" dataDxfId="749"/>
    <tableColumn id="2" name="Description" dataDxfId="748"/>
    <tableColumn id="3" name="Selected level" dataDxfId="747"/>
    <tableColumn id="4" name="Notes" dataCellStyle="A - normal"/>
    <tableColumn id="5" name="." dataDxfId="746"/>
    <tableColumn id="6" name=".." dataDxfId="745"/>
    <tableColumn id="7" name="2011" dataDxfId="744">
      <calculatedColumnFormula array="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calculatedColumnFormula>
    </tableColumn>
    <tableColumn id="8" name="2015" dataDxfId="743">
      <calculatedColumnFormula array="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calculatedColumnFormula>
    </tableColumn>
    <tableColumn id="9" name="2020" dataDxfId="742">
      <calculatedColumnFormula array="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calculatedColumnFormula>
    </tableColumn>
    <tableColumn id="10" name="2025" dataDxfId="741">
      <calculatedColumnFormula array="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calculatedColumnFormula>
    </tableColumn>
    <tableColumn id="11" name="2030" dataDxfId="740">
      <calculatedColumnFormula array="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calculatedColumnFormula>
    </tableColumn>
    <tableColumn id="12" name="2035" dataDxfId="739">
      <calculatedColumnFormula array="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calculatedColumnFormula>
    </tableColumn>
    <tableColumn id="13" name="2040" dataDxfId="738">
      <calculatedColumnFormula array="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calculatedColumnFormula>
    </tableColumn>
    <tableColumn id="14" name="2045" dataDxfId="737">
      <calculatedColumnFormula array="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calculatedColumnFormula>
    </tableColumn>
    <tableColumn id="15" name="2050" dataDxfId="736">
      <calculatedColumnFormula array="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calculatedColumnFormula>
    </tableColumn>
  </tableColumns>
  <tableStyleInfo name="EnergyCalcTables" showFirstColumn="0" showLastColumn="0" showRowStripes="1" showColumnStripes="0"/>
</table>
</file>

<file path=xl/tables/table41.xml><?xml version="1.0" encoding="utf-8"?>
<table xmlns="http://schemas.openxmlformats.org/spreadsheetml/2006/main" id="155" name="G.30.assumptions.CombustionCO2EmissionsAfterCCS" displayName="G.30.assumptions.CombustionCO2EmissionsAfterCCS" ref="C2456:Q2472" totalsRowCount="1" headerRowDxfId="735" dataDxfId="733" totalsRowDxfId="731" headerRowBorderDxfId="734" tableBorderDxfId="732">
  <autoFilter ref="C2456:Q2471"/>
  <tableColumns count="15">
    <tableColumn id="1" name="Technology code" totalsRowLabel="Total" dataDxfId="730" totalsRowDxfId="729"/>
    <tableColumn id="2" name="Description" dataDxfId="728" totalsRowDxfId="727"/>
    <tableColumn id="3" name="Selected level" dataDxfId="726" totalsRowDxfId="725"/>
    <tableColumn id="4" name="Notes" totalsRowDxfId="724" dataCellStyle="A - normal"/>
    <tableColumn id="5" name="." dataDxfId="723" totalsRowDxfId="722"/>
    <tableColumn id="6" name=".." dataDxfId="721" totalsRowDxfId="720"/>
    <tableColumn id="7" name="2011" totalsRowFunction="sum" dataDxfId="719" totalsRowDxfId="718">
      <calculatedColumnFormula array="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calculatedColumnFormula>
    </tableColumn>
    <tableColumn id="8" name="2015" totalsRowFunction="sum" dataDxfId="717" totalsRowDxfId="716">
      <calculatedColumnFormula array="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calculatedColumnFormula>
    </tableColumn>
    <tableColumn id="9" name="2020" totalsRowFunction="sum" dataDxfId="715" totalsRowDxfId="714">
      <calculatedColumnFormula array="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calculatedColumnFormula>
    </tableColumn>
    <tableColumn id="10" name="2025" totalsRowFunction="sum" dataDxfId="713" totalsRowDxfId="712">
      <calculatedColumnFormula array="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calculatedColumnFormula>
    </tableColumn>
    <tableColumn id="11" name="2030" totalsRowFunction="sum" dataDxfId="711" totalsRowDxfId="710">
      <calculatedColumnFormula array="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calculatedColumnFormula>
    </tableColumn>
    <tableColumn id="12" name="2035" totalsRowFunction="sum" dataDxfId="709" totalsRowDxfId="708">
      <calculatedColumnFormula array="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calculatedColumnFormula>
    </tableColumn>
    <tableColumn id="13" name="2040" totalsRowFunction="sum" dataDxfId="707" totalsRowDxfId="706">
      <calculatedColumnFormula array="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calculatedColumnFormula>
    </tableColumn>
    <tableColumn id="14" name="2045" totalsRowFunction="sum" dataDxfId="705" totalsRowDxfId="704">
      <calculatedColumnFormula array="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calculatedColumnFormula>
    </tableColumn>
    <tableColumn id="15" name="2050" totalsRowFunction="sum" dataDxfId="703" totalsRowDxfId="702">
      <calculatedColumnFormula array="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calculatedColumnFormula>
    </tableColumn>
  </tableColumns>
  <tableStyleInfo name="EnergyCalcTables" showFirstColumn="0" showLastColumn="0" showRowStripes="1" showColumnStripes="0"/>
</table>
</file>

<file path=xl/tables/table42.xml><?xml version="1.0" encoding="utf-8"?>
<table xmlns="http://schemas.openxmlformats.org/spreadsheetml/2006/main" id="156" name="G.30.assumptions.CombustionCO2EmissionsBiomassAtZeroAfterProductManufacturingEfficiency" displayName="G.30.assumptions.CombustionCO2EmissionsBiomassAtZeroAfterProductManufacturingEfficiency" ref="C1514:Q1529" totalsRowCount="1" headerRowDxfId="701" dataDxfId="699" totalsRowDxfId="697" headerRowBorderDxfId="700" tableBorderDxfId="698">
  <autoFilter ref="C1514:Q1528"/>
  <tableColumns count="15">
    <tableColumn id="1" name="Technology code" totalsRowLabel="Total" dataDxfId="696" totalsRowDxfId="695"/>
    <tableColumn id="2" name="Description" dataDxfId="694" totalsRowDxfId="693"/>
    <tableColumn id="3" name="Selected level" dataDxfId="692" totalsRowDxfId="691"/>
    <tableColumn id="4" name="Notes" totalsRowDxfId="690" dataCellStyle="A - normal"/>
    <tableColumn id="5" name="." dataDxfId="689" totalsRowDxfId="688"/>
    <tableColumn id="6" name=".." dataDxfId="687" totalsRowDxfId="686"/>
    <tableColumn id="7" name="2011" totalsRowFunction="sum" dataDxfId="685" totalsRowDxfId="684"/>
    <tableColumn id="8" name="2015" totalsRowFunction="sum" dataDxfId="683" totalsRowDxfId="682"/>
    <tableColumn id="9" name="2020" totalsRowFunction="sum" dataDxfId="681" totalsRowDxfId="680"/>
    <tableColumn id="10" name="2025" totalsRowFunction="sum" dataDxfId="679" totalsRowDxfId="678"/>
    <tableColumn id="11" name="2030" totalsRowFunction="sum" dataDxfId="677" totalsRowDxfId="676"/>
    <tableColumn id="12" name="2035" totalsRowFunction="sum" dataDxfId="675" totalsRowDxfId="674"/>
    <tableColumn id="13" name="2040" totalsRowFunction="sum" dataDxfId="673" totalsRowDxfId="672"/>
    <tableColumn id="14" name="2045" totalsRowFunction="sum" dataDxfId="671" totalsRowDxfId="670"/>
    <tableColumn id="15" name="2050" totalsRowFunction="sum" dataDxfId="669" totalsRowDxfId="668"/>
  </tableColumns>
  <tableStyleInfo name="EnergyCalcTables" showFirstColumn="0" showLastColumn="0" showRowStripes="1" showColumnStripes="0"/>
</table>
</file>

<file path=xl/tables/table43.xml><?xml version="1.0" encoding="utf-8"?>
<table xmlns="http://schemas.openxmlformats.org/spreadsheetml/2006/main" id="157" name="G.30.Levers" displayName="G.30.Levers" ref="C8:F114" totalsRowShown="0" headerRowBorderDxfId="667" tableBorderDxfId="666" headerRowCellStyle="A - header">
  <autoFilter ref="C8:F114"/>
  <tableColumns count="4">
    <tableColumn id="1" name="Number" dataCellStyle="A - normal"/>
    <tableColumn id="2" name="Lever" dataDxfId="665" dataCellStyle="A - italic"/>
    <tableColumn id="3" name="Lever code" dataDxfId="664" dataCellStyle="A - normal">
      <calculatedColumnFormula>G.30.Levers[[#This Row],[Lever]]</calculatedColumnFormula>
    </tableColumn>
    <tableColumn id="4" name="Level" dataDxfId="663" dataCellStyle="A - normal"/>
  </tableColumns>
  <tableStyleInfo name="EnergyCalcTables" showFirstColumn="0" showLastColumn="0" showRowStripes="1" showColumnStripes="0"/>
</table>
</file>

<file path=xl/tables/table44.xml><?xml version="1.0" encoding="utf-8"?>
<table xmlns="http://schemas.openxmlformats.org/spreadsheetml/2006/main" id="158" name="G.30.assumptions.CombustionCH4EmissionsAfterProductManufacturingEfficiency" displayName="G.30.assumptions.CombustionCH4EmissionsAfterProductManufacturingEfficiency" ref="C1475:Q1490" totalsRowCount="1" headerRowDxfId="662" dataDxfId="660" totalsRowDxfId="658" headerRowBorderDxfId="661" tableBorderDxfId="659">
  <autoFilter ref="C1475:Q1489"/>
  <tableColumns count="15">
    <tableColumn id="1" name="Technology code" totalsRowLabel="Total" dataDxfId="657" totalsRowDxfId="656"/>
    <tableColumn id="2" name="Description" dataDxfId="655" totalsRowDxfId="654"/>
    <tableColumn id="3" name="Selected level" dataDxfId="653" totalsRowDxfId="652"/>
    <tableColumn id="4" name="Notes" totalsRowDxfId="651" dataCellStyle="A - normal"/>
    <tableColumn id="5" name="." dataDxfId="650" totalsRowDxfId="649"/>
    <tableColumn id="6" name=".." dataDxfId="648" totalsRowDxfId="647"/>
    <tableColumn id="7" name="2011" totalsRowFunction="sum" dataDxfId="646" totalsRowDxfId="645"/>
    <tableColumn id="8" name="2015" totalsRowFunction="sum" dataDxfId="644" totalsRowDxfId="643"/>
    <tableColumn id="9" name="2020" totalsRowFunction="sum" dataDxfId="642" totalsRowDxfId="641"/>
    <tableColumn id="10" name="2025" totalsRowFunction="sum" dataDxfId="640" totalsRowDxfId="639"/>
    <tableColumn id="11" name="2030" totalsRowFunction="sum" dataDxfId="638" totalsRowDxfId="637"/>
    <tableColumn id="12" name="2035" totalsRowFunction="sum" dataDxfId="636" totalsRowDxfId="635"/>
    <tableColumn id="13" name="2040" totalsRowFunction="sum" dataDxfId="634" totalsRowDxfId="633"/>
    <tableColumn id="14" name="2045" totalsRowFunction="sum" dataDxfId="632" totalsRowDxfId="631"/>
    <tableColumn id="15" name="2050" totalsRowFunction="sum" dataDxfId="630" totalsRowDxfId="629"/>
  </tableColumns>
  <tableStyleInfo name="EnergyCalcTables" showFirstColumn="0" showLastColumn="0" showRowStripes="1" showColumnStripes="0"/>
</table>
</file>

<file path=xl/tables/table45.xml><?xml version="1.0" encoding="utf-8"?>
<table xmlns="http://schemas.openxmlformats.org/spreadsheetml/2006/main" id="159" name="G.30.assumptions.CombustionN2OEmissionsAfterProductManufacturingEfficiency" displayName="G.30.assumptions.CombustionN2OEmissionsAfterProductManufacturingEfficiency" ref="C1494:Q1509" totalsRowCount="1" headerRowDxfId="628" dataDxfId="626" totalsRowDxfId="624" headerRowBorderDxfId="627" tableBorderDxfId="625">
  <autoFilter ref="C1494:Q1508"/>
  <tableColumns count="15">
    <tableColumn id="1" name="Technology code" totalsRowLabel="Total" dataDxfId="623" totalsRowDxfId="622"/>
    <tableColumn id="2" name="Description" dataDxfId="621" totalsRowDxfId="620"/>
    <tableColumn id="3" name="Selected level" dataDxfId="619" totalsRowDxfId="618"/>
    <tableColumn id="4" name="Notes" totalsRowDxfId="617" dataCellStyle="A - normal"/>
    <tableColumn id="5" name="." dataDxfId="616" totalsRowDxfId="615"/>
    <tableColumn id="6" name=".." dataDxfId="614" totalsRowDxfId="613"/>
    <tableColumn id="7" name="2011" totalsRowFunction="sum" dataDxfId="612" totalsRowDxfId="611"/>
    <tableColumn id="8" name="2015" totalsRowFunction="sum" dataDxfId="610" totalsRowDxfId="609"/>
    <tableColumn id="9" name="2020" totalsRowFunction="sum" dataDxfId="608" totalsRowDxfId="607"/>
    <tableColumn id="10" name="2025" totalsRowFunction="sum" dataDxfId="606" totalsRowDxfId="605"/>
    <tableColumn id="11" name="2030" totalsRowFunction="sum" dataDxfId="604" totalsRowDxfId="603"/>
    <tableColumn id="12" name="2035" totalsRowFunction="sum" dataDxfId="602" totalsRowDxfId="601"/>
    <tableColumn id="13" name="2040" totalsRowFunction="sum" dataDxfId="600" totalsRowDxfId="599"/>
    <tableColumn id="14" name="2045" totalsRowFunction="sum" dataDxfId="598" totalsRowDxfId="597"/>
    <tableColumn id="15" name="2050" totalsRowFunction="sum" dataDxfId="596" totalsRowDxfId="595"/>
  </tableColumns>
  <tableStyleInfo name="EnergyCalcTables" showFirstColumn="0" showLastColumn="0" showRowStripes="1" showColumnStripes="0"/>
</table>
</file>

<file path=xl/tables/table46.xml><?xml version="1.0" encoding="utf-8"?>
<table xmlns="http://schemas.openxmlformats.org/spreadsheetml/2006/main" id="160" name="G.30.assumptions.CombustionCH4EmissionsBiomassAtZeroAfterProductManufacturingEfficiency" displayName="G.30.assumptions.CombustionCH4EmissionsBiomassAtZeroAfterProductManufacturingEfficiency" ref="C1533:Q1548" totalsRowCount="1" headerRowDxfId="594" dataDxfId="592" totalsRowDxfId="590" headerRowBorderDxfId="593" tableBorderDxfId="591">
  <autoFilter ref="C1533:Q1547"/>
  <tableColumns count="15">
    <tableColumn id="1" name="Technology code" totalsRowLabel="Total" dataDxfId="589" totalsRowDxfId="588"/>
    <tableColumn id="2" name="Description" dataDxfId="587" totalsRowDxfId="586"/>
    <tableColumn id="3" name="Selected level" dataDxfId="585" totalsRowDxfId="584"/>
    <tableColumn id="4" name="Notes" totalsRowDxfId="583" dataCellStyle="A - normal"/>
    <tableColumn id="5" name="." dataDxfId="582" totalsRowDxfId="581"/>
    <tableColumn id="6" name=".." dataDxfId="580" totalsRowDxfId="579"/>
    <tableColumn id="7" name="2011" totalsRowFunction="sum" dataDxfId="578" totalsRowDxfId="577"/>
    <tableColumn id="8" name="2015" totalsRowFunction="sum" dataDxfId="576" totalsRowDxfId="575"/>
    <tableColumn id="9" name="2020" totalsRowFunction="sum" dataDxfId="574" totalsRowDxfId="573"/>
    <tableColumn id="10" name="2025" totalsRowFunction="sum" dataDxfId="572" totalsRowDxfId="571"/>
    <tableColumn id="11" name="2030" totalsRowFunction="sum" dataDxfId="570" totalsRowDxfId="569"/>
    <tableColumn id="12" name="2035" totalsRowFunction="sum" dataDxfId="568" totalsRowDxfId="567"/>
    <tableColumn id="13" name="2040" totalsRowFunction="sum" dataDxfId="566" totalsRowDxfId="565"/>
    <tableColumn id="14" name="2045" totalsRowFunction="sum" dataDxfId="564" totalsRowDxfId="563"/>
    <tableColumn id="15" name="2050" totalsRowFunction="sum" dataDxfId="562" totalsRowDxfId="561"/>
  </tableColumns>
  <tableStyleInfo name="EnergyCalcTables" showFirstColumn="0" showLastColumn="0" showRowStripes="1" showColumnStripes="0"/>
</table>
</file>

<file path=xl/tables/table47.xml><?xml version="1.0" encoding="utf-8"?>
<table xmlns="http://schemas.openxmlformats.org/spreadsheetml/2006/main" id="161" name="G.30.assumptions.CombustionN2OEmissionsBiomassAtZeroAfterProductManufacturingEfficiency" displayName="G.30.assumptions.CombustionN2OEmissionsBiomassAtZeroAfterProductManufacturingEfficiency" ref="C1552:Q1567" totalsRowCount="1" headerRowDxfId="560" dataDxfId="558" totalsRowDxfId="556" headerRowBorderDxfId="559" tableBorderDxfId="557">
  <autoFilter ref="C1552:Q1566"/>
  <tableColumns count="15">
    <tableColumn id="1" name="Technology code" totalsRowLabel="Total" dataDxfId="555" totalsRowDxfId="554"/>
    <tableColumn id="2" name="Description" dataDxfId="553" totalsRowDxfId="552"/>
    <tableColumn id="3" name="Selected level" dataDxfId="551" totalsRowDxfId="550"/>
    <tableColumn id="4" name="Notes" totalsRowDxfId="549" dataCellStyle="A - normal"/>
    <tableColumn id="5" name="." dataDxfId="548" totalsRowDxfId="547"/>
    <tableColumn id="6" name=".." dataDxfId="546" totalsRowDxfId="545"/>
    <tableColumn id="7" name="2011" totalsRowFunction="sum" dataDxfId="544" totalsRowDxfId="543"/>
    <tableColumn id="8" name="2015" totalsRowFunction="sum" dataDxfId="542" totalsRowDxfId="541"/>
    <tableColumn id="9" name="2020" totalsRowFunction="sum" dataDxfId="540" totalsRowDxfId="539"/>
    <tableColumn id="10" name="2025" totalsRowFunction="sum" dataDxfId="538" totalsRowDxfId="537"/>
    <tableColumn id="11" name="2030" totalsRowFunction="sum" dataDxfId="536" totalsRowDxfId="535"/>
    <tableColumn id="12" name="2035" totalsRowFunction="sum" dataDxfId="534" totalsRowDxfId="533"/>
    <tableColumn id="13" name="2040" totalsRowFunction="sum" dataDxfId="532" totalsRowDxfId="531"/>
    <tableColumn id="14" name="2045" totalsRowFunction="sum" dataDxfId="530" totalsRowDxfId="529"/>
    <tableColumn id="15" name="2050" totalsRowFunction="sum" dataDxfId="528" totalsRowDxfId="527"/>
  </tableColumns>
  <tableStyleInfo name="EnergyCalcTables" showFirstColumn="0" showLastColumn="0" showRowStripes="1" showColumnStripes="0"/>
</table>
</file>

<file path=xl/tables/table48.xml><?xml version="1.0" encoding="utf-8"?>
<table xmlns="http://schemas.openxmlformats.org/spreadsheetml/2006/main" id="162" name="G.30.assumptions.SpecificProcessCH4EmissionsAfterProcessImprovements" displayName="G.30.assumptions.SpecificProcessCH4EmissionsAfterProcessImprovements" ref="C1773:Q1788" totalsRowShown="0" headerRowDxfId="526" dataDxfId="524" headerRowBorderDxfId="525" tableBorderDxfId="523">
  <autoFilter ref="C1773:Q1788"/>
  <tableColumns count="15">
    <tableColumn id="1" name="Technology code" dataDxfId="522"/>
    <tableColumn id="2" name="Description" dataDxfId="521"/>
    <tableColumn id="3" name="Selected level" dataDxfId="520"/>
    <tableColumn id="4" name="Notes" dataCellStyle="A - normal"/>
    <tableColumn id="5" name="." dataDxfId="519"/>
    <tableColumn id="6" name=".." dataDxfId="518"/>
    <tableColumn id="7" name="2011" dataDxfId="517"/>
    <tableColumn id="8" name="2015" dataDxfId="516"/>
    <tableColumn id="9" name="2020" dataDxfId="515"/>
    <tableColumn id="10" name="2025" dataDxfId="514"/>
    <tableColumn id="11" name="2030" dataDxfId="513"/>
    <tableColumn id="12" name="2035" dataDxfId="512"/>
    <tableColumn id="13" name="2040" dataDxfId="511"/>
    <tableColumn id="14" name="2045" dataDxfId="510"/>
    <tableColumn id="15" name="2050" dataDxfId="509"/>
  </tableColumns>
  <tableStyleInfo name="EnergyCalcTables" showFirstColumn="0" showLastColumn="0" showRowStripes="1" showColumnStripes="0"/>
</table>
</file>

<file path=xl/tables/table49.xml><?xml version="1.0" encoding="utf-8"?>
<table xmlns="http://schemas.openxmlformats.org/spreadsheetml/2006/main" id="163" name="G.30.assumptions.SpecificProcessN2OEmissionsAfterProcessImprovements" displayName="G.30.assumptions.SpecificProcessN2OEmissionsAfterProcessImprovements" ref="C1792:Q1807" totalsRowShown="0" headerRowDxfId="508" dataDxfId="506" headerRowBorderDxfId="507" tableBorderDxfId="505">
  <autoFilter ref="C1792:Q1807"/>
  <tableColumns count="15">
    <tableColumn id="1" name="Technology code" dataDxfId="504"/>
    <tableColumn id="2" name="Description" dataDxfId="503"/>
    <tableColumn id="3" name="Selected level" dataDxfId="502"/>
    <tableColumn id="4" name="Notes" dataCellStyle="A - normal"/>
    <tableColumn id="5" name="." dataDxfId="501"/>
    <tableColumn id="6" name=".." dataDxfId="500"/>
    <tableColumn id="7" name="2011" dataDxfId="499"/>
    <tableColumn id="8" name="2015" dataDxfId="498"/>
    <tableColumn id="9" name="2020" dataDxfId="497"/>
    <tableColumn id="10" name="2025" dataDxfId="496"/>
    <tableColumn id="11" name="2030" dataDxfId="495"/>
    <tableColumn id="12" name="2035" dataDxfId="494"/>
    <tableColumn id="13" name="2040" dataDxfId="493"/>
    <tableColumn id="14" name="2045" dataDxfId="492"/>
    <tableColumn id="15" name="2050" dataDxfId="491"/>
  </tableColumns>
  <tableStyleInfo name="EnergyCalcTables" showFirstColumn="0" showLastColumn="0" showRowStripes="1" showColumnStripes="0"/>
</table>
</file>

<file path=xl/tables/table50.xml><?xml version="1.0" encoding="utf-8"?>
<table xmlns="http://schemas.openxmlformats.org/spreadsheetml/2006/main" id="164" name="G.30.assumptions.SpecificProcessCH4EmissionsAfterProductManufacturingEfficiency" displayName="G.30.assumptions.SpecificProcessCH4EmissionsAfterProductManufacturingEfficiency" ref="C1590:Q1604" totalsRowShown="0" headerRowDxfId="490" dataDxfId="488" headerRowBorderDxfId="489">
  <autoFilter ref="C1590:Q1604"/>
  <tableColumns count="15">
    <tableColumn id="1" name="Technology code" dataDxfId="487"/>
    <tableColumn id="2" name="Description" dataDxfId="486"/>
    <tableColumn id="3" name="Selected level" dataDxfId="485"/>
    <tableColumn id="4" name="Notes" dataCellStyle="A - normal"/>
    <tableColumn id="5" name="." dataDxfId="484"/>
    <tableColumn id="6" name=".." dataDxfId="483"/>
    <tableColumn id="7" name="2011" dataDxfId="482">
      <calculatedColumnFormula>$N1263/$I1337*I1337</calculatedColumnFormula>
    </tableColumn>
    <tableColumn id="8" name="2015" dataDxfId="481">
      <calculatedColumnFormula>$N1263/$I1337*J1337</calculatedColumnFormula>
    </tableColumn>
    <tableColumn id="9" name="2020" dataDxfId="480">
      <calculatedColumnFormula>$N1263/$I1337*K1337</calculatedColumnFormula>
    </tableColumn>
    <tableColumn id="10" name="2025" dataDxfId="479">
      <calculatedColumnFormula>$N1263/$I1337*L1337</calculatedColumnFormula>
    </tableColumn>
    <tableColumn id="11" name="2030" dataDxfId="478">
      <calculatedColumnFormula>$N1263/$I1337*M1337</calculatedColumnFormula>
    </tableColumn>
    <tableColumn id="12" name="2035" dataDxfId="477">
      <calculatedColumnFormula>$N1263/$I1337*N1337</calculatedColumnFormula>
    </tableColumn>
    <tableColumn id="13" name="2040" dataDxfId="476">
      <calculatedColumnFormula>$N1263/$I1337*O1337</calculatedColumnFormula>
    </tableColumn>
    <tableColumn id="14" name="2045" dataDxfId="475">
      <calculatedColumnFormula>$N1263/$I1337*P1337</calculatedColumnFormula>
    </tableColumn>
    <tableColumn id="15" name="2050" dataDxfId="474">
      <calculatedColumnFormula>$N1263/$I1337*Q1337</calculatedColumnFormula>
    </tableColumn>
  </tableColumns>
  <tableStyleInfo name="EnergyCalcTables" showFirstColumn="0" showLastColumn="0" showRowStripes="1" showColumnStripes="0"/>
</table>
</file>

<file path=xl/tables/table51.xml><?xml version="1.0" encoding="utf-8"?>
<table xmlns="http://schemas.openxmlformats.org/spreadsheetml/2006/main" id="165" name="G.30.assumptions.SpecificProcessN2OEmissionsAfterProductManufacturingEfficiency" displayName="G.30.assumptions.SpecificProcessN2OEmissionsAfterProductManufacturingEfficiency" ref="C1608:Q1622" totalsRowShown="0" headerRowDxfId="473" dataDxfId="471" headerRowBorderDxfId="472">
  <autoFilter ref="C1608:Q1622"/>
  <tableColumns count="15">
    <tableColumn id="1" name="Technology code" dataDxfId="470"/>
    <tableColumn id="2" name="Description" dataDxfId="469"/>
    <tableColumn id="3" name="Selected level" dataDxfId="468"/>
    <tableColumn id="4" name="Notes" dataCellStyle="A - normal"/>
    <tableColumn id="5" name="." dataDxfId="467"/>
    <tableColumn id="6" name=".." dataDxfId="466"/>
    <tableColumn id="7" name="2011" dataDxfId="465">
      <calculatedColumnFormula>$O1263/$I1337*I1337</calculatedColumnFormula>
    </tableColumn>
    <tableColumn id="8" name="2015" dataDxfId="464">
      <calculatedColumnFormula>$O1263/$I1337*J1337</calculatedColumnFormula>
    </tableColumn>
    <tableColumn id="9" name="2020" dataDxfId="463">
      <calculatedColumnFormula>$O1263/$I1337*K1337</calculatedColumnFormula>
    </tableColumn>
    <tableColumn id="10" name="2025" dataDxfId="462">
      <calculatedColumnFormula>$O1263/$I1337*L1337</calculatedColumnFormula>
    </tableColumn>
    <tableColumn id="11" name="2030" dataDxfId="461">
      <calculatedColumnFormula>$O1263/$I1337*M1337</calculatedColumnFormula>
    </tableColumn>
    <tableColumn id="12" name="2035" dataDxfId="460">
      <calculatedColumnFormula>$O1263/$I1337*N1337</calculatedColumnFormula>
    </tableColumn>
    <tableColumn id="13" name="2040" dataDxfId="459">
      <calculatedColumnFormula>$O1263/$I1337*O1337</calculatedColumnFormula>
    </tableColumn>
    <tableColumn id="14" name="2045" dataDxfId="458">
      <calculatedColumnFormula>$O1263/$I1337*P1337</calculatedColumnFormula>
    </tableColumn>
    <tableColumn id="15" name="2050" dataDxfId="457">
      <calculatedColumnFormula>$O1263/$I1337*Q1337</calculatedColumnFormula>
    </tableColumn>
  </tableColumns>
  <tableStyleInfo name="EnergyCalcTables" showFirstColumn="0" showLastColumn="0" showRowStripes="1" showColumnStripes="0"/>
</table>
</file>

<file path=xl/tables/table52.xml><?xml version="1.0" encoding="utf-8"?>
<table xmlns="http://schemas.openxmlformats.org/spreadsheetml/2006/main" id="166" name="G.30.assumptions.SpecificProcessCH4EmissionsAfterCCS" displayName="G.30.assumptions.SpecificProcessCH4EmissionsAfterCCS" ref="C2417:Q2432" totalsRowShown="0" headerRowDxfId="456" dataDxfId="454" headerRowBorderDxfId="455" tableBorderDxfId="453">
  <autoFilter ref="C2417:Q2432"/>
  <tableColumns count="15">
    <tableColumn id="1" name="Technology code" dataDxfId="452"/>
    <tableColumn id="2" name="Description" dataDxfId="451"/>
    <tableColumn id="3" name="Selected level" dataDxfId="450"/>
    <tableColumn id="4" name="Notes" dataCellStyle="A - normal"/>
    <tableColumn id="5" name="." dataDxfId="449"/>
    <tableColumn id="6" name=".." dataDxfId="448"/>
    <tableColumn id="7" name="2011" dataDxfId="447">
      <calculatedColumnFormula array="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calculatedColumnFormula>
    </tableColumn>
    <tableColumn id="8" name="2015" dataDxfId="446">
      <calculatedColumnFormula array="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calculatedColumnFormula>
    </tableColumn>
    <tableColumn id="9" name="2020" dataDxfId="445">
      <calculatedColumnFormula array="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calculatedColumnFormula>
    </tableColumn>
    <tableColumn id="10" name="2025" dataDxfId="444">
      <calculatedColumnFormula array="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calculatedColumnFormula>
    </tableColumn>
    <tableColumn id="11" name="2030" dataDxfId="443">
      <calculatedColumnFormula array="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calculatedColumnFormula>
    </tableColumn>
    <tableColumn id="12" name="2035" dataDxfId="442">
      <calculatedColumnFormula array="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calculatedColumnFormula>
    </tableColumn>
    <tableColumn id="13" name="2040" dataDxfId="441">
      <calculatedColumnFormula array="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calculatedColumnFormula>
    </tableColumn>
    <tableColumn id="14" name="2045" dataDxfId="440">
      <calculatedColumnFormula array="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calculatedColumnFormula>
    </tableColumn>
    <tableColumn id="15" name="2050" dataDxfId="439">
      <calculatedColumnFormula array="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67" name="G.30.assumptions.SpecificProcessN2OEmissionsAfterCCS" displayName="G.30.assumptions.SpecificProcessN2OEmissionsAfterCCS" ref="C2436:Q2451" totalsRowShown="0" headerRowDxfId="438" dataDxfId="436" headerRowBorderDxfId="437" tableBorderDxfId="435">
  <autoFilter ref="C2436:Q2451"/>
  <tableColumns count="15">
    <tableColumn id="1" name="Technology code" dataDxfId="434"/>
    <tableColumn id="2" name="Description" dataDxfId="433"/>
    <tableColumn id="3" name="Selected level" dataDxfId="432"/>
    <tableColumn id="4" name="Notes" dataCellStyle="A - normal"/>
    <tableColumn id="5" name="." dataDxfId="431"/>
    <tableColumn id="6" name=".." dataDxfId="430"/>
    <tableColumn id="7" name="2011" dataDxfId="429">
      <calculatedColumnFormula array="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calculatedColumnFormula>
    </tableColumn>
    <tableColumn id="8" name="2015" dataDxfId="428">
      <calculatedColumnFormula array="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calculatedColumnFormula>
    </tableColumn>
    <tableColumn id="9" name="2020" dataDxfId="427">
      <calculatedColumnFormula array="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calculatedColumnFormula>
    </tableColumn>
    <tableColumn id="10" name="2025" dataDxfId="426">
      <calculatedColumnFormula array="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calculatedColumnFormula>
    </tableColumn>
    <tableColumn id="11" name="2030" dataDxfId="425">
      <calculatedColumnFormula array="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calculatedColumnFormula>
    </tableColumn>
    <tableColumn id="12" name="2035" dataDxfId="424">
      <calculatedColumnFormula array="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calculatedColumnFormula>
    </tableColumn>
    <tableColumn id="13" name="2040" dataDxfId="423">
      <calculatedColumnFormula array="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calculatedColumnFormula>
    </tableColumn>
    <tableColumn id="14" name="2045" dataDxfId="422">
      <calculatedColumnFormula array="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calculatedColumnFormula>
    </tableColumn>
    <tableColumn id="15" name="2050" dataDxfId="421">
      <calculatedColumnFormula array="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68" name="G.30.assumptions.CombustionCH4EmissionsAfterCCS" displayName="G.30.assumptions.CombustionCH4EmissionsAfterCCS" ref="C2476:Q2492" totalsRowCount="1" headerRowDxfId="420" dataDxfId="418" totalsRowDxfId="416" headerRowBorderDxfId="419" tableBorderDxfId="417">
  <autoFilter ref="C2476:Q2491"/>
  <tableColumns count="15">
    <tableColumn id="1" name="Technology code" totalsRowLabel="Total" dataDxfId="415" totalsRowDxfId="414"/>
    <tableColumn id="2" name="Description" dataDxfId="413" totalsRowDxfId="412"/>
    <tableColumn id="3" name="Selected level" dataDxfId="411" totalsRowDxfId="410"/>
    <tableColumn id="4" name="Notes" totalsRowDxfId="409" dataCellStyle="A - normal"/>
    <tableColumn id="5" name="." dataDxfId="408" totalsRowDxfId="407"/>
    <tableColumn id="6" name=".." dataDxfId="406" totalsRowDxfId="405"/>
    <tableColumn id="7" name="2011" totalsRowFunction="sum" dataDxfId="404" totalsRowDxfId="403">
      <calculatedColumnFormula array="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calculatedColumnFormula>
    </tableColumn>
    <tableColumn id="8" name="2015" totalsRowFunction="sum" dataDxfId="402" totalsRowDxfId="401">
      <calculatedColumnFormula array="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calculatedColumnFormula>
    </tableColumn>
    <tableColumn id="9" name="2020" totalsRowFunction="sum" dataDxfId="400" totalsRowDxfId="399">
      <calculatedColumnFormula array="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calculatedColumnFormula>
    </tableColumn>
    <tableColumn id="10" name="2025" totalsRowFunction="sum" dataDxfId="398" totalsRowDxfId="397">
      <calculatedColumnFormula array="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calculatedColumnFormula>
    </tableColumn>
    <tableColumn id="11" name="2030" totalsRowFunction="sum" dataDxfId="396" totalsRowDxfId="395">
      <calculatedColumnFormula array="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calculatedColumnFormula>
    </tableColumn>
    <tableColumn id="12" name="2035" totalsRowFunction="sum" dataDxfId="394" totalsRowDxfId="393">
      <calculatedColumnFormula array="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calculatedColumnFormula>
    </tableColumn>
    <tableColumn id="13" name="2040" totalsRowFunction="sum" dataDxfId="392" totalsRowDxfId="391">
      <calculatedColumnFormula array="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calculatedColumnFormula>
    </tableColumn>
    <tableColumn id="14" name="2045" totalsRowFunction="sum" dataDxfId="390" totalsRowDxfId="389">
      <calculatedColumnFormula array="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calculatedColumnFormula>
    </tableColumn>
    <tableColumn id="15" name="2050" totalsRowFunction="sum" dataDxfId="388" totalsRowDxfId="387">
      <calculatedColumnFormula array="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calculatedColumnFormula>
    </tableColumn>
  </tableColumns>
  <tableStyleInfo name="EnergyCalcTables" showFirstColumn="0" showLastColumn="0" showRowStripes="1" showColumnStripes="0"/>
</table>
</file>

<file path=xl/tables/table55.xml><?xml version="1.0" encoding="utf-8"?>
<table xmlns="http://schemas.openxmlformats.org/spreadsheetml/2006/main" id="169" name="G.30.assumptions.CombustionN2OEmissionsAfterCCS" displayName="G.30.assumptions.CombustionN2OEmissionsAfterCCS" ref="C2497:Q2513" totalsRowCount="1" headerRowDxfId="386" dataDxfId="384" totalsRowDxfId="382" headerRowBorderDxfId="385" tableBorderDxfId="383">
  <autoFilter ref="C2497:Q2512"/>
  <tableColumns count="15">
    <tableColumn id="1" name="Technology code" totalsRowLabel="Total" dataDxfId="381" totalsRowDxfId="380"/>
    <tableColumn id="2" name="Description" dataDxfId="379" totalsRowDxfId="378"/>
    <tableColumn id="3" name="Selected level" dataDxfId="377" totalsRowDxfId="376"/>
    <tableColumn id="4" name="Notes" totalsRowDxfId="375" dataCellStyle="A - normal"/>
    <tableColumn id="5" name="." dataDxfId="374" totalsRowDxfId="373"/>
    <tableColumn id="6" name=".." dataDxfId="372" totalsRowDxfId="371"/>
    <tableColumn id="7" name="2011" totalsRowFunction="sum" dataDxfId="370" totalsRowDxfId="369">
      <calculatedColumnFormula array="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calculatedColumnFormula>
    </tableColumn>
    <tableColumn id="8" name="2015" totalsRowFunction="sum" dataDxfId="368" totalsRowDxfId="367">
      <calculatedColumnFormula array="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calculatedColumnFormula>
    </tableColumn>
    <tableColumn id="9" name="2020" totalsRowFunction="sum" dataDxfId="366" totalsRowDxfId="365">
      <calculatedColumnFormula array="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calculatedColumnFormula>
    </tableColumn>
    <tableColumn id="10" name="2025" totalsRowFunction="sum" dataDxfId="364" totalsRowDxfId="363">
      <calculatedColumnFormula array="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calculatedColumnFormula>
    </tableColumn>
    <tableColumn id="11" name="2030" totalsRowFunction="sum" dataDxfId="362" totalsRowDxfId="361">
      <calculatedColumnFormula array="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calculatedColumnFormula>
    </tableColumn>
    <tableColumn id="12" name="2035" totalsRowFunction="sum" dataDxfId="360" totalsRowDxfId="359">
      <calculatedColumnFormula array="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calculatedColumnFormula>
    </tableColumn>
    <tableColumn id="13" name="2040" totalsRowFunction="sum" dataDxfId="358" totalsRowDxfId="357">
      <calculatedColumnFormula array="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calculatedColumnFormula>
    </tableColumn>
    <tableColumn id="14" name="2045" totalsRowFunction="sum" dataDxfId="356" totalsRowDxfId="355">
      <calculatedColumnFormula array="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calculatedColumnFormula>
    </tableColumn>
    <tableColumn id="15" name="2050" totalsRowFunction="sum" dataDxfId="354" totalsRowDxfId="353">
      <calculatedColumnFormula array="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70" name="G.30.assumptions.SpecificProcessCO2EmissionsAfterEnergyEfficiency" displayName="G.30.assumptions.SpecificProcessCO2EmissionsAfterEnergyEfficiency" ref="C2164:Q2179" totalsRowShown="0" headerRowDxfId="352" dataDxfId="350" headerRowBorderDxfId="351" tableBorderDxfId="349">
  <autoFilter ref="C2164:Q2179"/>
  <tableColumns count="15">
    <tableColumn id="1" name="Technology code" dataDxfId="348"/>
    <tableColumn id="2" name="Description" dataDxfId="347"/>
    <tableColumn id="3" name="Selected level" dataDxfId="346"/>
    <tableColumn id="4" name="Notes" dataCellStyle="A - normal"/>
    <tableColumn id="5" name="." dataDxfId="345"/>
    <tableColumn id="6" name=".." dataDxfId="344"/>
    <tableColumn id="7" name="2011" dataDxfId="343">
      <calculatedColumnFormula array="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calculatedColumnFormula>
    </tableColumn>
    <tableColumn id="8" name="2015" dataDxfId="342">
      <calculatedColumnFormula array="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calculatedColumnFormula>
    </tableColumn>
    <tableColumn id="9" name="2020" dataDxfId="341">
      <calculatedColumnFormula array="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calculatedColumnFormula>
    </tableColumn>
    <tableColumn id="10" name="2025" dataDxfId="340">
      <calculatedColumnFormula array="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calculatedColumnFormula>
    </tableColumn>
    <tableColumn id="11" name="2030" dataDxfId="339">
      <calculatedColumnFormula array="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calculatedColumnFormula>
    </tableColumn>
    <tableColumn id="12" name="2035" dataDxfId="338">
      <calculatedColumnFormula array="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calculatedColumnFormula>
    </tableColumn>
    <tableColumn id="13" name="2040" dataDxfId="337">
      <calculatedColumnFormula array="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calculatedColumnFormula>
    </tableColumn>
    <tableColumn id="14" name="2045" dataDxfId="336">
      <calculatedColumnFormula array="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calculatedColumnFormula>
    </tableColumn>
    <tableColumn id="15" name="2050" dataDxfId="335">
      <calculatedColumnFormula array="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171" name="G.30.assumptions.CombustionCO2EmissionsAfterEnergyEfficiency" displayName="G.30.assumptions.CombustionCO2EmissionsAfterEnergyEfficiency" ref="C2222:Q2238" totalsRowCount="1" headerRowDxfId="334" dataDxfId="332" headerRowBorderDxfId="333" tableBorderDxfId="331">
  <autoFilter ref="C2222:Q2237"/>
  <tableColumns count="15">
    <tableColumn id="1" name="Technology code" totalsRowLabel="Total" dataDxfId="330" totalsRowDxfId="329"/>
    <tableColumn id="2" name="Description" dataDxfId="328" totalsRowDxfId="327"/>
    <tableColumn id="3" name="Selected level" dataDxfId="326" totalsRowDxfId="325"/>
    <tableColumn id="4" name="Notes" totalsRowDxfId="324" dataCellStyle="A - normal"/>
    <tableColumn id="5" name="." dataDxfId="323" totalsRowDxfId="322"/>
    <tableColumn id="6" name=".." dataDxfId="321" totalsRowDxfId="320"/>
    <tableColumn id="7" name="2011" totalsRowFunction="sum" dataDxfId="319" totalsRowDxfId="318"/>
    <tableColumn id="8" name="2015" totalsRowFunction="sum" dataDxfId="317" totalsRowDxfId="316"/>
    <tableColumn id="9" name="2020" totalsRowFunction="sum" dataDxfId="315" totalsRowDxfId="314"/>
    <tableColumn id="10" name="2025" totalsRowFunction="sum" dataDxfId="313" totalsRowDxfId="312"/>
    <tableColumn id="11" name="2030" totalsRowFunction="sum" dataDxfId="311" totalsRowDxfId="310"/>
    <tableColumn id="12" name="2035" totalsRowFunction="sum" dataDxfId="309" totalsRowDxfId="308"/>
    <tableColumn id="13" name="2040" totalsRowFunction="sum" dataDxfId="307" totalsRowDxfId="306"/>
    <tableColumn id="14" name="2045" totalsRowFunction="sum" dataDxfId="305" totalsRowDxfId="304"/>
    <tableColumn id="15" name="2050" totalsRowFunction="sum" dataDxfId="303" totalsRowDxfId="302"/>
  </tableColumns>
  <tableStyleInfo name="EnergyCalcTables" showFirstColumn="0" showLastColumn="0" showRowStripes="1" showColumnStripes="0"/>
</table>
</file>

<file path=xl/tables/table58.xml><?xml version="1.0" encoding="utf-8"?>
<table xmlns="http://schemas.openxmlformats.org/spreadsheetml/2006/main" id="172" name="G.30.assumptions.SpecificProcessCH4EmissionsAfterEnergyEfficiency" displayName="G.30.assumptions.SpecificProcessCH4EmissionsAfterEnergyEfficiency" ref="C2183:Q2198" totalsRowShown="0" headerRowDxfId="301" dataDxfId="299" headerRowBorderDxfId="300" tableBorderDxfId="298">
  <autoFilter ref="C2183:Q2198"/>
  <tableColumns count="15">
    <tableColumn id="1" name="Technology code" dataDxfId="297"/>
    <tableColumn id="2" name="Description" dataDxfId="296"/>
    <tableColumn id="3" name="Selected level" dataDxfId="295"/>
    <tableColumn id="4" name="Notes" dataCellStyle="A - normal"/>
    <tableColumn id="5" name="." dataDxfId="294"/>
    <tableColumn id="6" name=".." dataDxfId="293"/>
    <tableColumn id="7" name="2011" dataDxfId="292">
      <calculatedColumnFormula array="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calculatedColumnFormula>
    </tableColumn>
    <tableColumn id="8" name="2015" dataDxfId="291">
      <calculatedColumnFormula array="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calculatedColumnFormula>
    </tableColumn>
    <tableColumn id="9" name="2020" dataDxfId="290">
      <calculatedColumnFormula array="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calculatedColumnFormula>
    </tableColumn>
    <tableColumn id="10" name="2025" dataDxfId="289">
      <calculatedColumnFormula array="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calculatedColumnFormula>
    </tableColumn>
    <tableColumn id="11" name="2030" dataDxfId="288">
      <calculatedColumnFormula array="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calculatedColumnFormula>
    </tableColumn>
    <tableColumn id="12" name="2035" dataDxfId="287">
      <calculatedColumnFormula array="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calculatedColumnFormula>
    </tableColumn>
    <tableColumn id="13" name="2040" dataDxfId="286">
      <calculatedColumnFormula array="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calculatedColumnFormula>
    </tableColumn>
    <tableColumn id="14" name="2045" dataDxfId="285">
      <calculatedColumnFormula array="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calculatedColumnFormula>
    </tableColumn>
    <tableColumn id="15" name="2050" dataDxfId="284">
      <calculatedColumnFormula array="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calculatedColumnFormula>
    </tableColumn>
  </tableColumns>
  <tableStyleInfo name="EnergyCalcTables" showFirstColumn="0" showLastColumn="0" showRowStripes="1" showColumnStripes="0"/>
</table>
</file>

<file path=xl/tables/table59.xml><?xml version="1.0" encoding="utf-8"?>
<table xmlns="http://schemas.openxmlformats.org/spreadsheetml/2006/main" id="263" name="G.30.assumptions.SpecificProcessN2OEmissionsAfterEnergyEfficiency" displayName="G.30.assumptions.SpecificProcessN2OEmissionsAfterEnergyEfficiency" ref="C2202:Q2217" totalsRowShown="0" headerRowDxfId="283" dataDxfId="281" headerRowBorderDxfId="282" tableBorderDxfId="280">
  <autoFilter ref="C2202:Q2217"/>
  <tableColumns count="15">
    <tableColumn id="1" name="Technology code" dataDxfId="279"/>
    <tableColumn id="2" name="Description" dataDxfId="278"/>
    <tableColumn id="3" name="Selected level" dataDxfId="277"/>
    <tableColumn id="4" name="Notes" dataCellStyle="A - normal"/>
    <tableColumn id="5" name="." dataDxfId="276"/>
    <tableColumn id="6" name=".." dataDxfId="275"/>
    <tableColumn id="7" name="2011" dataDxfId="274">
      <calculatedColumnFormula array="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calculatedColumnFormula>
    </tableColumn>
    <tableColumn id="8" name="2015" dataDxfId="273">
      <calculatedColumnFormula array="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calculatedColumnFormula>
    </tableColumn>
    <tableColumn id="9" name="2020" dataDxfId="272">
      <calculatedColumnFormula array="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calculatedColumnFormula>
    </tableColumn>
    <tableColumn id="10" name="2025" dataDxfId="271">
      <calculatedColumnFormula array="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calculatedColumnFormula>
    </tableColumn>
    <tableColumn id="11" name="2030" dataDxfId="270">
      <calculatedColumnFormula array="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calculatedColumnFormula>
    </tableColumn>
    <tableColumn id="12" name="2035" dataDxfId="269">
      <calculatedColumnFormula array="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calculatedColumnFormula>
    </tableColumn>
    <tableColumn id="13" name="2040" dataDxfId="268">
      <calculatedColumnFormula array="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calculatedColumnFormula>
    </tableColumn>
    <tableColumn id="14" name="2045" dataDxfId="267">
      <calculatedColumnFormula array="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calculatedColumnFormula>
    </tableColumn>
    <tableColumn id="15" name="2050" dataDxfId="266">
      <calculatedColumnFormula array="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265" name="G.30.assumptions.CombustionCH4EmissionsAfterEnergyEfficiency" displayName="G.30.assumptions.CombustionCH4EmissionsAfterEnergyEfficiency" ref="C2243:Q2258" totalsRowShown="0" headerRowDxfId="265" dataDxfId="263" headerRowBorderDxfId="264" tableBorderDxfId="262">
  <autoFilter ref="C2243:Q2258"/>
  <tableColumns count="15">
    <tableColumn id="1" name="Technology code" dataDxfId="261"/>
    <tableColumn id="2" name="Description" dataDxfId="260"/>
    <tableColumn id="3" name="Selected level" dataDxfId="259"/>
    <tableColumn id="4" name="Notes" dataCellStyle="A - normal"/>
    <tableColumn id="5" name="." dataDxfId="258"/>
    <tableColumn id="6" name=".." dataDxfId="257"/>
    <tableColumn id="7" name="2011" dataDxfId="256"/>
    <tableColumn id="8" name="2015" dataDxfId="255"/>
    <tableColumn id="9" name="2020" dataDxfId="254"/>
    <tableColumn id="10" name="2025" dataDxfId="253"/>
    <tableColumn id="11" name="2030" dataDxfId="252"/>
    <tableColumn id="12" name="2035" dataDxfId="251"/>
    <tableColumn id="13" name="2040" dataDxfId="250"/>
    <tableColumn id="14" name="2045" dataDxfId="249"/>
    <tableColumn id="15" name="2050" dataDxfId="248"/>
  </tableColumns>
  <tableStyleInfo name="EnergyCalcTables" showFirstColumn="0" showLastColumn="0" showRowStripes="1" showColumnStripes="0"/>
</table>
</file>

<file path=xl/tables/table61.xml><?xml version="1.0" encoding="utf-8"?>
<table xmlns="http://schemas.openxmlformats.org/spreadsheetml/2006/main" id="266" name="G.30.assumptions.CombustionN2OEmissionsAfterEnergyEfficiency" displayName="G.30.assumptions.CombustionN2OEmissionsAfterEnergyEfficiency" ref="C2262:Q2277" totalsRowShown="0" headerRowDxfId="247" dataDxfId="245" headerRowBorderDxfId="246" tableBorderDxfId="244">
  <autoFilter ref="C2262:Q2277"/>
  <tableColumns count="15">
    <tableColumn id="1" name="Technology code" dataDxfId="243"/>
    <tableColumn id="2" name="Description" dataDxfId="242"/>
    <tableColumn id="3" name="Selected level" dataDxfId="241"/>
    <tableColumn id="4" name="Notes" dataCellStyle="A - normal"/>
    <tableColumn id="5" name="." dataDxfId="240"/>
    <tableColumn id="6" name=".." dataDxfId="239"/>
    <tableColumn id="7" name="2011" dataDxfId="238"/>
    <tableColumn id="8" name="2015" dataDxfId="237"/>
    <tableColumn id="9" name="2020" dataDxfId="236"/>
    <tableColumn id="10" name="2025" dataDxfId="235"/>
    <tableColumn id="11" name="2030" dataDxfId="234"/>
    <tableColumn id="12" name="2035" dataDxfId="233"/>
    <tableColumn id="13" name="2040" dataDxfId="232"/>
    <tableColumn id="14" name="2045" dataDxfId="231"/>
    <tableColumn id="15" name="2050" dataDxfId="230"/>
  </tableColumns>
  <tableStyleInfo name="EnergyCalcTables" showFirstColumn="0" showLastColumn="0" showRowStripes="1" showColumnStripes="0"/>
</table>
</file>

<file path=xl/tables/table62.xml><?xml version="1.0" encoding="utf-8"?>
<table xmlns="http://schemas.openxmlformats.org/spreadsheetml/2006/main" id="267" name="G.30.assumptions.TotalCCSimpact" displayName="G.30.assumptions.TotalCCSimpact" ref="C2517:Q2533" totalsRowCount="1" headerRowDxfId="229" dataDxfId="227" totalsRowDxfId="225" headerRowBorderDxfId="228" tableBorderDxfId="226">
  <autoFilter ref="C2517:Q2532"/>
  <tableColumns count="15">
    <tableColumn id="1" name="Technology code" totalsRowLabel="Total" dataDxfId="224" totalsRowDxfId="223"/>
    <tableColumn id="2" name="Description" dataDxfId="222" totalsRowDxfId="221"/>
    <tableColumn id="3" name="Selected level" dataDxfId="220" totalsRowDxfId="219"/>
    <tableColumn id="4" name="Notes" dataDxfId="218" totalsRowDxfId="217" dataCellStyle="A - normal"/>
    <tableColumn id="5" name="." dataDxfId="216" totalsRowDxfId="215"/>
    <tableColumn id="6" name=".." dataDxfId="214" totalsRowDxfId="213"/>
    <tableColumn id="7" name="2011" totalsRowFunction="sum" dataDxfId="212" totalsRowDxfId="211">
      <calculatedColumnFormula array="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calculatedColumnFormula>
    </tableColumn>
    <tableColumn id="8" name="2015" totalsRowFunction="sum" dataDxfId="210" totalsRowDxfId="209">
      <calculatedColumnFormula array="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calculatedColumnFormula>
    </tableColumn>
    <tableColumn id="9" name="2020" totalsRowFunction="sum" dataDxfId="208" totalsRowDxfId="207">
      <calculatedColumnFormula array="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calculatedColumnFormula>
    </tableColumn>
    <tableColumn id="10" name="2025" totalsRowFunction="sum" dataDxfId="206" totalsRowDxfId="205">
      <calculatedColumnFormula array="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calculatedColumnFormula>
    </tableColumn>
    <tableColumn id="11" name="2030" totalsRowFunction="sum" dataDxfId="204" totalsRowDxfId="203">
      <calculatedColumnFormula array="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calculatedColumnFormula>
    </tableColumn>
    <tableColumn id="12" name="2035" totalsRowFunction="sum" dataDxfId="202" totalsRowDxfId="201">
      <calculatedColumnFormula array="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calculatedColumnFormula>
    </tableColumn>
    <tableColumn id="13" name="2040" totalsRowFunction="sum" dataDxfId="200" totalsRowDxfId="199">
      <calculatedColumnFormula array="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calculatedColumnFormula>
    </tableColumn>
    <tableColumn id="14" name="2045" totalsRowFunction="sum" dataDxfId="198" totalsRowDxfId="197">
      <calculatedColumnFormula array="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calculatedColumnFormula>
    </tableColumn>
    <tableColumn id="15" name="2050" totalsRowFunction="sum" dataDxfId="196" totalsRowDxfId="195">
      <calculatedColumnFormula array="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calculatedColumnFormula>
    </tableColumn>
  </tableColumns>
  <tableStyleInfo name="EnergyCalcTables" showFirstColumn="0" showLastColumn="0" showRowStripes="1" showColumnStripes="0"/>
</table>
</file>

<file path=xl/tables/table63.xml><?xml version="1.0" encoding="utf-8"?>
<table xmlns="http://schemas.openxmlformats.org/spreadsheetml/2006/main" id="268" name="G.30.levels.EnergyEfficiencyCHP" displayName="G.30.levels.EnergyEfficiencyCHP" ref="C628:Q680" totalsRowShown="0" headerRowDxfId="194" dataDxfId="192" headerRowBorderDxfId="193" tableBorderDxfId="191" dataCellStyle="A - normal">
  <autoFilter ref="C628:Q680"/>
  <tableColumns count="15">
    <tableColumn id="1" name="Technology code" dataDxfId="190"/>
    <tableColumn id="2" name="Description" dataDxfId="189" dataCellStyle="A - normal"/>
    <tableColumn id="3" name="Level" dataCellStyle="A - normal"/>
    <tableColumn id="4" name="Notes" dataDxfId="188"/>
    <tableColumn id="5" name="." dataDxfId="187"/>
    <tableColumn id="6" name=".." dataDxfId="186"/>
    <tableColumn id="7" name="2011" dataCellStyle="A - percent"/>
    <tableColumn id="8" name="2015" dataCellStyle="A - percent">
      <calculatedColumnFormula>(($Q629-$I629)/($Q$121-$I$121))*(J$121-$I$121)+$I629</calculatedColumnFormula>
    </tableColumn>
    <tableColumn id="9" name="2020" dataCellStyle="A - percent">
      <calculatedColumnFormula>(($Q629-$I629)/($Q$121-$I$121))*(K$121-$I$121)+$I629</calculatedColumnFormula>
    </tableColumn>
    <tableColumn id="10" name="2025" dataCellStyle="A - percent">
      <calculatedColumnFormula>(($Q629-$I629)/($Q$121-$I$121))*(L$121-$I$121)+$I629</calculatedColumnFormula>
    </tableColumn>
    <tableColumn id="11" name="2030" dataCellStyle="A - percent">
      <calculatedColumnFormula>(($Q629-$I629)/($Q$121-$I$121))*(M$121-$I$121)+$I629</calculatedColumnFormula>
    </tableColumn>
    <tableColumn id="12" name="2035" dataCellStyle="A - percent">
      <calculatedColumnFormula>(($Q629-$I629)/($Q$121-$I$121))*(N$121-$I$121)+$I629</calculatedColumnFormula>
    </tableColumn>
    <tableColumn id="13" name="2040" dataCellStyle="A - percent">
      <calculatedColumnFormula>(($Q629-$I629)/($Q$121-$I$121))*(O$121-$I$121)+$I629</calculatedColumnFormula>
    </tableColumn>
    <tableColumn id="14" name="2045" dataCellStyle="A - percent">
      <calculatedColumnFormula>(($Q629-$I629)/($Q$121-$I$121))*(P$121-$I$121)+$I629</calculatedColumnFormula>
    </tableColumn>
    <tableColumn id="15" name="2050" dataCellStyle="A - percent"/>
  </tableColumns>
  <tableStyleInfo name="TableStyleLight1" showFirstColumn="0" showLastColumn="0" showRowStripes="0" showColumnStripes="0"/>
</table>
</file>

<file path=xl/tables/table64.xml><?xml version="1.0" encoding="utf-8"?>
<table xmlns="http://schemas.openxmlformats.org/spreadsheetml/2006/main" id="269" name="G.30.assumptions.EnergyEfficiencyCHP" displayName="G.30.assumptions.EnergyEfficiencyCHP" ref="C1929:Q1939" headerRowDxfId="185" dataDxfId="183" headerRowBorderDxfId="184" tableBorderDxfId="182">
  <autoFilter ref="C1929:Q1939"/>
  <tableColumns count="15">
    <tableColumn id="1" name="Technology code" totalsRowLabel="Total" dataDxfId="181" totalsRowDxfId="180"/>
    <tableColumn id="2" name="Description" dataDxfId="179" totalsRowDxfId="178" dataCellStyle="A - normal"/>
    <tableColumn id="3" name="Level" dataDxfId="177" totalsRowDxfId="176">
      <calculatedColumnFormula array="1">INDEX(G.30.Levers[],MATCH(G.30.assumptions.EnergyEfficiencyCHP[[#This Row],[.]],G.30.Levers[Lever code],0),4)</calculatedColumnFormula>
    </tableColumn>
    <tableColumn id="4" name="Notes" totalsRowDxfId="175" dataCellStyle="A - normal"/>
    <tableColumn id="5" name="." dataDxfId="174" totalsRowDxfId="173">
      <calculatedColumnFormula>$C$2037&amp;"."&amp;LEFT(C1930,FIND("|",SUBSTITUTE(C1930,".","|",LEN(C1930)-LEN(SUBSTITUTE(C1930,".",""))))-1)</calculatedColumnFormula>
    </tableColumn>
    <tableColumn id="6" name=".." dataDxfId="172" totalsRowDxfId="171"/>
    <tableColumn id="7" name="2011" totalsRowFunction="sum" dataDxfId="170" totalsRowDxfId="169">
      <calculatedColumnFormula array="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8" name="2015" totalsRowFunction="sum" dataDxfId="168" totalsRowDxfId="167">
      <calculatedColumnFormula array="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9" name="2020" totalsRowFunction="sum" dataDxfId="166" totalsRowDxfId="165">
      <calculatedColumnFormula array="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10" name="2025" totalsRowFunction="sum" dataDxfId="164" totalsRowDxfId="163">
      <calculatedColumnFormula array="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11" name="2030" totalsRowFunction="sum" dataDxfId="162" totalsRowDxfId="161">
      <calculatedColumnFormula array="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12" name="2035" totalsRowFunction="sum" dataDxfId="160" totalsRowDxfId="159">
      <calculatedColumnFormula array="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13" name="2040" totalsRowFunction="sum" dataDxfId="158" totalsRowDxfId="157">
      <calculatedColumnFormula array="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14" name="2045" totalsRowFunction="sum" dataDxfId="156" totalsRowDxfId="155">
      <calculatedColumnFormula array="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 id="15" name="2050" totalsRowFunction="sum" dataDxfId="154" totalsRowDxfId="153">
      <calculatedColumnFormula array="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calculatedColumnFormula>
    </tableColumn>
  </tableColumns>
  <tableStyleInfo name="TableStyleLight1" showFirstColumn="0" showLastColumn="0" showRowStripes="0" showColumnStripes="0"/>
</table>
</file>

<file path=xl/tables/table65.xml><?xml version="1.0" encoding="utf-8"?>
<table xmlns="http://schemas.openxmlformats.org/spreadsheetml/2006/main" id="270" name="G.30.assumptions.EnergyDemandAfterEnergyEfficiencyCHP" displayName="G.30.assumptions.EnergyDemandAfterEnergyEfficiencyCHP" ref="C1943:Q2034" totalsRowCount="1" headerRowDxfId="152" dataDxfId="150" headerRowBorderDxfId="151" tableBorderDxfId="149">
  <autoFilter ref="C1943:Q2033"/>
  <tableColumns count="15">
    <tableColumn id="1" name="Technology code" totalsRowLabel="Total" dataDxfId="148" totalsRowDxfId="147"/>
    <tableColumn id="2" name="Description" dataDxfId="146" totalsRowDxfId="145" dataCellStyle="A - normal"/>
    <tableColumn id="3" name="Selected level" dataDxfId="144" totalsRowDxfId="143"/>
    <tableColumn id="4" name="Notes" totalsRowDxfId="142" dataCellStyle="A - normal"/>
    <tableColumn id="5" name="." dataDxfId="141" totalsRowDxfId="140"/>
    <tableColumn id="6" name=".." dataDxfId="139" totalsRowDxfId="138"/>
    <tableColumn id="7" name="2011" totalsRowFunction="sum" dataDxfId="137" totalsRowDxfId="136"/>
    <tableColumn id="8" name="2015" totalsRowFunction="sum" dataDxfId="135" totalsRowDxfId="134"/>
    <tableColumn id="9" name="2020" totalsRowFunction="sum" dataDxfId="133" totalsRowDxfId="132"/>
    <tableColumn id="10" name="2025" totalsRowFunction="sum" dataDxfId="131" totalsRowDxfId="130"/>
    <tableColumn id="11" name="2030" totalsRowFunction="sum" dataDxfId="129" totalsRowDxfId="128"/>
    <tableColumn id="12" name="2035" totalsRowFunction="sum" dataDxfId="127" totalsRowDxfId="126"/>
    <tableColumn id="13" name="2040" totalsRowFunction="sum" dataDxfId="125" totalsRowDxfId="124"/>
    <tableColumn id="14" name="2045" totalsRowFunction="sum" dataDxfId="123" totalsRowDxfId="122"/>
    <tableColumn id="15" name="2050" totalsRowFunction="sum" dataDxfId="121" totalsRowDxfId="120" dataCellStyle="A - normal"/>
  </tableColumns>
  <tableStyleInfo name="TableStyleLight1" showFirstColumn="0" showLastColumn="0" showRowStripes="0" showColumnStripes="0"/>
</table>
</file>

<file path=xl/tables/table66.xml><?xml version="1.0" encoding="utf-8"?>
<table xmlns="http://schemas.openxmlformats.org/spreadsheetml/2006/main" id="271" name="G.30.assumptions.MaterialDemandAfterProcessImprovements" displayName="G.30.assumptions.MaterialDemandAfterProcessImprovements" ref="C1637:Q1653" totalsRowCount="1" headerRowDxfId="119" totalsRowDxfId="116" headerRowBorderDxfId="118" tableBorderDxfId="117" dataCellStyle="A - normal">
  <autoFilter ref="C1637:Q1652"/>
  <tableColumns count="15">
    <tableColumn id="1" name="Technology code" totalsRowLabel="Total" totalsRowDxfId="115" dataCellStyle="A - normal"/>
    <tableColumn id="2" name="Description" totalsRowDxfId="114" dataCellStyle="A - normal"/>
    <tableColumn id="3" name="Column1" totalsRowDxfId="113" dataCellStyle="A - normal"/>
    <tableColumn id="4" name="Notes" totalsRowDxfId="112" dataCellStyle="A - normal"/>
    <tableColumn id="5" name="." totalsRowDxfId="111" dataCellStyle="A - normal"/>
    <tableColumn id="6" name=".." totalsRowDxfId="110" dataCellStyle="A - normal"/>
    <tableColumn id="7" name="2011" totalsRowFunction="sum" dataDxfId="109" totalsRowDxfId="108"/>
    <tableColumn id="8" name="2015" totalsRowFunction="sum" dataDxfId="107" totalsRowDxfId="106"/>
    <tableColumn id="9" name="2020" totalsRowFunction="sum" dataDxfId="105" totalsRowDxfId="104"/>
    <tableColumn id="10" name="2025" totalsRowFunction="sum" dataDxfId="103" totalsRowDxfId="102"/>
    <tableColumn id="11" name="2030" totalsRowFunction="sum" dataDxfId="101" totalsRowDxfId="100"/>
    <tableColumn id="12" name="2035" totalsRowFunction="sum" dataDxfId="99" totalsRowDxfId="98"/>
    <tableColumn id="13" name="2040" totalsRowFunction="sum" dataDxfId="97" totalsRowDxfId="96"/>
    <tableColumn id="14" name="2045" totalsRowFunction="sum" dataDxfId="95" totalsRowDxfId="94"/>
    <tableColumn id="15" name="2050" totalsRowFunction="sum" dataDxfId="93" totalsRowDxfId="92"/>
  </tableColumns>
  <tableStyleInfo showFirstColumn="0" showLastColumn="0" showRowStripes="1" showColumnStripes="0"/>
</table>
</file>

<file path=xl/tables/table67.xml><?xml version="1.0" encoding="utf-8"?>
<table xmlns="http://schemas.openxmlformats.org/spreadsheetml/2006/main" id="272" name="G.30.energy" displayName="G.30.energy" ref="C9:Q191" totalsRowCount="1" headerRowBorderDxfId="91" tableBorderDxfId="90" headerRowCellStyle="D - headers">
  <autoFilter ref="C9:Q190"/>
  <tableColumns count="15">
    <tableColumn id="1" name="Code" totalsRowDxfId="14"/>
    <tableColumn id="2" name="Tech description" totalsRowDxfId="13"/>
    <tableColumn id="3" name="Notes" totalsRowDxfId="12"/>
    <tableColumn id="4" name="Energy vector" totalsRowDxfId="11"/>
    <tableColumn id="5" name="Energy description" totalsRowDxfId="10"/>
    <tableColumn id="6" name="Unit" totalsRowDxfId="9">
      <calculatedColumnFormula>Preferences.energy</calculatedColumnFormula>
    </tableColumn>
    <tableColumn id="7" name="2011" totalsRowFunction="sum" dataDxfId="89" totalsRowDxfId="8"/>
    <tableColumn id="8" name="2012" dataDxfId="88" totalsRowDxfId="7"/>
    <tableColumn id="9" name="2013" dataDxfId="87" totalsRowDxfId="6"/>
    <tableColumn id="10" name="2014" dataDxfId="86" totalsRowDxfId="5"/>
    <tableColumn id="11" name="2015" dataDxfId="85" totalsRowDxfId="4"/>
    <tableColumn id="12" name="2016" dataDxfId="84" totalsRowDxfId="3"/>
    <tableColumn id="13" name="2017" dataDxfId="83" totalsRowDxfId="2"/>
    <tableColumn id="14" name="2018" dataDxfId="82" totalsRowDxfId="1"/>
    <tableColumn id="15" name="2019" dataDxfId="81" totalsRowDxfId="0"/>
  </tableColumns>
  <tableStyleInfo name="TableStyleLight1" showFirstColumn="0" showLastColumn="0" showRowStripes="0" showColumnStripes="0"/>
</table>
</file>

<file path=xl/tables/table68.xml><?xml version="1.0" encoding="utf-8"?>
<table xmlns="http://schemas.openxmlformats.org/spreadsheetml/2006/main" id="273" name="G.30.CO2" displayName="G.30.CO2" ref="C198:Q259" totalsRowCount="1" headerRowCellStyle="D - headers" totalsRowCellStyle="D - bottom border">
  <autoFilter ref="C198:Q258"/>
  <tableColumns count="15">
    <tableColumn id="1" name="Code" totalsRowLabel="Total" totalsRowDxfId="29" dataCellStyle="D - bottom border"/>
    <tableColumn id="2" name="Description" totalsRowLabel="Total" totalsRowDxfId="28" dataCellStyle="D - bottom border"/>
    <tableColumn id="3" name="Notes" totalsRowDxfId="27" dataCellStyle="D - bottom border"/>
    <tableColumn id="4" name="Emission code" totalsRowDxfId="26" dataCellStyle="D - bottom border"/>
    <tableColumn id="5" name="Description 2" totalsRowDxfId="25" dataCellStyle="D - bottom border"/>
    <tableColumn id="6" name="IPCC emissions sector" totalsRowDxfId="24" dataCellStyle="D - bottom border"/>
    <tableColumn id="7" name="2011" totalsRowFunction="sum" totalsRowDxfId="23" dataCellStyle="D - bottom border"/>
    <tableColumn id="8" name="2012" totalsRowDxfId="22" dataCellStyle="D - bottom border"/>
    <tableColumn id="9" name="2013" totalsRowDxfId="21" dataCellStyle="D - bottom border"/>
    <tableColumn id="10" name="2014" totalsRowDxfId="20" dataCellStyle="D - bottom border"/>
    <tableColumn id="11" name="2015" totalsRowDxfId="19" dataCellStyle="D - bottom border"/>
    <tableColumn id="12" name="2016" totalsRowDxfId="18" dataCellStyle="D - bottom border"/>
    <tableColumn id="13" name="2017" totalsRowDxfId="17" dataCellStyle="D - bottom border"/>
    <tableColumn id="14" name="2018" totalsRowDxfId="16" dataCellStyle="D - bottom border"/>
    <tableColumn id="15" name="2019" totalsRowDxfId="15" dataCellStyle="D - bottom border"/>
  </tableColumns>
  <tableStyleInfo name="EnergyCalcTables" showFirstColumn="0" showLastColumn="0" showRowStripes="1" showColumnStripes="0"/>
</table>
</file>

<file path=xl/tables/table69.xml><?xml version="1.0" encoding="utf-8"?>
<table xmlns="http://schemas.openxmlformats.org/spreadsheetml/2006/main" id="274" name="G.30.CH4" displayName="G.30.CH4" ref="C263:Q324" totalsRowCount="1" headerRowCellStyle="D - headers" totalsRowCellStyle="D - bottom border">
  <autoFilter ref="C263:Q323"/>
  <tableColumns count="15">
    <tableColumn id="1" name="Code" totalsRowLabel="Total" totalsRowDxfId="44" dataCellStyle="D - bottom border"/>
    <tableColumn id="2" name="Description" totalsRowLabel="Total" totalsRowDxfId="43" dataCellStyle="D - bottom border"/>
    <tableColumn id="3" name="Notes" totalsRowDxfId="42" dataCellStyle="D - bottom border"/>
    <tableColumn id="4" name="Emission code" totalsRowDxfId="41" dataCellStyle="D - bottom border"/>
    <tableColumn id="5" name="Description 2" totalsRowDxfId="40" dataCellStyle="D - bottom border"/>
    <tableColumn id="6" name="IPCC emissions sector" totalsRowDxfId="39" dataCellStyle="D - bottom border"/>
    <tableColumn id="7" name="2011" totalsRowFunction="sum" totalsRowDxfId="38" dataCellStyle="D - bottom border"/>
    <tableColumn id="8" name="2012" totalsRowDxfId="37" dataCellStyle="D - bottom border"/>
    <tableColumn id="9" name="2013" totalsRowDxfId="36" dataCellStyle="D - bottom border"/>
    <tableColumn id="10" name="2014" totalsRowDxfId="35" dataCellStyle="D - bottom border"/>
    <tableColumn id="11" name="2015" totalsRowDxfId="34" dataCellStyle="D - bottom border"/>
    <tableColumn id="12" name="2016" totalsRowDxfId="33" dataCellStyle="D - bottom border"/>
    <tableColumn id="13" name="2017" totalsRowDxfId="32" dataCellStyle="D - bottom border"/>
    <tableColumn id="14" name="2018" totalsRowDxfId="31" dataCellStyle="D - bottom border"/>
    <tableColumn id="15" name="2019" totalsRowDxfId="30" dataCellStyle="D - bottom border"/>
  </tableColumns>
  <tableStyleInfo name="EnergyCalcTables" showFirstColumn="0" showLastColumn="0" showRowStripes="1" showColumnStripes="0"/>
</table>
</file>

<file path=xl/tables/table70.xml><?xml version="1.0" encoding="utf-8"?>
<table xmlns="http://schemas.openxmlformats.org/spreadsheetml/2006/main" id="275" name="G.30.N2O" displayName="G.30.N2O" ref="C328:Q389" totalsRowCount="1" totalsRowDxfId="80" headerRowCellStyle="D - headers">
  <autoFilter ref="C328:Q388"/>
  <tableColumns count="15">
    <tableColumn id="1" name="Code" totalsRowLabel="Total" dataDxfId="79" totalsRowDxfId="59" dataCellStyle="D - bottom border"/>
    <tableColumn id="2" name="Description" totalsRowLabel="Total" dataDxfId="78" totalsRowDxfId="58" dataCellStyle="D - bottom border"/>
    <tableColumn id="3" name="Notes" dataDxfId="77" totalsRowDxfId="57" dataCellStyle="D - bottom border"/>
    <tableColumn id="4" name="Emission code" dataDxfId="76" totalsRowDxfId="56" dataCellStyle="D - bottom border"/>
    <tableColumn id="5" name="Description 2" dataDxfId="75" totalsRowDxfId="55" dataCellStyle="D - bottom border"/>
    <tableColumn id="6" name="IPCC emissions sector" dataDxfId="74" totalsRowDxfId="54" dataCellStyle="D - bottom border"/>
    <tableColumn id="7" name="2011" totalsRowFunction="sum" dataDxfId="73" totalsRowDxfId="53" dataCellStyle="D - bottom border"/>
    <tableColumn id="8" name="2012" dataDxfId="72" totalsRowDxfId="52" dataCellStyle="D - bottom border"/>
    <tableColumn id="9" name="2013" dataDxfId="71" totalsRowDxfId="51" dataCellStyle="D - bottom border"/>
    <tableColumn id="10" name="2014" dataDxfId="70" totalsRowDxfId="50" dataCellStyle="D - bottom border"/>
    <tableColumn id="11" name="2015" dataDxfId="69" totalsRowDxfId="49" dataCellStyle="D - bottom border"/>
    <tableColumn id="12" name="2016" dataDxfId="68" totalsRowDxfId="48" dataCellStyle="D - bottom border"/>
    <tableColumn id="13" name="2017" dataDxfId="67" totalsRowDxfId="47" dataCellStyle="D - bottom border"/>
    <tableColumn id="14" name="2018" dataDxfId="66" totalsRowDxfId="46" dataCellStyle="D - bottom border"/>
    <tableColumn id="15" name="2019" dataDxfId="65" totalsRowDxfId="45" dataCellStyle="D - bottom border"/>
  </tableColumns>
  <tableStyleInfo name="EnergyCalcTables" showFirstColumn="0" showLastColumn="0" showRowStripes="1" showColumnStripes="0"/>
</table>
</file>

<file path=xl/tables/table71.xml><?xml version="1.0" encoding="utf-8"?>
<table xmlns="http://schemas.openxmlformats.org/spreadsheetml/2006/main" id="73" name="Glossary" displayName="Glossary" ref="B4:E18" totalsRowShown="0" dataDxfId="64" headerRowCellStyle="Calculations header right">
  <autoFilter ref="B4:E18"/>
  <sortState ref="B6:D19">
    <sortCondition ref="B5:B19"/>
  </sortState>
  <tableColumns count="4">
    <tableColumn id="1" name="Title" dataDxfId="63"/>
    <tableColumn id="2" name="Definition" dataDxfId="62"/>
    <tableColumn id="4" name="." dataDxfId="61"/>
    <tableColumn id="3" name="Source" dataDxfId="60"/>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1" Type="http://schemas.openxmlformats.org/officeDocument/2006/relationships/table" Target="../tables/table10.xml"/><Relationship Id="rId12" Type="http://schemas.openxmlformats.org/officeDocument/2006/relationships/table" Target="../tables/table11.xml"/><Relationship Id="rId13" Type="http://schemas.openxmlformats.org/officeDocument/2006/relationships/table" Target="../tables/table12.xml"/><Relationship Id="rId1" Type="http://schemas.openxmlformats.org/officeDocument/2006/relationships/hyperlink" Target="http://www.ipcc-nggip.iges.or.jp/public/gl/guidelin/ch1ri.pdf" TargetMode="External"/><Relationship Id="rId2" Type="http://schemas.openxmlformats.org/officeDocument/2006/relationships/table" Target="../tables/table1.xml"/><Relationship Id="rId3" Type="http://schemas.openxmlformats.org/officeDocument/2006/relationships/table" Target="../tables/table2.xml"/><Relationship Id="rId4" Type="http://schemas.openxmlformats.org/officeDocument/2006/relationships/table" Target="../tables/table3.xml"/><Relationship Id="rId5" Type="http://schemas.openxmlformats.org/officeDocument/2006/relationships/table" Target="../tables/table4.xml"/><Relationship Id="rId6" Type="http://schemas.openxmlformats.org/officeDocument/2006/relationships/table" Target="../tables/table5.xml"/><Relationship Id="rId7" Type="http://schemas.openxmlformats.org/officeDocument/2006/relationships/table" Target="../tables/table6.xml"/><Relationship Id="rId8" Type="http://schemas.openxmlformats.org/officeDocument/2006/relationships/table" Target="../tables/table7.xml"/><Relationship Id="rId9" Type="http://schemas.openxmlformats.org/officeDocument/2006/relationships/table" Target="../tables/table8.xml"/><Relationship Id="rId10"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hyperlink" Target="http://data.giss.nasa.gov/modelforce/ghgases/Fig1A.ext.txt" TargetMode="External"/><Relationship Id="rId2" Type="http://schemas.openxmlformats.org/officeDocument/2006/relationships/table" Target="../tables/table13.xml"/><Relationship Id="rId3"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7.xml"/><Relationship Id="rId4" Type="http://schemas.openxmlformats.org/officeDocument/2006/relationships/table" Target="../tables/table18.xml"/><Relationship Id="rId1" Type="http://schemas.openxmlformats.org/officeDocument/2006/relationships/drawing" Target="../drawings/drawing5.xml"/><Relationship Id="rId2" Type="http://schemas.openxmlformats.org/officeDocument/2006/relationships/table" Target="../tables/table16.xml"/></Relationships>
</file>

<file path=xl/worksheets/_rels/sheet13.xml.rels><?xml version="1.0" encoding="UTF-8" standalone="yes"?>
<Relationships xmlns="http://schemas.openxmlformats.org/package/2006/relationships"><Relationship Id="rId46" Type="http://schemas.openxmlformats.org/officeDocument/2006/relationships/table" Target="../tables/table62.xml"/><Relationship Id="rId47" Type="http://schemas.openxmlformats.org/officeDocument/2006/relationships/table" Target="../tables/table63.xml"/><Relationship Id="rId48" Type="http://schemas.openxmlformats.org/officeDocument/2006/relationships/table" Target="../tables/table64.xml"/><Relationship Id="rId49" Type="http://schemas.openxmlformats.org/officeDocument/2006/relationships/table" Target="../tables/table65.xml"/><Relationship Id="rId20" Type="http://schemas.openxmlformats.org/officeDocument/2006/relationships/table" Target="../tables/table36.xml"/><Relationship Id="rId21" Type="http://schemas.openxmlformats.org/officeDocument/2006/relationships/table" Target="../tables/table37.xml"/><Relationship Id="rId22" Type="http://schemas.openxmlformats.org/officeDocument/2006/relationships/table" Target="../tables/table38.xml"/><Relationship Id="rId23" Type="http://schemas.openxmlformats.org/officeDocument/2006/relationships/table" Target="../tables/table39.xml"/><Relationship Id="rId24" Type="http://schemas.openxmlformats.org/officeDocument/2006/relationships/table" Target="../tables/table40.xml"/><Relationship Id="rId25" Type="http://schemas.openxmlformats.org/officeDocument/2006/relationships/table" Target="../tables/table41.xml"/><Relationship Id="rId26" Type="http://schemas.openxmlformats.org/officeDocument/2006/relationships/table" Target="../tables/table42.xml"/><Relationship Id="rId27" Type="http://schemas.openxmlformats.org/officeDocument/2006/relationships/table" Target="../tables/table43.xml"/><Relationship Id="rId28" Type="http://schemas.openxmlformats.org/officeDocument/2006/relationships/table" Target="../tables/table44.xml"/><Relationship Id="rId29" Type="http://schemas.openxmlformats.org/officeDocument/2006/relationships/table" Target="../tables/table45.xml"/><Relationship Id="rId50" Type="http://schemas.openxmlformats.org/officeDocument/2006/relationships/table" Target="../tables/table66.xml"/><Relationship Id="rId51" Type="http://schemas.openxmlformats.org/officeDocument/2006/relationships/comments" Target="../comments1.xml"/><Relationship Id="rId1" Type="http://schemas.openxmlformats.org/officeDocument/2006/relationships/drawing" Target="../drawings/drawing6.xml"/><Relationship Id="rId2" Type="http://schemas.openxmlformats.org/officeDocument/2006/relationships/vmlDrawing" Target="../drawings/vmlDrawing1.vml"/><Relationship Id="rId3" Type="http://schemas.openxmlformats.org/officeDocument/2006/relationships/table" Target="../tables/table19.xml"/><Relationship Id="rId4" Type="http://schemas.openxmlformats.org/officeDocument/2006/relationships/table" Target="../tables/table20.xml"/><Relationship Id="rId5" Type="http://schemas.openxmlformats.org/officeDocument/2006/relationships/table" Target="../tables/table21.xml"/><Relationship Id="rId30" Type="http://schemas.openxmlformats.org/officeDocument/2006/relationships/table" Target="../tables/table46.xml"/><Relationship Id="rId31" Type="http://schemas.openxmlformats.org/officeDocument/2006/relationships/table" Target="../tables/table47.xml"/><Relationship Id="rId32" Type="http://schemas.openxmlformats.org/officeDocument/2006/relationships/table" Target="../tables/table48.xml"/><Relationship Id="rId9" Type="http://schemas.openxmlformats.org/officeDocument/2006/relationships/table" Target="../tables/table25.xml"/><Relationship Id="rId6" Type="http://schemas.openxmlformats.org/officeDocument/2006/relationships/table" Target="../tables/table22.xml"/><Relationship Id="rId7" Type="http://schemas.openxmlformats.org/officeDocument/2006/relationships/table" Target="../tables/table23.xml"/><Relationship Id="rId8" Type="http://schemas.openxmlformats.org/officeDocument/2006/relationships/table" Target="../tables/table24.xml"/><Relationship Id="rId33" Type="http://schemas.openxmlformats.org/officeDocument/2006/relationships/table" Target="../tables/table49.xml"/><Relationship Id="rId34" Type="http://schemas.openxmlformats.org/officeDocument/2006/relationships/table" Target="../tables/table50.xml"/><Relationship Id="rId35" Type="http://schemas.openxmlformats.org/officeDocument/2006/relationships/table" Target="../tables/table51.xml"/><Relationship Id="rId36" Type="http://schemas.openxmlformats.org/officeDocument/2006/relationships/table" Target="../tables/table52.xml"/><Relationship Id="rId10" Type="http://schemas.openxmlformats.org/officeDocument/2006/relationships/table" Target="../tables/table26.xml"/><Relationship Id="rId11" Type="http://schemas.openxmlformats.org/officeDocument/2006/relationships/table" Target="../tables/table27.xml"/><Relationship Id="rId12" Type="http://schemas.openxmlformats.org/officeDocument/2006/relationships/table" Target="../tables/table28.xml"/><Relationship Id="rId13" Type="http://schemas.openxmlformats.org/officeDocument/2006/relationships/table" Target="../tables/table29.xml"/><Relationship Id="rId14" Type="http://schemas.openxmlformats.org/officeDocument/2006/relationships/table" Target="../tables/table30.xml"/><Relationship Id="rId15" Type="http://schemas.openxmlformats.org/officeDocument/2006/relationships/table" Target="../tables/table31.xml"/><Relationship Id="rId16" Type="http://schemas.openxmlformats.org/officeDocument/2006/relationships/table" Target="../tables/table32.xml"/><Relationship Id="rId17" Type="http://schemas.openxmlformats.org/officeDocument/2006/relationships/table" Target="../tables/table33.xml"/><Relationship Id="rId18" Type="http://schemas.openxmlformats.org/officeDocument/2006/relationships/table" Target="../tables/table34.xml"/><Relationship Id="rId19" Type="http://schemas.openxmlformats.org/officeDocument/2006/relationships/table" Target="../tables/table35.xml"/><Relationship Id="rId37" Type="http://schemas.openxmlformats.org/officeDocument/2006/relationships/table" Target="../tables/table53.xml"/><Relationship Id="rId38" Type="http://schemas.openxmlformats.org/officeDocument/2006/relationships/table" Target="../tables/table54.xml"/><Relationship Id="rId39" Type="http://schemas.openxmlformats.org/officeDocument/2006/relationships/table" Target="../tables/table55.xml"/><Relationship Id="rId40" Type="http://schemas.openxmlformats.org/officeDocument/2006/relationships/table" Target="../tables/table56.xml"/><Relationship Id="rId41" Type="http://schemas.openxmlformats.org/officeDocument/2006/relationships/table" Target="../tables/table57.xml"/><Relationship Id="rId42" Type="http://schemas.openxmlformats.org/officeDocument/2006/relationships/table" Target="../tables/table58.xml"/><Relationship Id="rId43" Type="http://schemas.openxmlformats.org/officeDocument/2006/relationships/table" Target="../tables/table59.xml"/><Relationship Id="rId44" Type="http://schemas.openxmlformats.org/officeDocument/2006/relationships/table" Target="../tables/table60.xml"/><Relationship Id="rId45" Type="http://schemas.openxmlformats.org/officeDocument/2006/relationships/table" Target="../tables/table6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67.xml"/><Relationship Id="rId4" Type="http://schemas.openxmlformats.org/officeDocument/2006/relationships/table" Target="../tables/table68.xml"/><Relationship Id="rId5" Type="http://schemas.openxmlformats.org/officeDocument/2006/relationships/table" Target="../tables/table69.xml"/><Relationship Id="rId6" Type="http://schemas.openxmlformats.org/officeDocument/2006/relationships/table" Target="../tables/table70.xml"/><Relationship Id="rId7" Type="http://schemas.openxmlformats.org/officeDocument/2006/relationships/comments" Target="../comments2.xml"/><Relationship Id="rId1" Type="http://schemas.openxmlformats.org/officeDocument/2006/relationships/drawing" Target="../drawings/drawing7.xml"/><Relationship Id="rId2" Type="http://schemas.openxmlformats.org/officeDocument/2006/relationships/vmlDrawing" Target="../drawings/vmlDrawing2.vml"/></Relationships>
</file>

<file path=xl/worksheets/_rels/sheet18.xml.rels><?xml version="1.0" encoding="UTF-8" standalone="yes"?>
<Relationships xmlns="http://schemas.openxmlformats.org/package/2006/relationships"><Relationship Id="rId1" Type="http://schemas.openxmlformats.org/officeDocument/2006/relationships/table" Target="../tables/table7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sheetPr>
  <dimension ref="B2:AA55"/>
  <sheetViews>
    <sheetView showGridLines="0" workbookViewId="0">
      <selection activeCell="AA3" sqref="AA3"/>
    </sheetView>
  </sheetViews>
  <sheetFormatPr baseColWidth="10" defaultColWidth="8.83203125" defaultRowHeight="14" x14ac:dyDescent="0"/>
  <cols>
    <col min="1" max="1" width="4.33203125" customWidth="1"/>
    <col min="2" max="3" width="4.33203125" style="23" customWidth="1"/>
    <col min="5" max="8" width="8.83203125" style="23"/>
    <col min="25" max="25" width="6.6640625" customWidth="1"/>
    <col min="26" max="26" width="10.5" customWidth="1"/>
    <col min="27" max="27" width="12" customWidth="1"/>
  </cols>
  <sheetData>
    <row r="2" spans="2:27" s="23" customFormat="1" ht="20">
      <c r="B2" s="57"/>
      <c r="Z2" s="9" t="s">
        <v>690</v>
      </c>
      <c r="AA2" s="9" t="s">
        <v>2533</v>
      </c>
    </row>
    <row r="3" spans="2:27" s="23" customFormat="1"/>
    <row r="4" spans="2:27" s="23" customFormat="1"/>
    <row r="5" spans="2:27" s="23" customFormat="1">
      <c r="F5"/>
      <c r="G5"/>
      <c r="H5"/>
      <c r="I5"/>
      <c r="J5"/>
      <c r="K5"/>
      <c r="L5"/>
      <c r="M5"/>
      <c r="N5"/>
      <c r="O5"/>
      <c r="P5"/>
      <c r="Q5"/>
      <c r="R5"/>
      <c r="S5"/>
      <c r="T5"/>
      <c r="U5"/>
      <c r="V5"/>
    </row>
    <row r="6" spans="2:27" s="23" customFormat="1">
      <c r="F6"/>
      <c r="G6"/>
      <c r="H6"/>
      <c r="I6"/>
      <c r="J6"/>
      <c r="K6"/>
      <c r="L6"/>
      <c r="M6"/>
      <c r="N6"/>
      <c r="P6"/>
      <c r="Q6"/>
      <c r="R6"/>
      <c r="S6"/>
      <c r="T6"/>
      <c r="U6"/>
      <c r="V6"/>
    </row>
    <row r="7" spans="2:27" s="23" customFormat="1">
      <c r="F7"/>
      <c r="G7"/>
      <c r="H7"/>
      <c r="I7"/>
      <c r="J7"/>
      <c r="K7"/>
      <c r="L7"/>
      <c r="M7"/>
      <c r="N7"/>
      <c r="O7"/>
      <c r="P7"/>
      <c r="Q7"/>
      <c r="R7"/>
      <c r="S7"/>
      <c r="T7"/>
      <c r="U7"/>
      <c r="V7"/>
    </row>
    <row r="8" spans="2:27" s="23" customFormat="1" ht="36">
      <c r="F8"/>
      <c r="G8"/>
      <c r="H8" s="29"/>
      <c r="I8"/>
      <c r="J8"/>
      <c r="K8"/>
      <c r="L8"/>
      <c r="M8"/>
      <c r="N8"/>
      <c r="O8"/>
      <c r="P8"/>
      <c r="Q8"/>
      <c r="R8"/>
      <c r="S8"/>
      <c r="T8"/>
      <c r="U8"/>
      <c r="V8"/>
    </row>
    <row r="9" spans="2:27" s="23" customFormat="1">
      <c r="F9"/>
      <c r="G9"/>
      <c r="H9"/>
      <c r="I9"/>
      <c r="J9"/>
      <c r="K9"/>
      <c r="L9"/>
      <c r="M9"/>
      <c r="N9"/>
      <c r="O9"/>
      <c r="P9"/>
      <c r="Q9"/>
      <c r="R9"/>
      <c r="S9"/>
      <c r="T9"/>
      <c r="U9"/>
      <c r="V9"/>
    </row>
    <row r="10" spans="2:27" s="23" customFormat="1">
      <c r="F10"/>
      <c r="G10"/>
      <c r="H10"/>
      <c r="I10"/>
      <c r="J10"/>
      <c r="K10"/>
      <c r="L10"/>
      <c r="M10"/>
      <c r="N10"/>
      <c r="O10"/>
      <c r="P10"/>
      <c r="Q10"/>
      <c r="R10"/>
      <c r="S10"/>
      <c r="T10"/>
      <c r="U10"/>
      <c r="V10"/>
    </row>
    <row r="11" spans="2:27" s="23" customFormat="1">
      <c r="F11"/>
      <c r="G11"/>
      <c r="H11"/>
      <c r="I11"/>
      <c r="J11"/>
      <c r="K11"/>
      <c r="L11"/>
      <c r="M11"/>
      <c r="N11"/>
      <c r="O11"/>
      <c r="P11"/>
      <c r="Q11"/>
      <c r="R11"/>
      <c r="S11"/>
      <c r="T11"/>
      <c r="U11"/>
      <c r="V11"/>
    </row>
    <row r="12" spans="2:27" s="23" customFormat="1">
      <c r="F12"/>
      <c r="G12"/>
      <c r="H12"/>
      <c r="I12"/>
      <c r="J12"/>
      <c r="K12"/>
      <c r="L12"/>
      <c r="M12"/>
      <c r="N12"/>
      <c r="O12"/>
      <c r="P12"/>
      <c r="Q12"/>
      <c r="R12"/>
      <c r="S12"/>
      <c r="T12"/>
      <c r="U12"/>
      <c r="V12"/>
    </row>
    <row r="13" spans="2:27" s="23" customFormat="1">
      <c r="F13"/>
      <c r="G13"/>
      <c r="H13"/>
      <c r="I13"/>
      <c r="J13"/>
      <c r="K13"/>
      <c r="L13"/>
      <c r="M13"/>
      <c r="N13"/>
      <c r="O13"/>
      <c r="P13"/>
      <c r="Q13"/>
      <c r="R13"/>
      <c r="S13"/>
      <c r="T13"/>
      <c r="U13"/>
      <c r="V13"/>
    </row>
    <row r="14" spans="2:27">
      <c r="F14"/>
      <c r="G14"/>
      <c r="H14"/>
    </row>
    <row r="15" spans="2:27">
      <c r="F15"/>
      <c r="G15"/>
      <c r="H15"/>
    </row>
    <row r="16" spans="2:27">
      <c r="F16"/>
      <c r="G16"/>
      <c r="H16"/>
    </row>
    <row r="17" spans="6:8">
      <c r="F17"/>
      <c r="G17"/>
      <c r="H17"/>
    </row>
    <row r="18" spans="6:8">
      <c r="F18"/>
      <c r="G18"/>
      <c r="H18"/>
    </row>
    <row r="19" spans="6:8">
      <c r="F19"/>
      <c r="G19"/>
      <c r="H19"/>
    </row>
    <row r="20" spans="6:8">
      <c r="F20"/>
      <c r="G20"/>
      <c r="H20"/>
    </row>
    <row r="21" spans="6:8">
      <c r="F21"/>
      <c r="G21"/>
      <c r="H21"/>
    </row>
    <row r="22" spans="6:8">
      <c r="F22"/>
      <c r="G22"/>
      <c r="H22"/>
    </row>
    <row r="23" spans="6:8">
      <c r="F23"/>
      <c r="G23"/>
      <c r="H23"/>
    </row>
    <row r="24" spans="6:8">
      <c r="F24"/>
      <c r="G24"/>
      <c r="H24"/>
    </row>
    <row r="25" spans="6:8">
      <c r="F25"/>
      <c r="G25"/>
      <c r="H25"/>
    </row>
    <row r="26" spans="6:8">
      <c r="F26"/>
      <c r="G26"/>
      <c r="H26"/>
    </row>
    <row r="27" spans="6:8">
      <c r="F27"/>
      <c r="G27"/>
      <c r="H27"/>
    </row>
    <row r="28" spans="6:8">
      <c r="F28"/>
      <c r="G28"/>
      <c r="H28"/>
    </row>
    <row r="29" spans="6:8">
      <c r="F29"/>
      <c r="G29"/>
      <c r="H29"/>
    </row>
    <row r="30" spans="6:8">
      <c r="F30"/>
      <c r="G30"/>
      <c r="H30"/>
    </row>
    <row r="31" spans="6:8">
      <c r="F31"/>
      <c r="G31"/>
      <c r="H31"/>
    </row>
    <row r="32" spans="6:8">
      <c r="F32"/>
      <c r="G32"/>
      <c r="H32"/>
    </row>
    <row r="33" spans="6:8">
      <c r="F33"/>
      <c r="G33"/>
      <c r="H33"/>
    </row>
    <row r="34" spans="6:8">
      <c r="F34"/>
      <c r="G34"/>
      <c r="H34"/>
    </row>
    <row r="35" spans="6:8">
      <c r="F35"/>
      <c r="G35"/>
      <c r="H35"/>
    </row>
    <row r="36" spans="6:8">
      <c r="F36"/>
      <c r="G36"/>
      <c r="H36"/>
    </row>
    <row r="37" spans="6:8">
      <c r="F37"/>
      <c r="G37"/>
      <c r="H37"/>
    </row>
    <row r="38" spans="6:8">
      <c r="F38"/>
      <c r="G38"/>
      <c r="H38"/>
    </row>
    <row r="39" spans="6:8">
      <c r="F39"/>
      <c r="G39"/>
      <c r="H39"/>
    </row>
    <row r="40" spans="6:8">
      <c r="F40"/>
      <c r="G40"/>
      <c r="H40"/>
    </row>
    <row r="41" spans="6:8">
      <c r="F41"/>
      <c r="G41"/>
      <c r="H41"/>
    </row>
    <row r="42" spans="6:8">
      <c r="F42"/>
      <c r="G42"/>
      <c r="H42"/>
    </row>
    <row r="43" spans="6:8">
      <c r="F43"/>
      <c r="G43"/>
      <c r="H43"/>
    </row>
    <row r="44" spans="6:8">
      <c r="F44"/>
      <c r="G44"/>
      <c r="H44"/>
    </row>
    <row r="45" spans="6:8">
      <c r="F45"/>
      <c r="G45"/>
      <c r="H45"/>
    </row>
    <row r="46" spans="6:8">
      <c r="F46"/>
      <c r="G46"/>
      <c r="H46"/>
    </row>
    <row r="47" spans="6:8">
      <c r="F47"/>
      <c r="G47"/>
      <c r="H47"/>
    </row>
    <row r="48" spans="6:8">
      <c r="H48"/>
    </row>
    <row r="49" spans="8:8">
      <c r="H49"/>
    </row>
    <row r="50" spans="8:8">
      <c r="H50"/>
    </row>
    <row r="51" spans="8:8">
      <c r="H51"/>
    </row>
    <row r="52" spans="8:8">
      <c r="H52"/>
    </row>
    <row r="53" spans="8:8">
      <c r="H53"/>
    </row>
    <row r="54" spans="8:8">
      <c r="H54"/>
    </row>
    <row r="55" spans="8:8">
      <c r="H55"/>
    </row>
  </sheetData>
  <phoneticPr fontId="79" type="noConversion"/>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sheetPr>
  <dimension ref="B1:G94"/>
  <sheetViews>
    <sheetView showGridLines="0" workbookViewId="0"/>
  </sheetViews>
  <sheetFormatPr baseColWidth="10" defaultColWidth="8.83203125" defaultRowHeight="14" x14ac:dyDescent="0"/>
  <cols>
    <col min="1" max="1" width="3" customWidth="1"/>
    <col min="2" max="2" width="22.83203125" customWidth="1"/>
    <col min="3" max="3" width="7.1640625" customWidth="1"/>
    <col min="4" max="4" width="97.5" bestFit="1" customWidth="1"/>
    <col min="5" max="5" width="5.5" customWidth="1"/>
  </cols>
  <sheetData>
    <row r="1" spans="2:6" ht="8.25" customHeight="1"/>
    <row r="2" spans="2:6" ht="20">
      <c r="B2" s="9" t="s">
        <v>343</v>
      </c>
      <c r="D2" s="57"/>
    </row>
    <row r="3" spans="2:6" s="54" customFormat="1" ht="8">
      <c r="B3" s="106"/>
    </row>
    <row r="4" spans="2:6" s="54" customFormat="1" ht="15">
      <c r="B4" s="15" t="s">
        <v>1710</v>
      </c>
      <c r="D4" s="15"/>
    </row>
    <row r="5" spans="2:6" s="54" customFormat="1" ht="8">
      <c r="B5" s="106"/>
    </row>
    <row r="6" spans="2:6" s="23" customFormat="1" ht="12.75" customHeight="1">
      <c r="B6" s="12" t="s">
        <v>356</v>
      </c>
      <c r="C6" s="40"/>
      <c r="D6" s="101" t="s">
        <v>669</v>
      </c>
      <c r="F6" s="15"/>
    </row>
    <row r="7" spans="2:6" s="54" customFormat="1" ht="8">
      <c r="B7" s="106"/>
    </row>
    <row r="8" spans="2:6">
      <c r="B8" s="12" t="s">
        <v>670</v>
      </c>
      <c r="C8" s="7"/>
      <c r="D8" s="101" t="s">
        <v>344</v>
      </c>
      <c r="F8" s="30"/>
    </row>
    <row r="9" spans="2:6" s="54" customFormat="1" ht="8">
      <c r="B9" s="106"/>
    </row>
    <row r="10" spans="2:6">
      <c r="B10" s="10" t="s">
        <v>671</v>
      </c>
      <c r="D10" s="101" t="s">
        <v>348</v>
      </c>
      <c r="F10" s="30"/>
    </row>
    <row r="11" spans="2:6" s="54" customFormat="1" ht="8">
      <c r="B11" s="106"/>
    </row>
    <row r="12" spans="2:6" s="54" customFormat="1">
      <c r="B12" s="147" t="s">
        <v>1131</v>
      </c>
      <c r="D12" s="101" t="s">
        <v>1132</v>
      </c>
    </row>
    <row r="13" spans="2:6" s="54" customFormat="1" ht="8">
      <c r="B13" s="106"/>
    </row>
    <row r="14" spans="2:6" s="54" customFormat="1" ht="15">
      <c r="B14" s="15" t="s">
        <v>18</v>
      </c>
      <c r="D14" s="15"/>
    </row>
    <row r="15" spans="2:6" s="54" customFormat="1" ht="8">
      <c r="B15" s="106"/>
    </row>
    <row r="16" spans="2:6">
      <c r="B16" s="10" t="s">
        <v>672</v>
      </c>
      <c r="D16" s="101" t="s">
        <v>347</v>
      </c>
      <c r="F16" s="30"/>
    </row>
    <row r="17" spans="2:7" s="54" customFormat="1" ht="8">
      <c r="B17" s="106"/>
    </row>
    <row r="18" spans="2:7">
      <c r="B18" s="10" t="s">
        <v>676</v>
      </c>
      <c r="D18" s="101" t="s">
        <v>345</v>
      </c>
      <c r="F18" s="30"/>
    </row>
    <row r="19" spans="2:7" s="54" customFormat="1" ht="8">
      <c r="B19" s="106"/>
    </row>
    <row r="20" spans="2:7">
      <c r="B20" s="10" t="s">
        <v>678</v>
      </c>
      <c r="D20" s="101" t="s">
        <v>346</v>
      </c>
      <c r="F20" s="31"/>
    </row>
    <row r="21" spans="2:7" s="54" customFormat="1" ht="8">
      <c r="B21" s="106"/>
    </row>
    <row r="22" spans="2:7">
      <c r="B22" s="10" t="s">
        <v>677</v>
      </c>
      <c r="D22" s="101" t="s">
        <v>679</v>
      </c>
      <c r="F22" s="31"/>
      <c r="G22" s="98"/>
    </row>
    <row r="23" spans="2:7" s="54" customFormat="1" ht="8">
      <c r="B23" s="106"/>
    </row>
    <row r="24" spans="2:7" s="111" customFormat="1">
      <c r="B24" s="10" t="s">
        <v>682</v>
      </c>
      <c r="D24" s="101" t="s">
        <v>680</v>
      </c>
    </row>
    <row r="25" spans="2:7" s="54" customFormat="1" ht="8">
      <c r="B25" s="106"/>
    </row>
    <row r="26" spans="2:7">
      <c r="B26" s="10" t="s">
        <v>681</v>
      </c>
      <c r="D26" s="101" t="s">
        <v>349</v>
      </c>
      <c r="F26" s="30"/>
    </row>
    <row r="27" spans="2:7" s="54" customFormat="1" ht="8">
      <c r="B27" s="106"/>
    </row>
    <row r="28" spans="2:7" s="54" customFormat="1" ht="15">
      <c r="B28" s="15" t="s">
        <v>1711</v>
      </c>
    </row>
    <row r="29" spans="2:7" s="54" customFormat="1" ht="8">
      <c r="B29" s="106"/>
    </row>
    <row r="30" spans="2:7">
      <c r="B30" s="10" t="s">
        <v>270</v>
      </c>
      <c r="D30" s="101" t="s">
        <v>1717</v>
      </c>
      <c r="F30" s="30"/>
    </row>
    <row r="31" spans="2:7" s="54" customFormat="1" ht="8">
      <c r="B31" s="106"/>
    </row>
    <row r="32" spans="2:7">
      <c r="B32" s="10" t="s">
        <v>341</v>
      </c>
      <c r="D32" s="101" t="s">
        <v>1716</v>
      </c>
    </row>
    <row r="33" spans="2:6" s="54" customFormat="1" ht="8">
      <c r="B33" s="106"/>
    </row>
    <row r="34" spans="2:6">
      <c r="B34" s="10" t="s">
        <v>351</v>
      </c>
      <c r="D34" s="101" t="s">
        <v>1715</v>
      </c>
      <c r="F34" s="30"/>
    </row>
    <row r="35" spans="2:6" s="54" customFormat="1" ht="8">
      <c r="B35" s="106"/>
    </row>
    <row r="36" spans="2:6">
      <c r="B36" s="10" t="s">
        <v>352</v>
      </c>
      <c r="D36" s="101" t="s">
        <v>1714</v>
      </c>
      <c r="F36" s="30"/>
    </row>
    <row r="37" spans="2:6" s="54" customFormat="1" ht="8">
      <c r="B37" s="106"/>
    </row>
    <row r="38" spans="2:6" s="111" customFormat="1">
      <c r="B38" s="10" t="s">
        <v>683</v>
      </c>
      <c r="D38" s="101" t="s">
        <v>2331</v>
      </c>
    </row>
    <row r="39" spans="2:6" s="54" customFormat="1" ht="8">
      <c r="B39" s="106"/>
    </row>
    <row r="40" spans="2:6" s="111" customFormat="1">
      <c r="B40" s="10" t="s">
        <v>684</v>
      </c>
      <c r="D40" s="101" t="s">
        <v>2332</v>
      </c>
    </row>
    <row r="41" spans="2:6" s="54" customFormat="1" ht="8">
      <c r="B41" s="106"/>
    </row>
    <row r="42" spans="2:6" s="111" customFormat="1">
      <c r="B42" s="10" t="s">
        <v>685</v>
      </c>
      <c r="D42" s="101" t="s">
        <v>2333</v>
      </c>
    </row>
    <row r="43" spans="2:6" s="54" customFormat="1" ht="8">
      <c r="B43" s="106"/>
    </row>
    <row r="44" spans="2:6" s="111" customFormat="1">
      <c r="B44" s="10" t="s">
        <v>686</v>
      </c>
      <c r="D44" s="101" t="s">
        <v>2334</v>
      </c>
    </row>
    <row r="45" spans="2:6" s="54" customFormat="1" ht="8">
      <c r="B45" s="106"/>
    </row>
    <row r="46" spans="2:6" s="111" customFormat="1">
      <c r="B46" s="10" t="s">
        <v>687</v>
      </c>
      <c r="D46" s="101" t="s">
        <v>2335</v>
      </c>
    </row>
    <row r="47" spans="2:6" s="54" customFormat="1" ht="8">
      <c r="B47" s="106"/>
    </row>
    <row r="48" spans="2:6" s="111" customFormat="1">
      <c r="B48" s="10" t="s">
        <v>688</v>
      </c>
      <c r="D48" s="101" t="s">
        <v>2336</v>
      </c>
    </row>
    <row r="49" spans="2:4" s="54" customFormat="1" ht="8">
      <c r="B49" s="106"/>
    </row>
    <row r="50" spans="2:4" s="111" customFormat="1">
      <c r="B50" s="10" t="s">
        <v>689</v>
      </c>
      <c r="D50" s="101" t="s">
        <v>2337</v>
      </c>
    </row>
    <row r="51" spans="2:4" s="54" customFormat="1" ht="8">
      <c r="B51" s="106"/>
    </row>
    <row r="52" spans="2:4" s="219" customFormat="1">
      <c r="B52" s="147" t="s">
        <v>1704</v>
      </c>
      <c r="D52" s="101" t="s">
        <v>2338</v>
      </c>
    </row>
    <row r="53" spans="2:4" s="54" customFormat="1" ht="8">
      <c r="B53" s="106"/>
    </row>
    <row r="54" spans="2:4" s="54" customFormat="1" ht="15">
      <c r="B54" s="15" t="s">
        <v>1712</v>
      </c>
    </row>
    <row r="55" spans="2:4" s="54" customFormat="1" ht="8">
      <c r="B55" s="106"/>
    </row>
    <row r="56" spans="2:4" s="111" customFormat="1">
      <c r="B56" s="10" t="s">
        <v>439</v>
      </c>
      <c r="D56" s="101" t="s">
        <v>1702</v>
      </c>
    </row>
    <row r="57" spans="2:4" s="54" customFormat="1" ht="8">
      <c r="B57" s="106"/>
    </row>
    <row r="58" spans="2:4" s="111" customFormat="1">
      <c r="B58" s="10" t="s">
        <v>440</v>
      </c>
      <c r="D58" s="101" t="s">
        <v>1703</v>
      </c>
    </row>
    <row r="59" spans="2:4" s="54" customFormat="1" ht="8">
      <c r="B59" s="106"/>
    </row>
    <row r="60" spans="2:4" s="111" customFormat="1">
      <c r="B60" s="10" t="s">
        <v>441</v>
      </c>
      <c r="D60" s="101" t="s">
        <v>1705</v>
      </c>
    </row>
    <row r="61" spans="2:4" s="54" customFormat="1" ht="8">
      <c r="B61" s="106"/>
    </row>
    <row r="62" spans="2:4" s="111" customFormat="1">
      <c r="B62" s="10" t="s">
        <v>442</v>
      </c>
      <c r="D62" s="101" t="s">
        <v>1706</v>
      </c>
    </row>
    <row r="63" spans="2:4" s="54" customFormat="1" ht="8">
      <c r="B63" s="106"/>
    </row>
    <row r="64" spans="2:4" s="111" customFormat="1">
      <c r="B64" s="10" t="s">
        <v>443</v>
      </c>
      <c r="D64" s="101" t="s">
        <v>1707</v>
      </c>
    </row>
    <row r="65" spans="2:6" s="54" customFormat="1" ht="8">
      <c r="B65" s="106"/>
    </row>
    <row r="66" spans="2:6" s="111" customFormat="1">
      <c r="B66" s="10" t="s">
        <v>444</v>
      </c>
      <c r="D66" s="101" t="s">
        <v>1708</v>
      </c>
    </row>
    <row r="67" spans="2:6" s="54" customFormat="1" ht="8">
      <c r="B67" s="106"/>
    </row>
    <row r="68" spans="2:6" s="219" customFormat="1">
      <c r="B68" s="147" t="s">
        <v>272</v>
      </c>
      <c r="D68" s="101" t="s">
        <v>1709</v>
      </c>
    </row>
    <row r="69" spans="2:6" s="54" customFormat="1" ht="8">
      <c r="B69" s="106"/>
    </row>
    <row r="70" spans="2:6" s="54" customFormat="1" ht="15">
      <c r="B70" s="15" t="s">
        <v>1713</v>
      </c>
    </row>
    <row r="71" spans="2:6" s="54" customFormat="1" ht="8">
      <c r="B71" s="106"/>
    </row>
    <row r="72" spans="2:6" s="111" customFormat="1">
      <c r="B72" s="10" t="s">
        <v>694</v>
      </c>
      <c r="D72" s="101" t="s">
        <v>695</v>
      </c>
    </row>
    <row r="73" spans="2:6" s="54" customFormat="1" ht="8">
      <c r="B73" s="106"/>
    </row>
    <row r="74" spans="2:6" s="111" customFormat="1">
      <c r="B74" s="10" t="s">
        <v>696</v>
      </c>
      <c r="D74" s="101" t="s">
        <v>698</v>
      </c>
    </row>
    <row r="75" spans="2:6" s="54" customFormat="1" ht="8">
      <c r="B75" s="106"/>
    </row>
    <row r="76" spans="2:6" s="111" customFormat="1">
      <c r="B76" s="10" t="s">
        <v>697</v>
      </c>
      <c r="D76" s="101" t="s">
        <v>699</v>
      </c>
    </row>
    <row r="77" spans="2:6" s="54" customFormat="1" ht="8">
      <c r="B77" s="106"/>
    </row>
    <row r="78" spans="2:6" s="54" customFormat="1" ht="15">
      <c r="B78" s="15" t="s">
        <v>1718</v>
      </c>
    </row>
    <row r="79" spans="2:6" s="54" customFormat="1" ht="8">
      <c r="B79" s="106"/>
    </row>
    <row r="80" spans="2:6">
      <c r="B80" s="10" t="s">
        <v>701</v>
      </c>
      <c r="D80" s="101" t="s">
        <v>702</v>
      </c>
      <c r="F80" s="30"/>
    </row>
    <row r="81" spans="2:6" s="54" customFormat="1" ht="8">
      <c r="B81" s="106"/>
    </row>
    <row r="82" spans="2:6">
      <c r="B82" s="10" t="s">
        <v>68</v>
      </c>
      <c r="D82" s="101" t="s">
        <v>703</v>
      </c>
      <c r="F82" s="31"/>
    </row>
    <row r="83" spans="2:6" ht="20">
      <c r="B83" s="9"/>
      <c r="D83" s="7"/>
    </row>
    <row r="84" spans="2:6">
      <c r="D84" s="7"/>
    </row>
    <row r="85" spans="2:6">
      <c r="B85" s="10"/>
      <c r="D85" s="7"/>
    </row>
    <row r="86" spans="2:6">
      <c r="B86" s="10"/>
      <c r="D86" s="7"/>
    </row>
    <row r="87" spans="2:6">
      <c r="B87" s="10"/>
      <c r="D87" s="7"/>
    </row>
    <row r="88" spans="2:6">
      <c r="B88" s="10"/>
      <c r="D88" s="7"/>
    </row>
    <row r="89" spans="2:6">
      <c r="B89" s="10"/>
    </row>
    <row r="90" spans="2:6">
      <c r="B90" s="10"/>
    </row>
    <row r="91" spans="2:6">
      <c r="B91" s="10"/>
    </row>
    <row r="92" spans="2:6">
      <c r="B92" s="10"/>
    </row>
    <row r="93" spans="2:6">
      <c r="B93" s="10"/>
    </row>
    <row r="94" spans="2:6">
      <c r="B94" s="10"/>
    </row>
  </sheetData>
  <phoneticPr fontId="79" type="noConversion"/>
  <hyperlinks>
    <hyperlink ref="D6" location="'User guide'!A1" display="The page where the user can find out how the model works"/>
    <hyperlink ref="D8" location="'User inputs'!A1" display="The page where the user chooses their global pathway "/>
    <hyperlink ref="D10" location="'User output preferences'!A1" display="The page where the user decides which units they want the inputs and outputs to be expressed in"/>
    <hyperlink ref="D16" location="'Outputs - Climate impacts '!A1" display="The page where the user explores the climate change impacts associated with their pathway"/>
    <hyperlink ref="D18" location="'Outputs - Emissions'!A1" display="The page where the user explores the emissions over time associated with their pathway"/>
    <hyperlink ref="D20" location="'Outputs - Energy'!A1" display="The page where the user explores the energy supply and demand consequences over time associated with their pathway"/>
    <hyperlink ref="D22" location="'Outputs - Land use, technology'!A1" display="The page where the user explores the land use and technology impacts over time associated with their pathway"/>
    <hyperlink ref="D24" location="'OUTPUTS - Costs'!A1" display="The page where the user explores the costs of their pathway"/>
    <hyperlink ref="D26" location="'Outputs - Energy flows'!A1" display="The page where the user explores how energy supply flows into energy demand in their pathway"/>
    <hyperlink ref="D38" location="'G.Universal data'!A1" display="The page where the user can see data that is not unique to one sector (for example, population data)"/>
    <hyperlink ref="D40" location="'G.10 (data)'!A1" display="The page where the user can see the input data for transport"/>
    <hyperlink ref="D42" location="'G.20 (data)'!A1" display="The page where the user can see the input data for buildings"/>
    <hyperlink ref="D44" location="'G.30 (data)'!A1" display="The page where the user can see the input data for materials"/>
    <hyperlink ref="D46" location="'G.40 (data)'!A1" display="The page where the user can see the input data for electricity generation and distribution"/>
    <hyperlink ref="D48" location="'G.50 (data)'!A1" display="The page where the user can see the input data for synthetic and fossil fuels"/>
    <hyperlink ref="D50" location="'G.60 (data)'!A1" display="The page where the user can see the input data for land, food and bioenergy"/>
    <hyperlink ref="D58" location="G.20!A1" display="The page where the user can see the calculations and outputs for sector 20 (see &quot;structure of the model&quot; sheet for the naming convention for sectors, technologies etc)"/>
    <hyperlink ref="D60" location="G.30!A1" display="The page where the user can see the calculations and outputs for sector 30 (see &quot;structure of the model&quot; sheet for the naming convention for sectors, technologies etc)"/>
    <hyperlink ref="D62" location="G.40!A1" display="The page where the user can see the calculations and outputs for sector 40 (see &quot;structure of the model&quot; sheet for the naming convention for sectors, technologies etc)"/>
    <hyperlink ref="D64" location="G.50!A1" display="The page where the user can see the calculations and outputs for sector 50 (see &quot;structure of the model&quot; sheet for the naming convention for sectors, technologies etc)"/>
    <hyperlink ref="D66" location="G.60!A1" display="The page where the user can see the calculations and outputs for sector 60 (see &quot;structure of the model&quot; sheet for the naming convention for sectors, technologies etc)"/>
    <hyperlink ref="D56" location="G.10!A1" display="The page where the user can see the calculations and outputs for sector 10 (see &quot;structure of the model&quot; sheet for the naming convention for sectors, technologies etc)"/>
    <hyperlink ref="D72" location="G.2015.energy!A1" display="The page where the user can see all the energy outputs for the year 2015"/>
    <hyperlink ref="D74" location="G.2015.emissions!A1" display="The page where the user can see all the emissions outputs for the year 2015"/>
    <hyperlink ref="D76" location="G.2015.costs!A1" display="The page where the user can see all the cost outputs for the year 2015"/>
    <hyperlink ref="D30" location="'Structure of the model'!A1" display="The page that provides the naming conventions for sectors, sub-sectors, technologies, energy vectors, emissions and costs"/>
    <hyperlink ref="D32" location="Constants!A1" display="The page where constant values are given (for example, the energy content of different fuels)"/>
    <hyperlink ref="D34" location="Conversion!A1" display="The page where all units are converted into the user's unit preference (for example, joules are converted into kWh)"/>
    <hyperlink ref="D36" location="Translation!A1" display="The page where certain text is converted into the user's preferenced language "/>
    <hyperlink ref="D80" location="'Developer notes'!A1" display="Just a bunch of notes written during the development stage as issues / ideas occur"/>
    <hyperlink ref="D82" location="'Version control'!A1" display="The page where the user can see descriptions of previous versions of the Global Calculator spreadsheet"/>
    <hyperlink ref="D12" location="'Detailed lever guides'!A1" display="The page where the user can see the explanation for each lever (user choice)"/>
    <hyperlink ref="D68" location="'Climate impacts'!A1" display="The page where the user can see the calculations and outputs for sector 60 (see &quot;structure of the model&quot; sheet for the naming convention for sectors, technologies etc)"/>
    <hyperlink ref="D52" location="'Climate (data)'!A1" display="The page where the user can see the input data for climate scienc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sheetPr>
  <dimension ref="B1:E62"/>
  <sheetViews>
    <sheetView showGridLines="0" workbookViewId="0"/>
  </sheetViews>
  <sheetFormatPr baseColWidth="10" defaultColWidth="8.83203125" defaultRowHeight="14" x14ac:dyDescent="0"/>
  <cols>
    <col min="1" max="1" width="2.6640625" style="219" customWidth="1"/>
    <col min="2" max="2" width="33.1640625" style="219" customWidth="1"/>
    <col min="3" max="3" width="9.5" style="219" customWidth="1"/>
    <col min="4" max="16" width="14.1640625" style="219" customWidth="1"/>
    <col min="17" max="16384" width="8.83203125" style="219"/>
  </cols>
  <sheetData>
    <row r="1" spans="2:5" ht="7.5" customHeight="1"/>
    <row r="2" spans="2:5" ht="20">
      <c r="B2" s="9" t="s">
        <v>356</v>
      </c>
      <c r="E2" s="99" t="s">
        <v>350</v>
      </c>
    </row>
    <row r="3" spans="2:5" ht="20">
      <c r="B3" s="9"/>
      <c r="E3" s="99"/>
    </row>
    <row r="4" spans="2:5" ht="15">
      <c r="B4" s="15" t="s">
        <v>2330</v>
      </c>
      <c r="E4" s="99"/>
    </row>
    <row r="5" spans="2:5">
      <c r="B5" s="187" t="s">
        <v>2329</v>
      </c>
    </row>
    <row r="6" spans="2:5">
      <c r="C6" s="61"/>
      <c r="D6" s="61"/>
    </row>
    <row r="7" spans="2:5" ht="15">
      <c r="B7" s="15" t="s">
        <v>673</v>
      </c>
    </row>
    <row r="8" spans="2:5">
      <c r="B8" s="219" t="s">
        <v>2328</v>
      </c>
    </row>
    <row r="9" spans="2:5">
      <c r="B9" s="264" t="s">
        <v>2327</v>
      </c>
    </row>
    <row r="10" spans="2:5">
      <c r="B10" s="264" t="s">
        <v>2326</v>
      </c>
    </row>
    <row r="12" spans="2:5" ht="15">
      <c r="B12" s="15" t="s">
        <v>674</v>
      </c>
    </row>
    <row r="13" spans="2:5">
      <c r="B13" s="219" t="s">
        <v>2325</v>
      </c>
    </row>
    <row r="14" spans="2:5">
      <c r="B14" s="264" t="s">
        <v>2324</v>
      </c>
    </row>
    <row r="15" spans="2:5">
      <c r="B15" s="264" t="s">
        <v>2323</v>
      </c>
    </row>
    <row r="16" spans="2:5">
      <c r="B16" s="264" t="s">
        <v>2322</v>
      </c>
    </row>
    <row r="17" spans="2:3">
      <c r="B17" s="264" t="s">
        <v>2321</v>
      </c>
    </row>
    <row r="18" spans="2:3">
      <c r="B18" s="264" t="s">
        <v>2319</v>
      </c>
    </row>
    <row r="19" spans="2:3">
      <c r="B19" s="264" t="s">
        <v>2320</v>
      </c>
    </row>
    <row r="20" spans="2:3">
      <c r="B20" s="264" t="s">
        <v>2319</v>
      </c>
    </row>
    <row r="21" spans="2:3">
      <c r="B21" s="264" t="s">
        <v>2318</v>
      </c>
    </row>
    <row r="22" spans="2:3" ht="15">
      <c r="B22" s="15"/>
    </row>
    <row r="23" spans="2:3">
      <c r="B23" s="46"/>
      <c r="C23" s="46" t="s">
        <v>2317</v>
      </c>
    </row>
    <row r="24" spans="2:3" ht="15">
      <c r="B24" s="15"/>
    </row>
    <row r="25" spans="2:3" ht="15">
      <c r="B25" s="15"/>
    </row>
    <row r="26" spans="2:3" ht="15">
      <c r="B26" s="15"/>
    </row>
    <row r="27" spans="2:3" ht="15">
      <c r="B27" s="15"/>
    </row>
    <row r="28" spans="2:3" ht="15">
      <c r="B28" s="15"/>
    </row>
    <row r="29" spans="2:3" ht="15">
      <c r="B29" s="15"/>
    </row>
    <row r="30" spans="2:3" ht="15">
      <c r="B30" s="15"/>
    </row>
    <row r="31" spans="2:3" ht="15">
      <c r="B31" s="15"/>
    </row>
    <row r="32" spans="2:3" ht="15">
      <c r="B32" s="15"/>
    </row>
    <row r="33" spans="2:2" ht="15">
      <c r="B33" s="15"/>
    </row>
    <row r="34" spans="2:2" ht="15">
      <c r="B34" s="15"/>
    </row>
    <row r="35" spans="2:2" ht="15">
      <c r="B35" s="15"/>
    </row>
    <row r="36" spans="2:2" ht="15">
      <c r="B36" s="15"/>
    </row>
    <row r="37" spans="2:2" ht="15">
      <c r="B37" s="15"/>
    </row>
    <row r="38" spans="2:2" ht="15">
      <c r="B38" s="15"/>
    </row>
    <row r="39" spans="2:2" ht="15">
      <c r="B39" s="15"/>
    </row>
    <row r="40" spans="2:2" ht="15">
      <c r="B40" s="15"/>
    </row>
    <row r="41" spans="2:2" ht="15">
      <c r="B41" s="15"/>
    </row>
    <row r="43" spans="2:2" ht="15">
      <c r="B43" s="15" t="s">
        <v>2316</v>
      </c>
    </row>
    <row r="44" spans="2:2">
      <c r="B44" s="264" t="s">
        <v>2315</v>
      </c>
    </row>
    <row r="45" spans="2:2">
      <c r="B45" s="264" t="s">
        <v>2314</v>
      </c>
    </row>
    <row r="46" spans="2:2">
      <c r="B46" s="264" t="s">
        <v>2313</v>
      </c>
    </row>
    <row r="47" spans="2:2">
      <c r="B47" s="264" t="s">
        <v>2312</v>
      </c>
    </row>
    <row r="48" spans="2:2">
      <c r="B48" s="264" t="s">
        <v>2311</v>
      </c>
    </row>
    <row r="49" spans="2:2">
      <c r="B49" s="264" t="s">
        <v>2310</v>
      </c>
    </row>
    <row r="50" spans="2:2">
      <c r="B50" s="264" t="s">
        <v>2309</v>
      </c>
    </row>
    <row r="51" spans="2:2">
      <c r="B51" s="264" t="s">
        <v>2308</v>
      </c>
    </row>
    <row r="52" spans="2:2">
      <c r="B52" s="264" t="s">
        <v>2307</v>
      </c>
    </row>
    <row r="53" spans="2:2">
      <c r="B53" s="264" t="s">
        <v>2306</v>
      </c>
    </row>
    <row r="54" spans="2:2">
      <c r="B54" s="264" t="s">
        <v>2305</v>
      </c>
    </row>
    <row r="55" spans="2:2">
      <c r="B55" s="264" t="s">
        <v>2304</v>
      </c>
    </row>
    <row r="56" spans="2:2">
      <c r="B56" s="264" t="s">
        <v>2303</v>
      </c>
    </row>
    <row r="58" spans="2:2" ht="15">
      <c r="B58" s="15" t="s">
        <v>675</v>
      </c>
    </row>
    <row r="59" spans="2:2">
      <c r="B59" s="219" t="s">
        <v>855</v>
      </c>
    </row>
    <row r="61" spans="2:2" ht="15">
      <c r="B61" s="15" t="s">
        <v>624</v>
      </c>
    </row>
    <row r="62" spans="2:2">
      <c r="B62" s="219" t="s">
        <v>2302</v>
      </c>
    </row>
  </sheetData>
  <phoneticPr fontId="79" type="noConversion"/>
  <hyperlinks>
    <hyperlink ref="E2" location="Contents!A1" display="Click here to go to the &quot;contents&quot; page"/>
  </hyperlink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pageSetUpPr fitToPage="1"/>
  </sheetPr>
  <dimension ref="A1:Q55"/>
  <sheetViews>
    <sheetView showGridLines="0" topLeftCell="F2" zoomScale="85" zoomScaleNormal="85" zoomScalePageLayoutView="85" workbookViewId="0">
      <selection activeCell="E46" sqref="E46"/>
    </sheetView>
  </sheetViews>
  <sheetFormatPr baseColWidth="10" defaultColWidth="8.83203125" defaultRowHeight="14" x14ac:dyDescent="0"/>
  <cols>
    <col min="1" max="1" width="2.83203125" style="219" customWidth="1"/>
    <col min="2" max="2" width="2.83203125" customWidth="1"/>
    <col min="3" max="3" width="25.5" customWidth="1"/>
    <col min="4" max="4" width="60.33203125" style="218" customWidth="1"/>
    <col min="5" max="5" width="11" customWidth="1"/>
    <col min="6" max="6" width="7" style="32" customWidth="1"/>
    <col min="7" max="7" width="144.83203125" customWidth="1"/>
    <col min="8" max="13" width="6.83203125" customWidth="1"/>
  </cols>
  <sheetData>
    <row r="1" spans="1:17" s="23" customFormat="1" ht="15.75" customHeight="1">
      <c r="A1" s="219"/>
    </row>
    <row r="2" spans="1:17" ht="15.75" customHeight="1">
      <c r="C2" s="9" t="s">
        <v>670</v>
      </c>
      <c r="D2" s="99" t="s">
        <v>350</v>
      </c>
      <c r="G2" s="57"/>
      <c r="H2" s="216" t="s">
        <v>1135</v>
      </c>
      <c r="I2" s="216"/>
      <c r="J2" s="216"/>
      <c r="K2" s="216"/>
      <c r="L2" s="216"/>
      <c r="M2" s="216" t="s">
        <v>1005</v>
      </c>
    </row>
    <row r="3" spans="1:17" s="7" customFormat="1" ht="15.75" customHeight="1">
      <c r="A3" s="219"/>
      <c r="H3" s="216" t="s">
        <v>1134</v>
      </c>
      <c r="I3" s="216"/>
      <c r="J3" s="216"/>
      <c r="K3" s="216"/>
      <c r="L3" s="216"/>
      <c r="M3" s="216" t="s">
        <v>1133</v>
      </c>
    </row>
    <row r="4" spans="1:17" s="165" customFormat="1" ht="5.25" customHeight="1" thickBot="1">
      <c r="A4" s="219"/>
      <c r="H4" s="46"/>
      <c r="I4" s="15"/>
      <c r="J4" s="15"/>
      <c r="K4" s="15"/>
      <c r="M4" s="46"/>
    </row>
    <row r="5" spans="1:17" ht="17" thickTop="1" thickBot="1">
      <c r="C5" s="70" t="s">
        <v>495</v>
      </c>
      <c r="D5" s="71"/>
      <c r="E5" s="71"/>
      <c r="F5" s="72"/>
      <c r="G5" s="207" t="s">
        <v>271</v>
      </c>
      <c r="H5" s="445" t="s">
        <v>357</v>
      </c>
      <c r="I5" s="446"/>
      <c r="J5" s="446"/>
      <c r="K5" s="446"/>
      <c r="L5" s="446"/>
      <c r="M5" s="446"/>
      <c r="N5" s="446"/>
      <c r="O5" s="446"/>
      <c r="P5" s="446"/>
      <c r="Q5" s="446"/>
    </row>
    <row r="6" spans="1:17" ht="17" thickTop="1" thickBot="1">
      <c r="C6" s="212" t="s">
        <v>355</v>
      </c>
      <c r="D6" s="212" t="s">
        <v>496</v>
      </c>
      <c r="E6" s="33" t="s">
        <v>207</v>
      </c>
      <c r="F6" s="34" t="s">
        <v>54</v>
      </c>
      <c r="G6" s="34" t="s">
        <v>1130</v>
      </c>
      <c r="H6" s="34"/>
      <c r="I6" s="34"/>
      <c r="J6" s="34"/>
      <c r="K6" s="34"/>
      <c r="L6" s="34"/>
      <c r="M6" s="34"/>
      <c r="N6" s="34"/>
      <c r="O6" s="34"/>
      <c r="P6" s="34"/>
      <c r="Q6" s="34"/>
    </row>
    <row r="7" spans="1:17" ht="14.25" customHeight="1" thickTop="1">
      <c r="B7" s="167">
        <v>1</v>
      </c>
      <c r="C7" s="454" t="s">
        <v>206</v>
      </c>
      <c r="D7" s="8" t="s">
        <v>59</v>
      </c>
      <c r="E7" s="179">
        <v>2</v>
      </c>
      <c r="F7" s="179">
        <v>3</v>
      </c>
      <c r="G7" s="211">
        <f>'Detailed lever guides'!E6</f>
        <v>0</v>
      </c>
      <c r="H7" s="20"/>
      <c r="I7" s="20"/>
      <c r="J7" s="20"/>
      <c r="K7" s="20"/>
      <c r="L7" s="20"/>
      <c r="M7" s="20"/>
      <c r="N7" s="20"/>
      <c r="O7" s="20"/>
      <c r="P7" s="20"/>
      <c r="Q7" s="20"/>
    </row>
    <row r="8" spans="1:17" s="39" customFormat="1" ht="14.25" customHeight="1" thickBot="1">
      <c r="A8" s="219"/>
      <c r="B8" s="167">
        <v>2</v>
      </c>
      <c r="C8" s="455"/>
      <c r="D8" s="8" t="s">
        <v>1185</v>
      </c>
      <c r="E8" s="179">
        <v>2</v>
      </c>
      <c r="F8" s="179">
        <v>3</v>
      </c>
      <c r="G8" s="211">
        <f>'Detailed lever guides'!E7</f>
        <v>0</v>
      </c>
      <c r="H8" s="20"/>
      <c r="I8" s="20"/>
      <c r="J8" s="20"/>
      <c r="K8" s="20"/>
      <c r="L8" s="20"/>
      <c r="M8" s="20"/>
      <c r="N8" s="20"/>
      <c r="O8" s="20"/>
      <c r="P8" s="20"/>
      <c r="Q8" s="20"/>
    </row>
    <row r="9" spans="1:17" ht="14.25" customHeight="1" thickTop="1" thickBot="1">
      <c r="B9" s="167">
        <v>3</v>
      </c>
      <c r="C9" s="453" t="s">
        <v>51</v>
      </c>
      <c r="D9" s="8" t="s">
        <v>1245</v>
      </c>
      <c r="E9" s="179">
        <v>1</v>
      </c>
      <c r="F9" s="179">
        <v>4</v>
      </c>
      <c r="G9" s="211">
        <f>'Detailed lever guides'!E8</f>
        <v>0</v>
      </c>
      <c r="H9" s="20"/>
      <c r="I9" s="20"/>
      <c r="J9" s="20"/>
      <c r="K9" s="20"/>
      <c r="L9" s="20"/>
      <c r="M9" s="20"/>
      <c r="N9" s="20"/>
      <c r="O9" s="20"/>
      <c r="P9" s="20"/>
      <c r="Q9" s="20"/>
    </row>
    <row r="10" spans="1:17" ht="14.25" customHeight="1" thickTop="1" thickBot="1">
      <c r="B10" s="167">
        <v>4</v>
      </c>
      <c r="C10" s="453"/>
      <c r="D10" s="8" t="s">
        <v>58</v>
      </c>
      <c r="E10" s="179">
        <v>1</v>
      </c>
      <c r="F10" s="179">
        <v>4</v>
      </c>
      <c r="G10" s="211">
        <f>'Detailed lever guides'!E9</f>
        <v>0</v>
      </c>
      <c r="H10" s="20"/>
      <c r="I10" s="20"/>
      <c r="J10" s="20"/>
      <c r="K10" s="20"/>
      <c r="L10" s="20"/>
      <c r="M10" s="20"/>
      <c r="N10" s="20"/>
      <c r="O10" s="20"/>
      <c r="P10" s="20"/>
      <c r="Q10" s="20"/>
    </row>
    <row r="11" spans="1:17" ht="14.25" customHeight="1" thickTop="1" thickBot="1">
      <c r="B11" s="167">
        <v>5</v>
      </c>
      <c r="C11" s="453"/>
      <c r="D11" s="8" t="s">
        <v>1244</v>
      </c>
      <c r="E11" s="179">
        <v>1</v>
      </c>
      <c r="F11" s="179">
        <v>4</v>
      </c>
      <c r="G11" s="211">
        <f>'Detailed lever guides'!E10</f>
        <v>0</v>
      </c>
      <c r="H11" s="20"/>
      <c r="I11" s="20"/>
      <c r="J11" s="20"/>
      <c r="K11" s="20"/>
      <c r="L11" s="20"/>
      <c r="M11" s="20"/>
      <c r="N11" s="20"/>
      <c r="O11" s="20"/>
      <c r="P11" s="20"/>
      <c r="Q11" s="20"/>
    </row>
    <row r="12" spans="1:17" s="39" customFormat="1" ht="14.25" customHeight="1" thickTop="1" thickBot="1">
      <c r="A12" s="219"/>
      <c r="B12" s="167">
        <v>6</v>
      </c>
      <c r="C12" s="453"/>
      <c r="D12" s="8" t="s">
        <v>1246</v>
      </c>
      <c r="E12" s="179">
        <v>1</v>
      </c>
      <c r="F12" s="179">
        <v>4</v>
      </c>
      <c r="G12" s="211">
        <f>'Detailed lever guides'!E11</f>
        <v>0</v>
      </c>
      <c r="H12" s="20"/>
      <c r="I12" s="20"/>
      <c r="J12" s="20"/>
      <c r="K12" s="20"/>
      <c r="L12" s="20"/>
      <c r="M12" s="20"/>
      <c r="N12" s="20"/>
      <c r="O12" s="20"/>
      <c r="P12" s="20"/>
      <c r="Q12" s="20"/>
    </row>
    <row r="13" spans="1:17" ht="14.25" customHeight="1" thickTop="1" thickBot="1">
      <c r="B13" s="167">
        <v>7</v>
      </c>
      <c r="C13" s="453"/>
      <c r="D13" s="8" t="s">
        <v>1247</v>
      </c>
      <c r="E13" s="179">
        <v>1</v>
      </c>
      <c r="F13" s="179">
        <v>4</v>
      </c>
      <c r="G13" s="211">
        <f>'Detailed lever guides'!E12</f>
        <v>0</v>
      </c>
      <c r="H13" s="20"/>
      <c r="I13" s="20"/>
      <c r="J13" s="20"/>
      <c r="K13" s="20"/>
      <c r="L13" s="20"/>
      <c r="M13" s="20"/>
      <c r="N13" s="20"/>
      <c r="O13" s="20"/>
      <c r="P13" s="20"/>
      <c r="Q13" s="20"/>
    </row>
    <row r="14" spans="1:17" s="39" customFormat="1" ht="14.25" customHeight="1" thickTop="1">
      <c r="A14" s="219"/>
      <c r="B14" s="167">
        <v>8</v>
      </c>
      <c r="C14" s="456" t="s">
        <v>56</v>
      </c>
      <c r="D14" s="8" t="s">
        <v>1188</v>
      </c>
      <c r="E14" s="179">
        <v>1</v>
      </c>
      <c r="F14" s="179">
        <v>4</v>
      </c>
      <c r="G14" s="211">
        <f>'Detailed lever guides'!E13</f>
        <v>0</v>
      </c>
      <c r="H14" s="20"/>
      <c r="I14" s="20"/>
      <c r="J14" s="20"/>
      <c r="K14" s="20"/>
      <c r="L14" s="20"/>
      <c r="M14" s="20"/>
      <c r="N14" s="20"/>
      <c r="O14" s="20"/>
      <c r="P14" s="20"/>
      <c r="Q14" s="20"/>
    </row>
    <row r="15" spans="1:17" s="39" customFormat="1" ht="14.25" customHeight="1">
      <c r="A15" s="219"/>
      <c r="B15" s="167">
        <v>9</v>
      </c>
      <c r="C15" s="448"/>
      <c r="D15" s="35" t="s">
        <v>1189</v>
      </c>
      <c r="E15" s="179">
        <v>1</v>
      </c>
      <c r="F15" s="179">
        <v>4</v>
      </c>
      <c r="G15" s="211">
        <f>'Detailed lever guides'!E14</f>
        <v>0</v>
      </c>
      <c r="H15" s="20"/>
      <c r="I15" s="20"/>
      <c r="J15" s="20"/>
      <c r="K15" s="20"/>
      <c r="L15" s="20"/>
      <c r="M15" s="20"/>
      <c r="N15" s="20"/>
      <c r="O15" s="20"/>
      <c r="P15" s="20"/>
      <c r="Q15" s="20"/>
    </row>
    <row r="16" spans="1:17" ht="14.25" customHeight="1">
      <c r="B16" s="167">
        <v>10</v>
      </c>
      <c r="C16" s="448"/>
      <c r="D16" s="35" t="s">
        <v>603</v>
      </c>
      <c r="E16" s="179">
        <v>1</v>
      </c>
      <c r="F16" s="179">
        <v>4</v>
      </c>
      <c r="G16" s="211">
        <f>'Detailed lever guides'!E15</f>
        <v>0</v>
      </c>
      <c r="H16" s="20"/>
      <c r="I16" s="20"/>
      <c r="J16" s="20"/>
      <c r="K16" s="20"/>
      <c r="L16" s="20"/>
      <c r="M16" s="20"/>
      <c r="N16" s="20"/>
      <c r="O16" s="20"/>
      <c r="P16" s="20"/>
      <c r="Q16" s="20"/>
    </row>
    <row r="17" spans="1:17" s="39" customFormat="1" ht="14.25" customHeight="1">
      <c r="A17" s="219"/>
      <c r="B17" s="167">
        <v>11</v>
      </c>
      <c r="C17" s="448"/>
      <c r="D17" s="8" t="s">
        <v>1186</v>
      </c>
      <c r="E17" s="179">
        <v>1</v>
      </c>
      <c r="F17" s="179">
        <v>4</v>
      </c>
      <c r="G17" s="211">
        <f>'Detailed lever guides'!E16</f>
        <v>0</v>
      </c>
      <c r="H17" s="20"/>
      <c r="I17" s="20"/>
      <c r="J17" s="20"/>
      <c r="K17" s="20"/>
      <c r="L17" s="20"/>
      <c r="M17" s="20"/>
      <c r="N17" s="20"/>
      <c r="O17" s="20"/>
      <c r="P17" s="20"/>
      <c r="Q17" s="20"/>
    </row>
    <row r="18" spans="1:17" s="39" customFormat="1" ht="14.25" customHeight="1">
      <c r="A18" s="219"/>
      <c r="B18" s="167">
        <v>12</v>
      </c>
      <c r="C18" s="448"/>
      <c r="D18" s="8" t="s">
        <v>1187</v>
      </c>
      <c r="E18" s="179">
        <v>1</v>
      </c>
      <c r="F18" s="179">
        <v>4</v>
      </c>
      <c r="G18" s="211">
        <f>'Detailed lever guides'!E17</f>
        <v>0</v>
      </c>
      <c r="H18" s="20"/>
      <c r="I18" s="20"/>
      <c r="J18" s="20"/>
      <c r="K18" s="20"/>
      <c r="L18" s="20"/>
      <c r="M18" s="20"/>
      <c r="N18" s="20"/>
      <c r="O18" s="20"/>
      <c r="P18" s="20"/>
      <c r="Q18" s="20"/>
    </row>
    <row r="19" spans="1:17" s="39" customFormat="1" ht="14.25" customHeight="1" thickBot="1">
      <c r="A19" s="219"/>
      <c r="B19" s="167">
        <v>13</v>
      </c>
      <c r="C19" s="449"/>
      <c r="D19" s="8" t="s">
        <v>1190</v>
      </c>
      <c r="E19" s="179">
        <v>1</v>
      </c>
      <c r="F19" s="179">
        <v>4</v>
      </c>
      <c r="G19" s="211">
        <f>'Detailed lever guides'!E18</f>
        <v>0</v>
      </c>
      <c r="H19" s="20"/>
      <c r="I19" s="20"/>
      <c r="J19" s="20"/>
      <c r="K19" s="20"/>
      <c r="L19" s="20"/>
      <c r="M19" s="20"/>
      <c r="N19" s="20"/>
      <c r="O19" s="20"/>
      <c r="P19" s="20"/>
      <c r="Q19" s="20"/>
    </row>
    <row r="20" spans="1:17" ht="14.25" customHeight="1" thickTop="1" thickBot="1">
      <c r="B20" s="167">
        <v>14</v>
      </c>
      <c r="C20" s="457" t="s">
        <v>55</v>
      </c>
      <c r="D20" s="8" t="s">
        <v>456</v>
      </c>
      <c r="E20" s="179">
        <v>1</v>
      </c>
      <c r="F20" s="179">
        <v>4</v>
      </c>
      <c r="G20" s="211">
        <f>'Detailed lever guides'!E19</f>
        <v>0</v>
      </c>
      <c r="H20" s="20"/>
      <c r="I20" s="20"/>
      <c r="J20" s="20"/>
      <c r="K20" s="20"/>
      <c r="L20" s="20"/>
      <c r="M20" s="20"/>
      <c r="N20" s="20"/>
      <c r="O20" s="20"/>
      <c r="P20" s="20"/>
      <c r="Q20" s="20"/>
    </row>
    <row r="21" spans="1:17" ht="14.25" customHeight="1" thickTop="1" thickBot="1">
      <c r="B21" s="167">
        <v>15</v>
      </c>
      <c r="C21" s="457"/>
      <c r="D21" s="8" t="s">
        <v>1780</v>
      </c>
      <c r="E21" s="179">
        <v>1</v>
      </c>
      <c r="F21" s="179">
        <v>4</v>
      </c>
      <c r="G21" s="211">
        <f>'Detailed lever guides'!E20</f>
        <v>0</v>
      </c>
      <c r="H21" s="20"/>
      <c r="I21" s="20"/>
      <c r="J21" s="20"/>
      <c r="K21" s="20"/>
      <c r="L21" s="20"/>
      <c r="M21" s="20"/>
      <c r="N21" s="20"/>
      <c r="O21" s="20"/>
      <c r="P21" s="20"/>
      <c r="Q21" s="20"/>
    </row>
    <row r="22" spans="1:17" ht="14.25" customHeight="1" thickTop="1" thickBot="1">
      <c r="B22" s="167">
        <v>16</v>
      </c>
      <c r="C22" s="457"/>
      <c r="D22" s="8" t="s">
        <v>1375</v>
      </c>
      <c r="E22" s="179">
        <v>1</v>
      </c>
      <c r="F22" s="179">
        <v>4</v>
      </c>
      <c r="G22" s="211">
        <f>'Detailed lever guides'!E21</f>
        <v>0</v>
      </c>
      <c r="H22" s="20"/>
      <c r="I22" s="20"/>
      <c r="J22" s="20"/>
      <c r="K22" s="20"/>
      <c r="L22" s="20"/>
      <c r="M22" s="20"/>
      <c r="N22" s="20"/>
      <c r="O22" s="20"/>
      <c r="P22" s="20"/>
      <c r="Q22" s="20"/>
    </row>
    <row r="23" spans="1:17" s="219" customFormat="1" ht="14.25" customHeight="1" thickTop="1" thickBot="1">
      <c r="B23" s="167">
        <v>17</v>
      </c>
      <c r="C23" s="457"/>
      <c r="D23" s="8" t="s">
        <v>2224</v>
      </c>
      <c r="E23" s="179">
        <v>1</v>
      </c>
      <c r="F23" s="179">
        <v>4</v>
      </c>
      <c r="G23" s="211">
        <f>'Detailed lever guides'!E22</f>
        <v>0</v>
      </c>
      <c r="H23" s="20"/>
      <c r="I23" s="20"/>
      <c r="J23" s="20"/>
      <c r="K23" s="20"/>
      <c r="L23" s="20"/>
      <c r="M23" s="20"/>
      <c r="N23" s="20"/>
      <c r="O23" s="20"/>
      <c r="P23" s="20"/>
      <c r="Q23" s="20"/>
    </row>
    <row r="24" spans="1:17" ht="14.25" customHeight="1" thickTop="1">
      <c r="B24" s="167">
        <v>18</v>
      </c>
      <c r="C24" s="448" t="s">
        <v>24</v>
      </c>
      <c r="D24" s="8" t="s">
        <v>2225</v>
      </c>
      <c r="E24" s="179">
        <v>2</v>
      </c>
      <c r="F24" s="179">
        <v>4</v>
      </c>
      <c r="G24" s="211" t="e">
        <f>'Detailed lever guides'!E23</f>
        <v>#REF!</v>
      </c>
      <c r="H24" s="20"/>
      <c r="I24" s="20"/>
      <c r="J24" s="20"/>
      <c r="K24" s="20"/>
      <c r="L24" s="20"/>
      <c r="M24" s="20"/>
      <c r="N24" s="20"/>
      <c r="O24" s="20"/>
      <c r="P24" s="20"/>
      <c r="Q24" s="20"/>
    </row>
    <row r="25" spans="1:17" s="23" customFormat="1" ht="14.25" customHeight="1">
      <c r="A25" s="219"/>
      <c r="B25" s="167">
        <v>19</v>
      </c>
      <c r="C25" s="448"/>
      <c r="D25" s="8" t="s">
        <v>1109</v>
      </c>
      <c r="E25" s="179">
        <v>2</v>
      </c>
      <c r="F25" s="179">
        <v>4</v>
      </c>
      <c r="G25" s="211" t="e">
        <f>'Detailed lever guides'!E24</f>
        <v>#REF!</v>
      </c>
      <c r="H25" s="20"/>
      <c r="I25" s="20"/>
      <c r="J25" s="20"/>
      <c r="K25" s="20"/>
      <c r="L25" s="20"/>
      <c r="M25" s="20"/>
      <c r="N25" s="20"/>
      <c r="O25" s="20"/>
      <c r="P25" s="20"/>
      <c r="Q25" s="20"/>
    </row>
    <row r="26" spans="1:17" ht="14.25" customHeight="1">
      <c r="B26" s="167">
        <v>20</v>
      </c>
      <c r="C26" s="448"/>
      <c r="D26" s="8" t="s">
        <v>2226</v>
      </c>
      <c r="E26" s="179">
        <v>2</v>
      </c>
      <c r="F26" s="179">
        <v>4</v>
      </c>
      <c r="G26" s="211" t="e">
        <f>'Detailed lever guides'!E25</f>
        <v>#REF!</v>
      </c>
      <c r="H26" s="20"/>
      <c r="I26" s="20"/>
      <c r="J26" s="20"/>
      <c r="K26" s="20"/>
      <c r="L26" s="20"/>
      <c r="M26" s="20"/>
      <c r="N26" s="20"/>
      <c r="O26" s="20"/>
      <c r="P26" s="20"/>
      <c r="Q26" s="20"/>
    </row>
    <row r="27" spans="1:17" ht="14.25" customHeight="1">
      <c r="B27" s="167">
        <v>21</v>
      </c>
      <c r="C27" s="448"/>
      <c r="D27" s="8" t="s">
        <v>457</v>
      </c>
      <c r="E27" s="179">
        <v>2</v>
      </c>
      <c r="F27" s="179">
        <v>4</v>
      </c>
      <c r="G27" s="211" t="e">
        <f>'Detailed lever guides'!E26</f>
        <v>#REF!</v>
      </c>
      <c r="H27" s="20"/>
      <c r="I27" s="20"/>
      <c r="J27" s="20"/>
      <c r="K27" s="20"/>
      <c r="L27" s="20"/>
      <c r="M27" s="20"/>
      <c r="N27" s="20"/>
      <c r="O27" s="20"/>
      <c r="P27" s="20"/>
      <c r="Q27" s="20"/>
    </row>
    <row r="28" spans="1:17" ht="14.25" customHeight="1">
      <c r="B28" s="167">
        <v>22</v>
      </c>
      <c r="C28" s="448"/>
      <c r="D28" s="8" t="s">
        <v>604</v>
      </c>
      <c r="E28" s="179">
        <v>2</v>
      </c>
      <c r="F28" s="179">
        <v>4</v>
      </c>
      <c r="G28" s="211" t="e">
        <f>'Detailed lever guides'!E27</f>
        <v>#REF!</v>
      </c>
      <c r="H28" s="20"/>
      <c r="I28" s="20"/>
      <c r="J28" s="20"/>
      <c r="K28" s="20"/>
      <c r="L28" s="20"/>
      <c r="M28" s="20"/>
      <c r="N28" s="20"/>
      <c r="O28" s="20"/>
      <c r="P28" s="20"/>
      <c r="Q28" s="20"/>
    </row>
    <row r="29" spans="1:17" ht="14.25" customHeight="1">
      <c r="B29" s="167">
        <v>23</v>
      </c>
      <c r="C29" s="448"/>
      <c r="D29" s="8" t="s">
        <v>605</v>
      </c>
      <c r="E29" s="179">
        <v>2</v>
      </c>
      <c r="F29" s="179">
        <v>4</v>
      </c>
      <c r="G29" s="211" t="e">
        <f>'Detailed lever guides'!E28</f>
        <v>#REF!</v>
      </c>
      <c r="H29" s="20"/>
      <c r="I29" s="20"/>
      <c r="J29" s="20"/>
      <c r="K29" s="20"/>
      <c r="L29" s="20"/>
      <c r="M29" s="20"/>
      <c r="N29" s="20"/>
      <c r="O29" s="20"/>
      <c r="P29" s="20"/>
      <c r="Q29" s="20"/>
    </row>
    <row r="30" spans="1:17" ht="14.25" customHeight="1">
      <c r="B30" s="167">
        <v>24</v>
      </c>
      <c r="C30" s="448"/>
      <c r="D30" s="8" t="s">
        <v>606</v>
      </c>
      <c r="E30" s="179">
        <v>2</v>
      </c>
      <c r="F30" s="179">
        <v>4</v>
      </c>
      <c r="G30" s="211" t="e">
        <f>'Detailed lever guides'!E29</f>
        <v>#REF!</v>
      </c>
      <c r="H30" s="20"/>
      <c r="I30" s="20"/>
      <c r="J30" s="20"/>
      <c r="K30" s="20"/>
      <c r="L30" s="20"/>
      <c r="M30" s="20"/>
      <c r="N30" s="20"/>
      <c r="O30" s="20"/>
      <c r="P30" s="20"/>
      <c r="Q30" s="20"/>
    </row>
    <row r="31" spans="1:17" ht="14.25" customHeight="1">
      <c r="B31" s="167">
        <v>25</v>
      </c>
      <c r="C31" s="448"/>
      <c r="D31" s="8" t="s">
        <v>380</v>
      </c>
      <c r="E31" s="179">
        <v>2</v>
      </c>
      <c r="F31" s="179">
        <v>4</v>
      </c>
      <c r="G31" s="211" t="e">
        <f>'Detailed lever guides'!E30</f>
        <v>#REF!</v>
      </c>
      <c r="H31" s="20"/>
      <c r="I31" s="20"/>
      <c r="J31" s="20"/>
      <c r="K31" s="20"/>
      <c r="L31" s="20"/>
      <c r="M31" s="20"/>
      <c r="N31" s="20"/>
      <c r="O31" s="20"/>
      <c r="P31" s="20"/>
      <c r="Q31" s="20"/>
    </row>
    <row r="32" spans="1:17" ht="14.25" customHeight="1">
      <c r="B32" s="167">
        <v>26</v>
      </c>
      <c r="C32" s="448"/>
      <c r="D32" s="8" t="s">
        <v>607</v>
      </c>
      <c r="E32" s="179">
        <v>2</v>
      </c>
      <c r="F32" s="179">
        <v>4</v>
      </c>
      <c r="G32" s="211" t="e">
        <f>'Detailed lever guides'!E31</f>
        <v>#REF!</v>
      </c>
      <c r="H32" s="20"/>
      <c r="I32" s="20"/>
      <c r="J32" s="20"/>
      <c r="K32" s="20"/>
      <c r="L32" s="20"/>
      <c r="M32" s="20"/>
      <c r="N32" s="20"/>
      <c r="O32" s="20"/>
      <c r="P32" s="20"/>
      <c r="Q32" s="20"/>
    </row>
    <row r="33" spans="1:17" ht="14.25" customHeight="1" thickBot="1">
      <c r="B33" s="167">
        <v>27</v>
      </c>
      <c r="C33" s="449"/>
      <c r="D33" s="8" t="s">
        <v>53</v>
      </c>
      <c r="E33" s="179">
        <v>2</v>
      </c>
      <c r="F33" s="179">
        <v>4</v>
      </c>
      <c r="G33" s="211" t="e">
        <f>'Detailed lever guides'!E32</f>
        <v>#REF!</v>
      </c>
      <c r="H33" s="20"/>
      <c r="I33" s="20"/>
      <c r="J33" s="20"/>
      <c r="K33" s="20"/>
      <c r="L33" s="20"/>
      <c r="M33" s="20"/>
      <c r="N33" s="20"/>
      <c r="O33" s="20"/>
      <c r="P33" s="20"/>
      <c r="Q33" s="20"/>
    </row>
    <row r="34" spans="1:17" ht="14.25" customHeight="1" thickTop="1">
      <c r="B34" s="167">
        <v>28</v>
      </c>
      <c r="C34" s="450" t="s">
        <v>435</v>
      </c>
      <c r="D34" s="8" t="s">
        <v>608</v>
      </c>
      <c r="E34" s="179">
        <v>2</v>
      </c>
      <c r="F34" s="179">
        <v>4</v>
      </c>
      <c r="G34" s="211">
        <f>'Detailed lever guides'!E33</f>
        <v>0</v>
      </c>
      <c r="H34" s="20"/>
      <c r="I34" s="20"/>
      <c r="J34" s="20"/>
      <c r="K34" s="20"/>
      <c r="L34" s="20"/>
      <c r="M34" s="20"/>
      <c r="N34" s="20"/>
      <c r="O34" s="20"/>
      <c r="P34" s="20"/>
      <c r="Q34" s="20"/>
    </row>
    <row r="35" spans="1:17" ht="14.25" customHeight="1">
      <c r="B35" s="167">
        <v>29</v>
      </c>
      <c r="C35" s="451"/>
      <c r="D35" s="8" t="s">
        <v>609</v>
      </c>
      <c r="E35" s="179">
        <v>2</v>
      </c>
      <c r="F35" s="179">
        <v>4</v>
      </c>
      <c r="G35" s="211">
        <f>'Detailed lever guides'!E34</f>
        <v>0</v>
      </c>
      <c r="H35" s="20"/>
      <c r="I35" s="20"/>
      <c r="J35" s="20"/>
      <c r="K35" s="20"/>
      <c r="L35" s="20"/>
      <c r="M35" s="20"/>
      <c r="N35" s="20"/>
      <c r="O35" s="20"/>
      <c r="P35" s="20"/>
      <c r="Q35" s="20"/>
    </row>
    <row r="36" spans="1:17" ht="14.25" customHeight="1">
      <c r="B36" s="167">
        <v>30</v>
      </c>
      <c r="C36" s="451"/>
      <c r="D36" s="8" t="s">
        <v>1191</v>
      </c>
      <c r="E36" s="179">
        <v>2</v>
      </c>
      <c r="F36" s="179">
        <v>4</v>
      </c>
      <c r="G36" s="211">
        <f>'Detailed lever guides'!E35</f>
        <v>0</v>
      </c>
      <c r="H36" s="20"/>
      <c r="I36" s="20"/>
      <c r="J36" s="20"/>
      <c r="K36" s="20"/>
      <c r="L36" s="20"/>
      <c r="M36" s="20"/>
      <c r="N36" s="20"/>
      <c r="O36" s="20"/>
      <c r="P36" s="20"/>
      <c r="Q36" s="20"/>
    </row>
    <row r="37" spans="1:17" ht="14.25" customHeight="1">
      <c r="B37" s="167">
        <v>31</v>
      </c>
      <c r="C37" s="451"/>
      <c r="D37" s="8" t="s">
        <v>1192</v>
      </c>
      <c r="E37" s="179">
        <v>2</v>
      </c>
      <c r="F37" s="179">
        <v>4</v>
      </c>
      <c r="G37" s="211">
        <f>'Detailed lever guides'!E36</f>
        <v>0</v>
      </c>
      <c r="H37" s="20"/>
      <c r="I37" s="20"/>
      <c r="J37" s="20"/>
      <c r="K37" s="20"/>
      <c r="L37" s="20"/>
      <c r="M37" s="20"/>
      <c r="N37" s="20"/>
      <c r="O37" s="20"/>
      <c r="P37" s="20"/>
      <c r="Q37" s="20"/>
    </row>
    <row r="38" spans="1:17" ht="14.25" customHeight="1">
      <c r="B38" s="167">
        <v>32</v>
      </c>
      <c r="C38" s="451"/>
      <c r="D38" s="8" t="s">
        <v>427</v>
      </c>
      <c r="E38" s="179">
        <v>2</v>
      </c>
      <c r="F38" s="179">
        <v>4</v>
      </c>
      <c r="G38" s="211">
        <f>'Detailed lever guides'!E37</f>
        <v>0</v>
      </c>
      <c r="H38" s="20"/>
      <c r="I38" s="20"/>
      <c r="J38" s="20"/>
      <c r="K38" s="20"/>
      <c r="L38" s="20"/>
      <c r="M38" s="20"/>
      <c r="N38" s="20"/>
      <c r="O38" s="20"/>
      <c r="P38" s="20"/>
      <c r="Q38" s="20"/>
    </row>
    <row r="39" spans="1:17" ht="14.25" customHeight="1">
      <c r="B39" s="167">
        <v>33</v>
      </c>
      <c r="C39" s="451"/>
      <c r="D39" s="8" t="s">
        <v>1193</v>
      </c>
      <c r="E39" s="179">
        <v>1</v>
      </c>
      <c r="F39" s="179">
        <v>4</v>
      </c>
      <c r="G39" s="211">
        <f>'Detailed lever guides'!E38</f>
        <v>0</v>
      </c>
      <c r="H39" s="20"/>
      <c r="I39" s="20"/>
      <c r="J39" s="20"/>
      <c r="K39" s="20"/>
      <c r="L39" s="20"/>
      <c r="M39" s="20"/>
      <c r="N39" s="20"/>
      <c r="O39" s="20"/>
      <c r="P39" s="20"/>
      <c r="Q39" s="20"/>
    </row>
    <row r="40" spans="1:17" s="23" customFormat="1" ht="14.25" customHeight="1">
      <c r="A40" s="219"/>
      <c r="B40" s="167">
        <v>34</v>
      </c>
      <c r="C40" s="451"/>
      <c r="D40" s="8" t="s">
        <v>1194</v>
      </c>
      <c r="E40" s="179">
        <v>2</v>
      </c>
      <c r="F40" s="179">
        <v>4</v>
      </c>
      <c r="G40" s="211">
        <f>'Detailed lever guides'!E39</f>
        <v>0</v>
      </c>
      <c r="H40" s="20"/>
      <c r="I40" s="20"/>
      <c r="J40" s="20"/>
      <c r="K40" s="20"/>
      <c r="L40" s="20"/>
      <c r="M40" s="20"/>
      <c r="N40" s="20"/>
      <c r="O40" s="20"/>
      <c r="P40" s="20"/>
      <c r="Q40" s="20"/>
    </row>
    <row r="41" spans="1:17" ht="14.25" customHeight="1">
      <c r="B41" s="167">
        <v>35</v>
      </c>
      <c r="C41" s="451"/>
      <c r="D41" s="8" t="s">
        <v>1195</v>
      </c>
      <c r="E41" s="179">
        <v>2</v>
      </c>
      <c r="F41" s="179">
        <v>4</v>
      </c>
      <c r="G41" s="211">
        <f>'Detailed lever guides'!E40</f>
        <v>0</v>
      </c>
      <c r="H41" s="20"/>
      <c r="I41" s="20"/>
      <c r="J41" s="20"/>
      <c r="K41" s="20"/>
      <c r="L41" s="20"/>
      <c r="M41" s="20"/>
      <c r="N41" s="20"/>
      <c r="O41" s="20"/>
      <c r="P41" s="20"/>
      <c r="Q41" s="20"/>
    </row>
    <row r="42" spans="1:17" s="39" customFormat="1" ht="14.25" customHeight="1">
      <c r="A42" s="219"/>
      <c r="B42" s="167">
        <v>36</v>
      </c>
      <c r="C42" s="451"/>
      <c r="D42" s="8" t="s">
        <v>2425</v>
      </c>
      <c r="E42" s="179">
        <v>2</v>
      </c>
      <c r="F42" s="179">
        <v>4</v>
      </c>
      <c r="G42" s="211">
        <f>'Detailed lever guides'!E41</f>
        <v>0</v>
      </c>
      <c r="H42" s="20"/>
      <c r="I42" s="20"/>
      <c r="J42" s="20"/>
      <c r="K42" s="20"/>
      <c r="L42" s="20"/>
      <c r="M42" s="20"/>
      <c r="N42" s="20"/>
      <c r="O42" s="20"/>
      <c r="P42" s="20"/>
      <c r="Q42" s="20"/>
    </row>
    <row r="43" spans="1:17" s="23" customFormat="1" ht="14.25" customHeight="1" thickBot="1">
      <c r="A43" s="219"/>
      <c r="B43" s="167">
        <v>37</v>
      </c>
      <c r="C43" s="452"/>
      <c r="D43" s="8" t="s">
        <v>1199</v>
      </c>
      <c r="E43" s="179">
        <v>2</v>
      </c>
      <c r="F43" s="179">
        <v>4</v>
      </c>
      <c r="G43" s="211">
        <f>'Detailed lever guides'!E42</f>
        <v>0</v>
      </c>
      <c r="H43" s="20"/>
      <c r="I43" s="20"/>
      <c r="J43" s="20"/>
      <c r="K43" s="20"/>
      <c r="L43" s="20"/>
      <c r="M43" s="20"/>
      <c r="N43" s="20"/>
      <c r="O43" s="20"/>
      <c r="P43" s="20"/>
      <c r="Q43" s="20"/>
    </row>
    <row r="44" spans="1:17" ht="15" thickTop="1">
      <c r="B44" s="167">
        <v>38</v>
      </c>
      <c r="C44" s="194" t="s">
        <v>1136</v>
      </c>
      <c r="D44" s="8" t="s">
        <v>1137</v>
      </c>
      <c r="E44" s="215" t="s">
        <v>1148</v>
      </c>
      <c r="F44" s="179" t="s">
        <v>1147</v>
      </c>
      <c r="G44" s="211">
        <f>'Detailed lever guides'!E43</f>
        <v>0</v>
      </c>
      <c r="H44" s="20"/>
      <c r="I44" s="20"/>
      <c r="J44" s="20"/>
      <c r="K44" s="20"/>
      <c r="L44" s="20"/>
      <c r="M44" s="20"/>
      <c r="N44" s="20"/>
      <c r="O44" s="20"/>
      <c r="P44" s="20"/>
      <c r="Q44" s="20"/>
    </row>
    <row r="45" spans="1:17">
      <c r="B45" s="167">
        <v>39</v>
      </c>
      <c r="C45" s="447" t="s">
        <v>1145</v>
      </c>
      <c r="D45" s="20" t="s">
        <v>1146</v>
      </c>
      <c r="E45" s="179">
        <v>2</v>
      </c>
      <c r="F45" s="179">
        <v>4</v>
      </c>
      <c r="G45" s="211">
        <f>'Detailed lever guides'!E44</f>
        <v>0</v>
      </c>
      <c r="H45" s="20"/>
      <c r="I45" s="20"/>
      <c r="J45" s="20"/>
      <c r="K45" s="20"/>
      <c r="L45" s="20"/>
      <c r="M45" s="20"/>
      <c r="N45" s="20"/>
      <c r="O45" s="20"/>
      <c r="P45" s="20"/>
      <c r="Q45" s="20"/>
    </row>
    <row r="46" spans="1:17">
      <c r="B46" s="167">
        <v>40</v>
      </c>
      <c r="C46" s="447"/>
      <c r="D46" s="20" t="s">
        <v>1679</v>
      </c>
      <c r="E46" s="179">
        <v>2</v>
      </c>
      <c r="F46" s="179">
        <v>3</v>
      </c>
      <c r="G46" s="211">
        <f>'Detailed lever guides'!E45</f>
        <v>0</v>
      </c>
      <c r="H46" s="20"/>
      <c r="I46" s="20"/>
      <c r="J46" s="20"/>
      <c r="K46" s="20"/>
      <c r="L46" s="20"/>
      <c r="M46" s="20"/>
      <c r="N46" s="20"/>
      <c r="O46" s="20"/>
      <c r="P46" s="20"/>
      <c r="Q46" s="20"/>
    </row>
    <row r="47" spans="1:17">
      <c r="C47" s="219"/>
    </row>
    <row r="48" spans="1:17">
      <c r="C48" s="219"/>
    </row>
    <row r="49" spans="3:3">
      <c r="C49" s="219"/>
    </row>
    <row r="50" spans="3:3">
      <c r="C50" s="219"/>
    </row>
    <row r="51" spans="3:3">
      <c r="C51" s="219"/>
    </row>
    <row r="52" spans="3:3">
      <c r="C52" s="219"/>
    </row>
    <row r="53" spans="3:3">
      <c r="C53" s="219"/>
    </row>
    <row r="54" spans="3:3">
      <c r="C54" s="219"/>
    </row>
    <row r="55" spans="3:3">
      <c r="C55" s="219"/>
    </row>
  </sheetData>
  <mergeCells count="8">
    <mergeCell ref="H5:Q5"/>
    <mergeCell ref="C45:C46"/>
    <mergeCell ref="C24:C33"/>
    <mergeCell ref="C34:C43"/>
    <mergeCell ref="C9:C13"/>
    <mergeCell ref="C7:C8"/>
    <mergeCell ref="C14:C19"/>
    <mergeCell ref="C20:C23"/>
  </mergeCells>
  <phoneticPr fontId="79" type="noConversion"/>
  <conditionalFormatting sqref="E7:E43">
    <cfRule type="expression" dxfId="1288" priority="45" stopIfTrue="1">
      <formula>$E7&gt;=1</formula>
    </cfRule>
  </conditionalFormatting>
  <conditionalFormatting sqref="E7:E43">
    <cfRule type="expression" dxfId="1287" priority="44" stopIfTrue="1">
      <formula>$E7&gt;=2</formula>
    </cfRule>
  </conditionalFormatting>
  <conditionalFormatting sqref="E7:E43">
    <cfRule type="expression" dxfId="1286" priority="43" stopIfTrue="1">
      <formula>$E7&gt;=3</formula>
    </cfRule>
  </conditionalFormatting>
  <conditionalFormatting sqref="E7:E43">
    <cfRule type="expression" dxfId="1285" priority="42">
      <formula>$E7&gt;=4</formula>
    </cfRule>
  </conditionalFormatting>
  <conditionalFormatting sqref="E45">
    <cfRule type="expression" dxfId="1284" priority="24" stopIfTrue="1">
      <formula>$E45&gt;=1</formula>
    </cfRule>
  </conditionalFormatting>
  <conditionalFormatting sqref="E45">
    <cfRule type="expression" dxfId="1283" priority="23" stopIfTrue="1">
      <formula>$E45&gt;=2</formula>
    </cfRule>
  </conditionalFormatting>
  <conditionalFormatting sqref="E45">
    <cfRule type="expression" dxfId="1282" priority="22" stopIfTrue="1">
      <formula>$E45&gt;=3</formula>
    </cfRule>
  </conditionalFormatting>
  <conditionalFormatting sqref="E45">
    <cfRule type="expression" dxfId="1281" priority="21">
      <formula>$E45&gt;=4</formula>
    </cfRule>
  </conditionalFormatting>
  <conditionalFormatting sqref="E46">
    <cfRule type="expression" dxfId="1280" priority="20" stopIfTrue="1">
      <formula>$E46&gt;=1</formula>
    </cfRule>
  </conditionalFormatting>
  <conditionalFormatting sqref="E46">
    <cfRule type="expression" dxfId="1279" priority="19" stopIfTrue="1">
      <formula>$E46&gt;=2</formula>
    </cfRule>
  </conditionalFormatting>
  <conditionalFormatting sqref="E46">
    <cfRule type="expression" dxfId="1278" priority="18" stopIfTrue="1">
      <formula>$E46&gt;=3</formula>
    </cfRule>
  </conditionalFormatting>
  <conditionalFormatting sqref="E46">
    <cfRule type="expression" dxfId="1277" priority="17">
      <formula>$E46&gt;=4</formula>
    </cfRule>
  </conditionalFormatting>
  <hyperlinks>
    <hyperlink ref="D2" location="Contents!A1" display="Click here to go to the &quot;contents&quot; page"/>
  </hyperlinks>
  <pageMargins left="0.25" right="0.25" top="0.75" bottom="0.75" header="0.3" footer="0.3"/>
  <pageSetup paperSize="9" scale="22"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1:U25"/>
  <sheetViews>
    <sheetView showGridLines="0" workbookViewId="0">
      <selection activeCell="C28" sqref="C28"/>
    </sheetView>
  </sheetViews>
  <sheetFormatPr baseColWidth="10" defaultColWidth="8.83203125" defaultRowHeight="14" x14ac:dyDescent="0"/>
  <cols>
    <col min="1" max="1" width="2.33203125" customWidth="1"/>
    <col min="2" max="2" width="36.33203125" customWidth="1"/>
    <col min="3" max="3" width="23" customWidth="1"/>
    <col min="4" max="4" width="2.1640625" customWidth="1"/>
    <col min="5" max="5" width="3.5" customWidth="1"/>
    <col min="6" max="6" width="1.83203125" customWidth="1"/>
    <col min="7" max="7" width="11.33203125" customWidth="1"/>
    <col min="8" max="8" width="19.5" customWidth="1"/>
  </cols>
  <sheetData>
    <row r="1" spans="2:21" s="23" customFormat="1" ht="8.25" customHeight="1"/>
    <row r="2" spans="2:21" ht="20">
      <c r="B2" s="9" t="str">
        <f>Translation!F45</f>
        <v>Output preferences</v>
      </c>
      <c r="E2" s="99" t="s">
        <v>350</v>
      </c>
      <c r="J2" s="57" t="s">
        <v>705</v>
      </c>
      <c r="Q2" s="2"/>
      <c r="R2" s="2"/>
      <c r="S2" s="2"/>
      <c r="T2" s="2"/>
      <c r="U2" s="2"/>
    </row>
    <row r="3" spans="2:21" s="39" customFormat="1" ht="12.75" customHeight="1">
      <c r="B3" s="9"/>
      <c r="E3" s="30"/>
      <c r="Q3" s="2"/>
      <c r="R3" s="2"/>
      <c r="S3" s="2"/>
      <c r="T3" s="2"/>
      <c r="U3" s="2"/>
    </row>
    <row r="4" spans="2:21" s="39" customFormat="1">
      <c r="B4" s="40" t="s">
        <v>391</v>
      </c>
      <c r="E4" s="30"/>
      <c r="Q4" s="2"/>
      <c r="R4" s="2"/>
      <c r="S4" s="2"/>
      <c r="T4" s="2"/>
      <c r="U4" s="2"/>
    </row>
    <row r="5" spans="2:21" s="39" customFormat="1">
      <c r="B5" s="40"/>
      <c r="E5" s="30"/>
      <c r="Q5" s="2"/>
      <c r="R5" s="2"/>
      <c r="S5" s="2"/>
      <c r="T5" s="2"/>
      <c r="U5" s="2"/>
    </row>
    <row r="6" spans="2:21" s="39" customFormat="1" ht="15.75" customHeight="1">
      <c r="B6" s="9"/>
      <c r="E6" s="30"/>
      <c r="J6" s="52" t="str">
        <f>IF(Preferences.language="English","i","")</f>
        <v>i</v>
      </c>
      <c r="K6" s="52" t="str">
        <f>IF(Preferences.language="French","i","")</f>
        <v/>
      </c>
      <c r="Q6" s="2"/>
      <c r="R6" s="2"/>
      <c r="S6" s="2"/>
      <c r="T6" s="2"/>
      <c r="U6" s="2"/>
    </row>
    <row r="7" spans="2:21" ht="15">
      <c r="B7" s="15" t="str">
        <f>Translation!F17</f>
        <v>Language</v>
      </c>
      <c r="C7" s="11" t="s">
        <v>0</v>
      </c>
      <c r="G7" s="40" t="s">
        <v>590</v>
      </c>
      <c r="L7" s="57" t="s">
        <v>783</v>
      </c>
      <c r="Q7" s="2"/>
      <c r="R7" s="2"/>
      <c r="S7" s="2"/>
      <c r="T7" s="2" t="s">
        <v>1</v>
      </c>
      <c r="U7" s="2"/>
    </row>
    <row r="8" spans="2:21" ht="15">
      <c r="B8" s="15"/>
      <c r="G8" s="40"/>
      <c r="Q8" s="2"/>
      <c r="R8" s="2"/>
      <c r="S8" s="2"/>
      <c r="T8" s="2" t="s">
        <v>0</v>
      </c>
      <c r="U8" s="2"/>
    </row>
    <row r="9" spans="2:21" ht="15">
      <c r="B9" s="15" t="str">
        <f>Translation!F41</f>
        <v>Energy is measured in</v>
      </c>
      <c r="C9" s="11" t="s">
        <v>1197</v>
      </c>
      <c r="G9" s="40" t="s">
        <v>618</v>
      </c>
      <c r="H9" s="51">
        <f>1/Unit.J</f>
        <v>9.9999999999999987E+17</v>
      </c>
      <c r="I9" t="s">
        <v>619</v>
      </c>
      <c r="Q9" s="2"/>
      <c r="R9" s="2"/>
      <c r="S9" s="2"/>
      <c r="T9" s="2"/>
      <c r="U9" s="2"/>
    </row>
    <row r="10" spans="2:21" ht="15">
      <c r="B10" s="15"/>
      <c r="G10" s="40"/>
      <c r="H10" s="51"/>
      <c r="Q10" s="2"/>
      <c r="R10" s="2"/>
      <c r="S10" s="2"/>
      <c r="T10" s="2"/>
      <c r="U10" s="2"/>
    </row>
    <row r="11" spans="2:21" ht="15">
      <c r="B11" s="15" t="str">
        <f>Translation!F42</f>
        <v>Power is measured in</v>
      </c>
      <c r="C11" s="11" t="s">
        <v>129</v>
      </c>
      <c r="G11" s="40" t="s">
        <v>620</v>
      </c>
      <c r="H11" s="51">
        <f>1/Unit.W</f>
        <v>999999999.99999988</v>
      </c>
      <c r="I11" t="s">
        <v>621</v>
      </c>
      <c r="Q11" s="2"/>
      <c r="R11" s="2"/>
      <c r="S11" s="2"/>
      <c r="T11" s="2"/>
      <c r="U11" s="2"/>
    </row>
    <row r="12" spans="2:21" ht="15">
      <c r="B12" s="15"/>
      <c r="G12" s="40"/>
      <c r="H12" s="51"/>
      <c r="Q12" s="2"/>
      <c r="R12" s="2"/>
      <c r="S12" s="2"/>
      <c r="T12" s="2"/>
      <c r="U12" s="2"/>
    </row>
    <row r="13" spans="2:21" ht="15">
      <c r="B13" s="15" t="str">
        <f>Translation!F43</f>
        <v>Area is measured in</v>
      </c>
      <c r="C13" s="11" t="s">
        <v>161</v>
      </c>
      <c r="G13" s="40" t="s">
        <v>620</v>
      </c>
      <c r="H13" s="51">
        <f>1/Unit.m2</f>
        <v>10000</v>
      </c>
      <c r="I13" s="40" t="s">
        <v>622</v>
      </c>
    </row>
    <row r="14" spans="2:21" ht="15">
      <c r="B14" s="15"/>
      <c r="G14" s="40"/>
      <c r="H14" s="51"/>
    </row>
    <row r="15" spans="2:21" ht="15">
      <c r="B15" s="15" t="str">
        <f>Translation!F44</f>
        <v>Money is measured in</v>
      </c>
      <c r="C15" s="11" t="s">
        <v>382</v>
      </c>
      <c r="G15" s="40" t="s">
        <v>620</v>
      </c>
      <c r="H15" s="51">
        <f>1/GBP</f>
        <v>1</v>
      </c>
      <c r="I15" t="s">
        <v>623</v>
      </c>
    </row>
    <row r="16" spans="2:21" ht="15">
      <c r="B16" s="15"/>
      <c r="H16" s="51"/>
    </row>
    <row r="17" spans="2:9" ht="15">
      <c r="B17" s="15" t="s">
        <v>397</v>
      </c>
      <c r="C17" s="11" t="s">
        <v>405</v>
      </c>
      <c r="G17" t="s">
        <v>620</v>
      </c>
      <c r="H17" s="51">
        <f>1/unit.one</f>
        <v>1</v>
      </c>
    </row>
    <row r="18" spans="2:9" ht="15">
      <c r="B18" s="15"/>
    </row>
    <row r="19" spans="2:9" ht="15">
      <c r="B19" s="15" t="s">
        <v>900</v>
      </c>
      <c r="C19" s="11" t="s">
        <v>147</v>
      </c>
      <c r="G19" s="165" t="s">
        <v>620</v>
      </c>
      <c r="H19">
        <f>1/unit.s</f>
        <v>31557600.000000004</v>
      </c>
      <c r="I19" t="s">
        <v>901</v>
      </c>
    </row>
    <row r="21" spans="2:9" ht="15">
      <c r="B21" s="15" t="s">
        <v>1034</v>
      </c>
      <c r="C21" s="11" t="s">
        <v>1041</v>
      </c>
      <c r="G21" t="s">
        <v>618</v>
      </c>
      <c r="H21">
        <f>1/unit.kg</f>
        <v>1000000000000</v>
      </c>
      <c r="I21" t="s">
        <v>1035</v>
      </c>
    </row>
    <row r="23" spans="2:9" ht="15">
      <c r="B23" s="15" t="s">
        <v>1065</v>
      </c>
      <c r="C23" s="11" t="s">
        <v>1097</v>
      </c>
      <c r="G23" s="165" t="s">
        <v>618</v>
      </c>
      <c r="H23">
        <f>1/unit.m3.gas</f>
        <v>1000000000000</v>
      </c>
      <c r="I23" t="s">
        <v>1066</v>
      </c>
    </row>
    <row r="24" spans="2:9" ht="12.75" customHeight="1">
      <c r="B24" s="165"/>
    </row>
    <row r="25" spans="2:9" ht="15">
      <c r="B25" s="15" t="s">
        <v>1078</v>
      </c>
      <c r="C25" s="11" t="s">
        <v>1081</v>
      </c>
      <c r="G25" s="165" t="s">
        <v>618</v>
      </c>
      <c r="I25" t="s">
        <v>1079</v>
      </c>
    </row>
  </sheetData>
  <phoneticPr fontId="79" type="noConversion"/>
  <dataValidations count="7">
    <dataValidation type="list" allowBlank="1" showInputMessage="1" showErrorMessage="1" sqref="C7">
      <formula1>$T$7:$T$8</formula1>
    </dataValidation>
    <dataValidation type="list" allowBlank="1" showInputMessage="1" showErrorMessage="1" sqref="C13">
      <formula1>Area.conversion.unit</formula1>
    </dataValidation>
    <dataValidation type="list" allowBlank="1" showInputMessage="1" showErrorMessage="1" sqref="C15">
      <formula1>Cost.conversion.unit</formula1>
    </dataValidation>
    <dataValidation type="list" allowBlank="1" showInputMessage="1" showErrorMessage="1" sqref="C11">
      <formula1>Power.conversions.unit</formula1>
    </dataValidation>
    <dataValidation type="list" allowBlank="1" showInputMessage="1" showErrorMessage="1" sqref="C9">
      <formula1>Energy.conversion.unit</formula1>
    </dataValidation>
    <dataValidation type="list" allowBlank="1" showInputMessage="1" showErrorMessage="1" sqref="C21">
      <formula1>weight.conversions.unit</formula1>
    </dataValidation>
    <dataValidation type="list" allowBlank="1" showInputMessage="1" showErrorMessage="1" sqref="C25">
      <formula1>liquid.volume.conversions.unit</formula1>
    </dataValidation>
  </dataValidations>
  <hyperlinks>
    <hyperlink ref="E2" location="Contents!A1" display="Click here to go to the &quot;contents&quot; page"/>
  </hyperlinks>
  <pageMargins left="0.7" right="0.7" top="0.75" bottom="0.75" header="0.3" footer="0.3"/>
  <pageSetup paperSize="9" orientation="portrait"/>
  <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Conversion!$B$122:$B$125</xm:f>
          </x14:formula1>
          <xm:sqref>C17</xm:sqref>
        </x14:dataValidation>
        <x14:dataValidation type="list" allowBlank="1" showInputMessage="1" showErrorMessage="1">
          <x14:formula1>
            <xm:f>Conversion!$B$43:$B$47</xm:f>
          </x14:formula1>
          <xm:sqref>C19</xm:sqref>
        </x14:dataValidation>
        <x14:dataValidation type="list" allowBlank="1" showInputMessage="1" showErrorMessage="1">
          <x14:formula1>
            <xm:f>Conversion!$B$142:$B$147</xm:f>
          </x14:formula1>
          <xm:sqref>C23</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98909"/>
  </sheetPr>
  <dimension ref="A1:Q49"/>
  <sheetViews>
    <sheetView showGridLines="0" zoomScale="70" zoomScaleNormal="70" zoomScalePageLayoutView="70" workbookViewId="0">
      <pane xSplit="2" ySplit="5" topLeftCell="O35" activePane="bottomRight" state="frozen"/>
      <selection pane="topRight" activeCell="C1" sqref="C1"/>
      <selection pane="bottomLeft" activeCell="A6" sqref="A6"/>
      <selection pane="bottomRight" activeCell="A10" sqref="A10"/>
    </sheetView>
  </sheetViews>
  <sheetFormatPr baseColWidth="10" defaultColWidth="9.1640625" defaultRowHeight="14" x14ac:dyDescent="0"/>
  <cols>
    <col min="1" max="1" width="2.33203125" style="165" customWidth="1"/>
    <col min="2" max="2" width="69.5" style="165" customWidth="1"/>
    <col min="3" max="3" width="24.1640625" style="165" customWidth="1"/>
    <col min="4" max="4" width="48.1640625" style="165" customWidth="1"/>
    <col min="5" max="5" width="45.83203125" style="165" customWidth="1"/>
    <col min="6" max="6" width="36.5" style="165" customWidth="1"/>
    <col min="7" max="7" width="59.1640625" style="219" customWidth="1"/>
    <col min="8" max="8" width="47.1640625" style="165" customWidth="1"/>
    <col min="9" max="9" width="89" style="165" customWidth="1"/>
    <col min="10" max="10" width="64.33203125" style="165" customWidth="1"/>
    <col min="11" max="11" width="90.6640625" style="165" customWidth="1"/>
    <col min="12" max="12" width="48.33203125" style="165" customWidth="1"/>
    <col min="13" max="13" width="106.1640625" style="165" customWidth="1"/>
    <col min="14" max="14" width="55.33203125" style="165" customWidth="1"/>
    <col min="15" max="15" width="106.1640625" style="165" customWidth="1"/>
    <col min="16" max="16" width="28.83203125" style="165" customWidth="1"/>
    <col min="17" max="16384" width="9.1640625" style="165"/>
  </cols>
  <sheetData>
    <row r="1" spans="2:16" ht="8.25" customHeight="1"/>
    <row r="2" spans="2:16" ht="20">
      <c r="B2" s="9" t="s">
        <v>886</v>
      </c>
      <c r="C2" s="9"/>
      <c r="D2" s="9"/>
      <c r="I2" s="165">
        <f>LEN(M10)</f>
        <v>407</v>
      </c>
      <c r="J2" s="99" t="s">
        <v>350</v>
      </c>
    </row>
    <row r="3" spans="2:16" ht="20">
      <c r="B3" s="9" t="s">
        <v>887</v>
      </c>
      <c r="C3" s="9"/>
      <c r="D3" s="165" t="s">
        <v>1242</v>
      </c>
      <c r="H3" s="165" t="s">
        <v>1243</v>
      </c>
      <c r="I3" s="219" t="s">
        <v>1242</v>
      </c>
      <c r="J3" s="219" t="s">
        <v>1243</v>
      </c>
      <c r="K3" s="219" t="s">
        <v>1242</v>
      </c>
      <c r="L3" s="219" t="s">
        <v>1243</v>
      </c>
      <c r="M3" s="219" t="s">
        <v>1242</v>
      </c>
      <c r="N3" s="219" t="s">
        <v>1243</v>
      </c>
      <c r="O3" s="219" t="s">
        <v>1242</v>
      </c>
    </row>
    <row r="4" spans="2:16" ht="15" thickBot="1">
      <c r="D4" s="195"/>
      <c r="H4" s="195"/>
      <c r="I4" s="195"/>
      <c r="J4" s="195"/>
      <c r="K4" s="195"/>
      <c r="L4" s="195"/>
      <c r="M4" s="195"/>
    </row>
    <row r="5" spans="2:16" ht="15" thickBot="1">
      <c r="B5" s="100" t="s">
        <v>496</v>
      </c>
      <c r="C5" s="100" t="s">
        <v>279</v>
      </c>
      <c r="D5" s="100" t="s">
        <v>1127</v>
      </c>
      <c r="E5" s="100" t="s">
        <v>1128</v>
      </c>
      <c r="F5" s="100" t="s">
        <v>1129</v>
      </c>
      <c r="G5" s="100" t="s">
        <v>1327</v>
      </c>
      <c r="H5" s="205" t="s">
        <v>1120</v>
      </c>
      <c r="I5" s="205" t="s">
        <v>1119</v>
      </c>
      <c r="J5" s="204" t="s">
        <v>1121</v>
      </c>
      <c r="K5" s="204" t="s">
        <v>1122</v>
      </c>
      <c r="L5" s="208" t="s">
        <v>1123</v>
      </c>
      <c r="M5" s="208" t="s">
        <v>1124</v>
      </c>
      <c r="N5" s="209" t="s">
        <v>1125</v>
      </c>
      <c r="O5" s="209" t="s">
        <v>1126</v>
      </c>
      <c r="P5" s="193" t="s">
        <v>1141</v>
      </c>
    </row>
    <row r="6" spans="2:16" ht="30" thickTop="1" thickBot="1">
      <c r="B6" s="261" t="str">
        <f>'User inputs'!D7</f>
        <v>Global population</v>
      </c>
      <c r="C6" s="231"/>
      <c r="D6" s="231" t="s">
        <v>2461</v>
      </c>
      <c r="E6" s="231"/>
      <c r="F6" s="231"/>
      <c r="G6" s="231" t="s">
        <v>2462</v>
      </c>
      <c r="H6" s="231" t="str">
        <f>"In 2050 the world population rises to around "&amp;ROUND('G.Universal data'!Q25/1000000000,1)&amp;" billion"</f>
        <v>In 2050 the world population rises to around 10.9 billion</v>
      </c>
      <c r="I6" s="231"/>
      <c r="J6" s="231" t="str">
        <f>"In 2050 the world population rises to around "&amp;ROUND('G.Universal data'!Q26/1000000000,1)&amp;" billion"</f>
        <v>In 2050 the world population rises to around 9.6 billion</v>
      </c>
      <c r="K6" s="231"/>
      <c r="L6" s="231" t="str">
        <f>"In 2050 the world population rises to around "&amp;ROUND('G.Universal data'!Q27/1000000000,1)&amp;" billion"</f>
        <v>In 2050 the world population rises to around 8.3 billion</v>
      </c>
      <c r="M6" s="231"/>
      <c r="N6" s="231"/>
      <c r="O6" s="231"/>
    </row>
    <row r="7" spans="2:16" ht="16" thickTop="1" thickBot="1">
      <c r="B7" s="261" t="str">
        <f>'User inputs'!D8</f>
        <v>Urbanisation and access to electricity</v>
      </c>
      <c r="C7" s="231"/>
      <c r="D7" s="231" t="s">
        <v>2464</v>
      </c>
      <c r="E7" s="231"/>
      <c r="F7" s="231"/>
      <c r="G7" s="231" t="s">
        <v>2463</v>
      </c>
      <c r="H7" s="231" t="str">
        <f>"In 2050, "&amp;ROUND('G.Universal data'!Q18*100,0)&amp;"% of the world's population live in urban areas"</f>
        <v>In 2050, 66% of the world's population live in urban areas</v>
      </c>
      <c r="I7" s="231"/>
      <c r="J7" s="231" t="str">
        <f>"In 2050, "&amp;ROUND('G.Universal data'!Q19*100,0)&amp;"% of the world's population live in urban areas"</f>
        <v>In 2050, 67% of the world's population live in urban areas</v>
      </c>
      <c r="K7" s="231"/>
      <c r="L7" s="231" t="str">
        <f>"In 2050, "&amp;ROUND('G.Universal data'!Q20*100,0)&amp;"% of the world's population live in urban areas"</f>
        <v>In 2050, 69% of the world's population live in urban areas</v>
      </c>
      <c r="M7" s="231"/>
      <c r="N7" s="231"/>
      <c r="O7" s="231"/>
    </row>
    <row r="8" spans="2:16" ht="44" thickTop="1" thickBot="1">
      <c r="B8" s="261" t="str">
        <f>'User inputs'!D9</f>
        <v>Passenger distance</v>
      </c>
      <c r="C8" s="231"/>
      <c r="D8" s="231" t="s">
        <v>2485</v>
      </c>
      <c r="E8" s="231"/>
      <c r="F8" s="231"/>
      <c r="G8" s="231"/>
      <c r="H8" s="231" t="s">
        <v>2480</v>
      </c>
      <c r="I8" s="231" t="s">
        <v>2484</v>
      </c>
      <c r="J8" s="231" t="s">
        <v>2481</v>
      </c>
      <c r="K8" s="231" t="s">
        <v>2481</v>
      </c>
      <c r="L8" s="231" t="s">
        <v>2482</v>
      </c>
      <c r="M8" s="231" t="s">
        <v>2482</v>
      </c>
      <c r="N8" s="231" t="s">
        <v>2483</v>
      </c>
      <c r="O8" s="231" t="s">
        <v>2483</v>
      </c>
    </row>
    <row r="9" spans="2:16" ht="58" thickTop="1" thickBot="1">
      <c r="B9" s="261" t="str">
        <f>'User inputs'!D10</f>
        <v>Freight demand</v>
      </c>
      <c r="C9" s="231"/>
      <c r="D9" s="231" t="s">
        <v>2486</v>
      </c>
      <c r="E9" s="231"/>
      <c r="F9" s="231"/>
      <c r="G9" s="231"/>
      <c r="H9" s="231" t="s">
        <v>2487</v>
      </c>
      <c r="I9" s="231" t="s">
        <v>2490</v>
      </c>
      <c r="J9" s="231" t="s">
        <v>2488</v>
      </c>
      <c r="K9" s="231" t="s">
        <v>2491</v>
      </c>
      <c r="L9" s="231" t="s">
        <v>2489</v>
      </c>
      <c r="M9" s="231" t="s">
        <v>2492</v>
      </c>
      <c r="N9" s="231" t="s">
        <v>2493</v>
      </c>
      <c r="O9" s="231" t="s">
        <v>2494</v>
      </c>
    </row>
    <row r="10" spans="2:16" ht="100" thickTop="1" thickBot="1">
      <c r="B10" s="261" t="str">
        <f>'User inputs'!D11</f>
        <v>Passenger and freight mode and occupancy</v>
      </c>
      <c r="C10" s="231"/>
      <c r="D10" s="231" t="s">
        <v>2495</v>
      </c>
      <c r="E10" s="231"/>
      <c r="F10" s="231"/>
      <c r="G10" s="231"/>
      <c r="H10" s="231" t="s">
        <v>2503</v>
      </c>
      <c r="I10" s="231" t="s">
        <v>2496</v>
      </c>
      <c r="J10" s="231" t="s">
        <v>2502</v>
      </c>
      <c r="K10" s="231" t="s">
        <v>2501</v>
      </c>
      <c r="L10" s="231" t="s">
        <v>2497</v>
      </c>
      <c r="M10" s="231" t="s">
        <v>2498</v>
      </c>
      <c r="N10" s="231" t="s">
        <v>2499</v>
      </c>
      <c r="O10" s="231" t="s">
        <v>2500</v>
      </c>
    </row>
    <row r="11" spans="2:16" ht="58" thickTop="1" thickBot="1">
      <c r="B11" s="261" t="str">
        <f>'User inputs'!D12</f>
        <v>Passenger and freight efficiency</v>
      </c>
      <c r="C11" s="231"/>
      <c r="D11" s="231" t="s">
        <v>2504</v>
      </c>
      <c r="E11" s="231"/>
      <c r="F11" s="231"/>
      <c r="G11" s="231"/>
      <c r="H11" s="231" t="s">
        <v>2505</v>
      </c>
      <c r="I11" s="231" t="s">
        <v>2505</v>
      </c>
      <c r="J11" s="231" t="s">
        <v>2506</v>
      </c>
      <c r="K11" s="231" t="s">
        <v>2506</v>
      </c>
      <c r="L11" s="231" t="s">
        <v>2507</v>
      </c>
      <c r="M11" s="231" t="s">
        <v>2507</v>
      </c>
      <c r="N11" s="231" t="s">
        <v>2508</v>
      </c>
      <c r="O11" s="231" t="s">
        <v>2508</v>
      </c>
    </row>
    <row r="12" spans="2:16" ht="58" thickTop="1" thickBot="1">
      <c r="B12" s="261" t="str">
        <f>'User inputs'!D13</f>
        <v>Electrification of passenger and freight (electricity and hydrogen)</v>
      </c>
      <c r="C12" s="231"/>
      <c r="D12" s="231" t="s">
        <v>2509</v>
      </c>
      <c r="E12" s="231"/>
      <c r="F12" s="231"/>
      <c r="G12" s="231"/>
      <c r="H12" s="231" t="s">
        <v>2510</v>
      </c>
      <c r="I12" s="231" t="s">
        <v>2510</v>
      </c>
      <c r="J12" s="231" t="s">
        <v>2511</v>
      </c>
      <c r="K12" s="231" t="s">
        <v>2511</v>
      </c>
      <c r="L12" s="231" t="s">
        <v>2513</v>
      </c>
      <c r="M12" s="231" t="s">
        <v>2513</v>
      </c>
      <c r="N12" s="231" t="s">
        <v>2512</v>
      </c>
      <c r="O12" s="231" t="s">
        <v>2512</v>
      </c>
    </row>
    <row r="13" spans="2:16" ht="58" thickTop="1" thickBot="1">
      <c r="B13" s="261" t="str">
        <f>'User inputs'!D14</f>
        <v>Building size (m2)</v>
      </c>
      <c r="C13" s="231"/>
      <c r="D13" s="231" t="s">
        <v>2427</v>
      </c>
      <c r="E13" s="231"/>
      <c r="F13" s="231"/>
      <c r="G13" s="231"/>
      <c r="H13" s="231" t="s">
        <v>2428</v>
      </c>
      <c r="I13" s="231" t="s">
        <v>2429</v>
      </c>
      <c r="J13" s="231" t="s">
        <v>2430</v>
      </c>
      <c r="K13" s="231" t="s">
        <v>2431</v>
      </c>
      <c r="L13" s="231" t="s">
        <v>2432</v>
      </c>
      <c r="M13" s="231" t="s">
        <v>2432</v>
      </c>
      <c r="N13" s="231" t="s">
        <v>2433</v>
      </c>
      <c r="O13" s="231" t="s">
        <v>2433</v>
      </c>
    </row>
    <row r="14" spans="2:16" ht="86" thickTop="1" thickBot="1">
      <c r="B14" s="261" t="str">
        <f>'User inputs'!D15</f>
        <v>Heating / cooling per m2</v>
      </c>
      <c r="C14" s="231"/>
      <c r="D14" s="231" t="s">
        <v>2434</v>
      </c>
      <c r="E14" s="231"/>
      <c r="F14" s="231"/>
      <c r="G14" s="231"/>
      <c r="H14" s="231" t="s">
        <v>2436</v>
      </c>
      <c r="I14" s="231" t="s">
        <v>2435</v>
      </c>
      <c r="J14" s="231" t="s">
        <v>2438</v>
      </c>
      <c r="K14" s="231" t="s">
        <v>2437</v>
      </c>
      <c r="L14" s="231" t="s">
        <v>2439</v>
      </c>
      <c r="M14" s="231" t="s">
        <v>2439</v>
      </c>
      <c r="N14" s="231" t="s">
        <v>2440</v>
      </c>
      <c r="O14" s="231" t="s">
        <v>2440</v>
      </c>
    </row>
    <row r="15" spans="2:16" ht="86" thickTop="1" thickBot="1">
      <c r="B15" s="261" t="str">
        <f>'User inputs'!D16</f>
        <v xml:space="preserve">Heating / cooling technology </v>
      </c>
      <c r="C15" s="231"/>
      <c r="D15" s="231" t="s">
        <v>2441</v>
      </c>
      <c r="E15" s="231"/>
      <c r="F15" s="231"/>
      <c r="G15" s="231"/>
      <c r="H15" s="231" t="s">
        <v>2442</v>
      </c>
      <c r="I15" s="231" t="s">
        <v>2442</v>
      </c>
      <c r="J15" s="231" t="s">
        <v>2443</v>
      </c>
      <c r="K15" s="231" t="s">
        <v>2443</v>
      </c>
      <c r="L15" s="231" t="s">
        <v>2444</v>
      </c>
      <c r="M15" s="231" t="s">
        <v>2444</v>
      </c>
      <c r="N15" s="231" t="s">
        <v>2445</v>
      </c>
      <c r="O15" s="231" t="s">
        <v>2445</v>
      </c>
    </row>
    <row r="16" spans="2:16" ht="72" thickTop="1" thickBot="1">
      <c r="B16" s="261" t="str">
        <f>'User inputs'!D17</f>
        <v>Lighting, appliances and cooking demand</v>
      </c>
      <c r="C16" s="231"/>
      <c r="D16" s="231" t="s">
        <v>2446</v>
      </c>
      <c r="E16" s="231"/>
      <c r="F16" s="231"/>
      <c r="G16" s="231"/>
      <c r="H16" s="231" t="s">
        <v>2447</v>
      </c>
      <c r="I16" s="231" t="s">
        <v>2447</v>
      </c>
      <c r="J16" s="231" t="s">
        <v>2448</v>
      </c>
      <c r="K16" s="231" t="s">
        <v>2448</v>
      </c>
      <c r="L16" s="231" t="s">
        <v>2449</v>
      </c>
      <c r="M16" s="231" t="s">
        <v>2449</v>
      </c>
      <c r="N16" s="231" t="s">
        <v>2450</v>
      </c>
      <c r="O16" s="231" t="s">
        <v>2450</v>
      </c>
    </row>
    <row r="17" spans="1:15" ht="72" thickTop="1" thickBot="1">
      <c r="B17" s="261" t="str">
        <f>'User inputs'!D18</f>
        <v>Lighting, appliances and cooking efficiency</v>
      </c>
      <c r="C17" s="231"/>
      <c r="D17" s="231" t="s">
        <v>2451</v>
      </c>
      <c r="E17" s="231"/>
      <c r="F17" s="231"/>
      <c r="G17" s="231"/>
      <c r="H17" s="231" t="s">
        <v>2452</v>
      </c>
      <c r="I17" s="231" t="s">
        <v>2452</v>
      </c>
      <c r="J17" s="231" t="s">
        <v>2453</v>
      </c>
      <c r="K17" s="231" t="s">
        <v>2453</v>
      </c>
      <c r="L17" s="231" t="s">
        <v>2454</v>
      </c>
      <c r="M17" s="231" t="s">
        <v>2454</v>
      </c>
      <c r="N17" s="231" t="s">
        <v>2455</v>
      </c>
      <c r="O17" s="231" t="s">
        <v>2455</v>
      </c>
    </row>
    <row r="18" spans="1:15" ht="30" thickTop="1" thickBot="1">
      <c r="B18" s="261" t="str">
        <f>'User inputs'!D19</f>
        <v>Energy intensity of non-residential buildings</v>
      </c>
      <c r="C18" s="231"/>
      <c r="D18" s="433" t="s">
        <v>2456</v>
      </c>
      <c r="E18" s="231"/>
      <c r="F18" s="231"/>
      <c r="G18" s="231"/>
      <c r="H18" s="231" t="s">
        <v>2457</v>
      </c>
      <c r="I18" s="231" t="s">
        <v>2457</v>
      </c>
      <c r="J18" s="231" t="s">
        <v>2458</v>
      </c>
      <c r="K18" s="231" t="s">
        <v>2458</v>
      </c>
      <c r="L18" s="231" t="s">
        <v>2459</v>
      </c>
      <c r="M18" s="231" t="s">
        <v>2459</v>
      </c>
      <c r="N18" s="231" t="s">
        <v>2460</v>
      </c>
      <c r="O18" s="231" t="s">
        <v>2460</v>
      </c>
    </row>
    <row r="19" spans="1:15" ht="72" thickTop="1" thickBot="1">
      <c r="A19" s="219"/>
      <c r="B19" s="261" t="str">
        <f>'User inputs'!D20</f>
        <v>Demand for products</v>
      </c>
      <c r="C19" s="231"/>
      <c r="D19" s="231"/>
      <c r="E19" s="231"/>
      <c r="F19" s="231"/>
      <c r="G19" s="231" t="s">
        <v>1781</v>
      </c>
      <c r="H19" s="231" t="s">
        <v>1782</v>
      </c>
      <c r="I19" s="231" t="s">
        <v>1782</v>
      </c>
      <c r="J19" s="231" t="s">
        <v>1783</v>
      </c>
      <c r="K19" s="231" t="s">
        <v>1784</v>
      </c>
      <c r="L19" s="231" t="s">
        <v>1784</v>
      </c>
      <c r="M19" s="231" t="s">
        <v>1784</v>
      </c>
      <c r="N19" s="231" t="s">
        <v>1785</v>
      </c>
      <c r="O19" s="231" t="s">
        <v>1785</v>
      </c>
    </row>
    <row r="20" spans="1:15" ht="44" thickTop="1" thickBot="1">
      <c r="A20" s="219"/>
      <c r="B20" s="261" t="str">
        <f>'User inputs'!D21</f>
        <v>Efficiency of product manufacturing</v>
      </c>
      <c r="C20" s="231"/>
      <c r="D20" s="231"/>
      <c r="E20" s="231"/>
      <c r="F20" s="231"/>
      <c r="G20" s="231" t="s">
        <v>1440</v>
      </c>
      <c r="H20" s="231" t="s">
        <v>1786</v>
      </c>
      <c r="I20" s="231" t="s">
        <v>1786</v>
      </c>
      <c r="J20" s="231" t="s">
        <v>1787</v>
      </c>
      <c r="K20" s="231" t="s">
        <v>1788</v>
      </c>
      <c r="L20" s="231" t="s">
        <v>1788</v>
      </c>
      <c r="M20" s="231" t="s">
        <v>1788</v>
      </c>
      <c r="N20" s="231" t="s">
        <v>1789</v>
      </c>
      <c r="O20" s="231" t="s">
        <v>1789</v>
      </c>
    </row>
    <row r="21" spans="1:15" ht="44" thickTop="1" thickBot="1">
      <c r="A21" s="219"/>
      <c r="B21" s="261" t="str">
        <f>'User inputs'!D22</f>
        <v>Carbon intensity of production (excl. CCS)</v>
      </c>
      <c r="C21" s="231"/>
      <c r="D21" s="231"/>
      <c r="E21" s="231"/>
      <c r="F21" s="231"/>
      <c r="G21" s="231" t="s">
        <v>1440</v>
      </c>
      <c r="H21" s="231" t="s">
        <v>1790</v>
      </c>
      <c r="I21" s="231" t="s">
        <v>1790</v>
      </c>
      <c r="J21" s="231" t="s">
        <v>1791</v>
      </c>
      <c r="K21" s="231" t="s">
        <v>1792</v>
      </c>
      <c r="L21" s="231" t="s">
        <v>1792</v>
      </c>
      <c r="M21" s="231" t="s">
        <v>1792</v>
      </c>
      <c r="N21" s="231" t="s">
        <v>1793</v>
      </c>
      <c r="O21" s="231" t="s">
        <v>1793</v>
      </c>
    </row>
    <row r="22" spans="1:15" s="219" customFormat="1" ht="30" thickTop="1" thickBot="1">
      <c r="B22" s="261" t="str">
        <f>'User inputs'!D23</f>
        <v>Carbon Capture &amp; Storage in industry</v>
      </c>
      <c r="C22" s="231"/>
      <c r="D22" s="231"/>
      <c r="E22" s="231"/>
      <c r="F22" s="231"/>
      <c r="G22" s="231" t="s">
        <v>1440</v>
      </c>
      <c r="H22" s="231" t="s">
        <v>1794</v>
      </c>
      <c r="I22" s="231" t="s">
        <v>1794</v>
      </c>
      <c r="J22" s="231" t="s">
        <v>1795</v>
      </c>
      <c r="K22" s="231" t="s">
        <v>1796</v>
      </c>
      <c r="L22" s="231" t="s">
        <v>1796</v>
      </c>
      <c r="M22" s="231" t="s">
        <v>1796</v>
      </c>
      <c r="N22" s="231" t="s">
        <v>1797</v>
      </c>
      <c r="O22" s="231" t="s">
        <v>1797</v>
      </c>
    </row>
    <row r="23" spans="1:15" ht="44" thickTop="1" thickBot="1">
      <c r="B23" s="375" t="str">
        <f>'User inputs'!D24</f>
        <v>Power from solid vs  liquid vs gas and biomass conversion (solid/liquid/gas)</v>
      </c>
      <c r="C23" s="231" t="s">
        <v>2234</v>
      </c>
      <c r="D23" s="231" t="s">
        <v>2235</v>
      </c>
      <c r="E23" s="231" t="e">
        <f>"In 2050 out of total fossil energy supplied it is "&amp;#REF!*100&amp;""&amp;#REF!&amp;" of solid, "&amp;#REF!*100&amp;""&amp;#REF!&amp;" of liquid and "&amp;#REF!*100&amp;""&amp;#REF!&amp;" of gas power"</f>
        <v>#REF!</v>
      </c>
      <c r="F23" s="231"/>
      <c r="G23" s="231"/>
      <c r="H23" s="231" t="e">
        <f>"In 2050 out of total fossil energy supplied it is "&amp;#REF!*100&amp;""&amp;#REF!&amp;" of solid, "&amp;#REF!*100&amp;""&amp;#REF!&amp;" of liquid and "&amp;#REF!*100&amp;""&amp;#REF!&amp;" of gas power"</f>
        <v>#REF!</v>
      </c>
      <c r="I23" s="231" t="s">
        <v>2236</v>
      </c>
      <c r="J23" s="231" t="e">
        <f>"In 2050 out of total fossil energy supplied it is "&amp;#REF!*100&amp;""&amp;#REF!&amp;" of solid, "&amp;#REF!*100&amp;""&amp;#REF!&amp;" of liquid and "&amp;#REF!*100&amp;""&amp;#REF!&amp;" of gas power"</f>
        <v>#REF!</v>
      </c>
      <c r="K23" s="231" t="s">
        <v>2237</v>
      </c>
      <c r="L23" s="231" t="e">
        <f>"In 2050 out of total fossil energy supplied it is "&amp;#REF!*100&amp;""&amp;#REF!&amp;" of solid, "&amp;#REF!*100&amp;""&amp;#REF!&amp;" of liquid and "&amp;#REF!*100&amp;""&amp;#REF!&amp;" of gas power"</f>
        <v>#REF!</v>
      </c>
      <c r="M23" s="231" t="s">
        <v>2238</v>
      </c>
      <c r="N23" s="231" t="e">
        <f>"In 2050 out of total fossil energy supplied it is "&amp;#REF!*100&amp;""&amp;#REF!&amp;" of solid, "&amp;#REF!*100&amp;""&amp;#REF!&amp;" of liquid and "&amp;#REF!*100&amp;""&amp;#REF!&amp;" of gas power"</f>
        <v>#REF!</v>
      </c>
      <c r="O23" s="231" t="s">
        <v>2239</v>
      </c>
    </row>
    <row r="24" spans="1:15" ht="44" thickTop="1" thickBot="1">
      <c r="B24" s="375" t="str">
        <f>'User inputs'!D25</f>
        <v>Technology of powerplant deployed</v>
      </c>
      <c r="C24" s="231"/>
      <c r="D24" s="231" t="s">
        <v>2256</v>
      </c>
      <c r="E24" s="231" t="e">
        <f>"In 2050 out of fossil energy supplied it is "&amp;#REF!*100&amp;""&amp;#REF!&amp;" by solid USC, "&amp;#REF!*100&amp;""&amp;#REF!&amp;" by solid SC, "&amp;#REF!*100&amp;""&amp;#REF!&amp;" by solid Sub-C, "&amp;#REF!*100&amp;""&amp;#REF!&amp;" by eff. liquid, "&amp;#REF!*100&amp;""&amp;#REF!&amp;" by ineff. liquid, "&amp;#REF!*100&amp;""&amp;#REF!&amp;" by OCGT and "&amp;#REF!*100&amp;""&amp;#REF!&amp;" by CCGT plant"</f>
        <v>#REF!</v>
      </c>
      <c r="F24" s="231"/>
      <c r="G24" s="231"/>
      <c r="H24" s="231" t="e">
        <f>"In 2050 out of total fossil energy supplied it is "&amp;#REF!*100&amp;""&amp;#REF!&amp;" by solid USC, "&amp;#REF!*100&amp;""&amp;#REF!&amp;" by solid SC, "&amp;#REF!*100&amp;""&amp;#REF!&amp;" by solid Sub-C, "&amp;#REF!*100&amp;""&amp;#REF!&amp;" by eff. liquid fuel, "&amp;#REF!*100&amp;""&amp;#REF!&amp;" by ineff. liquid fuel, "&amp;#REF!*100&amp;""&amp;#REF!&amp;" by OCGT and "&amp;#REF!*100&amp;""&amp;#REF!&amp;" by CCGT power plant"</f>
        <v>#REF!</v>
      </c>
      <c r="I24" s="231" t="s">
        <v>2257</v>
      </c>
      <c r="J24" s="231" t="e">
        <f>"In 2050 out of total fossil energy supplied it is "&amp;#REF!*100&amp;""&amp;#REF!&amp;" by solid USC, "&amp;#REF!*100&amp;""&amp;#REF!&amp;" by solid SC, "&amp;#REF!*100&amp;""&amp;#REF!&amp;" by solid Sub-C, "&amp;#REF!*100&amp;""&amp;#REF!&amp;" by eff. liquid fuel, "&amp;#REF!*100&amp;""&amp;#REF!&amp;" by ineff. liquid fuel, "&amp;#REF!*100&amp;""&amp;#REF!&amp;" by OCGT and "&amp;#REF!*100&amp;""&amp;#REF!&amp;" by CCGT power plant"</f>
        <v>#REF!</v>
      </c>
      <c r="K24" s="231" t="s">
        <v>2258</v>
      </c>
      <c r="L24" s="231" t="e">
        <f>"In 2050 out of total fossil energy supplied it is "&amp;#REF!*100&amp;""&amp;#REF!&amp;" by solid USC, "&amp;#REF!*100&amp;""&amp;#REF!&amp;" by solid SC, "&amp;#REF!*100&amp;""&amp;#REF!&amp;" by solid Sub-C, "&amp;#REF!*100&amp;""&amp;#REF!&amp;" by eff. liquid fuel, "&amp;#REF!*100&amp;""&amp;#REF!&amp;" by ineff. liquid fuel, "&amp;#REF!*100&amp;""&amp;#REF!&amp;" by OCGT and "&amp;#REF!*100&amp;""&amp;#REF!&amp;" by CCGT power plant"</f>
        <v>#REF!</v>
      </c>
      <c r="M24" s="231" t="s">
        <v>2259</v>
      </c>
      <c r="N24" s="231" t="e">
        <f>"In 2050 out of total fossil energy supplied it is "&amp;#REF!*100&amp;""&amp;#REF!&amp;" by solid USC, "&amp;#REF!*100&amp;""&amp;#REF!&amp;" by solid SC, "&amp;#REF!*100&amp;""&amp;#REF!&amp;" by solid Sub-C, "&amp;#REF!*100&amp;""&amp;#REF!&amp;" by eff. liquid fuel, "&amp;#REF!*100&amp;""&amp;#REF!&amp;" by ineff. liquid fuel, "&amp;#REF!*100&amp;""&amp;#REF!&amp;" by OCGT and "&amp;#REF!*100&amp;""&amp;#REF!&amp;" by CCGT power plant"</f>
        <v>#REF!</v>
      </c>
      <c r="O24" s="231" t="s">
        <v>2260</v>
      </c>
    </row>
    <row r="25" spans="1:15" ht="58" thickTop="1" thickBot="1">
      <c r="B25" s="375" t="str">
        <f>'User inputs'!D26</f>
        <v>Power with Carbon Capture Storage</v>
      </c>
      <c r="C25" s="231" t="s">
        <v>2261</v>
      </c>
      <c r="D25" s="231" t="s">
        <v>2262</v>
      </c>
      <c r="E25" s="231" t="e">
        <f>"In 2050 there is "&amp;#REF!&amp;" "&amp;Preferences.power&amp;" of CCS installed power capacity"</f>
        <v>#REF!</v>
      </c>
      <c r="F25" s="231"/>
      <c r="G25" s="231"/>
      <c r="H25" s="231" t="e">
        <f>"In 2050 there is "&amp;#REF!&amp;" "&amp;Preferences.power&amp;" of CCS installed power capacity"</f>
        <v>#REF!</v>
      </c>
      <c r="I25" s="231" t="s">
        <v>2263</v>
      </c>
      <c r="J25" s="231" t="e">
        <f>"In 2050 there is "&amp;#REF!&amp;" "&amp;Preferences.power&amp;" of CCS installed power capacity"</f>
        <v>#REF!</v>
      </c>
      <c r="K25" s="231" t="s">
        <v>2264</v>
      </c>
      <c r="L25" s="231" t="e">
        <f>"In 2050 there is "&amp;#REF!&amp;" "&amp;Preferences.power&amp;" of CCS installed power capacity"</f>
        <v>#REF!</v>
      </c>
      <c r="M25" s="231" t="s">
        <v>2265</v>
      </c>
      <c r="N25" s="231" t="e">
        <f>"In 2050 there is "&amp;#REF!&amp;" "&amp;Preferences.power&amp;" of CCS installed power capacity"</f>
        <v>#REF!</v>
      </c>
      <c r="O25" s="231" t="s">
        <v>2266</v>
      </c>
    </row>
    <row r="26" spans="1:15" ht="30" thickTop="1" thickBot="1">
      <c r="B26" s="375" t="str">
        <f>'User inputs'!D27</f>
        <v>Nuclear power stations</v>
      </c>
      <c r="C26" s="231" t="s">
        <v>737</v>
      </c>
      <c r="D26" s="231" t="s">
        <v>2267</v>
      </c>
      <c r="E26" s="231" t="e">
        <f>"In 2050 there is "&amp;#REF!&amp;" "&amp;Preferences.power&amp;" of installed nuclear power capacity"</f>
        <v>#REF!</v>
      </c>
      <c r="F26" s="231"/>
      <c r="G26" s="231"/>
      <c r="H26" s="231" t="e">
        <f>"In 2050 there is "&amp;#REF!&amp;" "&amp;Preferences.power&amp;" of installed nuclear power capacity."</f>
        <v>#REF!</v>
      </c>
      <c r="I26" s="231" t="e">
        <f>H26&amp;" China, India and US to be key drivers of nuclear power with continued investments and policy measures. However the growth will be equivalent to the lowest in last five decades"</f>
        <v>#REF!</v>
      </c>
      <c r="J26" s="231" t="e">
        <f>"In 2050 there is "&amp;#REF!&amp;" "&amp;Preferences.power&amp;" of installed nuclear power capacity."</f>
        <v>#REF!</v>
      </c>
      <c r="K26" s="231" t="e">
        <f>J26&amp;" This is equivalent to current global build rates continuing up to 2050."</f>
        <v>#REF!</v>
      </c>
      <c r="L26" s="231" t="e">
        <f>"In 2050 there is "&amp;#REF!&amp;" "&amp;Preferences.power&amp; " of installed nuclear power capacity."</f>
        <v>#REF!</v>
      </c>
      <c r="M26" s="231" t="e">
        <f>L26&amp;" This is equivalent to global planned build rates over the next decade (till 2020) continuing upto 2050"</f>
        <v>#REF!</v>
      </c>
      <c r="N26" s="231" t="e">
        <f>"In 2050 there is "&amp;#REF!&amp;" "&amp;Preferences.power&amp; " of installed nuclear power capacity."</f>
        <v>#REF!</v>
      </c>
      <c r="O26" s="231" t="e">
        <f>N26&amp;" This is equivalent to implementation of all pojects under planning over next decade and highest build rate continuing henceforth till 2050 "</f>
        <v>#REF!</v>
      </c>
    </row>
    <row r="27" spans="1:15" ht="44" thickTop="1" thickBot="1">
      <c r="B27" s="375" t="str">
        <f>'User inputs'!D28</f>
        <v>Wind power</v>
      </c>
      <c r="C27" s="231" t="s">
        <v>2268</v>
      </c>
      <c r="D27" s="231" t="s">
        <v>2269</v>
      </c>
      <c r="E27" s="231" t="e">
        <f>"In 2050 there is "&amp;#REF!+#REF!&amp;" "&amp;Preferences.power&amp;" of installed wind power capacity"</f>
        <v>#REF!</v>
      </c>
      <c r="F27" s="231"/>
      <c r="G27" s="231"/>
      <c r="H27" s="231" t="e">
        <f>"In 2050 there is "&amp;#REF!+#REF!&amp;" "&amp;Preferences.power&amp;" of installed wind power capacity"</f>
        <v>#REF!</v>
      </c>
      <c r="I27" s="231" t="s">
        <v>2270</v>
      </c>
      <c r="J27" s="231" t="e">
        <f>"In 2050 there is "&amp;#REF!+#REF!&amp;" "&amp;Preferences.power&amp;" of installed wind power capacity"</f>
        <v>#REF!</v>
      </c>
      <c r="K27" s="231" t="s">
        <v>2271</v>
      </c>
      <c r="L27" s="231" t="e">
        <f>"In 2050 there is "&amp;#REF!+#REF!&amp;" "&amp;Preferences.power&amp;" of installed wind power capacity"</f>
        <v>#REF!</v>
      </c>
      <c r="M27" s="231" t="s">
        <v>2272</v>
      </c>
      <c r="N27" s="231" t="e">
        <f>"In 2050 there is "&amp;#REF!+#REF!&amp;" "&amp;Preferences.power&amp;" of installed wind power capacity"</f>
        <v>#REF!</v>
      </c>
      <c r="O27" s="231" t="s">
        <v>2273</v>
      </c>
    </row>
    <row r="28" spans="1:15" ht="16" thickTop="1" thickBot="1">
      <c r="B28" s="375" t="str">
        <f>'User inputs'!D29</f>
        <v>Hydroelectric power</v>
      </c>
      <c r="C28" s="231" t="s">
        <v>740</v>
      </c>
      <c r="D28" s="231" t="s">
        <v>2274</v>
      </c>
      <c r="E28" s="231" t="e">
        <f>"In 2050 there is "&amp;#REF!&amp;" "&amp;Preferences.power&amp;" of installed hydro power capacity"</f>
        <v>#REF!</v>
      </c>
      <c r="F28" s="231"/>
      <c r="G28" s="231"/>
      <c r="H28" s="231" t="e">
        <f>"In 2050 there is "&amp;#REF!&amp;" "&amp;Preferences.power&amp;" of installed hydro power capacity."</f>
        <v>#REF!</v>
      </c>
      <c r="I28" s="231" t="e">
        <f>H28&amp;" This is equivalent of considering that globally, projects already under planning and construction only to be commissioned."</f>
        <v>#REF!</v>
      </c>
      <c r="J28" s="231" t="e">
        <f>"In 2050 there is "&amp;#REF!&amp;" "&amp;Preferences.power&amp;" of installed hydro power capacity."</f>
        <v>#REF!</v>
      </c>
      <c r="K28" s="231" t="e">
        <f>J28&amp;" This is equivalent to steady growth of 1.5% a year."</f>
        <v>#REF!</v>
      </c>
      <c r="L28" s="231" t="e">
        <f>"In 2050 there is "&amp;#REF!&amp;" "&amp;Preferences.power&amp;" of installed hydro power capacity."</f>
        <v>#REF!</v>
      </c>
      <c r="M28" s="231" t="e">
        <f>L28&amp;" This is equivalent to steady growth of 2% a year considering continued investment in large hydro and technology upgradation."</f>
        <v>#REF!</v>
      </c>
      <c r="N28" s="231" t="e">
        <f>"In 2050 there is "&amp;#REF!&amp;" "&amp;Preferences.power&amp;" of installed hydro power capacity."</f>
        <v>#REF!</v>
      </c>
      <c r="O28" s="231" t="e">
        <f>N28&amp;" This is equivalent to growth rate of 3%. Considering a limiting build rate of 3.55% to realize the entire hydro potential by 2050 "</f>
        <v>#REF!</v>
      </c>
    </row>
    <row r="29" spans="1:15" ht="58" thickTop="1" thickBot="1">
      <c r="B29" s="375" t="str">
        <f>'User inputs'!D30</f>
        <v>Marine power</v>
      </c>
      <c r="C29" s="231" t="s">
        <v>2275</v>
      </c>
      <c r="D29" s="231" t="s">
        <v>2276</v>
      </c>
      <c r="E29" s="231" t="e">
        <f>"In 2050 there is "&amp;#REF!+#REF!&amp;" "&amp;Preferences.power&amp;" of installed marine power capacity"</f>
        <v>#REF!</v>
      </c>
      <c r="F29" s="231"/>
      <c r="G29" s="231"/>
      <c r="H29" s="231" t="e">
        <f>"In 2050 there is "&amp;#REF!+#REF!&amp;" "&amp;Preferences.power&amp;" of installed marine power capacity"</f>
        <v>#REF!</v>
      </c>
      <c r="I29" s="231" t="s">
        <v>2277</v>
      </c>
      <c r="J29" s="231" t="e">
        <f>"In 2050 there is "&amp;#REF!+#REF!&amp;" "&amp;Preferences.power&amp;" of installed marine power capacity"</f>
        <v>#REF!</v>
      </c>
      <c r="K29" s="231" t="s">
        <v>2278</v>
      </c>
      <c r="L29" s="231" t="e">
        <f>"In 2050 there is "&amp;#REF!+#REF!&amp;" "&amp;Preferences.power&amp;" of installed marine power capacity"</f>
        <v>#REF!</v>
      </c>
      <c r="M29" s="231" t="s">
        <v>2279</v>
      </c>
      <c r="N29" s="231" t="e">
        <f>"In 2050 there is "&amp;#REF!+#REF!&amp;" "&amp;Preferences.power&amp;" of installed marine power capacity"</f>
        <v>#REF!</v>
      </c>
      <c r="O29" s="231" t="s">
        <v>2280</v>
      </c>
    </row>
    <row r="30" spans="1:15" ht="44" thickTop="1" thickBot="1">
      <c r="B30" s="375" t="str">
        <f>'User inputs'!D31</f>
        <v>Solar power</v>
      </c>
      <c r="C30" s="231" t="s">
        <v>2281</v>
      </c>
      <c r="D30" s="231" t="s">
        <v>2282</v>
      </c>
      <c r="E30" s="231" t="e">
        <f>"In 2050 there is "&amp;#REF!+#REF!&amp;" "&amp;Preferences.power&amp;" of installed solar power capacity"</f>
        <v>#REF!</v>
      </c>
      <c r="F30" s="231"/>
      <c r="G30" s="231"/>
      <c r="H30" s="231" t="e">
        <f>"In 2050 there is "&amp;#REF!+#REF!&amp;" "&amp;Preferences.power&amp;" of installed solar power capacity"</f>
        <v>#REF!</v>
      </c>
      <c r="I30" s="231" t="s">
        <v>2283</v>
      </c>
      <c r="J30" s="231" t="e">
        <f>"In 2050 there is "&amp;#REF!+#REF!&amp;" "&amp;Preferences.power&amp;" of installed solar power capacity"</f>
        <v>#REF!</v>
      </c>
      <c r="K30" s="231" t="s">
        <v>2284</v>
      </c>
      <c r="L30" s="231" t="e">
        <f>"In 2050 there is "&amp;#REF!+#REF!&amp;" "&amp;Preferences.power&amp;" of installed solar power capacity"</f>
        <v>#REF!</v>
      </c>
      <c r="M30" s="231" t="s">
        <v>2285</v>
      </c>
      <c r="N30" s="231" t="e">
        <f>"In 2050 there is "&amp;#REF!+#REF!&amp;" "&amp;Preferences.power&amp;" of installed solar power capacity"</f>
        <v>#REF!</v>
      </c>
      <c r="O30" s="231" t="s">
        <v>2286</v>
      </c>
    </row>
    <row r="31" spans="1:15" ht="44" thickTop="1" thickBot="1">
      <c r="B31" s="375" t="str">
        <f>'User inputs'!D32</f>
        <v>Geothermal power</v>
      </c>
      <c r="C31" s="231" t="s">
        <v>745</v>
      </c>
      <c r="D31" s="231" t="s">
        <v>1735</v>
      </c>
      <c r="E31" s="231" t="e">
        <f>"In 2050 there is "&amp;#REF!&amp;" "&amp;Preferences.power&amp;" of installed geothermal power capacity"</f>
        <v>#REF!</v>
      </c>
      <c r="F31" s="231"/>
      <c r="G31" s="231"/>
      <c r="H31" s="231" t="e">
        <f>"In 2050 there is "&amp;#REF!&amp;" "&amp;Preferences.power&amp;" of installed geothermal power capacity"</f>
        <v>#REF!</v>
      </c>
      <c r="I31" s="231" t="s">
        <v>1737</v>
      </c>
      <c r="J31" s="231" t="e">
        <f>"In 2050 there is "&amp;#REF!&amp;" "&amp;Preferences.power&amp;" of installed geothermal power capacity"</f>
        <v>#REF!</v>
      </c>
      <c r="K31" s="231" t="s">
        <v>1738</v>
      </c>
      <c r="L31" s="231" t="e">
        <f>"In 2050 there is "&amp;#REF!&amp;" "&amp;Preferences.power&amp;" of installed geothermal power capacity"</f>
        <v>#REF!</v>
      </c>
      <c r="M31" s="231" t="s">
        <v>1739</v>
      </c>
      <c r="N31" s="231" t="e">
        <f>"In 2050 there is "&amp;#REF!&amp;" "&amp;Preferences.power&amp;" of installed geothermal power capacity"</f>
        <v>#REF!</v>
      </c>
      <c r="O31" s="231" t="s">
        <v>1736</v>
      </c>
    </row>
    <row r="32" spans="1:15" ht="44" thickTop="1" thickBot="1">
      <c r="B32" s="375" t="str">
        <f>'User inputs'!D33</f>
        <v>Storage, demand shifting &amp; interconnection</v>
      </c>
      <c r="C32" s="231" t="s">
        <v>746</v>
      </c>
      <c r="D32" s="231" t="s">
        <v>2287</v>
      </c>
      <c r="E32" s="231" t="e">
        <f>"In 2050 there is "&amp;#REF!&amp;" "&amp;Preferences.power&amp;" of electricity storage capacity"</f>
        <v>#REF!</v>
      </c>
      <c r="F32" s="231"/>
      <c r="G32" s="231"/>
      <c r="H32" s="231" t="e">
        <f>"In 2050 there is "&amp;#REF!&amp;" "&amp;Preferences.power&amp;" of electricity storage capacity"</f>
        <v>#REF!</v>
      </c>
      <c r="I32" s="231" t="s">
        <v>2288</v>
      </c>
      <c r="J32" s="231" t="e">
        <f>"In 2050 there is "&amp;#REF!&amp;" "&amp;Preferences.power&amp;" of electricity storage capacity"</f>
        <v>#REF!</v>
      </c>
      <c r="K32" s="231" t="s">
        <v>2289</v>
      </c>
      <c r="L32" s="231" t="e">
        <f>"In 2050 there is "&amp;#REF!&amp;" "&amp;Preferences.power&amp;" of electricity storage capacity"</f>
        <v>#REF!</v>
      </c>
      <c r="M32" s="231" t="s">
        <v>2290</v>
      </c>
      <c r="N32" s="231" t="e">
        <f>"In 2050 there is "&amp;#REF!&amp;" "&amp;Preferences.power&amp;" of electricity storage capacity"</f>
        <v>#REF!</v>
      </c>
      <c r="O32" s="231" t="s">
        <v>2291</v>
      </c>
    </row>
    <row r="33" spans="2:17" ht="44" thickTop="1" thickBot="1">
      <c r="B33" s="261" t="str">
        <f>'User inputs'!D34</f>
        <v>Calories consumed</v>
      </c>
      <c r="C33" s="231"/>
      <c r="D33" s="231"/>
      <c r="E33" s="231"/>
      <c r="F33" s="231"/>
      <c r="G33" s="231"/>
      <c r="H33" s="231" t="s">
        <v>1255</v>
      </c>
      <c r="I33" s="231" t="str">
        <f>H33&amp; " This assumes that the world could achieve European standards of food consumbtion by 2050 in terms of energy."</f>
        <v>Meet the current calorie consumption of EU countries by 2050. This assumes that the world could achieve European standards of food consumbtion by 2050 in terms of energy.</v>
      </c>
      <c r="J33" s="231" t="s">
        <v>1256</v>
      </c>
      <c r="K33" s="231" t="str">
        <f xml:space="preserve"> J33&amp;" The growing urbanization and consumption of industrialised products worldwide would mean a higher energy consumption by humans than the current global trend based on the past 10 years. "</f>
        <v xml:space="preserve">Increase the world calorie consumption slighly higher than the current global growth trend. The growing urbanization and consumption of industrialised products worldwide would mean a higher energy consumption by humans than the current global trend based on the past 10 years. </v>
      </c>
      <c r="L33" s="231" t="s">
        <v>1257</v>
      </c>
      <c r="M33" s="231" t="str">
        <f>L33&amp;" This is equivalent to follow the same changes in food consumption observed in the past decade, in which some developing countries (e.g. China and India) have substantially increased their food consumptions."</f>
        <v>Increase in the world calorie consumption, based on the last 10-year growth rate. This is equivalent to follow the same changes in food consumption observed in the past decade, in which some developing countries (e.g. China and India) have substantially increased their food consumptions.</v>
      </c>
      <c r="N33" s="231" t="s">
        <v>1253</v>
      </c>
      <c r="O33" s="231" t="str">
        <f>N33&amp;" No changes would be observed on average. Least developed countries could increase food consumption (e.g. by reducing poverty), whilst developed countries could reduce the food consumption (by reducing obesity)."</f>
        <v>Keep the current world calorie consumption stabilised until 2050. No changes would be observed on average. Least developed countries could increase food consumption (e.g. by reducing poverty), whilst developed countries could reduce the food consumption (by reducing obesity).</v>
      </c>
      <c r="P33" s="206"/>
      <c r="Q33" s="206"/>
    </row>
    <row r="34" spans="2:17" ht="44" thickTop="1" thickBot="1">
      <c r="B34" s="261" t="str">
        <f>'User inputs'!D35</f>
        <v>Type of diet</v>
      </c>
      <c r="C34" s="231"/>
      <c r="D34" s="231"/>
      <c r="E34" s="231"/>
      <c r="F34" s="231"/>
      <c r="G34" s="231"/>
      <c r="H34" s="232" t="s">
        <v>1249</v>
      </c>
      <c r="I34" s="232" t="s">
        <v>1249</v>
      </c>
      <c r="J34" s="232" t="s">
        <v>1250</v>
      </c>
      <c r="K34" s="232" t="s">
        <v>1250</v>
      </c>
      <c r="L34" s="232" t="s">
        <v>1251</v>
      </c>
      <c r="M34" s="232" t="s">
        <v>1251</v>
      </c>
      <c r="N34" s="232" t="s">
        <v>1252</v>
      </c>
      <c r="O34" s="232" t="s">
        <v>1252</v>
      </c>
    </row>
    <row r="35" spans="2:17" ht="30" thickTop="1" thickBot="1">
      <c r="B35" s="261" t="str">
        <f>'User inputs'!D36</f>
        <v>Crop yields</v>
      </c>
      <c r="C35" s="231"/>
      <c r="D35" s="231"/>
      <c r="E35" s="231"/>
      <c r="F35" s="231"/>
      <c r="G35" s="231"/>
      <c r="H35" s="233" t="s">
        <v>1262</v>
      </c>
      <c r="I35" s="234" t="str">
        <f>H35&amp;" This is equivalent to the current rate of yield growth worldwide."</f>
        <v>Low increase in the global productivity (1.25% a year). This is equivalent to the current rate of yield growth worldwide.</v>
      </c>
      <c r="J35" s="233" t="s">
        <v>1261</v>
      </c>
      <c r="K35" s="234" t="str">
        <f>J35&amp;" This yield increase is based on the past 20 years trend globally."</f>
        <v>Keep the past two decades trend of world yield growth (1.5% a year). This yield increase is based on the past 20 years trend globally.</v>
      </c>
      <c r="L35" s="233" t="s">
        <v>1260</v>
      </c>
      <c r="M35" s="234" t="str">
        <f>L35 &amp; " This is based on biotechnology, better farm management, technology transfer, capacity building, miminum climate impacts."</f>
        <v>High increase in global crop yields (2% a year). This is based on biotechnology, better farm management, technology transfer, capacity building, miminum climate impacts.</v>
      </c>
      <c r="N35" s="233" t="s">
        <v>1263</v>
      </c>
      <c r="O35" s="234" t="str">
        <f>N35 &amp; " Substantial use of GMOs, crops with high photosynthesis efficiency, mechanisation, positive climate impacts."</f>
        <v>Extreme yield growth (3% a year). Substantial use of GMOs, crops with high photosynthesis efficiency, mechanisation, positive climate impacts.</v>
      </c>
    </row>
    <row r="36" spans="2:17" ht="30" thickTop="1" thickBot="1">
      <c r="B36" s="261" t="str">
        <f>'User inputs'!D37</f>
        <v>Livestock yields</v>
      </c>
      <c r="C36" s="231"/>
      <c r="D36" s="231"/>
      <c r="E36" s="231"/>
      <c r="F36" s="231"/>
      <c r="G36" s="231"/>
      <c r="H36" s="233" t="s">
        <v>1265</v>
      </c>
      <c r="I36" s="234" t="str">
        <f>H36&amp;" This is equivalent to the current rate of yield growth in countries with low livestock yield increase."</f>
        <v>Low increase of livestock yields (1.5% a year). This is equivalent to the current rate of yield growth in countries with low livestock yield increase.</v>
      </c>
      <c r="J36" s="233" t="s">
        <v>1264</v>
      </c>
      <c r="K36" s="234" t="str">
        <f>J36&amp;" Based on growth rates observed in some developing countries."</f>
        <v>Moderate growth of livestock yields (2% a year). Based on growth rates observed in some developing countries.</v>
      </c>
      <c r="L36" s="233" t="s">
        <v>1266</v>
      </c>
      <c r="M36" s="234" t="str">
        <f>L36 &amp; " This assumes a high use of feedlot systems, pasture rotation management, animal genetic improvements, technology transfer and capacity building."</f>
        <v>High increase in global meat yields (2.5% a year). This assumes a high use of feedlot systems, pasture rotation management, animal genetic improvements, technology transfer and capacity building.</v>
      </c>
      <c r="N36" s="233" t="s">
        <v>1267</v>
      </c>
      <c r="O36" s="234" t="str">
        <f>N36 &amp; " This assumes an extensive use of biotechnology and feedlot systems. "</f>
        <v xml:space="preserve">Extreme yield growth (3.5% a year). This assumes an extensive use of biotechnology and feedlot systems. </v>
      </c>
    </row>
    <row r="37" spans="2:17" ht="44" thickTop="1" thickBot="1">
      <c r="B37" s="261" t="str">
        <f>'User inputs'!D38</f>
        <v>Bioenergy yields</v>
      </c>
      <c r="C37" s="231"/>
      <c r="D37" s="231"/>
      <c r="E37" s="231"/>
      <c r="F37" s="231"/>
      <c r="G37" s="231"/>
      <c r="H37" s="233" t="s">
        <v>1268</v>
      </c>
      <c r="I37" s="234" t="str">
        <f>H37&amp;" This is based on the current crop yield increase rate. Minimum progress of the current bioenergy technologies."</f>
        <v>Low yield increase (1.25% a year).  This is based on the current crop yield increase rate. Minimum progress of the current bioenergy technologies.</v>
      </c>
      <c r="J37" s="233" t="s">
        <v>1269</v>
      </c>
      <c r="K37" s="234" t="str">
        <f>J37&amp;" This requires the use of more efficient crops, better farm management and industrial efficienties."</f>
        <v>Moderate increase in yields (1.5% a year).  This requires the use of more efficient crops, better farm management and industrial efficienties.</v>
      </c>
      <c r="L37" s="233" t="s">
        <v>1270</v>
      </c>
      <c r="M37" s="234" t="str">
        <f>L37 &amp; " This yield growth is expected with the expansion of some new biofuels technologies e.g. lignocellulosic bioethanol and Fischer-Tropsch biodiesel."</f>
        <v>High yield increase (2% a year).  This yield growth is expected with the expansion of some new biofuels technologies e.g. lignocellulosic bioethanol and Fischer-Tropsch biodiesel.</v>
      </c>
      <c r="N37" s="233" t="s">
        <v>1271</v>
      </c>
      <c r="O37" s="234" t="str">
        <f>N37 &amp; "  This is based on advanced fuel technologies (lignocellulosic bioethanol and FT biodiesel), biotechnology, outstanding crop management. Focus on highly efficient biorefineries, algae and very efficient energy crops (e.g.  grasses, sugarcane, oil palm). "</f>
        <v xml:space="preserve">Extreme increase of bioenergy yields (3% a year).  This is based on advanced fuel technologies (lignocellulosic bioethanol and FT biodiesel), biotechnology, outstanding crop management. Focus on highly efficient biorefineries, algae and very efficient energy crops (e.g.  grasses, sugarcane, oil palm). </v>
      </c>
    </row>
    <row r="38" spans="2:17" ht="30" thickTop="1" thickBot="1">
      <c r="B38" s="261" t="str">
        <f>'User inputs'!D39</f>
        <v>Bioenergy production</v>
      </c>
      <c r="C38" s="231"/>
      <c r="D38" s="231"/>
      <c r="E38" s="231"/>
      <c r="F38" s="231"/>
      <c r="G38" s="231"/>
      <c r="H38" s="235" t="s">
        <v>1284</v>
      </c>
      <c r="I38" s="235" t="str">
        <f>H38&amp;" This assumes that bioenergy could be based only on wastes and agricultural by-products. No expansion of bioenergy dedicated crops would happen."</f>
        <v>No bioenergy expansion would happen in remaining areas worldwide. This assumes that bioenergy could be based only on wastes and agricultural by-products. No expansion of bioenergy dedicated crops would happen.</v>
      </c>
      <c r="J38" s="235" t="s">
        <v>1283</v>
      </c>
      <c r="K38" s="235" t="e">
        <f>J38&amp;" This is equivalent to "&amp;#REF!*100&amp;"% of the remaining areas used for dedicated bioenergy crops by 2050."</f>
        <v>#REF!</v>
      </c>
      <c r="L38" s="235" t="s">
        <v>1285</v>
      </c>
      <c r="M38" s="235" t="e">
        <f>L38&amp;" This is equivalent to "&amp;#REF!*100&amp;"% of the remaining areas used for dedicated bioenergy crops by 2050."</f>
        <v>#REF!</v>
      </c>
      <c r="N38" s="235" t="s">
        <v>1286</v>
      </c>
      <c r="O38" s="235" t="e">
        <f>N38&amp;" This is equivalent to "&amp;#REF!*100&amp;"% of the remaining areas used for dedicated bioenergy crops by 2050."</f>
        <v>#REF!</v>
      </c>
    </row>
    <row r="39" spans="2:17" ht="30" thickTop="1" thickBot="1">
      <c r="B39" s="261" t="str">
        <f>'User inputs'!D40</f>
        <v>Conservation areas</v>
      </c>
      <c r="C39" s="235"/>
      <c r="D39" s="235"/>
      <c r="E39" s="235"/>
      <c r="F39" s="235"/>
      <c r="G39" s="235"/>
      <c r="H39" s="235" t="s">
        <v>1248</v>
      </c>
      <c r="I39" s="235" t="s">
        <v>1279</v>
      </c>
      <c r="J39" s="232" t="s">
        <v>1280</v>
      </c>
      <c r="K39" s="232" t="str">
        <f>J39&amp;" This means that the world would halt deforestation by 2020 and have no more net deforesation from 2020 to 2050."</f>
        <v>Global forest land stabilised by 2020. This means that the world would halt deforestation by 2020 and have no more net deforesation from 2020 to 2050.</v>
      </c>
      <c r="L39" s="232" t="s">
        <v>1281</v>
      </c>
      <c r="M39" s="232" t="str">
        <f>L39&amp;"  This is equivalent to a middle point between no deforestation from 2020 to 2050 and massive afforestation/forestation."</f>
        <v>High afforestation and  forestation worlwide.  This is equivalent to a middle point between no deforestation from 2020 to 2050 and massive afforestation/forestation.</v>
      </c>
      <c r="N39" s="232" t="s">
        <v>1282</v>
      </c>
      <c r="O39" s="232" t="str">
        <f>N39&amp;" The deforestation rate observed in the past 20 years would be reverted in the same rate in order to offset the damage cased. The recomposition would happen not only in tropical countries, but also in coutries that deforested their lands long time ago."</f>
        <v>Massive afforestation/forestation. The deforestation rate observed in the past 20 years would be reverted in the same rate in order to offset the damage cased. The recomposition would happen not only in tropical countries, but also in coutries that deforested their lands long time ago.</v>
      </c>
    </row>
    <row r="40" spans="2:17" ht="30" thickTop="1" thickBot="1">
      <c r="B40" s="261" t="str">
        <f>'User inputs'!D41</f>
        <v>Land multiuse and synergies</v>
      </c>
      <c r="C40" s="231"/>
      <c r="D40" s="231"/>
      <c r="E40" s="231"/>
      <c r="F40" s="231"/>
      <c r="G40" s="231"/>
      <c r="H40" s="235" t="s">
        <v>1275</v>
      </c>
      <c r="I40" s="235" t="str">
        <f>H40&amp;" This assumes that 20% more agricultural land would be necessary to attend the selected food/livestock/bioenergy productions. "</f>
        <v xml:space="preserve">Mismanaged land use and some potential negative effects of climate change on agriculture.  This assumes that 20% more agricultural land would be necessary to attend the selected food/livestock/bioenergy productions. </v>
      </c>
      <c r="J40" s="235" t="s">
        <v>1276</v>
      </c>
      <c r="K40" s="235" t="str">
        <f>J40&amp;" This means that either no further benefit or further damage would be expected from land multiuse by 2050."</f>
        <v>Current world pattern of agricultural system stagnate until 2050. This means that either no further benefit or further damage would be expected from land multiuse by 2050.</v>
      </c>
      <c r="L40" s="235" t="s">
        <v>1277</v>
      </c>
      <c r="M40" s="235" t="str">
        <f>L40&amp; "20% less agricultural land would be necessary to attend the selected food/livestock/bioenergy productions."</f>
        <v>Increase in agro-forestry-pasture-bioenergy synergies and best farm practices, based on high growth rate of past decades. 20% less agricultural land would be necessary to attend the selected food/livestock/bioenergy productions.</v>
      </c>
      <c r="N40" s="235" t="s">
        <v>1278</v>
      </c>
      <c r="O40" s="235" t="str">
        <f>N40 &amp;"  50% less agricultural land would be necessary to attend the selected food/livestock/bioenergy productions."</f>
        <v>Strong maximisation of agriculture, including substantial intensification and use of agricultural residues and animal wastes. Climate-smart agriculture.  50% less agricultural land would be necessary to attend the selected food/livestock/bioenergy productions.</v>
      </c>
    </row>
    <row r="41" spans="2:17" ht="129" customHeight="1" thickTop="1" thickBot="1">
      <c r="B41" s="261" t="str">
        <f>'User inputs'!D42</f>
        <v>Speculative greenhouse gas removal technologies</v>
      </c>
      <c r="C41" s="231"/>
      <c r="D41" s="231"/>
      <c r="E41" s="231"/>
      <c r="F41" s="231"/>
      <c r="G41" s="231"/>
      <c r="H41" s="372" t="s">
        <v>1254</v>
      </c>
      <c r="I41" s="373" t="str">
        <f>H41&amp; "This assumes that GGR technologies will not be implemented by 2050 in any scale, due to risks associated to them, costs and negative public perception."</f>
        <v>No GGR TechnologiesThis assumes that GGR technologies will not be implemented by 2050 in any scale, due to risks associated to them, costs and negative public perception.</v>
      </c>
      <c r="J41" s="372" t="s">
        <v>1272</v>
      </c>
      <c r="K41" s="373" t="str">
        <f>J41&amp; " Such technologies would not require additional technological advances or a change in regulation. A limited amount would be expected to occur without a carbon price, but would be driven by other benefits/subsidy systems. Based on 25% of level 4 potential."</f>
        <v>Low effort on GGR Technologies. Utilisation of existing technologies that remove CO2 - e.g. Afforestation and Biomass co-firing with CCS attached.  Such technologies would not require additional technological advances or a change in regulation. A limited amount would be expected to occur without a carbon price, but would be driven by other benefits/subsidy systems. Based on 25% of level 4 potential.</v>
      </c>
      <c r="L41" s="372" t="s">
        <v>1273</v>
      </c>
      <c r="M41" s="373" t="str">
        <f>L41&amp; "Would require a carbon-price to make deployment of such technologies economically viable. Would require technical and regulatory advances. Based on 50% of the level 4 potential."</f>
        <v>Substantial contribution of GGR to tackle global warming, involving a number of technologies, including air capture, biochar, BECCS and ocean-based technologies. Would require a carbon-price to make deployment of such technologies economically viable. Would require technical and regulatory advances. Based on 50% of the level 4 potential.</v>
      </c>
      <c r="N41" s="372" t="s">
        <v>1274</v>
      </c>
      <c r="O41" s="373" t="s">
        <v>2231</v>
      </c>
    </row>
    <row r="42" spans="2:17" ht="30" thickTop="1" thickBot="1">
      <c r="B42" s="261" t="str">
        <f>'User inputs'!D43</f>
        <v>Waste production and collection</v>
      </c>
      <c r="C42" s="231"/>
      <c r="D42" s="231"/>
      <c r="E42" s="231"/>
      <c r="F42" s="231"/>
      <c r="G42" s="231"/>
      <c r="H42" s="235" t="s">
        <v>1287</v>
      </c>
      <c r="I42" s="235" t="e">
        <f>H42&amp;" This assumes that use of wastes would increase from the current "&amp;#REF!*100&amp;"% to "&amp;#REF!*100&amp;"% by 2050"</f>
        <v>#REF!</v>
      </c>
      <c r="J42" s="235" t="s">
        <v>1288</v>
      </c>
      <c r="K42" s="235" t="e">
        <f>J42&amp;" This assumes that use of wastes would increase from the current "&amp;#REF!*100&amp;"% to "&amp;#REF!*100&amp;"% by 2050"</f>
        <v>#REF!</v>
      </c>
      <c r="L42" s="235" t="s">
        <v>1290</v>
      </c>
      <c r="M42" s="235" t="e">
        <f>L42&amp;" This assumes that use of wastes would increase from the current "&amp;#REF!*100&amp;"% to "&amp;#REF!*100&amp;"% by 2050"</f>
        <v>#REF!</v>
      </c>
      <c r="N42" s="235" t="s">
        <v>1289</v>
      </c>
      <c r="O42" s="235" t="e">
        <f>N42&amp;" This assumes that use of wastes would increase from the current "&amp;#REF!*100&amp;"% to "&amp;#REF!*100&amp;"% by 2050"</f>
        <v>#REF!</v>
      </c>
    </row>
    <row r="43" spans="2:17" ht="44" thickTop="1" thickBot="1">
      <c r="B43" s="261" t="str">
        <f>'User inputs'!D44</f>
        <v>Emissions trajectory</v>
      </c>
      <c r="C43" s="231"/>
      <c r="D43" s="231"/>
      <c r="E43" s="231"/>
      <c r="F43" s="231"/>
      <c r="G43" s="231"/>
      <c r="H43" s="231" t="s">
        <v>1726</v>
      </c>
      <c r="I43" s="231"/>
      <c r="J43" s="231" t="s">
        <v>1725</v>
      </c>
      <c r="K43" s="231"/>
      <c r="L43" s="231" t="s">
        <v>1727</v>
      </c>
      <c r="M43" s="231"/>
      <c r="N43" s="231"/>
      <c r="O43" s="231"/>
    </row>
    <row r="44" spans="2:17" ht="30" thickTop="1" thickBot="1">
      <c r="B44" s="261" t="str">
        <f>'User inputs'!D45</f>
        <v>Atmospheric CO2 fraction</v>
      </c>
      <c r="C44" s="272" t="s">
        <v>1687</v>
      </c>
      <c r="D44" s="272" t="s">
        <v>1689</v>
      </c>
      <c r="E44" s="231"/>
      <c r="F44" s="231"/>
      <c r="G44" s="231"/>
      <c r="H44" s="272" t="s">
        <v>1696</v>
      </c>
      <c r="I44" s="272" t="s">
        <v>1697</v>
      </c>
      <c r="J44" s="272" t="s">
        <v>1692</v>
      </c>
      <c r="K44" s="272" t="s">
        <v>1692</v>
      </c>
      <c r="L44" s="272" t="s">
        <v>1693</v>
      </c>
      <c r="M44" s="272" t="s">
        <v>1693</v>
      </c>
      <c r="N44" s="272" t="s">
        <v>1694</v>
      </c>
      <c r="O44" s="272" t="s">
        <v>1695</v>
      </c>
      <c r="P44" s="165" t="s">
        <v>1691</v>
      </c>
    </row>
    <row r="45" spans="2:17" ht="16" thickTop="1" thickBot="1">
      <c r="B45" s="261" t="str">
        <f>'User inputs'!D46</f>
        <v>Model uncertainty assumption</v>
      </c>
      <c r="C45" s="271" t="s">
        <v>1688</v>
      </c>
      <c r="D45" s="271" t="s">
        <v>1690</v>
      </c>
      <c r="E45" s="236"/>
      <c r="F45" s="236"/>
      <c r="G45" s="236"/>
      <c r="H45" s="271" t="s">
        <v>1681</v>
      </c>
      <c r="I45" s="271" t="s">
        <v>1680</v>
      </c>
      <c r="J45" s="271" t="s">
        <v>1682</v>
      </c>
      <c r="K45" s="271" t="s">
        <v>1683</v>
      </c>
      <c r="L45" s="272" t="s">
        <v>1684</v>
      </c>
      <c r="M45" s="271" t="s">
        <v>1685</v>
      </c>
      <c r="N45" s="271" t="s">
        <v>1686</v>
      </c>
      <c r="O45" s="271" t="s">
        <v>1686</v>
      </c>
    </row>
    <row r="46" spans="2:17" ht="15" thickTop="1"/>
    <row r="49" spans="2:2" ht="15">
      <c r="B49" s="225"/>
    </row>
  </sheetData>
  <phoneticPr fontId="79" type="noConversion"/>
  <hyperlinks>
    <hyperlink ref="J2" location="Contents!A1" display="Click here to go to the &quot;contents&quot; pag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98909"/>
  </sheetPr>
  <dimension ref="B1:AW188"/>
  <sheetViews>
    <sheetView showGridLines="0" topLeftCell="K136" zoomScale="85" zoomScaleNormal="85" zoomScalePageLayoutView="85" workbookViewId="0">
      <selection activeCell="AD167" sqref="AD167"/>
    </sheetView>
  </sheetViews>
  <sheetFormatPr baseColWidth="10" defaultColWidth="8.83203125" defaultRowHeight="14" x14ac:dyDescent="0"/>
  <cols>
    <col min="1" max="1" width="3" customWidth="1"/>
    <col min="2" max="2" width="4.1640625" customWidth="1"/>
    <col min="3" max="3" width="8.1640625" customWidth="1"/>
    <col min="4" max="4" width="21.83203125" customWidth="1"/>
    <col min="5" max="5" width="14.33203125" customWidth="1"/>
    <col min="6" max="6" width="5.6640625" customWidth="1"/>
    <col min="7" max="7" width="37.5" customWidth="1"/>
    <col min="8" max="10" width="10.5" customWidth="1"/>
    <col min="11" max="11" width="8.5" customWidth="1"/>
    <col min="12" max="15" width="10.5" customWidth="1"/>
    <col min="16" max="16" width="10.5" style="219" customWidth="1"/>
    <col min="17" max="17" width="4.5" customWidth="1"/>
    <col min="18" max="18" width="11.33203125" customWidth="1"/>
    <col min="19" max="24" width="12.33203125" customWidth="1"/>
    <col min="25" max="25" width="14.33203125" customWidth="1"/>
    <col min="26" max="26" width="13.5" customWidth="1"/>
    <col min="27" max="27" width="2.1640625" customWidth="1"/>
    <col min="28" max="28" width="2.6640625" customWidth="1"/>
  </cols>
  <sheetData>
    <row r="1" spans="2:28" s="23" customFormat="1" ht="8.25" customHeight="1">
      <c r="P1" s="219"/>
    </row>
    <row r="2" spans="2:28" ht="20">
      <c r="B2" s="9" t="s">
        <v>360</v>
      </c>
      <c r="C2" s="9" t="str">
        <f>INDEX(Region.codes[Description],MATCH(B2,Region.codes[Code],0))</f>
        <v>Global</v>
      </c>
      <c r="E2" s="99" t="s">
        <v>350</v>
      </c>
      <c r="I2" s="57"/>
    </row>
    <row r="3" spans="2:28" s="111" customFormat="1" ht="20">
      <c r="B3" s="9" t="s">
        <v>276</v>
      </c>
      <c r="E3" s="99"/>
      <c r="I3" s="57"/>
      <c r="P3" s="219"/>
    </row>
    <row r="4" spans="2:28" s="40" customFormat="1">
      <c r="P4" s="219"/>
    </row>
    <row r="5" spans="2:28" ht="15">
      <c r="B5" s="22" t="s">
        <v>2220</v>
      </c>
      <c r="C5" s="22"/>
      <c r="D5" s="22"/>
      <c r="E5" s="22"/>
      <c r="F5" s="22"/>
      <c r="G5" s="22"/>
      <c r="H5" s="22"/>
      <c r="I5" s="22"/>
      <c r="J5" s="22"/>
      <c r="K5" s="22"/>
      <c r="L5" s="22"/>
      <c r="M5" s="22"/>
      <c r="N5" s="22"/>
      <c r="O5" s="22"/>
      <c r="P5" s="41"/>
      <c r="Q5" s="41"/>
      <c r="R5" s="41"/>
      <c r="S5" s="22"/>
      <c r="T5" s="22"/>
      <c r="U5" s="22"/>
      <c r="V5" s="22"/>
      <c r="W5" s="22"/>
      <c r="X5" s="22"/>
      <c r="Y5" s="22"/>
      <c r="Z5" s="22"/>
      <c r="AA5" s="22"/>
      <c r="AB5" s="219"/>
    </row>
    <row r="6" spans="2:28">
      <c r="B6" s="121"/>
      <c r="C6" s="121"/>
      <c r="D6" s="121"/>
      <c r="E6" s="121"/>
      <c r="F6" s="121"/>
      <c r="G6" s="121"/>
      <c r="H6" s="121"/>
      <c r="I6" s="121"/>
      <c r="J6" s="121"/>
      <c r="K6" s="121"/>
      <c r="L6" s="121"/>
      <c r="M6" s="121"/>
      <c r="N6" s="121"/>
      <c r="O6" s="121"/>
      <c r="P6" s="121"/>
      <c r="Q6" s="121"/>
      <c r="R6" s="121"/>
      <c r="S6" s="121"/>
      <c r="T6" s="121"/>
      <c r="U6" s="121"/>
      <c r="V6" s="121"/>
      <c r="W6" s="121"/>
      <c r="X6" s="121"/>
      <c r="Y6" s="121"/>
      <c r="Z6" s="121"/>
      <c r="AA6" s="121"/>
      <c r="AB6" s="219"/>
    </row>
    <row r="7" spans="2:28" s="23" customFormat="1">
      <c r="B7" s="121"/>
      <c r="C7" s="50" t="s">
        <v>2213</v>
      </c>
      <c r="D7" s="121"/>
      <c r="E7" s="121"/>
      <c r="F7" s="121"/>
      <c r="G7" s="121"/>
      <c r="H7" s="121"/>
      <c r="I7" s="121"/>
      <c r="J7" s="121"/>
      <c r="K7" s="121"/>
      <c r="L7" s="121"/>
      <c r="M7" s="121"/>
      <c r="N7" s="121"/>
      <c r="O7" s="121"/>
      <c r="P7" s="121"/>
      <c r="Q7" s="121"/>
      <c r="R7" s="121"/>
      <c r="S7" s="121"/>
      <c r="T7" s="121"/>
      <c r="U7" s="121"/>
      <c r="V7" s="121"/>
      <c r="W7" s="121"/>
      <c r="X7" s="121"/>
      <c r="Y7" s="121"/>
      <c r="Z7" s="50"/>
      <c r="AA7" s="121"/>
    </row>
    <row r="8" spans="2:28" s="23" customFormat="1" ht="15" thickBot="1">
      <c r="B8" s="121"/>
      <c r="C8" s="121"/>
      <c r="D8" s="121"/>
      <c r="E8" s="121"/>
      <c r="F8" s="121"/>
      <c r="G8" s="121"/>
      <c r="H8" s="121"/>
      <c r="I8" s="121"/>
      <c r="J8" s="121"/>
      <c r="K8" s="121"/>
      <c r="L8" s="121"/>
      <c r="M8" s="121"/>
      <c r="N8" s="121"/>
      <c r="O8" s="121"/>
      <c r="P8" s="121"/>
      <c r="Q8" s="121"/>
      <c r="R8" s="121" t="s">
        <v>861</v>
      </c>
      <c r="S8" s="121"/>
      <c r="T8" s="121"/>
      <c r="U8" s="121"/>
      <c r="V8" s="121"/>
      <c r="W8" s="121"/>
      <c r="X8" s="121"/>
      <c r="Y8" s="121"/>
      <c r="Z8" s="121"/>
      <c r="AA8" s="121"/>
    </row>
    <row r="9" spans="2:28">
      <c r="B9" s="121"/>
      <c r="C9" s="42" t="s">
        <v>279</v>
      </c>
      <c r="D9" s="42" t="s">
        <v>241</v>
      </c>
      <c r="E9" s="42"/>
      <c r="F9" s="42"/>
      <c r="G9" s="42"/>
      <c r="H9" s="149" t="s">
        <v>501</v>
      </c>
      <c r="I9" s="149" t="s">
        <v>502</v>
      </c>
      <c r="J9" s="149" t="s">
        <v>503</v>
      </c>
      <c r="K9" s="149" t="s">
        <v>504</v>
      </c>
      <c r="L9" s="149" t="s">
        <v>505</v>
      </c>
      <c r="M9" s="149" t="s">
        <v>506</v>
      </c>
      <c r="N9" s="149" t="s">
        <v>507</v>
      </c>
      <c r="O9" s="149">
        <v>2010</v>
      </c>
      <c r="P9" s="149">
        <v>2011</v>
      </c>
      <c r="Q9" s="42"/>
      <c r="R9" s="42">
        <v>2011</v>
      </c>
      <c r="S9" s="42"/>
      <c r="T9" s="42"/>
      <c r="U9" s="42"/>
      <c r="V9" s="42"/>
      <c r="W9" s="42"/>
      <c r="X9" s="42"/>
      <c r="Y9" s="42"/>
      <c r="Z9" s="42"/>
      <c r="AA9" s="121"/>
    </row>
    <row r="10" spans="2:28">
      <c r="B10" s="121"/>
      <c r="C10" s="121" t="str">
        <f>$B$2&amp;".T.01"</f>
        <v>G.T.01</v>
      </c>
      <c r="D10" s="121" t="str">
        <f>INDEX(Regional.energy[Description],MATCH(C10,Regional.energy[Regional energy code],0))</f>
        <v>Global Road transport</v>
      </c>
      <c r="E10" s="121"/>
      <c r="F10" s="121"/>
      <c r="G10" s="121"/>
      <c r="H10" s="148"/>
      <c r="I10" s="148"/>
      <c r="J10" s="148"/>
      <c r="K10" s="148"/>
      <c r="L10" s="148"/>
      <c r="M10" s="148"/>
      <c r="N10" s="148"/>
      <c r="O10" s="148"/>
      <c r="P10" s="148"/>
      <c r="Q10" s="121"/>
      <c r="R10" s="121">
        <f ca="1">INDEX(INDIRECT("G."&amp;R$9&amp;".energy!Year.net.balance"), MATCH($C10, INDIRECT("G."&amp;R$9&amp;".energy!Year.vectors"), 0))</f>
        <v>0</v>
      </c>
      <c r="S10" s="121"/>
      <c r="T10" s="121"/>
      <c r="U10" s="121"/>
      <c r="V10" s="121"/>
      <c r="W10" s="121"/>
      <c r="X10" s="121"/>
      <c r="Y10" s="121"/>
      <c r="Z10" s="121"/>
      <c r="AA10" s="121"/>
    </row>
    <row r="11" spans="2:28">
      <c r="B11" s="121"/>
      <c r="C11" s="121" t="str">
        <f>$B$2&amp;".T.02"</f>
        <v>G.T.02</v>
      </c>
      <c r="D11" s="121" t="str">
        <f>INDEX(Regional.energy[Description],MATCH(C11,Regional.energy[Regional energy code],0))</f>
        <v>Global Rail transport</v>
      </c>
      <c r="E11" s="121"/>
      <c r="F11" s="121"/>
      <c r="G11" s="121"/>
      <c r="H11" s="148"/>
      <c r="I11" s="148"/>
      <c r="J11" s="148"/>
      <c r="K11" s="148"/>
      <c r="L11" s="148"/>
      <c r="M11" s="148"/>
      <c r="N11" s="148"/>
      <c r="O11" s="148"/>
      <c r="P11" s="148"/>
      <c r="Q11" s="121"/>
      <c r="R11" s="121">
        <f t="shared" ref="R11:Z26" ca="1" si="0">INDEX(INDIRECT("G."&amp;R$9&amp;".energy!Year.net.balance"), MATCH($C11, INDIRECT("G."&amp;R$9&amp;".energy!Year.vectors"), 0))</f>
        <v>0</v>
      </c>
      <c r="S11" s="121"/>
      <c r="T11" s="121"/>
      <c r="U11" s="121"/>
      <c r="V11" s="121"/>
      <c r="W11" s="121"/>
      <c r="X11" s="121"/>
      <c r="Y11" s="121"/>
      <c r="Z11" s="121"/>
      <c r="AA11" s="121"/>
    </row>
    <row r="12" spans="2:28">
      <c r="B12" s="121"/>
      <c r="C12" s="121" t="str">
        <f>$B$2&amp;".T.03"</f>
        <v>G.T.03</v>
      </c>
      <c r="D12" s="121" t="str">
        <f>INDEX(Regional.energy[Description],MATCH(C12,Regional.energy[Regional energy code],0))</f>
        <v>Global Aviation transport</v>
      </c>
      <c r="E12" s="121"/>
      <c r="F12" s="121"/>
      <c r="G12" s="121"/>
      <c r="H12" s="148"/>
      <c r="I12" s="148"/>
      <c r="J12" s="148"/>
      <c r="K12" s="148"/>
      <c r="L12" s="148"/>
      <c r="M12" s="148"/>
      <c r="N12" s="148"/>
      <c r="O12" s="148"/>
      <c r="P12" s="148"/>
      <c r="Q12" s="121"/>
      <c r="R12" s="121">
        <f t="shared" ca="1" si="0"/>
        <v>0</v>
      </c>
      <c r="S12" s="121"/>
      <c r="T12" s="121"/>
      <c r="U12" s="121"/>
      <c r="V12" s="121"/>
      <c r="W12" s="121"/>
      <c r="X12" s="121"/>
      <c r="Y12" s="121"/>
      <c r="Z12" s="121"/>
      <c r="AA12" s="121"/>
    </row>
    <row r="13" spans="2:28">
      <c r="B13" s="121"/>
      <c r="C13" s="121" t="str">
        <f>$B$2&amp;".T.04"</f>
        <v>G.T.04</v>
      </c>
      <c r="D13" s="121" t="str">
        <f>INDEX(Regional.energy[Description],MATCH(C13,Regional.energy[Regional energy code],0))</f>
        <v>Global Water transport</v>
      </c>
      <c r="E13" s="121"/>
      <c r="F13" s="121"/>
      <c r="G13" s="121"/>
      <c r="H13" s="148"/>
      <c r="I13" s="148"/>
      <c r="J13" s="148"/>
      <c r="K13" s="148"/>
      <c r="L13" s="148"/>
      <c r="M13" s="148"/>
      <c r="N13" s="148"/>
      <c r="O13" s="148"/>
      <c r="P13" s="148"/>
      <c r="Q13" s="121"/>
      <c r="R13" s="121">
        <f t="shared" ca="1" si="0"/>
        <v>0</v>
      </c>
      <c r="S13" s="121"/>
      <c r="T13" s="121"/>
      <c r="U13" s="121"/>
      <c r="V13" s="121"/>
      <c r="W13" s="121"/>
      <c r="X13" s="121"/>
      <c r="Y13" s="121"/>
      <c r="Z13" s="121"/>
      <c r="AA13" s="121"/>
    </row>
    <row r="14" spans="2:28" s="219" customFormat="1">
      <c r="B14" s="121"/>
      <c r="C14" s="121"/>
      <c r="D14" s="121"/>
      <c r="E14" s="121"/>
      <c r="F14" s="121"/>
      <c r="G14" s="121"/>
      <c r="H14" s="148"/>
      <c r="I14" s="148"/>
      <c r="J14" s="148"/>
      <c r="K14" s="148"/>
      <c r="L14" s="148"/>
      <c r="M14" s="148"/>
      <c r="N14" s="148"/>
      <c r="O14" s="148"/>
      <c r="P14" s="148"/>
      <c r="Q14" s="121"/>
      <c r="R14" s="121"/>
      <c r="S14" s="121"/>
      <c r="T14" s="121"/>
      <c r="U14" s="121"/>
      <c r="V14" s="121"/>
      <c r="W14" s="121"/>
      <c r="X14" s="121"/>
      <c r="Y14" s="121"/>
      <c r="Z14" s="121"/>
      <c r="AA14" s="121"/>
    </row>
    <row r="15" spans="2:28">
      <c r="B15" s="121"/>
      <c r="C15" s="121" t="str">
        <f>$B$2&amp;".M.01"</f>
        <v>G.M.01</v>
      </c>
      <c r="D15" s="121" t="str">
        <f>INDEX(Regional.energy[Description],MATCH(C15,Regional.energy[Regional energy code],0))</f>
        <v>Global Products</v>
      </c>
      <c r="E15" s="121"/>
      <c r="F15" s="121"/>
      <c r="G15" s="121"/>
      <c r="H15" s="148"/>
      <c r="I15" s="148"/>
      <c r="J15" s="148"/>
      <c r="K15" s="148"/>
      <c r="L15" s="148"/>
      <c r="M15" s="148"/>
      <c r="N15" s="148"/>
      <c r="O15" s="148"/>
      <c r="P15" s="148"/>
      <c r="Q15" s="121"/>
      <c r="R15" s="121">
        <f ca="1">INDEX(INDIRECT("G."&amp;R$9&amp;".energy!Year.net.balance"), MATCH($C15, INDIRECT("G."&amp;R$9&amp;".energy!Year.vectors"), 0))</f>
        <v>0</v>
      </c>
      <c r="S15" s="121"/>
      <c r="T15" s="121"/>
      <c r="U15" s="121"/>
      <c r="V15" s="121"/>
      <c r="W15" s="121"/>
      <c r="X15" s="121"/>
      <c r="Y15" s="121"/>
      <c r="Z15" s="121"/>
      <c r="AA15" s="121"/>
    </row>
    <row r="16" spans="2:28" s="23" customFormat="1">
      <c r="B16" s="121"/>
      <c r="C16" s="121" t="str">
        <f>$B$2&amp;".M.02"</f>
        <v>G.M.02</v>
      </c>
      <c r="D16" s="121" t="str">
        <f>INDEX(Regional.energy[Description],MATCH(C16,Regional.energy[Regional energy code],0))</f>
        <v>Global Materials</v>
      </c>
      <c r="E16" s="121"/>
      <c r="F16" s="121"/>
      <c r="G16" s="121"/>
      <c r="H16" s="148"/>
      <c r="I16" s="148"/>
      <c r="J16" s="148"/>
      <c r="K16" s="148"/>
      <c r="L16" s="148"/>
      <c r="M16" s="148"/>
      <c r="N16" s="148"/>
      <c r="O16" s="148"/>
      <c r="P16" s="148"/>
      <c r="Q16" s="121"/>
      <c r="R16" s="121">
        <f t="shared" ca="1" si="0"/>
        <v>142.97457688351506</v>
      </c>
      <c r="S16" s="121"/>
      <c r="T16" s="121"/>
      <c r="U16" s="121"/>
      <c r="V16" s="121"/>
      <c r="W16" s="121"/>
      <c r="X16" s="121"/>
      <c r="Y16" s="121"/>
      <c r="Z16" s="121"/>
      <c r="AA16" s="121"/>
    </row>
    <row r="17" spans="2:27" s="23" customFormat="1">
      <c r="B17" s="121"/>
      <c r="C17" s="121" t="str">
        <f>$B$2&amp;".M.03"</f>
        <v>G.M.03</v>
      </c>
      <c r="D17" s="121" t="str">
        <f>INDEX(Regional.energy[Description],MATCH(C17,Regional.energy[Regional energy code],0))</f>
        <v>Global Raw resources</v>
      </c>
      <c r="E17" s="121"/>
      <c r="F17" s="121"/>
      <c r="G17" s="121"/>
      <c r="H17" s="148"/>
      <c r="I17" s="148"/>
      <c r="J17" s="148"/>
      <c r="K17" s="148"/>
      <c r="L17" s="148"/>
      <c r="M17" s="148"/>
      <c r="N17" s="148"/>
      <c r="O17" s="148"/>
      <c r="P17" s="148"/>
      <c r="Q17" s="121"/>
      <c r="R17" s="121">
        <f t="shared" ca="1" si="0"/>
        <v>0</v>
      </c>
      <c r="S17" s="121"/>
      <c r="T17" s="121"/>
      <c r="U17" s="121"/>
      <c r="V17" s="121"/>
      <c r="W17" s="121"/>
      <c r="X17" s="121"/>
      <c r="Y17" s="121"/>
      <c r="Z17" s="121"/>
      <c r="AA17" s="121"/>
    </row>
    <row r="18" spans="2:27" s="23" customFormat="1">
      <c r="B18" s="121"/>
      <c r="C18" s="121"/>
      <c r="D18" s="121"/>
      <c r="E18" s="121"/>
      <c r="F18" s="121"/>
      <c r="G18" s="121"/>
      <c r="H18" s="148"/>
      <c r="I18" s="148"/>
      <c r="J18" s="148"/>
      <c r="K18" s="148"/>
      <c r="L18" s="148"/>
      <c r="M18" s="148"/>
      <c r="N18" s="148"/>
      <c r="O18" s="148"/>
      <c r="P18" s="148"/>
      <c r="Q18" s="121"/>
      <c r="R18" s="121"/>
      <c r="S18" s="121"/>
      <c r="T18" s="121"/>
      <c r="U18" s="121"/>
      <c r="V18" s="121"/>
      <c r="W18" s="121"/>
      <c r="X18" s="121"/>
      <c r="Y18" s="121"/>
      <c r="Z18" s="121"/>
      <c r="AA18" s="121"/>
    </row>
    <row r="19" spans="2:27" s="23" customFormat="1">
      <c r="B19" s="121"/>
      <c r="C19" s="121" t="str">
        <f>$B$2&amp;".B.01"</f>
        <v>G.B.01</v>
      </c>
      <c r="D19" s="121" t="str">
        <f>INDEX(Regional.energy[Description],MATCH(C19,Regional.energy[Regional energy code],0))</f>
        <v>Global Heating and cooling</v>
      </c>
      <c r="E19" s="121"/>
      <c r="F19" s="121"/>
      <c r="G19" s="121"/>
      <c r="H19" s="148"/>
      <c r="I19" s="148"/>
      <c r="J19" s="148"/>
      <c r="K19" s="148"/>
      <c r="L19" s="148"/>
      <c r="M19" s="148"/>
      <c r="N19" s="148"/>
      <c r="O19" s="148"/>
      <c r="P19" s="148"/>
      <c r="Q19" s="121"/>
      <c r="R19" s="121">
        <f t="shared" ref="R19:Z22" ca="1" si="1">INDEX(INDIRECT("G."&amp;R$9&amp;".energy!Year.net.balance"), MATCH($C19, INDIRECT("G."&amp;R$9&amp;".energy!Year.vectors"), 0))</f>
        <v>0</v>
      </c>
      <c r="S19" s="121"/>
      <c r="T19" s="121"/>
      <c r="U19" s="121"/>
      <c r="V19" s="121"/>
      <c r="W19" s="121"/>
      <c r="X19" s="121"/>
      <c r="Y19" s="121"/>
      <c r="Z19" s="121"/>
      <c r="AA19" s="121"/>
    </row>
    <row r="20" spans="2:27" s="23" customFormat="1">
      <c r="B20" s="121"/>
      <c r="C20" s="121" t="str">
        <f>$B$2&amp;".B.02"</f>
        <v>G.B.02</v>
      </c>
      <c r="D20" s="121" t="str">
        <f>INDEX(Regional.energy[Description],MATCH(C20,Regional.energy[Regional energy code],0))</f>
        <v>Global Lighting &amp; appliances</v>
      </c>
      <c r="E20" s="121"/>
      <c r="F20" s="121"/>
      <c r="G20" s="121"/>
      <c r="H20" s="148"/>
      <c r="I20" s="148"/>
      <c r="J20" s="148"/>
      <c r="K20" s="148"/>
      <c r="L20" s="148"/>
      <c r="M20" s="148"/>
      <c r="N20" s="148"/>
      <c r="O20" s="148"/>
      <c r="P20" s="148"/>
      <c r="Q20" s="121"/>
      <c r="R20" s="121">
        <f t="shared" ca="1" si="1"/>
        <v>0</v>
      </c>
      <c r="S20" s="121"/>
      <c r="T20" s="121"/>
      <c r="U20" s="121"/>
      <c r="V20" s="121"/>
      <c r="W20" s="121"/>
      <c r="X20" s="121"/>
      <c r="Y20" s="121"/>
      <c r="Z20" s="121"/>
      <c r="AA20" s="121"/>
    </row>
    <row r="21" spans="2:27">
      <c r="B21" s="121"/>
      <c r="C21" s="121" t="str">
        <f>$B$2&amp;".B.03"</f>
        <v>G.B.03</v>
      </c>
      <c r="D21" s="121" t="str">
        <f>INDEX(Regional.energy[Description],MATCH(C21,Regional.energy[Regional energy code],0))</f>
        <v>Global Cooking</v>
      </c>
      <c r="E21" s="121"/>
      <c r="F21" s="121"/>
      <c r="G21" s="121"/>
      <c r="H21" s="148"/>
      <c r="I21" s="148"/>
      <c r="J21" s="148"/>
      <c r="K21" s="148"/>
      <c r="L21" s="148"/>
      <c r="M21" s="148"/>
      <c r="N21" s="148"/>
      <c r="O21" s="148"/>
      <c r="P21" s="148"/>
      <c r="Q21" s="121"/>
      <c r="R21" s="121">
        <f t="shared" ca="1" si="1"/>
        <v>0</v>
      </c>
      <c r="S21" s="121"/>
      <c r="T21" s="121"/>
      <c r="U21" s="121"/>
      <c r="V21" s="121"/>
      <c r="W21" s="121"/>
      <c r="X21" s="121"/>
      <c r="Y21" s="121"/>
      <c r="Z21" s="121"/>
      <c r="AA21" s="121"/>
    </row>
    <row r="22" spans="2:27" s="219" customFormat="1">
      <c r="B22" s="121"/>
      <c r="C22" s="121" t="str">
        <f>$B$2&amp;".B.04"</f>
        <v>G.B.04</v>
      </c>
      <c r="D22" s="121" t="str">
        <f>INDEX(Regional.energy[Description],MATCH(C22,Regional.energy[Regional energy code],0))</f>
        <v>Global Non-residential</v>
      </c>
      <c r="E22" s="121"/>
      <c r="F22" s="121"/>
      <c r="G22" s="121"/>
      <c r="H22" s="148"/>
      <c r="I22" s="148"/>
      <c r="J22" s="148"/>
      <c r="K22" s="148"/>
      <c r="L22" s="148"/>
      <c r="M22" s="148"/>
      <c r="N22" s="148"/>
      <c r="O22" s="148"/>
      <c r="P22" s="148"/>
      <c r="Q22" s="121"/>
      <c r="R22" s="121">
        <f ca="1">INDEX(INDIRECT("G."&amp;R$9&amp;".energy!Year.net.balance"), MATCH($C22, INDIRECT("G."&amp;R$9&amp;".energy!Year.vectors"), 0))</f>
        <v>0</v>
      </c>
      <c r="S22" s="121"/>
      <c r="T22" s="121"/>
      <c r="U22" s="121"/>
      <c r="V22" s="121"/>
      <c r="W22" s="121"/>
      <c r="X22" s="121"/>
      <c r="Y22" s="121"/>
      <c r="Z22" s="121"/>
      <c r="AA22" s="121"/>
    </row>
    <row r="23" spans="2:27" s="23" customFormat="1">
      <c r="B23" s="121"/>
      <c r="C23" s="121"/>
      <c r="D23" s="121"/>
      <c r="E23" s="121"/>
      <c r="F23" s="121"/>
      <c r="G23" s="121"/>
      <c r="H23" s="148"/>
      <c r="I23" s="148"/>
      <c r="J23" s="148"/>
      <c r="K23" s="148"/>
      <c r="L23" s="148"/>
      <c r="M23" s="148"/>
      <c r="N23" s="148"/>
      <c r="O23" s="148"/>
      <c r="P23" s="148"/>
      <c r="Q23" s="121"/>
      <c r="R23" s="121"/>
      <c r="S23" s="121"/>
      <c r="T23" s="121"/>
      <c r="U23" s="121"/>
      <c r="V23" s="121"/>
      <c r="W23" s="121"/>
      <c r="X23" s="121"/>
      <c r="Y23" s="121"/>
      <c r="Z23" s="121"/>
      <c r="AA23" s="121"/>
    </row>
    <row r="24" spans="2:27" s="39" customFormat="1">
      <c r="B24" s="121"/>
      <c r="C24" s="121" t="str">
        <f>$B$2&amp;".F.01"</f>
        <v>G.F.01</v>
      </c>
      <c r="D24" s="121" t="str">
        <f>INDEX(Regional.energy[Description],MATCH(C24,Regional.energy[Regional energy code],0))</f>
        <v>Global Energy for agricultural production</v>
      </c>
      <c r="E24" s="121"/>
      <c r="F24" s="121"/>
      <c r="G24" s="121"/>
      <c r="H24" s="148"/>
      <c r="I24" s="148"/>
      <c r="J24" s="148"/>
      <c r="K24" s="148"/>
      <c r="L24" s="148"/>
      <c r="M24" s="148"/>
      <c r="N24" s="148"/>
      <c r="O24" s="148"/>
      <c r="P24" s="148"/>
      <c r="Q24" s="121"/>
      <c r="R24" s="121">
        <f t="shared" ca="1" si="0"/>
        <v>0</v>
      </c>
      <c r="S24" s="121"/>
      <c r="T24" s="121"/>
      <c r="U24" s="121"/>
      <c r="V24" s="121"/>
      <c r="W24" s="121"/>
      <c r="X24" s="121"/>
      <c r="Y24" s="121"/>
      <c r="Z24" s="121"/>
      <c r="AA24" s="121"/>
    </row>
    <row r="25" spans="2:27" s="111" customFormat="1">
      <c r="B25" s="121"/>
      <c r="C25" s="121"/>
      <c r="D25" s="121"/>
      <c r="E25" s="121"/>
      <c r="F25" s="121"/>
      <c r="G25" s="121"/>
      <c r="H25" s="148"/>
      <c r="I25" s="148"/>
      <c r="J25" s="148"/>
      <c r="K25" s="148"/>
      <c r="L25" s="148"/>
      <c r="M25" s="148"/>
      <c r="N25" s="148"/>
      <c r="O25" s="148"/>
      <c r="P25" s="148"/>
      <c r="Q25" s="121"/>
      <c r="R25" s="121"/>
      <c r="S25" s="121"/>
      <c r="T25" s="121"/>
      <c r="U25" s="121"/>
      <c r="V25" s="121"/>
      <c r="W25" s="121"/>
      <c r="X25" s="121"/>
      <c r="Y25" s="121"/>
      <c r="Z25" s="121"/>
      <c r="AA25" s="121"/>
    </row>
    <row r="26" spans="2:27" s="23" customFormat="1">
      <c r="B26" s="121"/>
      <c r="C26" s="121" t="str">
        <f>$B$2&amp;".G.01"</f>
        <v>G.G.01</v>
      </c>
      <c r="D26" s="121" t="str">
        <f>INDEX(Regional.energy[Description],MATCH(C26,Regional.energy[Regional energy code],0))</f>
        <v>Global Geosequestration and storage of CO2</v>
      </c>
      <c r="E26" s="121"/>
      <c r="F26" s="121"/>
      <c r="G26" s="121"/>
      <c r="H26" s="148"/>
      <c r="I26" s="148"/>
      <c r="J26" s="148"/>
      <c r="K26" s="148"/>
      <c r="L26" s="148"/>
      <c r="M26" s="148"/>
      <c r="N26" s="148"/>
      <c r="O26" s="148"/>
      <c r="P26" s="148"/>
      <c r="Q26" s="121"/>
      <c r="R26" s="121">
        <f t="shared" ca="1" si="0"/>
        <v>0</v>
      </c>
      <c r="S26" s="121"/>
      <c r="T26" s="121"/>
      <c r="U26" s="121"/>
      <c r="V26" s="121"/>
      <c r="W26" s="121"/>
      <c r="X26" s="121"/>
      <c r="Y26" s="121"/>
      <c r="Z26" s="121"/>
      <c r="AA26" s="121"/>
    </row>
    <row r="27" spans="2:27" ht="15" thickBot="1">
      <c r="B27" s="121"/>
      <c r="C27" s="103"/>
      <c r="D27" s="103"/>
      <c r="E27" s="103"/>
      <c r="F27" s="103"/>
      <c r="G27" s="103"/>
      <c r="H27" s="181"/>
      <c r="I27" s="181"/>
      <c r="J27" s="181"/>
      <c r="K27" s="181"/>
      <c r="L27" s="181"/>
      <c r="M27" s="181"/>
      <c r="N27" s="181"/>
      <c r="O27" s="181"/>
      <c r="P27" s="181"/>
      <c r="Q27" s="103"/>
      <c r="R27" s="103">
        <f ca="1">SUM(R10:R26)</f>
        <v>142.97457688351506</v>
      </c>
      <c r="S27" s="103"/>
      <c r="T27" s="103"/>
      <c r="U27" s="103"/>
      <c r="V27" s="103"/>
      <c r="W27" s="103"/>
      <c r="X27" s="103"/>
      <c r="Y27" s="103"/>
      <c r="Z27" s="103"/>
      <c r="AA27" s="121"/>
    </row>
    <row r="28" spans="2:27">
      <c r="B28" s="121"/>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1"/>
      <c r="AA28" s="121"/>
    </row>
    <row r="29" spans="2:27">
      <c r="B29" s="121"/>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1"/>
      <c r="AA29" s="121"/>
    </row>
    <row r="30" spans="2:27" s="219" customFormat="1">
      <c r="B30" s="121"/>
      <c r="C30" s="50" t="s">
        <v>2215</v>
      </c>
      <c r="D30" s="121"/>
      <c r="E30" s="121"/>
      <c r="F30" s="121"/>
      <c r="G30" s="121"/>
      <c r="H30" s="121"/>
      <c r="I30" s="121"/>
      <c r="J30" s="121"/>
      <c r="K30" s="121"/>
      <c r="L30" s="121"/>
      <c r="M30" s="121"/>
      <c r="N30" s="121"/>
      <c r="O30" s="121"/>
      <c r="P30" s="121"/>
      <c r="Q30" s="121"/>
      <c r="R30" s="121"/>
      <c r="S30" s="121"/>
      <c r="T30" s="121"/>
      <c r="U30" s="121"/>
      <c r="V30" s="121"/>
      <c r="W30" s="121"/>
      <c r="X30" s="121"/>
      <c r="Y30" s="121"/>
      <c r="Z30" s="50"/>
      <c r="AA30" s="121"/>
    </row>
    <row r="31" spans="2:27" s="219" customFormat="1" ht="15" thickBot="1">
      <c r="B31" s="121"/>
      <c r="C31" s="121"/>
      <c r="D31" s="121"/>
      <c r="E31" s="121"/>
      <c r="F31" s="121"/>
      <c r="G31" s="121"/>
      <c r="H31" s="148" t="s">
        <v>860</v>
      </c>
      <c r="I31" s="121"/>
      <c r="J31" s="121"/>
      <c r="K31" s="121"/>
      <c r="L31" s="121"/>
      <c r="M31" s="121"/>
      <c r="N31" s="121"/>
      <c r="O31" s="121"/>
      <c r="P31" s="121"/>
      <c r="Q31" s="121"/>
      <c r="R31" s="121" t="s">
        <v>861</v>
      </c>
      <c r="S31" s="121"/>
      <c r="T31" s="121"/>
      <c r="U31" s="121"/>
      <c r="V31" s="121"/>
      <c r="W31" s="121"/>
      <c r="X31" s="121"/>
      <c r="Y31" s="121"/>
      <c r="Z31" s="121"/>
      <c r="AA31" s="121"/>
    </row>
    <row r="32" spans="2:27" s="219" customFormat="1">
      <c r="B32" s="121"/>
      <c r="C32" s="42"/>
      <c r="D32" s="42" t="s">
        <v>241</v>
      </c>
      <c r="E32" s="42"/>
      <c r="F32" s="42"/>
      <c r="G32" s="42"/>
      <c r="H32" s="149" t="s">
        <v>501</v>
      </c>
      <c r="I32" s="149" t="s">
        <v>502</v>
      </c>
      <c r="J32" s="149" t="s">
        <v>503</v>
      </c>
      <c r="K32" s="149" t="s">
        <v>504</v>
      </c>
      <c r="L32" s="149" t="s">
        <v>505</v>
      </c>
      <c r="M32" s="149" t="s">
        <v>506</v>
      </c>
      <c r="N32" s="149" t="s">
        <v>507</v>
      </c>
      <c r="O32" s="149">
        <v>2010</v>
      </c>
      <c r="P32" s="149">
        <v>2011</v>
      </c>
      <c r="Q32" s="42"/>
      <c r="R32" s="42">
        <v>2011</v>
      </c>
      <c r="S32" s="42"/>
      <c r="T32" s="42"/>
      <c r="U32" s="42"/>
      <c r="V32" s="42"/>
      <c r="W32" s="42"/>
      <c r="X32" s="42"/>
      <c r="Y32" s="42"/>
      <c r="Z32" s="42"/>
      <c r="AA32" s="121"/>
    </row>
    <row r="33" spans="2:27" s="219" customFormat="1">
      <c r="B33" s="121"/>
      <c r="C33" s="121"/>
      <c r="D33" s="121" t="s">
        <v>1750</v>
      </c>
      <c r="E33" s="121"/>
      <c r="F33" s="121"/>
      <c r="G33" s="121"/>
      <c r="H33" s="148">
        <f>46088.076*(Unit.PJ)</f>
        <v>46.088076000000001</v>
      </c>
      <c r="I33" s="148">
        <f>52216.692*(Unit.PJ)</f>
        <v>52.216692000000002</v>
      </c>
      <c r="J33" s="148">
        <f>55017.578*(Unit.PJ)</f>
        <v>55.017578</v>
      </c>
      <c r="K33" s="148">
        <f>66176.648*(Unit.PJ)</f>
        <v>66.176648</v>
      </c>
      <c r="L33" s="148">
        <f>72286.696*(Unit.PJ)</f>
        <v>72.286695999999992</v>
      </c>
      <c r="M33" s="148">
        <f>82005.732*(Unit.PJ)</f>
        <v>82.005732000000009</v>
      </c>
      <c r="N33" s="148">
        <f>92090.426*(Unit.PJ)</f>
        <v>92.090426000000008</v>
      </c>
      <c r="O33" s="148">
        <f>100922.599*(Unit.PJ)</f>
        <v>100.92259900000001</v>
      </c>
      <c r="P33" s="148">
        <f>102364.571*(Unit.PJ)</f>
        <v>102.364571</v>
      </c>
      <c r="Q33" s="121"/>
      <c r="R33" s="121">
        <f t="shared" ref="R33:Z33" ca="1" si="2">SUM(R10:R13)</f>
        <v>0</v>
      </c>
      <c r="S33" s="121"/>
      <c r="T33" s="121"/>
      <c r="U33" s="121"/>
      <c r="V33" s="121"/>
      <c r="W33" s="121"/>
      <c r="X33" s="121"/>
      <c r="Y33" s="121"/>
      <c r="Z33" s="121"/>
      <c r="AA33" s="121"/>
    </row>
    <row r="34" spans="2:27" s="219" customFormat="1">
      <c r="B34" s="121"/>
      <c r="C34" s="121"/>
      <c r="D34" s="121" t="s">
        <v>1749</v>
      </c>
      <c r="E34" s="121"/>
      <c r="F34" s="121"/>
      <c r="G34" s="121"/>
      <c r="H34" s="148">
        <f>64751.263*(Unit.PJ)</f>
        <v>64.751262999999994</v>
      </c>
      <c r="I34" s="148">
        <f>71065.102*(Unit.PJ)</f>
        <v>71.065101999999996</v>
      </c>
      <c r="J34" s="148">
        <f>78650.536*(Unit.PJ)</f>
        <v>78.650535999999988</v>
      </c>
      <c r="K34" s="148">
        <f>83372.944*(Unit.PJ)</f>
        <v>83.372944000000004</v>
      </c>
      <c r="L34" s="148">
        <f>93688.429*(Unit.PJ)</f>
        <v>93.688428999999999</v>
      </c>
      <c r="M34" s="148">
        <f>99817.678*(Unit.PJ)</f>
        <v>99.817678000000001</v>
      </c>
      <c r="N34" s="148">
        <f>108462.211*(Unit.PJ)</f>
        <v>108.462211</v>
      </c>
      <c r="O34" s="148">
        <f>116897.329*(Unit.PJ)</f>
        <v>116.897329</v>
      </c>
      <c r="P34" s="148">
        <f>116729.656*(Unit.PJ)</f>
        <v>116.72965600000001</v>
      </c>
      <c r="Q34" s="121"/>
      <c r="R34" s="121">
        <f ca="1">SUM(R19:R22)</f>
        <v>0</v>
      </c>
      <c r="S34" s="121"/>
      <c r="T34" s="121"/>
      <c r="U34" s="121"/>
      <c r="V34" s="121"/>
      <c r="W34" s="121"/>
      <c r="X34" s="121"/>
      <c r="Y34" s="121"/>
      <c r="Z34" s="121"/>
      <c r="AA34" s="121"/>
    </row>
    <row r="35" spans="2:27" s="219" customFormat="1">
      <c r="B35" s="121"/>
      <c r="C35" s="121"/>
      <c r="D35" s="121" t="s">
        <v>2217</v>
      </c>
      <c r="E35" s="121"/>
      <c r="F35" s="121"/>
      <c r="G35" s="121"/>
      <c r="H35" s="148">
        <f>63564.656*(Unit.PJ)</f>
        <v>63.564656000000006</v>
      </c>
      <c r="I35" s="148">
        <f>74592.409*(Unit.PJ)</f>
        <v>74.592409000000004</v>
      </c>
      <c r="J35" s="148">
        <f>73204.273*(Unit.PJ)</f>
        <v>73.204273000000001</v>
      </c>
      <c r="K35" s="148">
        <f>75948.859*(Unit.PJ)</f>
        <v>75.948858999999999</v>
      </c>
      <c r="L35" s="148">
        <f>75240.911*(Unit.PJ)</f>
        <v>75.240910999999997</v>
      </c>
      <c r="M35" s="148">
        <f>79763.228*(Unit.PJ)</f>
        <v>79.763227999999998</v>
      </c>
      <c r="N35" s="148">
        <f>90429.951*(Unit.PJ)</f>
        <v>90.429951000000003</v>
      </c>
      <c r="O35" s="148">
        <f>103745.12*(Unit.PJ)</f>
        <v>103.74512</v>
      </c>
      <c r="P35" s="148">
        <f>107045.773*(Unit.PJ)</f>
        <v>107.045773</v>
      </c>
      <c r="Q35" s="121"/>
      <c r="R35" s="121">
        <f t="shared" ref="R35" ca="1" si="3">SUM(R15:R17)</f>
        <v>142.97457688351506</v>
      </c>
      <c r="S35" s="121"/>
      <c r="T35" s="121"/>
      <c r="U35" s="121"/>
      <c r="V35" s="121"/>
      <c r="W35" s="121"/>
      <c r="X35" s="121"/>
      <c r="Y35" s="121"/>
      <c r="Z35" s="121"/>
      <c r="AA35" s="121"/>
    </row>
    <row r="36" spans="2:27" s="219" customFormat="1" ht="15" thickBot="1">
      <c r="B36" s="121"/>
      <c r="C36" s="103"/>
      <c r="D36" s="103" t="s">
        <v>375</v>
      </c>
      <c r="E36" s="103"/>
      <c r="F36" s="103"/>
      <c r="G36" s="103"/>
      <c r="H36" s="181">
        <f>SUM(H33:H35)</f>
        <v>174.40399500000001</v>
      </c>
      <c r="I36" s="181">
        <f t="shared" ref="I36:P36" si="4">SUM(I33:I35)</f>
        <v>197.87420299999999</v>
      </c>
      <c r="J36" s="181">
        <f t="shared" si="4"/>
        <v>206.872387</v>
      </c>
      <c r="K36" s="181">
        <f t="shared" si="4"/>
        <v>225.49845100000002</v>
      </c>
      <c r="L36" s="181">
        <f t="shared" si="4"/>
        <v>241.21603599999997</v>
      </c>
      <c r="M36" s="181">
        <f t="shared" si="4"/>
        <v>261.58663799999999</v>
      </c>
      <c r="N36" s="181">
        <f t="shared" si="4"/>
        <v>290.98258800000002</v>
      </c>
      <c r="O36" s="181">
        <f t="shared" si="4"/>
        <v>321.56504799999999</v>
      </c>
      <c r="P36" s="181">
        <f t="shared" si="4"/>
        <v>326.14</v>
      </c>
      <c r="Q36" s="103"/>
      <c r="R36" s="103">
        <f t="shared" ref="R36" ca="1" si="5">SUM(R33:R35)</f>
        <v>142.97457688351506</v>
      </c>
      <c r="S36" s="103"/>
      <c r="T36" s="103"/>
      <c r="U36" s="103"/>
      <c r="V36" s="103"/>
      <c r="W36" s="103"/>
      <c r="X36" s="103"/>
      <c r="Y36" s="103"/>
      <c r="Z36" s="103"/>
      <c r="AA36" s="121"/>
    </row>
    <row r="37" spans="2:27" s="219" customFormat="1">
      <c r="B37" s="121"/>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c r="AA37" s="121"/>
    </row>
    <row r="38" spans="2:27" s="219" customFormat="1">
      <c r="B38" s="121"/>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c r="AA38" s="121"/>
    </row>
    <row r="39" spans="2:27" s="23" customFormat="1" ht="15">
      <c r="B39" s="41" t="s">
        <v>2221</v>
      </c>
      <c r="C39" s="41"/>
      <c r="D39" s="41"/>
      <c r="E39" s="41"/>
      <c r="F39" s="41"/>
      <c r="G39" s="41"/>
      <c r="H39" s="41"/>
      <c r="I39" s="41"/>
      <c r="J39" s="41"/>
      <c r="K39" s="41"/>
      <c r="L39" s="41"/>
      <c r="M39" s="41"/>
      <c r="N39" s="41"/>
      <c r="O39" s="41"/>
      <c r="P39" s="41"/>
      <c r="Q39" s="41"/>
      <c r="R39" s="41"/>
      <c r="S39" s="41"/>
      <c r="T39" s="41"/>
      <c r="U39" s="41"/>
      <c r="V39" s="41"/>
      <c r="W39" s="41"/>
      <c r="X39" s="41"/>
      <c r="Y39" s="41"/>
      <c r="Z39" s="41"/>
      <c r="AA39" s="41"/>
    </row>
    <row r="40" spans="2:27" s="219" customFormat="1">
      <c r="B40" s="121"/>
      <c r="C40" s="50"/>
      <c r="D40" s="121"/>
      <c r="E40" s="121"/>
      <c r="F40" s="121"/>
      <c r="G40" s="121"/>
      <c r="H40" s="121"/>
      <c r="I40" s="121"/>
      <c r="J40" s="121"/>
      <c r="K40" s="121"/>
      <c r="L40" s="121"/>
      <c r="M40" s="121"/>
      <c r="N40" s="121"/>
      <c r="O40" s="121"/>
      <c r="P40" s="121"/>
      <c r="Q40" s="121"/>
      <c r="R40" s="121"/>
      <c r="S40" s="121"/>
      <c r="T40" s="121"/>
      <c r="U40" s="121"/>
      <c r="V40" s="121"/>
      <c r="W40" s="121"/>
      <c r="X40" s="121"/>
      <c r="Y40" s="121"/>
      <c r="Z40" s="50"/>
      <c r="AA40" s="121"/>
    </row>
    <row r="41" spans="2:27" s="23" customFormat="1">
      <c r="B41" s="121"/>
      <c r="C41" s="50" t="s">
        <v>2214</v>
      </c>
      <c r="D41" s="121"/>
      <c r="E41" s="121"/>
      <c r="F41" s="121"/>
      <c r="G41" s="121"/>
      <c r="H41" s="121"/>
      <c r="I41" s="121"/>
      <c r="J41" s="121"/>
      <c r="K41" s="121"/>
      <c r="L41" s="121"/>
      <c r="M41" s="121"/>
      <c r="N41" s="121"/>
      <c r="O41" s="121"/>
      <c r="P41" s="121"/>
      <c r="Q41" s="121"/>
      <c r="R41" s="121"/>
      <c r="S41" s="121"/>
      <c r="T41" s="121"/>
      <c r="U41" s="121"/>
      <c r="V41" s="121"/>
      <c r="W41" s="121"/>
      <c r="X41" s="121"/>
      <c r="Y41" s="121"/>
      <c r="Z41" s="50"/>
      <c r="AA41" s="121"/>
    </row>
    <row r="42" spans="2:27" ht="15" thickBot="1">
      <c r="B42" s="121"/>
      <c r="C42" s="121"/>
      <c r="D42" s="121"/>
      <c r="E42" s="121"/>
      <c r="F42" s="121"/>
      <c r="G42" s="121"/>
      <c r="H42" s="148" t="s">
        <v>860</v>
      </c>
      <c r="I42" s="121"/>
      <c r="J42" s="121"/>
      <c r="K42" s="121"/>
      <c r="L42" s="121"/>
      <c r="M42" s="121"/>
      <c r="N42" s="121"/>
      <c r="O42" s="121"/>
      <c r="P42" s="121"/>
      <c r="Q42" s="121"/>
      <c r="R42" s="121" t="s">
        <v>861</v>
      </c>
      <c r="S42" s="121"/>
      <c r="T42" s="121"/>
      <c r="U42" s="121"/>
      <c r="V42" s="121"/>
      <c r="W42" s="121"/>
      <c r="X42" s="121"/>
      <c r="Y42" s="121"/>
      <c r="Z42" s="121"/>
      <c r="AA42" s="121"/>
    </row>
    <row r="43" spans="2:27">
      <c r="B43" s="121"/>
      <c r="C43" s="42" t="s">
        <v>279</v>
      </c>
      <c r="D43" s="42" t="s">
        <v>241</v>
      </c>
      <c r="E43" s="42" t="s">
        <v>2466</v>
      </c>
      <c r="F43" s="42"/>
      <c r="G43" s="42"/>
      <c r="H43" s="149" t="s">
        <v>501</v>
      </c>
      <c r="I43" s="149" t="s">
        <v>502</v>
      </c>
      <c r="J43" s="149" t="s">
        <v>503</v>
      </c>
      <c r="K43" s="149" t="s">
        <v>504</v>
      </c>
      <c r="L43" s="149" t="s">
        <v>505</v>
      </c>
      <c r="M43" s="149" t="s">
        <v>506</v>
      </c>
      <c r="N43" s="149" t="s">
        <v>507</v>
      </c>
      <c r="O43" s="149">
        <v>2010</v>
      </c>
      <c r="P43" s="149">
        <v>2011</v>
      </c>
      <c r="Q43" s="42"/>
      <c r="R43" s="42">
        <v>2011</v>
      </c>
      <c r="S43" s="42"/>
      <c r="T43" s="42"/>
      <c r="U43" s="42"/>
      <c r="V43" s="42"/>
      <c r="W43" s="42"/>
      <c r="X43" s="42"/>
      <c r="Y43" s="42"/>
      <c r="Z43" s="42"/>
      <c r="AA43" s="121"/>
    </row>
    <row r="44" spans="2:27">
      <c r="B44" s="121"/>
      <c r="C44" s="121" t="str">
        <f>B2&amp;".N.01"</f>
        <v>G.N.01</v>
      </c>
      <c r="D44" s="121" t="str">
        <f>INDEX(Regional.energy[Description],MATCH(C44,Regional.energy[Regional energy code],0))</f>
        <v>Global Nuclear fission</v>
      </c>
      <c r="E44" s="121" t="s">
        <v>273</v>
      </c>
      <c r="F44" s="121"/>
      <c r="G44" s="121"/>
      <c r="H44" s="148"/>
      <c r="I44" s="148"/>
      <c r="J44" s="148"/>
      <c r="K44" s="148"/>
      <c r="L44" s="148"/>
      <c r="M44" s="148"/>
      <c r="N44" s="148"/>
      <c r="O44" s="121"/>
      <c r="P44" s="121"/>
      <c r="Q44" s="121"/>
      <c r="R44" s="121">
        <f ca="1">-INDEX(INDIRECT($B$2&amp;"."&amp;R$43&amp;".energy!Year.matrix"),MATCH($E44,INDIRECT($B$2&amp;"."&amp;R$43&amp;".energy!Year.sub.sectors"), 0), MATCH($C44, INDIRECT($B$2&amp;"."&amp;R$43&amp;".energy!Year.vectors"), 0))</f>
        <v>0</v>
      </c>
      <c r="S44" s="121"/>
      <c r="T44" s="121"/>
      <c r="U44" s="121"/>
      <c r="V44" s="121"/>
      <c r="W44" s="121"/>
      <c r="X44" s="121"/>
      <c r="Y44" s="121"/>
      <c r="Z44" s="121"/>
      <c r="AA44" s="121"/>
    </row>
    <row r="45" spans="2:27" s="219" customFormat="1">
      <c r="B45" s="121"/>
      <c r="C45" s="121"/>
      <c r="D45" s="121"/>
      <c r="E45" s="121"/>
      <c r="F45" s="121"/>
      <c r="G45" s="121"/>
      <c r="H45" s="148"/>
      <c r="I45" s="148"/>
      <c r="J45" s="148"/>
      <c r="K45" s="148"/>
      <c r="L45" s="148"/>
      <c r="M45" s="148"/>
      <c r="N45" s="148"/>
      <c r="O45" s="121"/>
      <c r="P45" s="121"/>
      <c r="Q45" s="121"/>
      <c r="R45" s="121"/>
      <c r="S45" s="121"/>
      <c r="T45" s="121"/>
      <c r="U45" s="121"/>
      <c r="V45" s="121"/>
      <c r="W45" s="121"/>
      <c r="X45" s="121"/>
      <c r="Y45" s="121"/>
      <c r="Z45" s="121"/>
      <c r="AA45" s="121"/>
    </row>
    <row r="46" spans="2:27">
      <c r="B46" s="121"/>
      <c r="C46" s="121" t="str">
        <f>B2&amp;".R.01"</f>
        <v>G.R.01</v>
      </c>
      <c r="D46" s="121" t="str">
        <f>INDEX(Regional.energy[Description],MATCH(C46,Regional.energy[Regional energy code],0))</f>
        <v>Global Solar</v>
      </c>
      <c r="E46" s="121" t="s">
        <v>254</v>
      </c>
      <c r="F46" s="121"/>
      <c r="G46" s="121"/>
      <c r="H46" s="148"/>
      <c r="I46" s="148"/>
      <c r="J46" s="148"/>
      <c r="K46" s="148"/>
      <c r="L46" s="148"/>
      <c r="M46" s="148"/>
      <c r="N46" s="148"/>
      <c r="O46" s="121"/>
      <c r="P46" s="121"/>
      <c r="Q46" s="121"/>
      <c r="R46" s="121">
        <f t="shared" ref="R46:Z52" ca="1" si="6">-INDEX(INDIRECT($B$2&amp;"."&amp;R$43&amp;".energy!Year.matrix"),MATCH($E46,INDIRECT($B$2&amp;"."&amp;R$43&amp;".energy!Year.sub.sectors"), 0), MATCH($C46, INDIRECT($B$2&amp;"."&amp;R$43&amp;".energy!Year.vectors"), 0))</f>
        <v>0</v>
      </c>
      <c r="S46" s="121"/>
      <c r="T46" s="121"/>
      <c r="U46" s="121"/>
      <c r="V46" s="121"/>
      <c r="W46" s="121"/>
      <c r="X46" s="121"/>
      <c r="Y46" s="121"/>
      <c r="Z46" s="121"/>
      <c r="AA46" s="121"/>
    </row>
    <row r="47" spans="2:27">
      <c r="B47" s="121"/>
      <c r="C47" s="121" t="str">
        <f>B2&amp;".R.02"</f>
        <v>G.R.02</v>
      </c>
      <c r="D47" s="121" t="str">
        <f>INDEX(Regional.energy[Description],MATCH(C47,Regional.energy[Regional energy code],0))</f>
        <v>Global Wind</v>
      </c>
      <c r="E47" s="121" t="s">
        <v>255</v>
      </c>
      <c r="F47" s="121"/>
      <c r="G47" s="121"/>
      <c r="H47" s="148"/>
      <c r="I47" s="148"/>
      <c r="J47" s="148"/>
      <c r="K47" s="148"/>
      <c r="L47" s="148"/>
      <c r="M47" s="148"/>
      <c r="N47" s="148"/>
      <c r="O47" s="121"/>
      <c r="P47" s="121"/>
      <c r="Q47" s="121"/>
      <c r="R47" s="121">
        <f t="shared" ca="1" si="6"/>
        <v>0</v>
      </c>
      <c r="S47" s="121"/>
      <c r="T47" s="121"/>
      <c r="U47" s="121"/>
      <c r="V47" s="121"/>
      <c r="W47" s="121"/>
      <c r="X47" s="121"/>
      <c r="Y47" s="121"/>
      <c r="Z47" s="121"/>
      <c r="AA47" s="121"/>
    </row>
    <row r="48" spans="2:27">
      <c r="B48" s="121"/>
      <c r="C48" s="121" t="str">
        <f>B2&amp;".R.03"</f>
        <v>G.R.03</v>
      </c>
      <c r="D48" s="121" t="str">
        <f>INDEX(Regional.energy[Description],MATCH(C48,Regional.energy[Regional energy code],0))</f>
        <v>Global Tidal</v>
      </c>
      <c r="E48" s="121" t="s">
        <v>756</v>
      </c>
      <c r="F48" s="121"/>
      <c r="G48" s="121"/>
      <c r="H48" s="148"/>
      <c r="I48" s="148"/>
      <c r="J48" s="148"/>
      <c r="K48" s="148"/>
      <c r="L48" s="148"/>
      <c r="M48" s="148"/>
      <c r="N48" s="148"/>
      <c r="O48" s="121"/>
      <c r="P48" s="121"/>
      <c r="Q48" s="121"/>
      <c r="R48" s="121">
        <f t="shared" ca="1" si="6"/>
        <v>0</v>
      </c>
      <c r="S48" s="121"/>
      <c r="T48" s="121"/>
      <c r="U48" s="121"/>
      <c r="V48" s="121"/>
      <c r="W48" s="121"/>
      <c r="X48" s="121"/>
      <c r="Y48" s="121"/>
      <c r="Z48" s="121"/>
      <c r="AA48" s="121"/>
    </row>
    <row r="49" spans="2:27">
      <c r="B49" s="121"/>
      <c r="C49" s="121" t="str">
        <f>B2&amp;".R.04"</f>
        <v>G.R.04</v>
      </c>
      <c r="D49" s="121" t="str">
        <f>INDEX(Regional.energy[Description],MATCH(C49,Regional.energy[Regional energy code],0))</f>
        <v>Global Wave</v>
      </c>
      <c r="E49" s="121" t="s">
        <v>756</v>
      </c>
      <c r="F49" s="121"/>
      <c r="G49" s="121"/>
      <c r="H49" s="148"/>
      <c r="I49" s="148"/>
      <c r="J49" s="148"/>
      <c r="K49" s="148"/>
      <c r="L49" s="148"/>
      <c r="M49" s="148"/>
      <c r="N49" s="148"/>
      <c r="O49" s="121"/>
      <c r="P49" s="121"/>
      <c r="Q49" s="121"/>
      <c r="R49" s="121">
        <f t="shared" ca="1" si="6"/>
        <v>0</v>
      </c>
      <c r="S49" s="121"/>
      <c r="T49" s="121"/>
      <c r="U49" s="121"/>
      <c r="V49" s="121"/>
      <c r="W49" s="121"/>
      <c r="X49" s="121"/>
      <c r="Y49" s="121"/>
      <c r="Z49" s="121"/>
      <c r="AA49" s="121"/>
    </row>
    <row r="50" spans="2:27" ht="12.75" customHeight="1">
      <c r="B50" s="121"/>
      <c r="C50" s="121" t="str">
        <f>B2&amp;".R.05"</f>
        <v>G.R.05</v>
      </c>
      <c r="D50" s="121" t="str">
        <f>INDEX(Regional.energy[Description],MATCH(C50,Regional.energy[Regional energy code],0))</f>
        <v>Global Geothermal</v>
      </c>
      <c r="E50" s="121" t="s">
        <v>258</v>
      </c>
      <c r="F50" s="121"/>
      <c r="G50" s="121"/>
      <c r="H50" s="148"/>
      <c r="I50" s="148"/>
      <c r="J50" s="148"/>
      <c r="K50" s="148"/>
      <c r="L50" s="148"/>
      <c r="M50" s="148"/>
      <c r="N50" s="148"/>
      <c r="O50" s="121"/>
      <c r="P50" s="121"/>
      <c r="Q50" s="121"/>
      <c r="R50" s="121">
        <f t="shared" ca="1" si="6"/>
        <v>0</v>
      </c>
      <c r="S50" s="121"/>
      <c r="T50" s="121"/>
      <c r="U50" s="121"/>
      <c r="V50" s="121"/>
      <c r="W50" s="121"/>
      <c r="X50" s="121"/>
      <c r="Y50" s="121"/>
      <c r="Z50" s="121"/>
      <c r="AA50" s="121"/>
    </row>
    <row r="51" spans="2:27" s="23" customFormat="1" ht="12.75" customHeight="1">
      <c r="B51" s="121"/>
      <c r="C51" s="121" t="str">
        <f>B2&amp;".R.06"</f>
        <v>G.R.06</v>
      </c>
      <c r="D51" s="121" t="str">
        <f>INDEX(Regional.energy[Description],MATCH(C51,Regional.energy[Regional energy code],0))</f>
        <v>Global Hydro</v>
      </c>
      <c r="E51" s="121" t="s">
        <v>259</v>
      </c>
      <c r="F51" s="121"/>
      <c r="G51" s="121"/>
      <c r="H51" s="148"/>
      <c r="I51" s="148"/>
      <c r="J51" s="148"/>
      <c r="K51" s="148"/>
      <c r="L51" s="148"/>
      <c r="M51" s="148"/>
      <c r="N51" s="148"/>
      <c r="O51" s="121"/>
      <c r="P51" s="121"/>
      <c r="Q51" s="121"/>
      <c r="R51" s="121">
        <f t="shared" ca="1" si="6"/>
        <v>0</v>
      </c>
      <c r="S51" s="121"/>
      <c r="T51" s="121"/>
      <c r="U51" s="121"/>
      <c r="V51" s="121"/>
      <c r="W51" s="121"/>
      <c r="X51" s="121"/>
      <c r="Y51" s="121"/>
      <c r="Z51" s="121"/>
      <c r="AA51" s="121"/>
    </row>
    <row r="52" spans="2:27" s="219" customFormat="1" ht="12.75" customHeight="1">
      <c r="B52" s="121"/>
      <c r="C52" s="121" t="str">
        <f>B2&amp;".R.06"</f>
        <v>G.R.06</v>
      </c>
      <c r="D52" s="121" t="str">
        <f>INDEX(Regional.energy[Description],MATCH(C52,Regional.energy[Regional energy code],0))</f>
        <v>Global Hydro</v>
      </c>
      <c r="E52" s="121" t="s">
        <v>757</v>
      </c>
      <c r="F52" s="121"/>
      <c r="G52" s="121"/>
      <c r="H52" s="148"/>
      <c r="I52" s="148"/>
      <c r="J52" s="148"/>
      <c r="K52" s="148"/>
      <c r="L52" s="148"/>
      <c r="M52" s="148"/>
      <c r="N52" s="148"/>
      <c r="O52" s="121"/>
      <c r="P52" s="121"/>
      <c r="Q52" s="121"/>
      <c r="R52" s="121">
        <f t="shared" ca="1" si="6"/>
        <v>0</v>
      </c>
      <c r="S52" s="121"/>
      <c r="T52" s="121"/>
      <c r="U52" s="121"/>
      <c r="V52" s="121"/>
      <c r="W52" s="121"/>
      <c r="X52" s="121"/>
      <c r="Y52" s="121"/>
      <c r="Z52" s="121"/>
      <c r="AA52" s="121"/>
    </row>
    <row r="53" spans="2:27" s="219" customFormat="1" ht="12.75" customHeight="1">
      <c r="B53" s="121"/>
      <c r="C53" s="121"/>
      <c r="D53" s="121"/>
      <c r="E53" s="121"/>
      <c r="F53" s="121"/>
      <c r="G53" s="121"/>
      <c r="H53" s="148"/>
      <c r="I53" s="148"/>
      <c r="J53" s="148"/>
      <c r="K53" s="148"/>
      <c r="L53" s="148"/>
      <c r="M53" s="148"/>
      <c r="N53" s="148"/>
      <c r="O53" s="121"/>
      <c r="P53" s="121"/>
      <c r="Q53" s="121"/>
      <c r="R53" s="121"/>
      <c r="S53" s="121"/>
      <c r="T53" s="121"/>
      <c r="U53" s="121"/>
      <c r="V53" s="121"/>
      <c r="W53" s="121"/>
      <c r="X53" s="121"/>
      <c r="Y53" s="121"/>
      <c r="Z53" s="121"/>
      <c r="AA53" s="121"/>
    </row>
    <row r="54" spans="2:27">
      <c r="B54" s="121"/>
      <c r="C54" s="121" t="str">
        <f>B2&amp;".R.07"</f>
        <v>G.R.07</v>
      </c>
      <c r="D54" s="121" t="str">
        <f>INDEX(Regional.energy[Description],MATCH(C54,Regional.energy[Regional energy code],0))</f>
        <v>Global Environmental heat</v>
      </c>
      <c r="E54" s="121"/>
      <c r="F54" s="121"/>
      <c r="G54" s="121"/>
      <c r="H54" s="148"/>
      <c r="I54" s="148"/>
      <c r="J54" s="148"/>
      <c r="K54" s="148"/>
      <c r="L54" s="148"/>
      <c r="M54" s="148"/>
      <c r="N54" s="148"/>
      <c r="O54" s="121"/>
      <c r="P54" s="121"/>
      <c r="Q54" s="121"/>
      <c r="R54" s="121">
        <f ca="1">-INDEX(INDIRECT($B$2&amp;"."&amp;R$43&amp;".energy!Year.net.balance"), MATCH($C54, INDIRECT($B$2&amp;"."&amp;R$43&amp;".energy!Year.vectors"), 0))</f>
        <v>0</v>
      </c>
      <c r="S54" s="121"/>
      <c r="T54" s="121"/>
      <c r="U54" s="121"/>
      <c r="V54" s="121"/>
      <c r="W54" s="121"/>
      <c r="X54" s="121"/>
      <c r="Y54" s="121"/>
      <c r="Z54" s="121"/>
      <c r="AA54" s="121"/>
    </row>
    <row r="55" spans="2:27" s="219" customFormat="1">
      <c r="B55" s="121"/>
      <c r="C55" s="121" t="str">
        <f>B2&amp;".H.01"</f>
        <v>G.H.01</v>
      </c>
      <c r="D55" s="121" t="str">
        <f>INDEX(Regional.energy[Description],MATCH(C55,Regional.energy[Regional energy code],0))</f>
        <v>Global Heat transport</v>
      </c>
      <c r="E55" s="121"/>
      <c r="F55" s="121"/>
      <c r="G55" s="121"/>
      <c r="H55" s="148"/>
      <c r="I55" s="148"/>
      <c r="J55" s="148"/>
      <c r="K55" s="148"/>
      <c r="L55" s="148"/>
      <c r="M55" s="148"/>
      <c r="N55" s="148"/>
      <c r="O55" s="121"/>
      <c r="P55" s="121"/>
      <c r="Q55" s="121"/>
      <c r="R55" s="121">
        <f ca="1">-INDEX(INDIRECT($B$2&amp;"."&amp;R$43&amp;".energy!Year.net.balance"), MATCH($C55, INDIRECT($B$2&amp;"."&amp;R$43&amp;".energy!Year.vectors"), 0))</f>
        <v>5.3101024473450966</v>
      </c>
      <c r="S55" s="121"/>
      <c r="T55" s="121"/>
      <c r="U55" s="121"/>
      <c r="V55" s="121"/>
      <c r="W55" s="121"/>
      <c r="X55" s="121"/>
      <c r="Y55" s="121"/>
      <c r="Z55" s="121"/>
      <c r="AA55" s="121"/>
    </row>
    <row r="56" spans="2:27" s="23" customFormat="1">
      <c r="B56" s="121"/>
      <c r="C56" s="121"/>
      <c r="D56" s="121"/>
      <c r="E56" s="121"/>
      <c r="F56" s="121"/>
      <c r="G56" s="121"/>
      <c r="H56" s="148"/>
      <c r="I56" s="148"/>
      <c r="J56" s="148"/>
      <c r="K56" s="148"/>
      <c r="L56" s="148"/>
      <c r="M56" s="148"/>
      <c r="N56" s="148"/>
      <c r="O56" s="121"/>
      <c r="P56" s="121"/>
      <c r="Q56" s="121"/>
      <c r="R56" s="121"/>
      <c r="S56" s="121"/>
      <c r="T56" s="121"/>
      <c r="U56" s="121"/>
      <c r="V56" s="121"/>
      <c r="W56" s="121"/>
      <c r="X56" s="121"/>
      <c r="Y56" s="121"/>
      <c r="Z56" s="121"/>
      <c r="AA56" s="121"/>
    </row>
    <row r="57" spans="2:27">
      <c r="B57" s="121"/>
      <c r="C57" s="121" t="str">
        <f>B2&amp;".BM.05"</f>
        <v>G.BM.05</v>
      </c>
      <c r="D57" s="121" t="str">
        <f>INDEX(Regional.energy[Description],MATCH(C57,Regional.energy[Regional energy code],0))</f>
        <v>Global Dry biomass and waste</v>
      </c>
      <c r="E57" s="121"/>
      <c r="F57" s="121"/>
      <c r="G57" s="121"/>
      <c r="H57" s="148"/>
      <c r="I57" s="148"/>
      <c r="J57" s="148"/>
      <c r="K57" s="148"/>
      <c r="L57" s="148"/>
      <c r="M57" s="148"/>
      <c r="N57" s="148"/>
      <c r="O57" s="121"/>
      <c r="P57" s="121"/>
      <c r="Q57" s="121"/>
      <c r="R57" s="121">
        <f ca="1">INDEX(INDIRECT($B$2&amp;"."&amp;R$43&amp;".energy!Year.matrix"),MATCH("Dry biomass for conversion",INDIRECT($B$2&amp;"."&amp;R$43&amp;".energy!Year.sub.sectors"),0),MATCH($C57, INDIRECT($B$2&amp;"."&amp;R$43&amp;".energy!Year.vectors"), 0))</f>
        <v>0</v>
      </c>
      <c r="S57" s="121"/>
      <c r="T57" s="121"/>
      <c r="U57" s="121"/>
      <c r="V57" s="121"/>
      <c r="W57" s="121"/>
      <c r="X57" s="121"/>
      <c r="Y57" s="121"/>
      <c r="Z57" s="121"/>
      <c r="AA57" s="121"/>
    </row>
    <row r="58" spans="2:27">
      <c r="B58" s="121"/>
      <c r="C58" s="121" t="str">
        <f>B2&amp;".BM.06"</f>
        <v>G.BM.06</v>
      </c>
      <c r="D58" s="121" t="str">
        <f>INDEX(Regional.energy[Description],MATCH(C58,Regional.energy[Regional energy code],0))</f>
        <v>Global Wet biomass and waste</v>
      </c>
      <c r="E58" s="121"/>
      <c r="F58" s="121"/>
      <c r="G58" s="121"/>
      <c r="H58" s="148"/>
      <c r="I58" s="148"/>
      <c r="J58" s="148"/>
      <c r="K58" s="148"/>
      <c r="L58" s="148"/>
      <c r="M58" s="148"/>
      <c r="N58" s="148"/>
      <c r="O58" s="121"/>
      <c r="P58" s="121"/>
      <c r="Q58" s="121"/>
      <c r="R58" s="121">
        <f ca="1">INDEX(INDIRECT($B$2&amp;"."&amp;R$43&amp;".energy!Year.matrix"),MATCH("Wet biomass for conversion",INDIRECT($B$2&amp;"."&amp;R$43&amp;".energy!Year.sub.sectors"),0),MATCH($C58, INDIRECT($B$2&amp;"."&amp;R$43&amp;".energy!Year.vectors"), 0))</f>
        <v>0</v>
      </c>
      <c r="S58" s="121"/>
      <c r="T58" s="121"/>
      <c r="U58" s="121"/>
      <c r="V58" s="121"/>
      <c r="W58" s="121"/>
      <c r="X58" s="121"/>
      <c r="Y58" s="121"/>
      <c r="Z58" s="121"/>
      <c r="AA58" s="121"/>
    </row>
    <row r="59" spans="2:27">
      <c r="B59" s="121"/>
      <c r="C59" s="121" t="str">
        <f>B2&amp;".BM.07"</f>
        <v>G.BM.07</v>
      </c>
      <c r="D59" s="121" t="str">
        <f>INDEX(Regional.energy[Description],MATCH(C59,Regional.energy[Regional energy code],0))</f>
        <v>Global Gaseous waste</v>
      </c>
      <c r="E59" s="121"/>
      <c r="F59" s="121"/>
      <c r="G59" s="121"/>
      <c r="H59" s="148"/>
      <c r="I59" s="148"/>
      <c r="J59" s="148"/>
      <c r="K59" s="148"/>
      <c r="L59" s="148"/>
      <c r="M59" s="148"/>
      <c r="N59" s="148"/>
      <c r="O59" s="121"/>
      <c r="P59" s="121"/>
      <c r="Q59" s="121"/>
      <c r="R59" s="121">
        <f ca="1">INDEX(INDIRECT($B$2&amp;"."&amp;R$43&amp;".energy!Year.matrix"),MATCH("Gaseous biomass for conversion",INDIRECT($B$2&amp;"."&amp;R$43&amp;".energy!Year.sub.sectors"),0),MATCH($C59, INDIRECT($B$2&amp;"."&amp;R$43&amp;".energy!Year.vectors"), 0))</f>
        <v>0</v>
      </c>
      <c r="S59" s="121"/>
      <c r="T59" s="121"/>
      <c r="U59" s="121"/>
      <c r="V59" s="121"/>
      <c r="W59" s="121"/>
      <c r="X59" s="121"/>
      <c r="Y59" s="121"/>
      <c r="Z59" s="121"/>
      <c r="AA59" s="121"/>
    </row>
    <row r="60" spans="2:27">
      <c r="B60" s="121"/>
      <c r="C60" s="121"/>
      <c r="D60" s="121"/>
      <c r="E60" s="121"/>
      <c r="F60" s="121"/>
      <c r="G60" s="121"/>
      <c r="H60" s="148"/>
      <c r="I60" s="148"/>
      <c r="J60" s="148"/>
      <c r="K60" s="148"/>
      <c r="L60" s="148"/>
      <c r="M60" s="148"/>
      <c r="N60" s="148"/>
      <c r="O60" s="121"/>
      <c r="P60" s="121"/>
      <c r="Q60" s="121"/>
      <c r="R60" s="121"/>
      <c r="S60" s="121"/>
      <c r="T60" s="121"/>
      <c r="U60" s="121"/>
      <c r="V60" s="121"/>
      <c r="W60" s="121"/>
      <c r="X60" s="121"/>
      <c r="Y60" s="121"/>
      <c r="Z60" s="121"/>
      <c r="AA60" s="121"/>
    </row>
    <row r="61" spans="2:27">
      <c r="B61" s="121"/>
      <c r="C61" s="121" t="str">
        <f>B2&amp;".Q.01"</f>
        <v>G.Q.01</v>
      </c>
      <c r="D61" s="121" t="str">
        <f>INDEX(Regional.energy[Description],MATCH(C61,Regional.energy[Regional energy code],0))</f>
        <v xml:space="preserve">Global Coal reserves </v>
      </c>
      <c r="E61" s="121"/>
      <c r="F61" s="121"/>
      <c r="G61" s="121"/>
      <c r="H61" s="148"/>
      <c r="I61" s="148"/>
      <c r="J61" s="148"/>
      <c r="K61" s="148"/>
      <c r="L61" s="148"/>
      <c r="M61" s="148"/>
      <c r="N61" s="148"/>
      <c r="O61" s="121"/>
      <c r="P61" s="121"/>
      <c r="Q61" s="121"/>
      <c r="R61" s="121">
        <f t="shared" ref="R61:Z63" ca="1" si="7">-INDEX(INDIRECT($B$2&amp;"."&amp;R$43&amp;".energy!Year.net.balance"), MATCH($C61, INDIRECT($B$2&amp;"."&amp;R$43&amp;".energy!Year.vectors"), 0))</f>
        <v>0</v>
      </c>
      <c r="S61" s="121"/>
      <c r="T61" s="121"/>
      <c r="U61" s="121"/>
      <c r="V61" s="121"/>
      <c r="W61" s="121"/>
      <c r="X61" s="121"/>
      <c r="Y61" s="121"/>
      <c r="Z61" s="121"/>
      <c r="AA61" s="121"/>
    </row>
    <row r="62" spans="2:27">
      <c r="B62" s="121"/>
      <c r="C62" s="121" t="str">
        <f>B2&amp;".Q.02"</f>
        <v>G.Q.02</v>
      </c>
      <c r="D62" s="121" t="str">
        <f>INDEX(Regional.energy[Description],MATCH(C62,Regional.energy[Regional energy code],0))</f>
        <v xml:space="preserve">Global Oil reserves </v>
      </c>
      <c r="E62" s="121"/>
      <c r="F62" s="121"/>
      <c r="G62" s="121"/>
      <c r="H62" s="148"/>
      <c r="I62" s="148"/>
      <c r="J62" s="148"/>
      <c r="K62" s="148"/>
      <c r="L62" s="148"/>
      <c r="M62" s="148"/>
      <c r="N62" s="148"/>
      <c r="O62" s="121"/>
      <c r="P62" s="121"/>
      <c r="Q62" s="121"/>
      <c r="R62" s="121">
        <f t="shared" ca="1" si="7"/>
        <v>0</v>
      </c>
      <c r="S62" s="121"/>
      <c r="T62" s="121"/>
      <c r="U62" s="121"/>
      <c r="V62" s="121"/>
      <c r="W62" s="121"/>
      <c r="X62" s="121"/>
      <c r="Y62" s="121"/>
      <c r="Z62" s="121"/>
      <c r="AA62" s="121"/>
    </row>
    <row r="63" spans="2:27">
      <c r="B63" s="121"/>
      <c r="C63" s="121" t="str">
        <f>B2&amp;".Q.03"</f>
        <v>G.Q.03</v>
      </c>
      <c r="D63" s="121" t="str">
        <f>INDEX(Regional.energy[Description],MATCH(C63,Regional.energy[Regional energy code],0))</f>
        <v xml:space="preserve">Global Gas reserves </v>
      </c>
      <c r="E63" s="121"/>
      <c r="F63" s="121"/>
      <c r="G63" s="121"/>
      <c r="H63" s="148"/>
      <c r="I63" s="148"/>
      <c r="J63" s="148"/>
      <c r="K63" s="148"/>
      <c r="L63" s="148"/>
      <c r="M63" s="148"/>
      <c r="N63" s="148"/>
      <c r="O63" s="121"/>
      <c r="P63" s="121"/>
      <c r="Q63" s="121"/>
      <c r="R63" s="121">
        <f t="shared" ca="1" si="7"/>
        <v>0</v>
      </c>
      <c r="S63" s="121"/>
      <c r="T63" s="121"/>
      <c r="U63" s="121"/>
      <c r="V63" s="121"/>
      <c r="W63" s="121"/>
      <c r="X63" s="121"/>
      <c r="Y63" s="121"/>
      <c r="Z63" s="121"/>
      <c r="AA63" s="121"/>
    </row>
    <row r="64" spans="2:27" ht="15" thickBot="1">
      <c r="B64" s="121"/>
      <c r="C64" s="103"/>
      <c r="D64" s="103"/>
      <c r="E64" s="103"/>
      <c r="F64" s="103"/>
      <c r="G64" s="103"/>
      <c r="H64" s="182"/>
      <c r="I64" s="182"/>
      <c r="J64" s="182"/>
      <c r="K64" s="182"/>
      <c r="L64" s="182"/>
      <c r="M64" s="182"/>
      <c r="N64" s="182"/>
      <c r="O64" s="103"/>
      <c r="P64" s="103"/>
      <c r="Q64" s="103"/>
      <c r="R64" s="103">
        <f ca="1">SUM(R44:R63)</f>
        <v>5.3101024473450966</v>
      </c>
      <c r="S64" s="103"/>
      <c r="T64" s="103"/>
      <c r="U64" s="103"/>
      <c r="V64" s="103"/>
      <c r="W64" s="103"/>
      <c r="X64" s="103"/>
      <c r="Y64" s="103"/>
      <c r="Z64" s="103"/>
      <c r="AA64" s="121"/>
    </row>
    <row r="65" spans="2:27">
      <c r="B65" s="121"/>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c r="AA65" s="121"/>
    </row>
    <row r="66" spans="2:27">
      <c r="B66" s="121"/>
      <c r="C66" s="121"/>
      <c r="D66" s="148"/>
      <c r="E66" s="121"/>
      <c r="F66" s="121"/>
      <c r="G66" s="121"/>
      <c r="H66" s="148"/>
      <c r="I66" s="148"/>
      <c r="J66" s="148"/>
      <c r="K66" s="148"/>
      <c r="L66" s="148"/>
      <c r="M66" s="148"/>
      <c r="N66" s="148"/>
      <c r="O66" s="121"/>
      <c r="P66" s="121"/>
      <c r="Q66" s="121"/>
      <c r="R66" s="121"/>
      <c r="S66" s="121"/>
      <c r="T66" s="121"/>
      <c r="U66" s="121"/>
      <c r="V66" s="121"/>
      <c r="W66" s="121"/>
      <c r="X66" s="121"/>
      <c r="Y66" s="121"/>
      <c r="Z66" s="121"/>
      <c r="AA66" s="121"/>
    </row>
    <row r="67" spans="2:27" s="219" customFormat="1">
      <c r="B67" s="121"/>
      <c r="C67" s="50" t="s">
        <v>2218</v>
      </c>
      <c r="D67" s="121"/>
      <c r="E67" s="121"/>
      <c r="F67" s="121"/>
      <c r="G67" s="121"/>
      <c r="H67" s="121"/>
      <c r="I67" s="121"/>
      <c r="J67" s="121"/>
      <c r="K67" s="121"/>
      <c r="L67" s="121"/>
      <c r="M67" s="121"/>
      <c r="N67" s="121"/>
      <c r="O67" s="121"/>
      <c r="P67" s="121"/>
      <c r="Q67" s="121"/>
      <c r="R67" s="121"/>
      <c r="S67" s="121"/>
      <c r="T67" s="121"/>
      <c r="U67" s="121"/>
      <c r="V67" s="121"/>
      <c r="W67" s="121"/>
      <c r="X67" s="121"/>
      <c r="Y67" s="121"/>
      <c r="Z67" s="50"/>
      <c r="AA67" s="121"/>
    </row>
    <row r="68" spans="2:27" s="219" customFormat="1" ht="15" thickBot="1">
      <c r="B68" s="121"/>
      <c r="C68" s="121"/>
      <c r="D68" s="121"/>
      <c r="E68" s="121"/>
      <c r="F68" s="121"/>
      <c r="G68" s="121"/>
      <c r="H68" s="148" t="s">
        <v>860</v>
      </c>
      <c r="I68" s="121"/>
      <c r="J68" s="121"/>
      <c r="K68" s="121"/>
      <c r="L68" s="121"/>
      <c r="M68" s="121"/>
      <c r="N68" s="121"/>
      <c r="O68" s="121"/>
      <c r="P68" s="121"/>
      <c r="Q68" s="121"/>
      <c r="R68" s="121"/>
      <c r="S68" s="121"/>
      <c r="T68" s="121"/>
      <c r="U68" s="121"/>
      <c r="V68" s="121"/>
      <c r="W68" s="121"/>
      <c r="X68" s="121"/>
      <c r="Y68" s="121"/>
      <c r="Z68" s="121"/>
      <c r="AA68" s="121"/>
    </row>
    <row r="69" spans="2:27" s="219" customFormat="1">
      <c r="B69" s="121"/>
      <c r="C69" s="42"/>
      <c r="D69" s="42" t="s">
        <v>241</v>
      </c>
      <c r="E69" s="42"/>
      <c r="F69" s="42"/>
      <c r="G69" s="42"/>
      <c r="H69" s="149" t="s">
        <v>501</v>
      </c>
      <c r="I69" s="149" t="s">
        <v>502</v>
      </c>
      <c r="J69" s="149" t="s">
        <v>503</v>
      </c>
      <c r="K69" s="149" t="s">
        <v>504</v>
      </c>
      <c r="L69" s="149" t="s">
        <v>505</v>
      </c>
      <c r="M69" s="149" t="s">
        <v>506</v>
      </c>
      <c r="N69" s="149" t="s">
        <v>507</v>
      </c>
      <c r="O69" s="149">
        <v>2010</v>
      </c>
      <c r="P69" s="149">
        <v>2011</v>
      </c>
      <c r="Q69" s="42"/>
      <c r="R69" s="42">
        <v>2011</v>
      </c>
      <c r="S69" s="42"/>
      <c r="T69" s="42"/>
      <c r="U69" s="42"/>
      <c r="V69" s="42"/>
      <c r="W69" s="42"/>
      <c r="X69" s="42"/>
      <c r="Y69" s="42"/>
      <c r="Z69" s="42"/>
      <c r="AA69" s="121"/>
    </row>
    <row r="70" spans="2:27" s="219" customFormat="1">
      <c r="B70" s="121"/>
      <c r="C70" s="121"/>
      <c r="D70" s="121" t="s">
        <v>2205</v>
      </c>
      <c r="E70" s="121"/>
      <c r="F70" s="121"/>
      <c r="G70" s="276"/>
      <c r="H70" s="148">
        <f>4193.62582*(Unit.PJ)</f>
        <v>4.1936258200000003</v>
      </c>
      <c r="I70" s="148">
        <f>7804.62837*(Unit.PJ)</f>
        <v>7.8046283700000005</v>
      </c>
      <c r="J70" s="148">
        <f>16308.22419*(Unit.PJ)</f>
        <v>16.308224190000001</v>
      </c>
      <c r="K70" s="148">
        <f>22006.42022*(Unit.PJ)</f>
        <v>22.006420219999999</v>
      </c>
      <c r="L70" s="148">
        <f>25464.43571*(Unit.PJ)</f>
        <v>25.464435710000004</v>
      </c>
      <c r="M70" s="148">
        <f>28285.53115*(Unit.PJ)</f>
        <v>28.285531150000001</v>
      </c>
      <c r="N70" s="148">
        <f>30221.80524*(Unit.PJ)</f>
        <v>30.221805240000002</v>
      </c>
      <c r="O70" s="148">
        <f>30101.36047*(Unit.PJ)</f>
        <v>30.101360469999999</v>
      </c>
      <c r="P70" s="148">
        <f>28219.27902*(Unit.PJ)</f>
        <v>28.219279020000002</v>
      </c>
      <c r="Q70" s="121"/>
      <c r="R70" s="121">
        <f ca="1">R44</f>
        <v>0</v>
      </c>
      <c r="S70" s="121"/>
      <c r="T70" s="121"/>
      <c r="U70" s="121"/>
      <c r="V70" s="121"/>
      <c r="W70" s="121"/>
      <c r="X70" s="121"/>
      <c r="Y70" s="121"/>
      <c r="Z70" s="121"/>
      <c r="AA70" s="121"/>
    </row>
    <row r="71" spans="2:27" s="219" customFormat="1">
      <c r="B71" s="121"/>
      <c r="C71" s="121"/>
      <c r="D71" s="121" t="s">
        <v>2206</v>
      </c>
      <c r="E71" s="121"/>
      <c r="F71" s="121"/>
      <c r="G71" s="276"/>
      <c r="H71" s="148">
        <f>2.0015*(Unit.PJ)</f>
        <v>2.0015000000000002E-3</v>
      </c>
      <c r="I71" s="148">
        <f>2.99071*(Unit.PJ)</f>
        <v>2.9907100000000002E-3</v>
      </c>
      <c r="J71" s="148">
        <f>15.11665*(Unit.PJ)</f>
        <v>1.5116650000000001E-2</v>
      </c>
      <c r="K71" s="148">
        <f>98.88171*(Unit.PJ)</f>
        <v>9.8881709999999998E-2</v>
      </c>
      <c r="L71" s="148">
        <f>136.71401*(Unit.PJ)</f>
        <v>0.13671401</v>
      </c>
      <c r="M71" s="148">
        <f>330.11758*(Unit.PJ)</f>
        <v>0.33011757999999997</v>
      </c>
      <c r="N71" s="148">
        <f>689.42009*(Unit.PJ)</f>
        <v>0.68942008999999993</v>
      </c>
      <c r="O71" s="148">
        <f>1981.06908*(Unit.PJ)</f>
        <v>1.9810690799999999</v>
      </c>
      <c r="P71" s="148">
        <f>2559.47734*(Unit.PJ)</f>
        <v>2.5594773399999999</v>
      </c>
      <c r="Q71" s="121"/>
      <c r="R71" s="121">
        <f t="shared" ref="R71:Z71" ca="1" si="8">R46+R47+R48+R49</f>
        <v>0</v>
      </c>
      <c r="S71" s="121"/>
      <c r="T71" s="121"/>
      <c r="U71" s="121"/>
      <c r="V71" s="121"/>
      <c r="W71" s="121"/>
      <c r="X71" s="121"/>
      <c r="Y71" s="121"/>
      <c r="Z71" s="121"/>
      <c r="AA71" s="121"/>
    </row>
    <row r="72" spans="2:27" s="219" customFormat="1">
      <c r="B72" s="121"/>
      <c r="C72" s="121"/>
      <c r="D72" s="121" t="s">
        <v>2207</v>
      </c>
      <c r="E72" s="121"/>
      <c r="F72" s="121"/>
      <c r="G72" s="276"/>
      <c r="H72" s="148">
        <f>306.33308*(Unit.PJ)</f>
        <v>0.30633307999999998</v>
      </c>
      <c r="I72" s="148">
        <f>518.99125*(Unit.PJ)</f>
        <v>0.51899125000000002</v>
      </c>
      <c r="J72" s="148">
        <f>878.33525*(Unit.PJ)</f>
        <v>0.87833525000000001</v>
      </c>
      <c r="K72" s="148">
        <f>1420.30705*(Unit.PJ)</f>
        <v>1.4203070499999999</v>
      </c>
      <c r="L72" s="148">
        <f>1640.06674*(Unit.PJ)</f>
        <v>1.64006674</v>
      </c>
      <c r="M72" s="148">
        <f>2182.15057*(Unit.PJ)</f>
        <v>2.1821505699999997</v>
      </c>
      <c r="N72" s="148">
        <f>2259.15872*(Unit.PJ)</f>
        <v>2.2591587199999998</v>
      </c>
      <c r="O72" s="148">
        <f>2704.16419*(Unit.PJ)</f>
        <v>2.7041641900000002</v>
      </c>
      <c r="P72" s="148">
        <f>2757.92299*(Unit.PJ)</f>
        <v>2.75792299</v>
      </c>
      <c r="Q72" s="121"/>
      <c r="R72" s="121">
        <f ca="1">R50</f>
        <v>0</v>
      </c>
      <c r="S72" s="121"/>
      <c r="T72" s="121"/>
      <c r="U72" s="121"/>
      <c r="V72" s="121"/>
      <c r="W72" s="121"/>
      <c r="X72" s="121"/>
      <c r="Y72" s="121"/>
      <c r="Z72" s="121"/>
      <c r="AA72" s="121"/>
    </row>
    <row r="73" spans="2:27" s="219" customFormat="1">
      <c r="B73" s="121"/>
      <c r="C73" s="121"/>
      <c r="D73" s="121" t="s">
        <v>2208</v>
      </c>
      <c r="E73" s="121"/>
      <c r="F73" s="121"/>
      <c r="G73" s="276"/>
      <c r="H73" s="148">
        <f>5198.28432*(Unit.PJ)</f>
        <v>5.19828432</v>
      </c>
      <c r="I73" s="148">
        <f>6181.80853*(Unit.PJ)</f>
        <v>6.1818085300000005</v>
      </c>
      <c r="J73" s="148">
        <f>7104.72662*(Unit.PJ)</f>
        <v>7.1047266200000001</v>
      </c>
      <c r="K73" s="148">
        <f>7721.54283*(Unit.PJ)</f>
        <v>7.7215428300000006</v>
      </c>
      <c r="L73" s="148">
        <f>8930.36678*(Unit.PJ)</f>
        <v>8.9303667799999999</v>
      </c>
      <c r="M73" s="148">
        <f>9435.35406*(Unit.PJ)</f>
        <v>9.4353540599999999</v>
      </c>
      <c r="N73" s="148">
        <f>10548.20994*(Unit.PJ)</f>
        <v>10.548209940000001</v>
      </c>
      <c r="O73" s="148">
        <f>12392.18819*(Unit.PJ)</f>
        <v>12.392188190000001</v>
      </c>
      <c r="P73" s="148">
        <f>12567.61896*(Unit.PJ)</f>
        <v>12.567618960000001</v>
      </c>
      <c r="Q73" s="121"/>
      <c r="R73" s="121">
        <f ca="1">R51</f>
        <v>0</v>
      </c>
      <c r="S73" s="121"/>
      <c r="T73" s="121"/>
      <c r="U73" s="121"/>
      <c r="V73" s="121"/>
      <c r="W73" s="121"/>
      <c r="X73" s="121"/>
      <c r="Y73" s="121"/>
      <c r="Z73" s="121"/>
      <c r="AA73" s="121"/>
    </row>
    <row r="74" spans="2:27" s="219" customFormat="1">
      <c r="B74" s="121"/>
      <c r="C74" s="121"/>
      <c r="D74" s="121" t="s">
        <v>2204</v>
      </c>
      <c r="E74" s="121"/>
      <c r="F74" s="121"/>
      <c r="G74" s="276"/>
      <c r="H74" s="148">
        <f>27987.67366*(Unit.PJ)</f>
        <v>27.987673660000002</v>
      </c>
      <c r="I74" s="148">
        <f>31297.00324*(Unit.PJ)</f>
        <v>31.297003239999999</v>
      </c>
      <c r="J74" s="148">
        <f>34982.84341*(Unit.PJ)</f>
        <v>34.982843410000001</v>
      </c>
      <c r="K74" s="148">
        <f>37993.97958*(Unit.PJ)</f>
        <v>37.993979580000001</v>
      </c>
      <c r="L74" s="148">
        <f>40589.90687*(Unit.PJ)</f>
        <v>40.58990687</v>
      </c>
      <c r="M74" s="148">
        <f>43287.78674*(Unit.PJ)</f>
        <v>43.287786740000001</v>
      </c>
      <c r="N74" s="148">
        <f>47243.93334*(Unit.PJ)</f>
        <v>47.243933340000005</v>
      </c>
      <c r="O74" s="148">
        <f>54273.81351*(Unit.PJ)</f>
        <v>54.273813510000004</v>
      </c>
      <c r="P74" s="148">
        <f>54983.67129*(Unit.PJ)</f>
        <v>54.983671289999997</v>
      </c>
      <c r="Q74" s="121"/>
      <c r="R74" s="121">
        <f ca="1">SUM(R57:R59)</f>
        <v>0</v>
      </c>
      <c r="S74" s="121"/>
      <c r="T74" s="121"/>
      <c r="U74" s="121"/>
      <c r="V74" s="121"/>
      <c r="W74" s="121"/>
      <c r="X74" s="121"/>
      <c r="Y74" s="121"/>
      <c r="Z74" s="121"/>
      <c r="AA74" s="121"/>
    </row>
    <row r="75" spans="2:27" s="219" customFormat="1">
      <c r="B75" s="121"/>
      <c r="C75" s="121"/>
      <c r="D75" s="121" t="s">
        <v>2203</v>
      </c>
      <c r="E75" s="121"/>
      <c r="F75" s="121"/>
      <c r="G75" s="276"/>
      <c r="H75" s="148">
        <f>0*(Unit.PJ)</f>
        <v>0</v>
      </c>
      <c r="I75" s="148">
        <f>0*(Unit.PJ)</f>
        <v>0</v>
      </c>
      <c r="J75" s="148">
        <f>0*(Unit.PJ)</f>
        <v>0</v>
      </c>
      <c r="K75" s="148">
        <f>15852.849*(Unit.PJ)</f>
        <v>15.852849000000001</v>
      </c>
      <c r="L75" s="148">
        <f>13865.063*(Unit.PJ)</f>
        <v>13.865063000000001</v>
      </c>
      <c r="M75" s="148">
        <f>12209.281*(Unit.PJ)</f>
        <v>12.209281000000001</v>
      </c>
      <c r="N75" s="148">
        <f>13649.919*(Unit.PJ)</f>
        <v>13.649919000000001</v>
      </c>
      <c r="O75" s="148">
        <f>14033.254*(Unit.PJ)</f>
        <v>14.033254000000001</v>
      </c>
      <c r="P75" s="148">
        <f>14398.794*(Unit.PJ)</f>
        <v>14.398794000000001</v>
      </c>
      <c r="Q75" s="121"/>
      <c r="R75" s="121">
        <f ca="1">R54+R55</f>
        <v>5.3101024473450966</v>
      </c>
      <c r="S75" s="121"/>
      <c r="T75" s="121"/>
      <c r="U75" s="121"/>
      <c r="V75" s="121"/>
      <c r="W75" s="121"/>
      <c r="X75" s="121"/>
      <c r="Y75" s="121"/>
      <c r="Z75" s="121"/>
      <c r="AA75" s="121"/>
    </row>
    <row r="76" spans="2:27" s="219" customFormat="1">
      <c r="B76" s="121"/>
      <c r="C76" s="121"/>
      <c r="D76" s="121" t="s">
        <v>2209</v>
      </c>
      <c r="E76" s="121"/>
      <c r="F76" s="121"/>
      <c r="G76" s="276"/>
      <c r="H76" s="148">
        <f>63810.01774*(Unit.PJ)</f>
        <v>63.810017740000006</v>
      </c>
      <c r="I76" s="148">
        <f>74532.04012*(Unit.PJ)</f>
        <v>74.532040120000005</v>
      </c>
      <c r="J76" s="148">
        <f>84026.36781*(Unit.PJ)</f>
        <v>84.026367809999996</v>
      </c>
      <c r="K76" s="148">
        <f>93086.24324*(Unit.PJ)</f>
        <v>93.086243240000002</v>
      </c>
      <c r="L76" s="148">
        <f>92820.75926*(Unit.PJ)</f>
        <v>92.820759260000003</v>
      </c>
      <c r="M76" s="148">
        <f>98554.9433*(Unit.PJ)</f>
        <v>98.554943300000005</v>
      </c>
      <c r="N76" s="148">
        <f>124341.95718*(Unit.PJ)</f>
        <v>124.34195717999999</v>
      </c>
      <c r="O76" s="148">
        <f>150351.98765*(Unit.PJ)</f>
        <v>150.35198765000001</v>
      </c>
      <c r="P76" s="148">
        <f>157915.44658*(Unit.PJ)</f>
        <v>157.91544657999998</v>
      </c>
      <c r="Q76" s="121"/>
      <c r="R76" s="121">
        <f ca="1">R61</f>
        <v>0</v>
      </c>
      <c r="S76" s="121"/>
      <c r="T76" s="121"/>
      <c r="U76" s="121"/>
      <c r="V76" s="121"/>
      <c r="W76" s="121"/>
      <c r="X76" s="121"/>
      <c r="Y76" s="121"/>
      <c r="Z76" s="121"/>
      <c r="AA76" s="121"/>
    </row>
    <row r="77" spans="2:27" s="219" customFormat="1">
      <c r="B77" s="121"/>
      <c r="C77" s="121"/>
      <c r="D77" s="121" t="s">
        <v>2210</v>
      </c>
      <c r="E77" s="121"/>
      <c r="F77" s="121"/>
      <c r="G77" s="276"/>
      <c r="H77" s="148">
        <f>116523.3284*(Unit.PJ)</f>
        <v>116.5233284</v>
      </c>
      <c r="I77" s="148">
        <f>131856.43926*(Unit.PJ)</f>
        <v>131.85643926000003</v>
      </c>
      <c r="J77" s="148">
        <f>122840.00791*(Unit.PJ)</f>
        <v>122.84000791</v>
      </c>
      <c r="K77" s="148">
        <f>137879.19456*(Unit.PJ)</f>
        <v>137.87919456</v>
      </c>
      <c r="L77" s="148">
        <f>143513.59745*(Unit.PJ)</f>
        <v>143.51359744999999</v>
      </c>
      <c r="M77" s="148">
        <f>156743.77747*(Unit.PJ)</f>
        <v>156.74377747</v>
      </c>
      <c r="N77" s="148">
        <f>171783.27319*(Unit.PJ)</f>
        <v>171.78327319000002</v>
      </c>
      <c r="O77" s="148">
        <f>175919.4101*(Unit.PJ)</f>
        <v>175.91941010000002</v>
      </c>
      <c r="P77" s="148">
        <f>176664.94085*(Unit.PJ)</f>
        <v>176.66494085000002</v>
      </c>
      <c r="Q77" s="121"/>
      <c r="R77" s="121">
        <f ca="1">R62</f>
        <v>0</v>
      </c>
      <c r="S77" s="121"/>
      <c r="T77" s="121"/>
      <c r="U77" s="121"/>
      <c r="V77" s="121"/>
      <c r="W77" s="121"/>
      <c r="X77" s="121"/>
      <c r="Y77" s="121"/>
      <c r="Z77" s="121"/>
      <c r="AA77" s="121"/>
    </row>
    <row r="78" spans="2:27" s="219" customFormat="1">
      <c r="B78" s="121"/>
      <c r="C78" s="121"/>
      <c r="D78" s="121" t="s">
        <v>2211</v>
      </c>
      <c r="E78" s="121"/>
      <c r="F78" s="121"/>
      <c r="G78" s="276"/>
      <c r="H78" s="148">
        <f>41885.75614*(Unit.PJ)</f>
        <v>41.885756139999998</v>
      </c>
      <c r="I78" s="148">
        <f>51657.45359*(Unit.PJ)</f>
        <v>51.657453589999996</v>
      </c>
      <c r="J78" s="148">
        <f>59130.14466*(Unit.PJ)</f>
        <v>59.130144659999999</v>
      </c>
      <c r="K78" s="148">
        <f>69827.57048*(Unit.PJ)</f>
        <v>69.827570479999991</v>
      </c>
      <c r="L78" s="148">
        <f>75881.66314*(Unit.PJ)</f>
        <v>75.881663140000001</v>
      </c>
      <c r="M78" s="148">
        <f>86754.56712*(Unit.PJ)</f>
        <v>86.754567120000004</v>
      </c>
      <c r="N78" s="148">
        <f>99029.50624*(Unit.PJ)</f>
        <v>99.029506240000003</v>
      </c>
      <c r="O78" s="148">
        <f>114722.90836*(Unit.PJ)</f>
        <v>114.72290836000001</v>
      </c>
      <c r="P78" s="148">
        <f>116684.15746*(Unit.PJ)</f>
        <v>116.68415746000001</v>
      </c>
      <c r="Q78" s="121"/>
      <c r="R78" s="121">
        <f ca="1">R63</f>
        <v>0</v>
      </c>
      <c r="S78" s="121"/>
      <c r="T78" s="121"/>
      <c r="U78" s="121"/>
      <c r="V78" s="121"/>
      <c r="W78" s="121"/>
      <c r="X78" s="121"/>
      <c r="Y78" s="121"/>
      <c r="Z78" s="121"/>
      <c r="AA78" s="121"/>
    </row>
    <row r="79" spans="2:27" s="219" customFormat="1" ht="15" thickBot="1">
      <c r="B79" s="121"/>
      <c r="C79" s="103"/>
      <c r="D79" s="103"/>
      <c r="E79" s="103"/>
      <c r="F79" s="103"/>
      <c r="G79" s="103"/>
      <c r="H79" s="181">
        <f>SUM(H70:H78)</f>
        <v>259.90702066</v>
      </c>
      <c r="I79" s="181">
        <f t="shared" ref="I79:P79" si="9">SUM(I70:I78)</f>
        <v>303.85135507000001</v>
      </c>
      <c r="J79" s="181">
        <f t="shared" si="9"/>
        <v>325.28576649999997</v>
      </c>
      <c r="K79" s="181">
        <f t="shared" si="9"/>
        <v>385.88698866999994</v>
      </c>
      <c r="L79" s="181">
        <f t="shared" si="9"/>
        <v>402.84257295999998</v>
      </c>
      <c r="M79" s="181">
        <f t="shared" si="9"/>
        <v>437.78350899000003</v>
      </c>
      <c r="N79" s="181">
        <f t="shared" si="9"/>
        <v>499.76718294</v>
      </c>
      <c r="O79" s="181">
        <f t="shared" si="9"/>
        <v>556.48015555000006</v>
      </c>
      <c r="P79" s="181">
        <f t="shared" si="9"/>
        <v>566.75130849000004</v>
      </c>
      <c r="Q79" s="103"/>
      <c r="R79" s="103">
        <f t="shared" ref="R79" ca="1" si="10">SUM(R70:R78)</f>
        <v>5.3101024473450966</v>
      </c>
      <c r="S79" s="103"/>
      <c r="T79" s="103"/>
      <c r="U79" s="103"/>
      <c r="V79" s="103"/>
      <c r="W79" s="103"/>
      <c r="X79" s="103"/>
      <c r="Y79" s="103"/>
      <c r="Z79" s="103"/>
      <c r="AA79" s="121"/>
    </row>
    <row r="80" spans="2:27" s="219" customFormat="1">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c r="AA80" s="121"/>
    </row>
    <row r="81" spans="2:28" s="219" customFormat="1">
      <c r="B81" s="121"/>
      <c r="C81" s="121"/>
      <c r="D81" s="121"/>
      <c r="E81" s="121"/>
      <c r="F81" s="121"/>
      <c r="G81" s="121"/>
      <c r="H81" s="121"/>
      <c r="I81" s="121"/>
      <c r="J81" s="121"/>
      <c r="K81" s="121"/>
      <c r="L81" s="121"/>
      <c r="M81" s="121"/>
      <c r="N81" s="121"/>
      <c r="O81" s="121"/>
      <c r="P81" s="121"/>
      <c r="Q81" s="121"/>
      <c r="R81" s="121"/>
      <c r="S81" s="121"/>
      <c r="T81" s="121"/>
      <c r="U81" s="121"/>
      <c r="V81" s="121"/>
      <c r="W81" s="121"/>
      <c r="X81" s="121"/>
      <c r="Y81" s="121"/>
      <c r="Z81" s="121"/>
      <c r="AA81" s="121"/>
    </row>
    <row r="82" spans="2:28" s="219" customFormat="1">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c r="AA82" s="121"/>
    </row>
    <row r="83" spans="2:28" ht="15">
      <c r="B83" s="41" t="s">
        <v>376</v>
      </c>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219"/>
    </row>
    <row r="84" spans="2:28" s="23" customFormat="1" ht="15" thickBot="1">
      <c r="B84" s="121"/>
      <c r="C84" s="121"/>
      <c r="D84" s="121"/>
      <c r="E84" s="121"/>
      <c r="F84" s="121"/>
      <c r="G84" s="121"/>
      <c r="H84" s="148" t="s">
        <v>860</v>
      </c>
      <c r="I84" s="121"/>
      <c r="J84" s="121"/>
      <c r="K84" s="121"/>
      <c r="L84" s="121"/>
      <c r="M84" s="121"/>
      <c r="N84" s="121"/>
      <c r="O84" s="121"/>
      <c r="P84" s="121"/>
      <c r="Q84" s="121"/>
      <c r="R84" s="121" t="s">
        <v>861</v>
      </c>
      <c r="S84" s="121"/>
      <c r="T84" s="121"/>
      <c r="U84" s="121"/>
      <c r="V84" s="121"/>
      <c r="W84" s="121"/>
      <c r="X84" s="121"/>
      <c r="Y84" s="121"/>
      <c r="Z84" s="121"/>
      <c r="AA84" s="121"/>
      <c r="AB84" s="219"/>
    </row>
    <row r="85" spans="2:28" s="23" customFormat="1">
      <c r="B85" s="121"/>
      <c r="C85" s="42" t="s">
        <v>279</v>
      </c>
      <c r="D85" s="42" t="s">
        <v>355</v>
      </c>
      <c r="E85" s="42"/>
      <c r="F85" s="42"/>
      <c r="G85" s="42"/>
      <c r="H85" s="149" t="s">
        <v>501</v>
      </c>
      <c r="I85" s="149" t="s">
        <v>502</v>
      </c>
      <c r="J85" s="149" t="s">
        <v>503</v>
      </c>
      <c r="K85" s="149" t="s">
        <v>504</v>
      </c>
      <c r="L85" s="149" t="s">
        <v>505</v>
      </c>
      <c r="M85" s="149" t="s">
        <v>506</v>
      </c>
      <c r="N85" s="149" t="s">
        <v>507</v>
      </c>
      <c r="O85" s="149">
        <v>2010</v>
      </c>
      <c r="P85" s="149">
        <v>2011</v>
      </c>
      <c r="Q85" s="42"/>
      <c r="R85" s="42">
        <v>2011</v>
      </c>
      <c r="S85" s="42"/>
      <c r="T85" s="42"/>
      <c r="U85" s="42"/>
      <c r="V85" s="42"/>
      <c r="W85" s="42"/>
      <c r="X85" s="42"/>
      <c r="Y85" s="42"/>
      <c r="Z85" s="42"/>
      <c r="AA85" s="121"/>
      <c r="AB85" s="219"/>
    </row>
    <row r="86" spans="2:28">
      <c r="B86" s="121"/>
      <c r="C86" s="121" t="str">
        <f>$B$2&amp;".L.01"</f>
        <v>G.L.01</v>
      </c>
      <c r="D86" s="121" t="str">
        <f>INDEX(Regional.energy[Description],MATCH(C86,Regional.energy[Regional energy code],0))</f>
        <v>Global Conversion losses</v>
      </c>
      <c r="E86" s="121"/>
      <c r="F86" s="121"/>
      <c r="G86" s="121"/>
      <c r="H86" s="121"/>
      <c r="I86" s="121"/>
      <c r="J86" s="121"/>
      <c r="K86" s="121"/>
      <c r="L86" s="121"/>
      <c r="M86" s="121"/>
      <c r="N86" s="121"/>
      <c r="O86" s="121"/>
      <c r="P86" s="121"/>
      <c r="Q86" s="121"/>
      <c r="R86" s="121">
        <f t="shared" ref="R86:Z87" ca="1" si="11">INDEX(INDIRECT($B$2&amp;"."&amp;R$85&amp;".energy!Year.net.balance"), MATCH($C86, INDIRECT($B$2&amp;"."&amp;R$85&amp;".energy!Year.vectors"), 0))</f>
        <v>0</v>
      </c>
      <c r="S86" s="121"/>
      <c r="T86" s="121"/>
      <c r="U86" s="121"/>
      <c r="V86" s="121"/>
      <c r="W86" s="121"/>
      <c r="X86" s="121"/>
      <c r="Y86" s="121"/>
      <c r="Z86" s="121"/>
      <c r="AA86" s="121"/>
      <c r="AB86" s="219"/>
    </row>
    <row r="87" spans="2:28">
      <c r="B87" s="121"/>
      <c r="C87" s="121" t="str">
        <f>$B$2&amp;".L.02"</f>
        <v>G.L.02</v>
      </c>
      <c r="D87" s="121" t="str">
        <f>INDEX(Regional.energy[Description],MATCH(C87,Regional.energy[Regional energy code],0))</f>
        <v>Global Distribution losses and own use</v>
      </c>
      <c r="E87" s="121"/>
      <c r="F87" s="121"/>
      <c r="G87" s="121"/>
      <c r="H87" s="121"/>
      <c r="I87" s="121"/>
      <c r="J87" s="121"/>
      <c r="K87" s="121"/>
      <c r="L87" s="121"/>
      <c r="M87" s="121"/>
      <c r="N87" s="121"/>
      <c r="O87" s="121"/>
      <c r="P87" s="121"/>
      <c r="Q87" s="121"/>
      <c r="R87" s="121">
        <f t="shared" ca="1" si="11"/>
        <v>0</v>
      </c>
      <c r="S87" s="121"/>
      <c r="T87" s="121"/>
      <c r="U87" s="121"/>
      <c r="V87" s="121"/>
      <c r="W87" s="121"/>
      <c r="X87" s="121"/>
      <c r="Y87" s="121"/>
      <c r="Z87" s="121"/>
      <c r="AA87" s="121"/>
      <c r="AB87" s="219"/>
    </row>
    <row r="88" spans="2:28" ht="15" thickBot="1">
      <c r="B88" s="121"/>
      <c r="C88" s="103"/>
      <c r="D88" s="103" t="s">
        <v>373</v>
      </c>
      <c r="E88" s="103"/>
      <c r="F88" s="103"/>
      <c r="G88" s="103"/>
      <c r="H88" s="103"/>
      <c r="I88" s="103"/>
      <c r="J88" s="103"/>
      <c r="K88" s="103"/>
      <c r="L88" s="103"/>
      <c r="M88" s="103"/>
      <c r="N88" s="103"/>
      <c r="O88" s="103"/>
      <c r="P88" s="103"/>
      <c r="Q88" s="103"/>
      <c r="R88" s="103">
        <f ca="1">SUM(R86:R87)</f>
        <v>0</v>
      </c>
      <c r="S88" s="103"/>
      <c r="T88" s="103"/>
      <c r="U88" s="103"/>
      <c r="V88" s="103"/>
      <c r="W88" s="103"/>
      <c r="X88" s="103"/>
      <c r="Y88" s="103"/>
      <c r="Z88" s="103"/>
      <c r="AA88" s="121"/>
      <c r="AB88" s="219"/>
    </row>
    <row r="89" spans="2:28">
      <c r="B89" s="121"/>
      <c r="C89" s="121"/>
      <c r="D89" s="121"/>
      <c r="E89" s="121"/>
      <c r="F89" s="121"/>
      <c r="G89" s="121"/>
      <c r="H89" s="121"/>
      <c r="I89" s="121"/>
      <c r="J89" s="121"/>
      <c r="K89" s="121"/>
      <c r="L89" s="121"/>
      <c r="M89" s="121"/>
      <c r="N89" s="121"/>
      <c r="O89" s="121"/>
      <c r="P89" s="121"/>
      <c r="Q89" s="121"/>
      <c r="R89" s="121"/>
      <c r="S89" s="121"/>
      <c r="T89" s="121"/>
      <c r="U89" s="121"/>
      <c r="V89" s="121"/>
      <c r="W89" s="121"/>
      <c r="X89" s="121"/>
      <c r="Y89" s="121"/>
      <c r="Z89" s="121"/>
      <c r="AA89" s="121"/>
      <c r="AB89" s="219"/>
    </row>
    <row r="90" spans="2:28">
      <c r="B90" s="121"/>
      <c r="C90" s="121"/>
      <c r="D90" s="148" t="s">
        <v>789</v>
      </c>
      <c r="E90" s="121"/>
      <c r="F90" s="121"/>
      <c r="G90" s="121"/>
      <c r="H90" s="148">
        <f t="shared" ref="H90:N90" si="12">H27-H64-H88</f>
        <v>0</v>
      </c>
      <c r="I90" s="148">
        <f t="shared" si="12"/>
        <v>0</v>
      </c>
      <c r="J90" s="148">
        <f t="shared" si="12"/>
        <v>0</v>
      </c>
      <c r="K90" s="148">
        <f t="shared" si="12"/>
        <v>0</v>
      </c>
      <c r="L90" s="148">
        <f t="shared" si="12"/>
        <v>0</v>
      </c>
      <c r="M90" s="148">
        <f t="shared" si="12"/>
        <v>0</v>
      </c>
      <c r="N90" s="148">
        <f t="shared" si="12"/>
        <v>0</v>
      </c>
      <c r="O90" s="121"/>
      <c r="P90" s="121"/>
      <c r="Q90" s="121"/>
      <c r="R90" s="148">
        <f t="shared" ref="R90:Z90" ca="1" si="13">R27-R64-R88</f>
        <v>137.66447443616997</v>
      </c>
      <c r="S90" s="148"/>
      <c r="T90" s="148"/>
      <c r="U90" s="148"/>
      <c r="V90" s="148"/>
      <c r="W90" s="148"/>
      <c r="X90" s="148"/>
      <c r="Y90" s="148"/>
      <c r="Z90" s="148"/>
      <c r="AA90" s="121"/>
      <c r="AB90" s="219"/>
    </row>
    <row r="91" spans="2:28" s="165" customFormat="1">
      <c r="B91" s="121"/>
      <c r="C91" s="121"/>
      <c r="D91" s="121"/>
      <c r="E91" s="121"/>
      <c r="F91" s="121"/>
      <c r="G91" s="121"/>
      <c r="H91" s="148"/>
      <c r="I91" s="148"/>
      <c r="J91" s="148"/>
      <c r="K91" s="148"/>
      <c r="L91" s="148"/>
      <c r="M91" s="148"/>
      <c r="N91" s="148"/>
      <c r="O91" s="121"/>
      <c r="P91" s="121"/>
      <c r="Q91" s="121"/>
      <c r="R91" s="121"/>
      <c r="S91" s="121"/>
      <c r="T91" s="121"/>
      <c r="U91" s="121"/>
      <c r="V91" s="121"/>
      <c r="W91" s="121"/>
      <c r="X91" s="121"/>
      <c r="Y91" s="121"/>
      <c r="Z91" s="121"/>
      <c r="AA91" s="121"/>
      <c r="AB91" s="219"/>
    </row>
    <row r="92" spans="2:28" s="165" customFormat="1">
      <c r="B92" s="121"/>
      <c r="C92" s="121"/>
      <c r="D92" s="121"/>
      <c r="E92" s="121"/>
      <c r="F92" s="121"/>
      <c r="G92" s="121"/>
      <c r="H92" s="148"/>
      <c r="I92" s="148"/>
      <c r="J92" s="148"/>
      <c r="K92" s="148"/>
      <c r="L92" s="148"/>
      <c r="M92" s="148"/>
      <c r="N92" s="148"/>
      <c r="O92" s="148"/>
      <c r="P92" s="148"/>
      <c r="Q92" s="121"/>
      <c r="R92" s="121"/>
      <c r="S92" s="121"/>
      <c r="T92" s="121"/>
      <c r="U92" s="121"/>
      <c r="V92" s="121"/>
      <c r="W92" s="121"/>
      <c r="X92" s="121"/>
      <c r="Y92" s="121"/>
      <c r="Z92" s="121"/>
      <c r="AA92" s="121"/>
      <c r="AB92" s="219"/>
    </row>
    <row r="93" spans="2:28" s="165" customFormat="1" ht="15">
      <c r="B93" s="41" t="s">
        <v>2222</v>
      </c>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219"/>
    </row>
    <row r="94" spans="2:28" s="165" customFormat="1">
      <c r="B94" s="121"/>
      <c r="C94" s="50"/>
      <c r="D94" s="121"/>
      <c r="E94" s="121"/>
      <c r="F94" s="121"/>
      <c r="G94" s="121"/>
      <c r="H94" s="148"/>
      <c r="I94" s="148"/>
      <c r="J94" s="148"/>
      <c r="K94" s="148"/>
      <c r="L94" s="148"/>
      <c r="M94" s="148"/>
      <c r="N94" s="148"/>
      <c r="O94" s="148"/>
      <c r="P94" s="148"/>
      <c r="Q94" s="121"/>
      <c r="R94" s="121"/>
      <c r="S94" s="121"/>
      <c r="T94" s="121"/>
      <c r="U94" s="121"/>
      <c r="V94" s="121"/>
      <c r="W94" s="121"/>
      <c r="X94" s="121"/>
      <c r="Y94" s="121"/>
      <c r="Z94" s="121"/>
      <c r="AA94" s="121"/>
      <c r="AB94" s="219"/>
    </row>
    <row r="95" spans="2:28" s="165" customFormat="1">
      <c r="B95" s="121"/>
      <c r="C95" s="50"/>
      <c r="D95" s="121"/>
      <c r="E95" s="121"/>
      <c r="F95" s="121"/>
      <c r="G95" s="121"/>
      <c r="H95" s="148"/>
      <c r="I95" s="148"/>
      <c r="J95" s="148"/>
      <c r="K95" s="148"/>
      <c r="L95" s="148"/>
      <c r="M95" s="148"/>
      <c r="N95" s="148"/>
      <c r="O95" s="148"/>
      <c r="P95" s="148"/>
      <c r="Q95" s="121"/>
      <c r="R95" s="121"/>
      <c r="S95" s="121"/>
      <c r="T95" s="121"/>
      <c r="U95" s="121"/>
      <c r="V95" s="121"/>
      <c r="W95" s="121"/>
      <c r="X95" s="121"/>
      <c r="Y95" s="121"/>
      <c r="Z95" s="121"/>
      <c r="AA95" s="121"/>
      <c r="AB95" s="219"/>
    </row>
    <row r="96" spans="2:28" s="165" customFormat="1" ht="15" thickBot="1">
      <c r="B96" s="121"/>
      <c r="C96" s="121"/>
      <c r="D96" s="121"/>
      <c r="E96" s="121"/>
      <c r="F96" s="121"/>
      <c r="G96" s="121"/>
      <c r="H96" s="148"/>
      <c r="I96" s="148"/>
      <c r="J96" s="148"/>
      <c r="K96" s="148"/>
      <c r="L96" s="148"/>
      <c r="M96" s="148"/>
      <c r="N96" s="148"/>
      <c r="O96" s="148"/>
      <c r="P96" s="148"/>
      <c r="Q96" s="121"/>
      <c r="R96" s="121"/>
      <c r="S96" s="121"/>
      <c r="T96" s="121"/>
      <c r="U96" s="121"/>
      <c r="V96" s="121"/>
      <c r="W96" s="121"/>
      <c r="X96" s="121"/>
      <c r="Y96" s="121"/>
      <c r="Z96" s="121"/>
      <c r="AA96" s="121"/>
      <c r="AB96" s="219"/>
    </row>
    <row r="97" spans="2:49" s="165" customFormat="1">
      <c r="B97" s="121"/>
      <c r="C97" s="42"/>
      <c r="D97" s="42"/>
      <c r="E97" s="42"/>
      <c r="F97" s="42"/>
      <c r="G97" s="42" t="s">
        <v>274</v>
      </c>
      <c r="H97" s="149"/>
      <c r="I97" s="149"/>
      <c r="J97" s="149"/>
      <c r="K97" s="149"/>
      <c r="L97" s="149"/>
      <c r="M97" s="149"/>
      <c r="N97" s="149"/>
      <c r="O97" s="149"/>
      <c r="P97" s="149"/>
      <c r="Q97" s="42"/>
      <c r="R97" s="42">
        <v>2011</v>
      </c>
      <c r="S97" s="42"/>
      <c r="T97" s="42"/>
      <c r="U97" s="42"/>
      <c r="V97" s="42"/>
      <c r="W97" s="42"/>
      <c r="X97" s="42"/>
      <c r="Y97" s="42"/>
      <c r="Z97" s="42"/>
      <c r="AA97" s="121"/>
    </row>
    <row r="98" spans="2:49" s="165" customFormat="1">
      <c r="B98" s="121"/>
      <c r="C98" s="121" t="str">
        <f t="shared" ref="C98:D100" si="14">C61</f>
        <v>G.Q.01</v>
      </c>
      <c r="D98" s="121" t="str">
        <f t="shared" si="14"/>
        <v xml:space="preserve">Global Coal reserves </v>
      </c>
      <c r="E98" s="121"/>
      <c r="F98" s="121"/>
      <c r="G98" s="121" t="str">
        <f>Preferences.weight</f>
        <v>Gt</v>
      </c>
      <c r="H98" s="148"/>
      <c r="I98" s="148"/>
      <c r="J98" s="148"/>
      <c r="K98" s="148"/>
      <c r="L98" s="148"/>
      <c r="M98" s="148"/>
      <c r="N98" s="148"/>
      <c r="O98" s="148"/>
      <c r="P98" s="148"/>
      <c r="Q98" s="121"/>
      <c r="R98" s="121">
        <f ca="1">SUM(R61)/INDEX(energy.content[[Gross energy]:[Gross energy]],MATCH($C98,energy.content[[Vector]:[Vector]],0))</f>
        <v>0</v>
      </c>
      <c r="S98" s="121"/>
      <c r="T98" s="121"/>
      <c r="U98" s="121"/>
      <c r="V98" s="121"/>
      <c r="W98" s="121"/>
      <c r="X98" s="121"/>
      <c r="Y98" s="121"/>
      <c r="Z98" s="121"/>
      <c r="AA98" s="121"/>
    </row>
    <row r="99" spans="2:49" s="165" customFormat="1">
      <c r="B99" s="121"/>
      <c r="C99" s="121" t="str">
        <f t="shared" si="14"/>
        <v>G.Q.02</v>
      </c>
      <c r="D99" s="121" t="str">
        <f t="shared" si="14"/>
        <v xml:space="preserve">Global Oil reserves </v>
      </c>
      <c r="E99" s="121"/>
      <c r="F99" s="121"/>
      <c r="G99" s="121" t="str">
        <f>preferences.volume.liquid</f>
        <v>bbl</v>
      </c>
      <c r="H99" s="148"/>
      <c r="I99" s="148"/>
      <c r="J99" s="148"/>
      <c r="K99" s="148"/>
      <c r="L99" s="148"/>
      <c r="M99" s="148"/>
      <c r="N99" s="148"/>
      <c r="O99" s="148"/>
      <c r="P99" s="148"/>
      <c r="Q99" s="121"/>
      <c r="R99" s="289">
        <f ca="1">SUM(R62)/INDEX(energy.content[[Gross energy]:[Gross energy]],MATCH($C99,energy.content[[Vector]:[Vector]],0))</f>
        <v>0</v>
      </c>
      <c r="S99" s="121"/>
      <c r="T99" s="121"/>
      <c r="U99" s="121"/>
      <c r="V99" s="121"/>
      <c r="W99" s="121"/>
      <c r="X99" s="121"/>
      <c r="Y99" s="121"/>
      <c r="Z99" s="121"/>
      <c r="AA99" s="121"/>
    </row>
    <row r="100" spans="2:49" s="165" customFormat="1" ht="15" thickBot="1">
      <c r="B100" s="121"/>
      <c r="C100" s="162" t="str">
        <f t="shared" si="14"/>
        <v>G.Q.03</v>
      </c>
      <c r="D100" s="162" t="str">
        <f t="shared" si="14"/>
        <v xml:space="preserve">Global Gas reserves </v>
      </c>
      <c r="E100" s="162"/>
      <c r="F100" s="162"/>
      <c r="G100" s="162" t="str">
        <f>preferences.volume.gas</f>
        <v>T.m3</v>
      </c>
      <c r="H100" s="162"/>
      <c r="I100" s="162"/>
      <c r="J100" s="162"/>
      <c r="K100" s="162"/>
      <c r="L100" s="162"/>
      <c r="M100" s="162"/>
      <c r="N100" s="162"/>
      <c r="O100" s="162"/>
      <c r="P100" s="162"/>
      <c r="Q100" s="162"/>
      <c r="R100" s="162">
        <f ca="1">SUM(R63)/INDEX(energy.content[[Gross energy]:[Gross energy]],MATCH($C100,energy.content[[Vector]:[Vector]],0))</f>
        <v>0</v>
      </c>
      <c r="S100" s="162"/>
      <c r="T100" s="162"/>
      <c r="U100" s="162"/>
      <c r="V100" s="162"/>
      <c r="W100" s="162"/>
      <c r="X100" s="162"/>
      <c r="Y100" s="162"/>
      <c r="Z100" s="162"/>
      <c r="AA100" s="121"/>
    </row>
    <row r="101" spans="2:49" s="165" customFormat="1">
      <c r="B101" s="121"/>
      <c r="C101" s="121"/>
      <c r="D101" s="121"/>
      <c r="E101" s="121"/>
      <c r="F101" s="121"/>
      <c r="G101" s="121"/>
      <c r="H101" s="148"/>
      <c r="I101" s="148"/>
      <c r="J101" s="148"/>
      <c r="K101" s="148"/>
      <c r="L101" s="148"/>
      <c r="M101" s="148"/>
      <c r="N101" s="148"/>
      <c r="O101" s="148"/>
      <c r="P101" s="148"/>
      <c r="Q101" s="121"/>
      <c r="R101" s="444"/>
      <c r="S101" s="121"/>
      <c r="T101" s="121"/>
      <c r="U101" s="121"/>
      <c r="V101" s="121"/>
      <c r="W101" s="121"/>
      <c r="X101" s="121"/>
      <c r="Y101" s="121"/>
      <c r="Z101" s="121"/>
      <c r="AA101" s="121"/>
      <c r="AB101" s="219"/>
    </row>
    <row r="102" spans="2:49" s="165" customFormat="1">
      <c r="B102" s="121"/>
      <c r="C102" s="121"/>
      <c r="D102" s="121"/>
      <c r="E102" s="121"/>
      <c r="F102" s="121"/>
      <c r="G102" s="121"/>
      <c r="H102" s="148"/>
      <c r="I102" s="148"/>
      <c r="J102" s="148"/>
      <c r="K102" s="148"/>
      <c r="L102" s="148"/>
      <c r="M102" s="148"/>
      <c r="N102" s="148"/>
      <c r="O102" s="148"/>
      <c r="P102" s="148"/>
      <c r="Q102" s="121"/>
      <c r="R102" s="121"/>
      <c r="S102" s="121"/>
      <c r="T102" s="121"/>
      <c r="U102" s="121"/>
      <c r="V102" s="121"/>
      <c r="W102" s="121"/>
      <c r="X102" s="121"/>
      <c r="Y102" s="121"/>
      <c r="Z102" s="121"/>
      <c r="AA102" s="121"/>
      <c r="AB102" s="219"/>
    </row>
    <row r="103" spans="2:49" s="165" customFormat="1" ht="15">
      <c r="B103" s="41" t="s">
        <v>2223</v>
      </c>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219"/>
    </row>
    <row r="104" spans="2:49" s="165" customFormat="1">
      <c r="B104" s="121"/>
      <c r="C104" s="50"/>
      <c r="D104" s="121"/>
      <c r="E104" s="121"/>
      <c r="F104" s="121"/>
      <c r="G104" s="121"/>
      <c r="H104" s="148"/>
      <c r="I104" s="148"/>
      <c r="J104" s="148"/>
      <c r="K104" s="148"/>
      <c r="L104" s="148"/>
      <c r="M104" s="148"/>
      <c r="N104" s="148"/>
      <c r="O104" s="148"/>
      <c r="P104" s="148"/>
      <c r="Q104" s="121"/>
      <c r="R104" s="121"/>
      <c r="S104" s="121"/>
      <c r="T104" s="121"/>
      <c r="U104" s="121"/>
      <c r="V104" s="121"/>
      <c r="W104" s="121"/>
      <c r="X104" s="121"/>
      <c r="Y104" s="121"/>
      <c r="Z104" s="121"/>
      <c r="AA104" s="121"/>
      <c r="AB104" s="219"/>
    </row>
    <row r="105" spans="2:49" s="165" customFormat="1">
      <c r="B105" s="121"/>
      <c r="C105" s="121" t="s">
        <v>888</v>
      </c>
      <c r="D105" s="121"/>
      <c r="E105" s="121"/>
      <c r="F105" s="121"/>
      <c r="G105" s="121"/>
      <c r="H105" s="148"/>
      <c r="I105" s="148"/>
      <c r="J105" s="148"/>
      <c r="K105" s="148"/>
      <c r="L105" s="148"/>
      <c r="M105" s="148"/>
      <c r="N105" s="148"/>
      <c r="O105" s="148"/>
      <c r="P105" s="50" t="str">
        <f>Preferences.weight</f>
        <v>Gt</v>
      </c>
      <c r="Q105" s="121"/>
      <c r="R105" s="121"/>
      <c r="S105" s="121"/>
      <c r="T105" s="121"/>
      <c r="U105" s="121"/>
      <c r="V105" s="121"/>
      <c r="W105" s="121"/>
      <c r="X105" s="121"/>
      <c r="Y105" s="121"/>
      <c r="Z105" s="121"/>
      <c r="AA105" s="121"/>
      <c r="AB105" s="219"/>
    </row>
    <row r="106" spans="2:49" s="165" customFormat="1" ht="15" thickBot="1">
      <c r="B106" s="121"/>
      <c r="C106" s="50"/>
      <c r="D106" s="121"/>
      <c r="E106" s="121"/>
      <c r="F106" s="121"/>
      <c r="G106" s="121"/>
      <c r="H106" s="148"/>
      <c r="I106" s="148"/>
      <c r="J106" s="148"/>
      <c r="K106" s="148"/>
      <c r="L106" s="148"/>
      <c r="M106" s="148"/>
      <c r="N106" s="148"/>
      <c r="O106" s="121"/>
      <c r="P106" s="121"/>
      <c r="Q106" s="121"/>
      <c r="R106" s="121"/>
      <c r="S106" s="121"/>
      <c r="T106" s="121"/>
      <c r="U106" s="121"/>
      <c r="V106" s="121"/>
      <c r="W106" s="121"/>
      <c r="X106" s="121"/>
      <c r="Y106" s="121"/>
      <c r="Z106" s="121"/>
      <c r="AA106" s="121"/>
      <c r="AB106" s="219"/>
    </row>
    <row r="107" spans="2:49" s="165" customFormat="1">
      <c r="B107" s="121"/>
      <c r="C107" s="42" t="s">
        <v>148</v>
      </c>
      <c r="D107" s="42" t="str">
        <f>"Estimate of reserves ("&amp;Preferences.weight&amp;")"</f>
        <v>Estimate of reserves (Gt)</v>
      </c>
      <c r="E107" s="42" t="s">
        <v>1770</v>
      </c>
      <c r="F107" s="42" t="s">
        <v>1772</v>
      </c>
      <c r="G107" s="42"/>
      <c r="H107" s="42" t="s">
        <v>890</v>
      </c>
      <c r="I107" s="42"/>
      <c r="J107" s="42"/>
      <c r="K107" s="42" t="s">
        <v>889</v>
      </c>
      <c r="L107" s="42"/>
      <c r="M107" s="42"/>
      <c r="N107" s="42" t="s">
        <v>2202</v>
      </c>
      <c r="O107" s="42"/>
      <c r="P107" s="42"/>
      <c r="Q107" s="148"/>
      <c r="R107" s="148"/>
      <c r="S107" s="148"/>
      <c r="T107" s="121"/>
      <c r="U107" s="121"/>
      <c r="V107" s="121"/>
      <c r="W107" s="121"/>
      <c r="X107" s="121"/>
      <c r="Y107" s="121"/>
      <c r="Z107" s="121"/>
      <c r="AA107" s="121"/>
      <c r="AB107" s="219"/>
    </row>
    <row r="108" spans="2:49" s="165" customFormat="1">
      <c r="B108" s="121"/>
      <c r="C108" s="217">
        <v>2009</v>
      </c>
      <c r="D108" s="121">
        <f>948000*1000000*unit.short.ton</f>
        <v>860.01137999999992</v>
      </c>
      <c r="E108" s="121" t="s">
        <v>1766</v>
      </c>
      <c r="F108" s="121" t="s">
        <v>1741</v>
      </c>
      <c r="G108" s="121"/>
      <c r="H108" s="121">
        <f>$Z$98</f>
        <v>0</v>
      </c>
      <c r="I108" s="121"/>
      <c r="J108" s="121"/>
      <c r="K108" s="370">
        <f>H108/D108</f>
        <v>0</v>
      </c>
      <c r="L108" s="121"/>
      <c r="M108" s="121"/>
      <c r="N108" s="121">
        <f>D108-H108</f>
        <v>860.01137999999992</v>
      </c>
      <c r="O108" s="121"/>
      <c r="P108" s="121"/>
      <c r="Q108" s="148"/>
      <c r="R108" s="148"/>
      <c r="S108" s="121"/>
      <c r="T108" s="121"/>
      <c r="U108" s="121"/>
      <c r="V108" s="121"/>
      <c r="W108" s="121"/>
      <c r="X108" s="121"/>
      <c r="Y108" s="121"/>
      <c r="Z108" s="121"/>
      <c r="AA108" s="121"/>
      <c r="AB108" s="219"/>
      <c r="AC108" s="219"/>
      <c r="AD108" s="219"/>
      <c r="AE108" s="219"/>
      <c r="AF108" s="219"/>
      <c r="AG108" s="219"/>
      <c r="AH108" s="219"/>
      <c r="AI108" s="219"/>
      <c r="AJ108" s="219"/>
      <c r="AK108" s="219"/>
      <c r="AL108" s="219"/>
      <c r="AM108" s="219"/>
      <c r="AN108" s="219"/>
      <c r="AO108" s="219"/>
      <c r="AP108" s="219"/>
      <c r="AQ108" s="219"/>
      <c r="AR108" s="219"/>
      <c r="AS108" s="219"/>
      <c r="AT108" s="219"/>
      <c r="AU108" s="219"/>
      <c r="AV108" s="219"/>
      <c r="AW108" s="219"/>
    </row>
    <row r="109" spans="2:49" s="165" customFormat="1">
      <c r="B109" s="121"/>
      <c r="C109" s="217">
        <v>2012</v>
      </c>
      <c r="D109" s="121">
        <f>1038*unit.Gt</f>
        <v>1038</v>
      </c>
      <c r="E109" s="121" t="s">
        <v>1767</v>
      </c>
      <c r="F109" s="121" t="s">
        <v>1742</v>
      </c>
      <c r="G109" s="121"/>
      <c r="H109" s="121">
        <f t="shared" ref="H109:H110" si="15">$Z$98</f>
        <v>0</v>
      </c>
      <c r="I109" s="121"/>
      <c r="J109" s="121"/>
      <c r="K109" s="370">
        <f t="shared" ref="K109:K110" si="16">H109/D109</f>
        <v>0</v>
      </c>
      <c r="L109" s="121"/>
      <c r="M109" s="121"/>
      <c r="N109" s="121">
        <f t="shared" ref="N109:N110" si="17">D109-H109</f>
        <v>1038</v>
      </c>
      <c r="O109" s="121"/>
      <c r="P109" s="121"/>
      <c r="Q109" s="148"/>
      <c r="R109" s="148"/>
      <c r="S109" s="121"/>
      <c r="T109" s="121"/>
      <c r="U109" s="121"/>
      <c r="V109" s="121"/>
      <c r="W109" s="121"/>
      <c r="X109" s="121"/>
      <c r="Y109" s="121"/>
      <c r="Z109" s="121"/>
      <c r="AA109" s="121"/>
      <c r="AB109" s="219"/>
      <c r="AD109" s="219"/>
      <c r="AE109" s="219"/>
      <c r="AF109" s="219"/>
      <c r="AG109" s="219"/>
      <c r="AH109" s="219"/>
      <c r="AI109" s="219"/>
      <c r="AJ109" s="219"/>
      <c r="AK109" s="219"/>
      <c r="AL109" s="219"/>
      <c r="AM109" s="219"/>
      <c r="AN109" s="219"/>
      <c r="AO109" s="219"/>
      <c r="AP109" s="219"/>
      <c r="AQ109" s="219"/>
      <c r="AR109" s="219"/>
      <c r="AS109" s="219"/>
      <c r="AT109" s="219"/>
      <c r="AU109" s="219"/>
      <c r="AV109" s="219"/>
      <c r="AW109" s="219"/>
    </row>
    <row r="110" spans="2:49" s="165" customFormat="1" ht="15" thickBot="1">
      <c r="B110" s="121"/>
      <c r="C110" s="162" t="s">
        <v>1768</v>
      </c>
      <c r="D110" s="162">
        <f>861*unit.Gt</f>
        <v>861</v>
      </c>
      <c r="E110" s="162" t="s">
        <v>1769</v>
      </c>
      <c r="F110" s="162" t="s">
        <v>1742</v>
      </c>
      <c r="G110" s="162"/>
      <c r="H110" s="162">
        <f t="shared" si="15"/>
        <v>0</v>
      </c>
      <c r="I110" s="162"/>
      <c r="J110" s="162"/>
      <c r="K110" s="185">
        <f t="shared" si="16"/>
        <v>0</v>
      </c>
      <c r="L110" s="162"/>
      <c r="M110" s="162"/>
      <c r="N110" s="162">
        <f t="shared" si="17"/>
        <v>861</v>
      </c>
      <c r="O110" s="162"/>
      <c r="P110" s="162"/>
      <c r="Q110" s="148"/>
      <c r="R110" s="148"/>
      <c r="S110" s="121"/>
      <c r="T110" s="121"/>
      <c r="U110" s="121"/>
      <c r="V110" s="121"/>
      <c r="W110" s="121"/>
      <c r="X110" s="121"/>
      <c r="Y110" s="121"/>
      <c r="Z110" s="121"/>
      <c r="AA110" s="121"/>
      <c r="AB110" s="219"/>
      <c r="AC110" s="219"/>
      <c r="AD110" s="219"/>
      <c r="AE110" s="219"/>
      <c r="AF110" s="219"/>
      <c r="AG110" s="219"/>
      <c r="AH110" s="219"/>
      <c r="AI110" s="219"/>
      <c r="AJ110" s="219"/>
      <c r="AK110" s="219"/>
      <c r="AL110" s="219"/>
      <c r="AM110" s="219"/>
      <c r="AN110" s="219"/>
      <c r="AO110" s="219"/>
      <c r="AP110" s="219"/>
      <c r="AQ110" s="219"/>
      <c r="AR110" s="219"/>
      <c r="AS110" s="219"/>
      <c r="AT110" s="219"/>
      <c r="AU110" s="219"/>
      <c r="AV110" s="219"/>
      <c r="AW110" s="219"/>
    </row>
    <row r="111" spans="2:49" s="165" customFormat="1">
      <c r="B111" s="121"/>
      <c r="C111" s="121"/>
      <c r="D111" s="121"/>
      <c r="E111" s="121"/>
      <c r="F111" s="121"/>
      <c r="G111" s="121"/>
      <c r="H111" s="121"/>
      <c r="I111" s="121"/>
      <c r="J111" s="121"/>
      <c r="K111" s="121"/>
      <c r="L111" s="121"/>
      <c r="M111" s="121"/>
      <c r="N111" s="148"/>
      <c r="O111" s="148"/>
      <c r="P111" s="148"/>
      <c r="Q111" s="148"/>
      <c r="R111" s="148"/>
      <c r="S111" s="121"/>
      <c r="T111" s="121"/>
      <c r="U111" s="121"/>
      <c r="V111" s="121"/>
      <c r="W111" s="121"/>
      <c r="X111" s="121"/>
      <c r="Y111" s="121"/>
      <c r="Z111" s="121"/>
      <c r="AA111" s="121"/>
      <c r="AB111" s="219"/>
      <c r="AC111" s="219"/>
      <c r="AD111" s="219"/>
      <c r="AE111" s="219"/>
      <c r="AF111" s="219"/>
      <c r="AG111" s="219"/>
      <c r="AH111" s="219"/>
      <c r="AI111" s="219"/>
      <c r="AJ111" s="219"/>
      <c r="AK111" s="219"/>
      <c r="AL111" s="219"/>
      <c r="AM111" s="219"/>
      <c r="AN111" s="219"/>
      <c r="AO111" s="219"/>
      <c r="AP111" s="219"/>
      <c r="AQ111" s="219"/>
      <c r="AR111" s="219"/>
      <c r="AS111" s="219"/>
      <c r="AT111" s="219"/>
      <c r="AU111" s="219"/>
      <c r="AV111" s="219"/>
      <c r="AW111" s="219"/>
    </row>
    <row r="112" spans="2:49" s="165" customFormat="1">
      <c r="B112" s="121"/>
      <c r="C112" s="121" t="s">
        <v>316</v>
      </c>
      <c r="D112" s="121"/>
      <c r="E112" s="121"/>
      <c r="F112" s="121"/>
      <c r="G112" s="121"/>
      <c r="H112" s="121"/>
      <c r="I112" s="121"/>
      <c r="J112" s="121"/>
      <c r="K112" s="121"/>
      <c r="L112" s="121"/>
      <c r="M112" s="121"/>
      <c r="N112" s="148"/>
      <c r="O112" s="148"/>
      <c r="P112" s="50" t="str">
        <f>preferences.volume.liquid</f>
        <v>bbl</v>
      </c>
      <c r="Q112" s="148"/>
      <c r="R112" s="121"/>
      <c r="S112" s="121"/>
      <c r="T112" s="121"/>
      <c r="U112" s="121"/>
      <c r="V112" s="121"/>
      <c r="W112" s="121"/>
      <c r="X112" s="121"/>
      <c r="Y112" s="121"/>
      <c r="Z112" s="121"/>
      <c r="AA112" s="121"/>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row>
    <row r="113" spans="2:49" s="165" customFormat="1" ht="15" thickBot="1">
      <c r="B113" s="121"/>
      <c r="C113" s="50"/>
      <c r="D113" s="121"/>
      <c r="E113" s="121"/>
      <c r="F113" s="121"/>
      <c r="G113" s="121"/>
      <c r="H113" s="121"/>
      <c r="I113" s="121"/>
      <c r="J113" s="121"/>
      <c r="K113" s="121"/>
      <c r="L113" s="121"/>
      <c r="M113" s="121"/>
      <c r="N113" s="148"/>
      <c r="O113" s="148"/>
      <c r="P113" s="148"/>
      <c r="Q113" s="148"/>
      <c r="R113" s="148"/>
      <c r="S113" s="148"/>
      <c r="T113" s="121"/>
      <c r="U113" s="121"/>
      <c r="V113" s="121"/>
      <c r="W113" s="121"/>
      <c r="X113" s="121"/>
      <c r="Y113" s="121"/>
      <c r="Z113" s="121"/>
      <c r="AA113" s="121"/>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row>
    <row r="114" spans="2:49" s="165" customFormat="1">
      <c r="B114" s="121"/>
      <c r="C114" s="42" t="s">
        <v>148</v>
      </c>
      <c r="D114" s="42" t="str">
        <f>"Estimate of reserves ("&amp;preferences.volume.liquid&amp;")"</f>
        <v>Estimate of reserves (bbl)</v>
      </c>
      <c r="E114" s="42" t="s">
        <v>1756</v>
      </c>
      <c r="F114" s="42" t="s">
        <v>1772</v>
      </c>
      <c r="G114" s="42"/>
      <c r="H114" s="42" t="s">
        <v>890</v>
      </c>
      <c r="I114" s="42"/>
      <c r="J114" s="42"/>
      <c r="K114" s="42" t="s">
        <v>889</v>
      </c>
      <c r="L114" s="42"/>
      <c r="M114" s="42"/>
      <c r="N114" s="42" t="s">
        <v>2202</v>
      </c>
      <c r="O114" s="42"/>
      <c r="P114" s="42"/>
      <c r="Q114" s="148"/>
      <c r="R114" s="148"/>
      <c r="S114" s="121"/>
      <c r="T114" s="121"/>
      <c r="U114" s="121"/>
      <c r="V114" s="121"/>
      <c r="W114" s="121"/>
      <c r="X114" s="121"/>
      <c r="Y114" s="121"/>
      <c r="Z114" s="121"/>
      <c r="AA114" s="121"/>
      <c r="AB114" s="219"/>
      <c r="AC114" s="219"/>
      <c r="AD114" s="219"/>
      <c r="AE114" s="219"/>
      <c r="AF114" s="219"/>
      <c r="AG114" s="219"/>
      <c r="AH114" s="219"/>
      <c r="AI114" s="219"/>
      <c r="AJ114" s="219"/>
      <c r="AK114" s="219"/>
      <c r="AL114" s="219"/>
      <c r="AM114" s="219"/>
      <c r="AN114" s="219"/>
      <c r="AO114" s="219"/>
      <c r="AP114" s="219"/>
      <c r="AQ114" s="219"/>
      <c r="AR114" s="219"/>
      <c r="AS114" s="219"/>
      <c r="AT114" s="219"/>
      <c r="AU114" s="219"/>
      <c r="AV114" s="219"/>
      <c r="AW114" s="219"/>
    </row>
    <row r="115" spans="2:49" s="165" customFormat="1">
      <c r="B115" s="121"/>
      <c r="C115" s="217">
        <v>2012</v>
      </c>
      <c r="D115" s="121">
        <f>1525.957 *1000000000*unit.bbl</f>
        <v>1525957000000</v>
      </c>
      <c r="E115" s="121" t="s">
        <v>1771</v>
      </c>
      <c r="F115" s="121" t="s">
        <v>1743</v>
      </c>
      <c r="G115" s="121"/>
      <c r="H115" s="121">
        <f>$Z$99</f>
        <v>0</v>
      </c>
      <c r="I115" s="121"/>
      <c r="J115" s="121"/>
      <c r="K115" s="276">
        <f>H115/D115</f>
        <v>0</v>
      </c>
      <c r="L115" s="121"/>
      <c r="M115" s="121"/>
      <c r="N115" s="121">
        <f>D115-H115</f>
        <v>1525957000000</v>
      </c>
      <c r="O115" s="121"/>
      <c r="P115" s="121"/>
      <c r="Q115" s="148"/>
      <c r="R115" s="148"/>
      <c r="S115" s="121"/>
      <c r="T115" s="121"/>
      <c r="U115" s="121"/>
      <c r="V115" s="121"/>
      <c r="W115" s="121"/>
      <c r="X115" s="121"/>
      <c r="Y115" s="121"/>
      <c r="Z115" s="121"/>
      <c r="AA115" s="121"/>
      <c r="AB115" s="219"/>
      <c r="AC115" s="219"/>
      <c r="AD115" s="219"/>
      <c r="AE115" s="219"/>
      <c r="AF115" s="219"/>
      <c r="AG115" s="219"/>
      <c r="AH115" s="219"/>
      <c r="AI115" s="219"/>
      <c r="AJ115" s="219"/>
      <c r="AK115" s="219"/>
      <c r="AL115" s="219"/>
      <c r="AM115" s="219"/>
      <c r="AN115" s="219"/>
      <c r="AO115" s="219"/>
      <c r="AP115" s="219"/>
      <c r="AQ115" s="219"/>
      <c r="AR115" s="219"/>
      <c r="AS115" s="219"/>
      <c r="AT115" s="219"/>
      <c r="AU115" s="219"/>
      <c r="AV115" s="219"/>
      <c r="AW115" s="219"/>
    </row>
    <row r="116" spans="2:49" s="165" customFormat="1">
      <c r="B116" s="121"/>
      <c r="C116" s="217">
        <v>2012</v>
      </c>
      <c r="D116" s="289">
        <f>1669*1000000000*unit.bbl</f>
        <v>1669000000000</v>
      </c>
      <c r="E116" s="121" t="s">
        <v>1773</v>
      </c>
      <c r="F116" s="121" t="s">
        <v>1744</v>
      </c>
      <c r="G116" s="121"/>
      <c r="H116" s="240">
        <f>$Z$99</f>
        <v>0</v>
      </c>
      <c r="I116" s="121"/>
      <c r="J116" s="121"/>
      <c r="K116" s="370">
        <f t="shared" ref="K116:K117" si="18">H116/D116</f>
        <v>0</v>
      </c>
      <c r="L116" s="121"/>
      <c r="M116" s="121"/>
      <c r="N116" s="121">
        <f t="shared" ref="N116:N117" si="19">D116-H116</f>
        <v>1669000000000</v>
      </c>
      <c r="O116" s="121"/>
      <c r="P116" s="121"/>
      <c r="Q116" s="148"/>
      <c r="R116" s="148"/>
      <c r="S116" s="121"/>
      <c r="T116" s="121"/>
      <c r="U116" s="121"/>
      <c r="V116" s="121"/>
      <c r="W116" s="121"/>
      <c r="X116" s="121"/>
      <c r="Y116" s="121"/>
      <c r="Z116" s="121"/>
      <c r="AA116" s="121"/>
      <c r="AB116" s="219"/>
      <c r="AC116" s="219"/>
      <c r="AD116" s="219"/>
      <c r="AE116" s="219"/>
      <c r="AF116" s="219"/>
      <c r="AG116" s="219"/>
      <c r="AH116" s="219"/>
      <c r="AI116" s="219"/>
      <c r="AJ116" s="219"/>
      <c r="AK116" s="219"/>
      <c r="AL116" s="219"/>
      <c r="AM116" s="219"/>
      <c r="AN116" s="219"/>
      <c r="AO116" s="219"/>
      <c r="AP116" s="219"/>
      <c r="AQ116" s="219"/>
      <c r="AR116" s="219"/>
      <c r="AS116" s="219"/>
      <c r="AT116" s="219"/>
      <c r="AU116" s="219"/>
      <c r="AV116" s="219"/>
      <c r="AW116" s="219"/>
    </row>
    <row r="117" spans="2:49" s="165" customFormat="1" ht="15" thickBot="1">
      <c r="B117" s="121"/>
      <c r="C117" s="377">
        <v>2012</v>
      </c>
      <c r="D117" s="162">
        <f>1477*1000000000*unit.bbl</f>
        <v>1477000000000</v>
      </c>
      <c r="E117" s="162" t="s">
        <v>1774</v>
      </c>
      <c r="F117" s="162" t="s">
        <v>1745</v>
      </c>
      <c r="G117" s="162"/>
      <c r="H117" s="162">
        <f>$Z$99</f>
        <v>0</v>
      </c>
      <c r="I117" s="162"/>
      <c r="J117" s="162"/>
      <c r="K117" s="185">
        <f t="shared" si="18"/>
        <v>0</v>
      </c>
      <c r="L117" s="162"/>
      <c r="M117" s="162"/>
      <c r="N117" s="162">
        <f t="shared" si="19"/>
        <v>1477000000000</v>
      </c>
      <c r="O117" s="162"/>
      <c r="P117" s="162"/>
      <c r="Q117" s="148"/>
      <c r="R117" s="148"/>
      <c r="S117" s="121"/>
      <c r="T117" s="121"/>
      <c r="U117" s="121"/>
      <c r="V117" s="121"/>
      <c r="W117" s="121"/>
      <c r="X117" s="121"/>
      <c r="Y117" s="121"/>
      <c r="Z117" s="121"/>
      <c r="AA117" s="121"/>
      <c r="AB117" s="219"/>
      <c r="AD117" s="219"/>
      <c r="AE117" s="219"/>
      <c r="AF117" s="219"/>
      <c r="AG117" s="219"/>
      <c r="AH117" s="219"/>
      <c r="AI117" s="219"/>
      <c r="AJ117" s="219"/>
      <c r="AK117" s="219"/>
      <c r="AL117" s="219"/>
      <c r="AM117" s="219"/>
      <c r="AN117" s="219"/>
      <c r="AO117" s="219"/>
      <c r="AP117" s="219"/>
      <c r="AQ117" s="219"/>
      <c r="AR117" s="219"/>
      <c r="AS117" s="219"/>
      <c r="AT117" s="219"/>
      <c r="AU117" s="219"/>
      <c r="AV117" s="219"/>
      <c r="AW117" s="219"/>
    </row>
    <row r="118" spans="2:49" s="165" customFormat="1">
      <c r="B118" s="121"/>
      <c r="C118" s="121"/>
      <c r="D118" s="121"/>
      <c r="E118" s="121"/>
      <c r="F118" s="121"/>
      <c r="G118" s="121"/>
      <c r="H118" s="121"/>
      <c r="I118" s="121"/>
      <c r="J118" s="121"/>
      <c r="K118" s="121"/>
      <c r="L118" s="121"/>
      <c r="M118" s="121"/>
      <c r="N118" s="148"/>
      <c r="O118" s="148"/>
      <c r="P118" s="148"/>
      <c r="Q118" s="148"/>
      <c r="R118" s="121"/>
      <c r="S118" s="121"/>
      <c r="T118" s="121"/>
      <c r="U118" s="121"/>
      <c r="V118" s="121"/>
      <c r="W118" s="121"/>
      <c r="X118" s="121"/>
      <c r="Y118" s="121"/>
      <c r="Z118" s="121"/>
      <c r="AA118" s="121"/>
      <c r="AB118" s="219"/>
      <c r="AC118" s="219"/>
      <c r="AD118" s="219"/>
      <c r="AE118" s="219"/>
      <c r="AF118" s="219"/>
      <c r="AG118" s="219"/>
      <c r="AH118" s="219"/>
      <c r="AI118" s="219"/>
      <c r="AJ118" s="219"/>
      <c r="AK118" s="219"/>
      <c r="AL118" s="219"/>
      <c r="AM118" s="219"/>
      <c r="AN118" s="219"/>
      <c r="AO118" s="219"/>
      <c r="AP118" s="219"/>
      <c r="AQ118" s="219"/>
      <c r="AR118" s="219"/>
      <c r="AS118" s="219"/>
      <c r="AT118" s="219"/>
      <c r="AU118" s="219"/>
      <c r="AV118" s="219"/>
      <c r="AW118" s="219"/>
    </row>
    <row r="119" spans="2:49" s="165" customFormat="1">
      <c r="B119" s="121"/>
      <c r="C119" s="121" t="s">
        <v>220</v>
      </c>
      <c r="D119" s="121"/>
      <c r="E119" s="121"/>
      <c r="F119" s="121"/>
      <c r="G119" s="121"/>
      <c r="H119" s="121"/>
      <c r="I119" s="121"/>
      <c r="J119" s="121"/>
      <c r="K119" s="121"/>
      <c r="L119" s="121"/>
      <c r="M119" s="121"/>
      <c r="N119" s="148"/>
      <c r="O119" s="148"/>
      <c r="P119" s="50" t="str">
        <f>preferences.volume.gas</f>
        <v>T.m3</v>
      </c>
      <c r="Q119" s="148"/>
      <c r="R119" s="148"/>
      <c r="S119" s="121"/>
      <c r="T119" s="121"/>
      <c r="U119" s="121"/>
      <c r="V119" s="121"/>
      <c r="W119" s="121"/>
      <c r="X119" s="121"/>
      <c r="Y119" s="121"/>
      <c r="Z119" s="121"/>
      <c r="AA119" s="121"/>
      <c r="AB119" s="219"/>
      <c r="AC119" s="219"/>
      <c r="AD119" s="219"/>
      <c r="AE119" s="219"/>
      <c r="AF119" s="219"/>
      <c r="AG119" s="219"/>
      <c r="AH119" s="219"/>
      <c r="AI119" s="219"/>
      <c r="AJ119" s="219"/>
      <c r="AK119" s="219"/>
      <c r="AL119" s="219"/>
      <c r="AM119" s="219"/>
      <c r="AN119" s="219"/>
      <c r="AO119" s="219"/>
      <c r="AP119" s="219"/>
      <c r="AQ119" s="219"/>
      <c r="AR119" s="219"/>
      <c r="AS119" s="219"/>
      <c r="AT119" s="219"/>
      <c r="AU119" s="219"/>
      <c r="AV119" s="219"/>
      <c r="AW119" s="219"/>
    </row>
    <row r="120" spans="2:49" s="165" customFormat="1" ht="15" thickBot="1">
      <c r="B120" s="121"/>
      <c r="C120" s="50"/>
      <c r="D120" s="121"/>
      <c r="E120" s="121"/>
      <c r="F120" s="121"/>
      <c r="G120" s="121"/>
      <c r="H120" s="121"/>
      <c r="I120" s="121"/>
      <c r="J120" s="121"/>
      <c r="K120" s="121"/>
      <c r="L120" s="121"/>
      <c r="M120" s="121"/>
      <c r="N120" s="148"/>
      <c r="O120" s="148"/>
      <c r="P120" s="148"/>
      <c r="Q120" s="148"/>
      <c r="R120" s="148"/>
      <c r="S120" s="121"/>
      <c r="T120" s="121"/>
      <c r="U120" s="121"/>
      <c r="V120" s="121"/>
      <c r="W120" s="121"/>
      <c r="X120" s="121"/>
      <c r="Y120" s="121"/>
      <c r="Z120" s="121"/>
      <c r="AA120" s="121"/>
      <c r="AB120" s="219"/>
      <c r="AC120" s="219"/>
      <c r="AD120" s="219"/>
      <c r="AE120" s="219"/>
      <c r="AF120" s="219"/>
      <c r="AG120" s="219"/>
      <c r="AH120" s="219"/>
      <c r="AI120" s="219"/>
      <c r="AJ120" s="219"/>
      <c r="AK120" s="219"/>
      <c r="AL120" s="219"/>
      <c r="AM120" s="219"/>
      <c r="AN120" s="219"/>
      <c r="AO120" s="219"/>
      <c r="AP120" s="219"/>
      <c r="AQ120" s="219"/>
      <c r="AR120" s="219"/>
      <c r="AS120" s="219"/>
      <c r="AT120" s="219"/>
      <c r="AU120" s="219"/>
      <c r="AV120" s="219"/>
      <c r="AW120" s="219"/>
    </row>
    <row r="121" spans="2:49" s="165" customFormat="1">
      <c r="B121" s="121"/>
      <c r="C121" s="42" t="s">
        <v>148</v>
      </c>
      <c r="D121" s="42" t="str">
        <f>"Estimate of reserves ("&amp;preferences.volume.gas&amp;")"</f>
        <v>Estimate of reserves (T.m3)</v>
      </c>
      <c r="E121" s="42" t="s">
        <v>1756</v>
      </c>
      <c r="F121" s="42" t="s">
        <v>1772</v>
      </c>
      <c r="G121" s="42"/>
      <c r="H121" s="42" t="s">
        <v>890</v>
      </c>
      <c r="I121" s="42"/>
      <c r="J121" s="42"/>
      <c r="K121" s="42" t="s">
        <v>889</v>
      </c>
      <c r="L121" s="42"/>
      <c r="M121" s="42"/>
      <c r="N121" s="42" t="s">
        <v>2202</v>
      </c>
      <c r="O121" s="42"/>
      <c r="P121" s="42"/>
      <c r="Q121" s="148"/>
      <c r="R121" s="148"/>
      <c r="S121" s="121"/>
      <c r="T121" s="121"/>
      <c r="U121" s="121"/>
      <c r="V121" s="121"/>
      <c r="W121" s="121"/>
      <c r="X121" s="121"/>
      <c r="Y121" s="121"/>
      <c r="Z121" s="121"/>
      <c r="AA121" s="121"/>
      <c r="AB121" s="219"/>
      <c r="AC121" s="219"/>
      <c r="AD121" s="219"/>
      <c r="AE121" s="219"/>
      <c r="AF121" s="219"/>
      <c r="AG121" s="219"/>
      <c r="AH121" s="219"/>
      <c r="AI121" s="219"/>
      <c r="AJ121" s="219"/>
      <c r="AK121" s="219"/>
      <c r="AL121" s="219"/>
      <c r="AM121" s="219"/>
      <c r="AN121" s="219"/>
      <c r="AO121" s="219"/>
      <c r="AP121" s="219"/>
      <c r="AQ121" s="219"/>
      <c r="AR121" s="219"/>
      <c r="AS121" s="219"/>
      <c r="AT121" s="219"/>
      <c r="AU121" s="219"/>
      <c r="AV121" s="219"/>
      <c r="AW121" s="219"/>
    </row>
    <row r="122" spans="2:49" s="165" customFormat="1">
      <c r="B122" s="121"/>
      <c r="C122" s="217">
        <v>2012</v>
      </c>
      <c r="D122" s="121">
        <f>6844.595 *1000000000000*unit.scf</f>
        <v>193.84296233361653</v>
      </c>
      <c r="E122" s="121"/>
      <c r="F122" s="121" t="s">
        <v>1746</v>
      </c>
      <c r="G122" s="121"/>
      <c r="H122" s="121">
        <f>$Z$100</f>
        <v>0</v>
      </c>
      <c r="I122" s="121"/>
      <c r="J122" s="121"/>
      <c r="K122" s="370">
        <f>H122/D122</f>
        <v>0</v>
      </c>
      <c r="L122" s="121"/>
      <c r="M122" s="121"/>
      <c r="N122" s="121">
        <f>D122-H122</f>
        <v>193.84296233361653</v>
      </c>
      <c r="O122" s="121"/>
      <c r="P122" s="121"/>
      <c r="Q122" s="148"/>
      <c r="R122" s="148"/>
      <c r="S122" s="121"/>
      <c r="T122" s="121"/>
      <c r="U122" s="121"/>
      <c r="V122" s="121"/>
      <c r="W122" s="121"/>
      <c r="X122" s="121"/>
      <c r="Y122" s="121"/>
      <c r="Z122" s="121"/>
      <c r="AA122" s="121"/>
      <c r="AB122" s="219"/>
      <c r="AC122" s="219"/>
      <c r="AD122" s="219"/>
      <c r="AE122" s="219"/>
      <c r="AF122" s="219"/>
      <c r="AG122" s="219"/>
      <c r="AH122" s="219"/>
      <c r="AI122" s="219"/>
      <c r="AJ122" s="219"/>
      <c r="AK122" s="219"/>
      <c r="AL122" s="219"/>
      <c r="AM122" s="219"/>
      <c r="AN122" s="219"/>
      <c r="AO122" s="219"/>
      <c r="AP122" s="219"/>
      <c r="AQ122" s="219"/>
      <c r="AR122" s="219"/>
      <c r="AS122" s="219"/>
      <c r="AT122" s="219"/>
      <c r="AU122" s="219"/>
      <c r="AV122" s="219"/>
      <c r="AW122" s="219"/>
    </row>
    <row r="123" spans="2:49" s="165" customFormat="1">
      <c r="B123" s="121"/>
      <c r="C123" s="217">
        <v>2012</v>
      </c>
      <c r="D123" s="121">
        <f>187.3*1000000000000*unit.m3.gas</f>
        <v>187.29999999999998</v>
      </c>
      <c r="E123" s="121"/>
      <c r="F123" s="121" t="s">
        <v>1747</v>
      </c>
      <c r="G123" s="121"/>
      <c r="H123" s="121">
        <f t="shared" ref="H123:H124" si="20">$Z$100</f>
        <v>0</v>
      </c>
      <c r="I123" s="121"/>
      <c r="J123" s="121"/>
      <c r="K123" s="370">
        <f t="shared" ref="K123:K124" si="21">H123/D123</f>
        <v>0</v>
      </c>
      <c r="L123" s="121"/>
      <c r="M123" s="121"/>
      <c r="N123" s="121">
        <f t="shared" ref="N123:N124" si="22">D123-H123</f>
        <v>187.29999999999998</v>
      </c>
      <c r="O123" s="121"/>
      <c r="P123" s="121"/>
      <c r="Q123" s="148"/>
      <c r="R123" s="121"/>
      <c r="S123" s="121"/>
      <c r="T123" s="121"/>
      <c r="U123" s="121"/>
      <c r="V123" s="121"/>
      <c r="W123" s="121"/>
      <c r="X123" s="121"/>
      <c r="Y123" s="121"/>
      <c r="Z123" s="121"/>
      <c r="AA123" s="121"/>
      <c r="AB123" s="219"/>
      <c r="AC123" s="219"/>
      <c r="AD123" s="219"/>
      <c r="AE123" s="219"/>
      <c r="AF123" s="219"/>
      <c r="AG123" s="219"/>
      <c r="AH123" s="219"/>
      <c r="AI123" s="219"/>
      <c r="AJ123" s="219"/>
      <c r="AK123" s="219"/>
      <c r="AL123" s="219"/>
      <c r="AM123" s="219"/>
      <c r="AN123" s="219"/>
      <c r="AO123" s="219"/>
      <c r="AP123" s="219"/>
      <c r="AQ123" s="219"/>
      <c r="AR123" s="219"/>
      <c r="AS123" s="219"/>
      <c r="AT123" s="219"/>
      <c r="AU123" s="219"/>
      <c r="AV123" s="219"/>
      <c r="AW123" s="219"/>
    </row>
    <row r="124" spans="2:49" s="165" customFormat="1" ht="15" thickBot="1">
      <c r="B124" s="121"/>
      <c r="C124" s="162"/>
      <c r="D124" s="162">
        <f>6746751*1000000000*unit.scf</f>
        <v>191.07196261682242</v>
      </c>
      <c r="E124" s="162"/>
      <c r="F124" s="162" t="s">
        <v>1775</v>
      </c>
      <c r="G124" s="162"/>
      <c r="H124" s="162">
        <f t="shared" si="20"/>
        <v>0</v>
      </c>
      <c r="I124" s="162"/>
      <c r="J124" s="162"/>
      <c r="K124" s="185">
        <f t="shared" si="21"/>
        <v>0</v>
      </c>
      <c r="L124" s="162"/>
      <c r="M124" s="162"/>
      <c r="N124" s="162">
        <f t="shared" si="22"/>
        <v>191.07196261682242</v>
      </c>
      <c r="O124" s="162"/>
      <c r="P124" s="162"/>
      <c r="Q124" s="148"/>
      <c r="R124" s="148"/>
      <c r="S124" s="148"/>
      <c r="T124" s="121"/>
      <c r="U124" s="121"/>
      <c r="V124" s="121"/>
      <c r="W124" s="121"/>
      <c r="X124" s="121"/>
      <c r="Y124" s="121"/>
      <c r="Z124" s="121"/>
      <c r="AA124" s="121"/>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row>
    <row r="125" spans="2:49" s="165" customFormat="1">
      <c r="B125" s="121"/>
      <c r="C125" s="121"/>
      <c r="D125" s="121"/>
      <c r="E125" s="121"/>
      <c r="F125" s="121"/>
      <c r="G125" s="121"/>
      <c r="H125" s="148"/>
      <c r="I125" s="148"/>
      <c r="J125" s="148"/>
      <c r="K125" s="148"/>
      <c r="L125" s="148"/>
      <c r="M125" s="148"/>
      <c r="N125" s="148"/>
      <c r="O125" s="148"/>
      <c r="P125" s="148"/>
      <c r="Q125" s="121"/>
      <c r="R125" s="121"/>
      <c r="S125" s="121"/>
      <c r="T125" s="121"/>
      <c r="U125" s="121"/>
      <c r="V125" s="121"/>
      <c r="W125" s="121"/>
      <c r="X125" s="121"/>
      <c r="Y125" s="121"/>
      <c r="Z125" s="121"/>
      <c r="AA125" s="121"/>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row>
    <row r="126" spans="2:49" s="165" customFormat="1">
      <c r="B126" s="121"/>
      <c r="C126" s="121"/>
      <c r="D126" s="121"/>
      <c r="E126" s="121"/>
      <c r="F126" s="121"/>
      <c r="G126" s="121"/>
      <c r="H126" s="148"/>
      <c r="I126" s="148"/>
      <c r="J126" s="148"/>
      <c r="K126" s="148"/>
      <c r="L126" s="148"/>
      <c r="M126" s="148"/>
      <c r="N126" s="148"/>
      <c r="O126" s="148"/>
      <c r="P126" s="148"/>
      <c r="Q126" s="121"/>
      <c r="R126" s="121"/>
      <c r="S126" s="121"/>
      <c r="T126" s="121"/>
      <c r="U126" s="121"/>
      <c r="V126" s="121"/>
      <c r="W126" s="121"/>
      <c r="X126" s="121"/>
      <c r="Y126" s="121"/>
      <c r="Z126" s="121"/>
      <c r="AA126" s="121"/>
      <c r="AB126" s="219"/>
    </row>
    <row r="127" spans="2:49" s="40" customFormat="1">
      <c r="P127" s="219"/>
      <c r="AB127" s="219"/>
    </row>
    <row r="128" spans="2:49" ht="15">
      <c r="B128" s="37" t="s">
        <v>856</v>
      </c>
      <c r="C128" s="37"/>
      <c r="D128" s="37"/>
      <c r="E128" s="37"/>
      <c r="F128" s="37"/>
      <c r="G128" s="37"/>
      <c r="H128" s="38"/>
      <c r="I128" s="38"/>
      <c r="J128" s="38"/>
      <c r="K128" s="38"/>
      <c r="L128" s="38"/>
      <c r="M128" s="38"/>
      <c r="N128" s="38"/>
      <c r="O128" s="38"/>
      <c r="P128" s="38"/>
      <c r="Q128" s="38"/>
      <c r="R128" s="37"/>
      <c r="S128" s="37"/>
      <c r="T128" s="37"/>
      <c r="U128" s="37"/>
      <c r="V128" s="37"/>
      <c r="W128" s="37"/>
      <c r="X128" s="37"/>
      <c r="Y128" s="37"/>
      <c r="Z128" s="37"/>
      <c r="AA128" s="37"/>
      <c r="AB128" s="219"/>
    </row>
    <row r="129" spans="2:28" s="111" customFormat="1">
      <c r="B129" s="152"/>
      <c r="C129" s="152"/>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c r="AA129" s="152"/>
      <c r="AB129" s="219"/>
    </row>
    <row r="130" spans="2:28" ht="15" thickBot="1">
      <c r="B130" s="152"/>
      <c r="C130" s="152"/>
      <c r="D130" s="152"/>
      <c r="E130" s="152"/>
      <c r="F130" s="152"/>
      <c r="G130" s="152"/>
      <c r="H130" s="156" t="s">
        <v>860</v>
      </c>
      <c r="I130" s="152"/>
      <c r="J130" s="152"/>
      <c r="K130" s="152"/>
      <c r="L130" s="152"/>
      <c r="M130" s="152"/>
      <c r="N130" s="152"/>
      <c r="O130" s="152"/>
      <c r="P130" s="152"/>
      <c r="Q130" s="152"/>
      <c r="R130" s="152" t="s">
        <v>861</v>
      </c>
      <c r="S130" s="152"/>
      <c r="T130" s="152"/>
      <c r="U130" s="152"/>
      <c r="V130" s="152"/>
      <c r="W130" s="152"/>
      <c r="X130" s="152"/>
      <c r="Y130" s="152"/>
      <c r="Z130" s="152"/>
      <c r="AA130" s="152"/>
      <c r="AB130" s="219"/>
    </row>
    <row r="131" spans="2:28">
      <c r="B131" s="152"/>
      <c r="C131" s="153" t="s">
        <v>279</v>
      </c>
      <c r="D131" s="153" t="str">
        <f>Preferences.energy</f>
        <v>EJ</v>
      </c>
      <c r="E131" s="153"/>
      <c r="F131" s="153"/>
      <c r="G131" s="153" t="s">
        <v>274</v>
      </c>
      <c r="H131" s="155" t="s">
        <v>501</v>
      </c>
      <c r="I131" s="155" t="s">
        <v>502</v>
      </c>
      <c r="J131" s="155" t="s">
        <v>503</v>
      </c>
      <c r="K131" s="155" t="s">
        <v>504</v>
      </c>
      <c r="L131" s="155" t="s">
        <v>505</v>
      </c>
      <c r="M131" s="155" t="s">
        <v>506</v>
      </c>
      <c r="N131" s="155" t="s">
        <v>507</v>
      </c>
      <c r="O131" s="155">
        <v>2010</v>
      </c>
      <c r="P131" s="155">
        <v>2011</v>
      </c>
      <c r="Q131" s="153"/>
      <c r="R131" s="153">
        <v>2011</v>
      </c>
      <c r="S131" s="153"/>
      <c r="T131" s="153"/>
      <c r="U131" s="153"/>
      <c r="V131" s="153"/>
      <c r="W131" s="153"/>
      <c r="X131" s="153"/>
      <c r="Y131" s="153"/>
      <c r="Z131" s="153"/>
      <c r="AA131" s="152"/>
      <c r="AB131" s="219"/>
    </row>
    <row r="132" spans="2:28">
      <c r="B132" s="152"/>
      <c r="C132" s="152" t="str">
        <f>$B$2&amp;".E.02"</f>
        <v>G.E.02</v>
      </c>
      <c r="D132" s="152" t="str">
        <f>INDEX(Regional.energy[Description],MATCH(C132,Regional.energy[Regional energy code],0))</f>
        <v>Global Electricity (supplied to grid)</v>
      </c>
      <c r="E132" s="152"/>
      <c r="F132" s="152"/>
      <c r="G132" s="152"/>
      <c r="H132" s="156"/>
      <c r="I132" s="156"/>
      <c r="J132" s="156"/>
      <c r="K132" s="156"/>
      <c r="L132" s="156"/>
      <c r="M132" s="156"/>
      <c r="N132" s="156"/>
      <c r="O132" s="156"/>
      <c r="P132" s="156"/>
      <c r="Q132" s="152"/>
      <c r="R132" s="152">
        <f ca="1">INDEX(INDIRECT("G."&amp;R$43&amp;".energy!Year.net.balance"), MATCH($C132, INDIRECT("G."&amp;R$43&amp;".energy!Year.vectors"), 0))</f>
        <v>0</v>
      </c>
      <c r="S132" s="152"/>
      <c r="T132" s="152"/>
      <c r="U132" s="152"/>
      <c r="V132" s="152"/>
      <c r="W132" s="152"/>
      <c r="X132" s="152"/>
      <c r="Y132" s="152"/>
      <c r="Z132" s="152"/>
      <c r="AA132" s="152"/>
      <c r="AB132" s="219"/>
    </row>
    <row r="133" spans="2:28">
      <c r="B133" s="152"/>
      <c r="C133" s="152" t="str">
        <f>$B$2&amp;".L.02"</f>
        <v>G.L.02</v>
      </c>
      <c r="D133" s="152" t="str">
        <f>INDEX(Regional.energy[Description],MATCH(C133,Regional.energy[Regional energy code],0))</f>
        <v>Global Distribution losses and own use</v>
      </c>
      <c r="E133" s="152"/>
      <c r="F133" s="152"/>
      <c r="G133" s="152"/>
      <c r="H133" s="156"/>
      <c r="I133" s="156"/>
      <c r="J133" s="156"/>
      <c r="K133" s="156"/>
      <c r="L133" s="156"/>
      <c r="M133" s="156"/>
      <c r="N133" s="156"/>
      <c r="O133" s="156"/>
      <c r="P133" s="156"/>
      <c r="Q133" s="152"/>
      <c r="R133" s="152">
        <f ca="1">INDEX(INDIRECT("G."&amp;R$43&amp;".energy!Year.net.balance"), MATCH($C133, INDIRECT("G."&amp;R$43&amp;".energy!Year.vectors"), 0))</f>
        <v>0</v>
      </c>
      <c r="S133" s="152"/>
      <c r="T133" s="152"/>
      <c r="U133" s="152"/>
      <c r="V133" s="152"/>
      <c r="W133" s="152"/>
      <c r="X133" s="152"/>
      <c r="Y133" s="152"/>
      <c r="Z133" s="152"/>
      <c r="AA133" s="152"/>
      <c r="AB133" s="219"/>
    </row>
    <row r="134" spans="2:28" ht="15" thickBot="1">
      <c r="B134" s="152"/>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c r="AA134" s="152"/>
    </row>
    <row r="135" spans="2:28">
      <c r="B135" s="152"/>
      <c r="C135" s="152" t="s">
        <v>789</v>
      </c>
      <c r="D135" s="152"/>
      <c r="E135" s="152"/>
      <c r="F135" s="152"/>
      <c r="G135" s="152"/>
      <c r="H135" s="152"/>
      <c r="I135" s="152"/>
      <c r="J135" s="152"/>
      <c r="K135" s="152"/>
      <c r="L135" s="152"/>
      <c r="M135" s="152"/>
      <c r="N135" s="152"/>
      <c r="O135" s="152"/>
      <c r="P135" s="152"/>
      <c r="Q135" s="152"/>
      <c r="R135" s="152"/>
      <c r="S135" s="152"/>
      <c r="T135" s="152"/>
      <c r="U135" s="152"/>
      <c r="V135" s="152"/>
      <c r="W135" s="152"/>
      <c r="X135" s="152"/>
      <c r="Y135" s="152"/>
      <c r="Z135" s="152"/>
      <c r="AA135" s="152"/>
    </row>
    <row r="136" spans="2:28" s="111" customFormat="1">
      <c r="B136" s="152"/>
      <c r="C136" s="152" t="str">
        <f>B2&amp;".E.01"</f>
        <v>G.E.01</v>
      </c>
      <c r="D136" s="150" t="str">
        <f>INDEX(Regional.energy[Description],MATCH(C136,Regional.energy[Regional energy code],0))</f>
        <v>Global Electricity (delivered to end user)</v>
      </c>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2"/>
    </row>
    <row r="137" spans="2:28" s="111" customFormat="1">
      <c r="B137" s="152"/>
      <c r="C137" s="152"/>
      <c r="D137" s="150" t="s">
        <v>788</v>
      </c>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2"/>
    </row>
    <row r="138" spans="2:28" s="111" customFormat="1">
      <c r="B138" s="152"/>
      <c r="C138" s="152"/>
      <c r="D138" s="150"/>
      <c r="E138" s="151"/>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2"/>
    </row>
    <row r="139" spans="2:28">
      <c r="B139" s="23"/>
      <c r="C139" s="23"/>
      <c r="D139" s="23"/>
      <c r="E139" s="23"/>
      <c r="F139" s="23"/>
      <c r="G139" s="23"/>
      <c r="H139" s="23"/>
      <c r="I139" s="23"/>
      <c r="J139" s="23"/>
      <c r="K139" s="23"/>
      <c r="L139" s="23"/>
      <c r="M139" s="23"/>
      <c r="N139" s="23"/>
      <c r="O139" s="111"/>
      <c r="Q139" s="111"/>
    </row>
    <row r="140" spans="2:28" s="39" customFormat="1">
      <c r="O140" s="111"/>
      <c r="P140" s="219"/>
      <c r="Q140" s="111"/>
    </row>
    <row r="141" spans="2:28" ht="15">
      <c r="B141" s="37" t="s">
        <v>50</v>
      </c>
      <c r="C141" s="37"/>
      <c r="D141" s="37"/>
      <c r="E141" s="37"/>
      <c r="F141" s="37" t="str">
        <f>B2&amp;".E.02"</f>
        <v>G.E.02</v>
      </c>
      <c r="G141" s="37"/>
      <c r="H141" s="38"/>
      <c r="I141" s="38"/>
      <c r="J141" s="38"/>
      <c r="K141" s="38"/>
      <c r="L141" s="38"/>
      <c r="M141" s="38"/>
      <c r="N141" s="38"/>
      <c r="O141" s="38"/>
      <c r="P141" s="38"/>
      <c r="Q141" s="38"/>
      <c r="R141" s="37"/>
      <c r="S141" s="37"/>
      <c r="T141" s="37"/>
      <c r="U141" s="37"/>
      <c r="V141" s="37"/>
      <c r="W141" s="37"/>
      <c r="X141" s="37"/>
      <c r="Y141" s="37"/>
      <c r="Z141" s="37"/>
      <c r="AA141" s="37"/>
    </row>
    <row r="142" spans="2:28" s="111" customFormat="1">
      <c r="B142" s="15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2"/>
      <c r="Y142" s="152"/>
      <c r="Z142" s="152"/>
      <c r="AA142" s="152"/>
    </row>
    <row r="143" spans="2:28" s="219" customFormat="1">
      <c r="B143" s="152"/>
      <c r="C143" s="157" t="s">
        <v>2469</v>
      </c>
      <c r="D143" s="152"/>
      <c r="E143" s="152"/>
      <c r="F143" s="152"/>
      <c r="G143" s="152"/>
      <c r="H143" s="152"/>
      <c r="I143" s="152"/>
      <c r="J143" s="152"/>
      <c r="K143" s="152"/>
      <c r="L143" s="152"/>
      <c r="M143" s="152"/>
      <c r="N143" s="152"/>
      <c r="O143" s="152"/>
      <c r="P143" s="152"/>
      <c r="Q143" s="152"/>
      <c r="R143" s="152"/>
      <c r="S143" s="152"/>
      <c r="T143" s="152"/>
      <c r="U143" s="152"/>
      <c r="V143" s="152"/>
      <c r="W143" s="152"/>
      <c r="X143" s="152"/>
      <c r="Y143" s="152"/>
      <c r="Z143" s="157"/>
      <c r="AA143" s="152"/>
    </row>
    <row r="144" spans="2:28" s="219" customFormat="1" ht="15" thickBot="1">
      <c r="B144" s="15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2"/>
      <c r="Y144" s="152"/>
      <c r="Z144" s="152"/>
      <c r="AA144" s="152"/>
    </row>
    <row r="145" spans="2:27" s="219" customFormat="1">
      <c r="B145" s="152"/>
      <c r="C145" s="144" t="s">
        <v>279</v>
      </c>
      <c r="D145" s="144" t="str">
        <f>Preferences.energy</f>
        <v>EJ</v>
      </c>
      <c r="E145" s="144"/>
      <c r="F145" s="144"/>
      <c r="G145" s="144" t="s">
        <v>274</v>
      </c>
      <c r="H145" s="155" t="s">
        <v>501</v>
      </c>
      <c r="I145" s="155" t="s">
        <v>502</v>
      </c>
      <c r="J145" s="155" t="s">
        <v>503</v>
      </c>
      <c r="K145" s="155" t="s">
        <v>504</v>
      </c>
      <c r="L145" s="155" t="s">
        <v>505</v>
      </c>
      <c r="M145" s="155" t="s">
        <v>506</v>
      </c>
      <c r="N145" s="155" t="s">
        <v>507</v>
      </c>
      <c r="O145" s="155">
        <v>2010</v>
      </c>
      <c r="P145" s="155">
        <v>2011</v>
      </c>
      <c r="Q145" s="144"/>
      <c r="R145" s="144">
        <v>2011</v>
      </c>
      <c r="S145" s="144"/>
      <c r="T145" s="144"/>
      <c r="U145" s="144"/>
      <c r="V145" s="144"/>
      <c r="W145" s="144"/>
      <c r="X145" s="144"/>
      <c r="Y145" s="144"/>
      <c r="Z145" s="144"/>
      <c r="AA145" s="152"/>
    </row>
    <row r="146" spans="2:27" s="219" customFormat="1">
      <c r="B146" s="152"/>
      <c r="C146" s="152" t="s">
        <v>858</v>
      </c>
      <c r="D146" s="152" t="s">
        <v>2216</v>
      </c>
      <c r="E146" s="152"/>
      <c r="F146" s="152"/>
      <c r="G146" s="152" t="s">
        <v>2467</v>
      </c>
      <c r="H146" s="156"/>
      <c r="I146" s="156"/>
      <c r="J146" s="156"/>
      <c r="K146" s="156"/>
      <c r="L146" s="156"/>
      <c r="M146" s="156"/>
      <c r="N146" s="156"/>
      <c r="O146" s="156"/>
      <c r="P146" s="156"/>
      <c r="Q146" s="152"/>
      <c r="R146" s="152">
        <f t="shared" ref="R146:R153" ca="1" si="23">INDEX(INDIRECT($B$2&amp;"."&amp;R$145&amp;".energy!Year.matrix"),MATCH($G146,INDIRECT($B$2&amp;"."&amp;R$145&amp;".energy!Year.sub.sectors"), 0), MATCH($F$141, INDIRECT($B$2&amp;"."&amp;R$145&amp;".energy!Year.vectors"), 0))</f>
        <v>0</v>
      </c>
      <c r="S146" s="152"/>
      <c r="T146" s="152"/>
      <c r="U146" s="152"/>
      <c r="V146" s="152"/>
      <c r="W146" s="152"/>
      <c r="X146" s="152"/>
      <c r="Y146" s="152"/>
      <c r="Z146" s="152"/>
      <c r="AA146" s="152"/>
    </row>
    <row r="147" spans="2:27" s="219" customFormat="1">
      <c r="B147" s="152"/>
      <c r="C147" s="152" t="s">
        <v>858</v>
      </c>
      <c r="D147" s="152" t="s">
        <v>755</v>
      </c>
      <c r="E147" s="152"/>
      <c r="F147" s="152"/>
      <c r="G147" s="152" t="s">
        <v>755</v>
      </c>
      <c r="H147" s="156"/>
      <c r="I147" s="156"/>
      <c r="J147" s="156"/>
      <c r="K147" s="156"/>
      <c r="L147" s="156"/>
      <c r="M147" s="156"/>
      <c r="N147" s="156"/>
      <c r="O147" s="156"/>
      <c r="P147" s="156"/>
      <c r="Q147" s="152"/>
      <c r="R147" s="152">
        <f t="shared" ca="1" si="23"/>
        <v>0</v>
      </c>
      <c r="S147" s="152"/>
      <c r="T147" s="152"/>
      <c r="U147" s="152"/>
      <c r="V147" s="152"/>
      <c r="W147" s="152"/>
      <c r="X147" s="152"/>
      <c r="Y147" s="152"/>
      <c r="Z147" s="152"/>
      <c r="AA147" s="152"/>
    </row>
    <row r="148" spans="2:27" s="219" customFormat="1">
      <c r="B148" s="152"/>
      <c r="C148" s="152" t="s">
        <v>858</v>
      </c>
      <c r="D148" s="152" t="s">
        <v>273</v>
      </c>
      <c r="E148" s="152"/>
      <c r="F148" s="152"/>
      <c r="G148" s="152" t="s">
        <v>273</v>
      </c>
      <c r="H148" s="156"/>
      <c r="I148" s="156"/>
      <c r="J148" s="156"/>
      <c r="K148" s="156"/>
      <c r="L148" s="156"/>
      <c r="M148" s="156"/>
      <c r="N148" s="156"/>
      <c r="O148" s="156"/>
      <c r="P148" s="156"/>
      <c r="Q148" s="152"/>
      <c r="R148" s="152">
        <f t="shared" ca="1" si="23"/>
        <v>0</v>
      </c>
      <c r="S148" s="152"/>
      <c r="T148" s="152"/>
      <c r="U148" s="152"/>
      <c r="V148" s="152"/>
      <c r="W148" s="152"/>
      <c r="X148" s="152"/>
      <c r="Y148" s="152"/>
      <c r="Z148" s="152"/>
      <c r="AA148" s="152"/>
    </row>
    <row r="149" spans="2:27" s="219" customFormat="1">
      <c r="B149" s="152"/>
      <c r="C149" s="152"/>
      <c r="D149" s="152" t="s">
        <v>255</v>
      </c>
      <c r="E149" s="152"/>
      <c r="F149" s="152"/>
      <c r="G149" s="152" t="s">
        <v>255</v>
      </c>
      <c r="H149" s="156"/>
      <c r="I149" s="156"/>
      <c r="J149" s="156"/>
      <c r="K149" s="156"/>
      <c r="L149" s="156"/>
      <c r="M149" s="156"/>
      <c r="N149" s="156"/>
      <c r="O149" s="156"/>
      <c r="P149" s="156"/>
      <c r="Q149" s="152"/>
      <c r="R149" s="152">
        <f t="shared" ca="1" si="23"/>
        <v>0</v>
      </c>
      <c r="S149" s="152"/>
      <c r="T149" s="152"/>
      <c r="U149" s="152"/>
      <c r="V149" s="152"/>
      <c r="W149" s="152"/>
      <c r="X149" s="152"/>
      <c r="Y149" s="152"/>
      <c r="Z149" s="152"/>
      <c r="AA149" s="152"/>
    </row>
    <row r="150" spans="2:27" s="219" customFormat="1">
      <c r="B150" s="152"/>
      <c r="C150" s="152"/>
      <c r="D150" s="152" t="s">
        <v>756</v>
      </c>
      <c r="E150" s="152"/>
      <c r="F150" s="152"/>
      <c r="G150" s="152" t="s">
        <v>756</v>
      </c>
      <c r="H150" s="156"/>
      <c r="I150" s="156"/>
      <c r="J150" s="156"/>
      <c r="K150" s="156"/>
      <c r="L150" s="156"/>
      <c r="M150" s="156"/>
      <c r="N150" s="156"/>
      <c r="O150" s="156"/>
      <c r="P150" s="156"/>
      <c r="Q150" s="152"/>
      <c r="R150" s="152">
        <f t="shared" ca="1" si="23"/>
        <v>0</v>
      </c>
      <c r="S150" s="152"/>
      <c r="T150" s="152"/>
      <c r="U150" s="152"/>
      <c r="V150" s="152"/>
      <c r="W150" s="152"/>
      <c r="X150" s="152"/>
      <c r="Y150" s="152"/>
      <c r="Z150" s="152"/>
      <c r="AA150" s="152"/>
    </row>
    <row r="151" spans="2:27" s="219" customFormat="1">
      <c r="B151" s="152"/>
      <c r="C151" s="152"/>
      <c r="D151" s="152" t="s">
        <v>254</v>
      </c>
      <c r="E151" s="152"/>
      <c r="F151" s="152"/>
      <c r="G151" s="152" t="s">
        <v>254</v>
      </c>
      <c r="H151" s="156"/>
      <c r="I151" s="156"/>
      <c r="J151" s="156"/>
      <c r="K151" s="156"/>
      <c r="L151" s="156"/>
      <c r="M151" s="156"/>
      <c r="N151" s="156"/>
      <c r="O151" s="156"/>
      <c r="P151" s="156"/>
      <c r="Q151" s="152"/>
      <c r="R151" s="152">
        <f t="shared" ca="1" si="23"/>
        <v>0</v>
      </c>
      <c r="S151" s="152"/>
      <c r="T151" s="152"/>
      <c r="U151" s="152"/>
      <c r="V151" s="152"/>
      <c r="W151" s="152"/>
      <c r="X151" s="152"/>
      <c r="Y151" s="152"/>
      <c r="Z151" s="152"/>
      <c r="AA151" s="152"/>
    </row>
    <row r="152" spans="2:27" s="219" customFormat="1">
      <c r="B152" s="152"/>
      <c r="C152" s="152" t="s">
        <v>858</v>
      </c>
      <c r="D152" s="152" t="s">
        <v>259</v>
      </c>
      <c r="E152" s="152"/>
      <c r="F152" s="152"/>
      <c r="G152" s="152" t="s">
        <v>259</v>
      </c>
      <c r="H152" s="156"/>
      <c r="I152" s="156"/>
      <c r="J152" s="156"/>
      <c r="K152" s="156"/>
      <c r="L152" s="156"/>
      <c r="M152" s="156"/>
      <c r="N152" s="156"/>
      <c r="O152" s="156"/>
      <c r="P152" s="156"/>
      <c r="Q152" s="152"/>
      <c r="R152" s="152">
        <f t="shared" ca="1" si="23"/>
        <v>0</v>
      </c>
      <c r="S152" s="152"/>
      <c r="T152" s="152"/>
      <c r="U152" s="152"/>
      <c r="V152" s="152"/>
      <c r="W152" s="152"/>
      <c r="X152" s="152"/>
      <c r="Y152" s="152"/>
      <c r="Z152" s="152"/>
      <c r="AA152" s="152"/>
    </row>
    <row r="153" spans="2:27" s="219" customFormat="1">
      <c r="B153" s="152"/>
      <c r="C153" s="152" t="s">
        <v>858</v>
      </c>
      <c r="D153" s="152" t="s">
        <v>258</v>
      </c>
      <c r="E153" s="152"/>
      <c r="F153" s="152"/>
      <c r="G153" s="152" t="s">
        <v>258</v>
      </c>
      <c r="H153" s="156"/>
      <c r="I153" s="156"/>
      <c r="J153" s="156"/>
      <c r="K153" s="156"/>
      <c r="L153" s="156"/>
      <c r="M153" s="156"/>
      <c r="N153" s="156"/>
      <c r="O153" s="156"/>
      <c r="P153" s="156"/>
      <c r="Q153" s="152"/>
      <c r="R153" s="152">
        <f t="shared" ca="1" si="23"/>
        <v>0</v>
      </c>
      <c r="S153" s="152"/>
      <c r="T153" s="152"/>
      <c r="U153" s="152"/>
      <c r="V153" s="152"/>
      <c r="W153" s="152"/>
      <c r="X153" s="152"/>
      <c r="Y153" s="152"/>
      <c r="Z153" s="152"/>
      <c r="AA153" s="152"/>
    </row>
    <row r="154" spans="2:27" s="219" customFormat="1" ht="15" thickBot="1">
      <c r="B154" s="152"/>
      <c r="C154" s="145"/>
      <c r="D154" s="145" t="s">
        <v>375</v>
      </c>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52"/>
    </row>
    <row r="155" spans="2:27" s="219" customFormat="1">
      <c r="B155" s="15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2"/>
      <c r="Y155" s="152"/>
      <c r="Z155" s="152"/>
      <c r="AA155" s="152"/>
    </row>
    <row r="156" spans="2:27" s="219" customFormat="1">
      <c r="B156" s="152"/>
      <c r="C156" s="157" t="s">
        <v>2468</v>
      </c>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7"/>
      <c r="AA156" s="152"/>
    </row>
    <row r="157" spans="2:27" ht="15" thickBot="1">
      <c r="B157" s="152"/>
      <c r="C157" s="152"/>
      <c r="D157" s="152"/>
      <c r="E157" s="152"/>
      <c r="F157" s="152"/>
      <c r="G157" s="152"/>
      <c r="H157" s="156" t="s">
        <v>860</v>
      </c>
      <c r="I157" s="152"/>
      <c r="J157" s="152"/>
      <c r="K157" s="152"/>
      <c r="L157" s="152"/>
      <c r="M157" s="152"/>
      <c r="N157" s="152"/>
      <c r="O157" s="152"/>
      <c r="P157" s="152"/>
      <c r="Q157" s="152"/>
      <c r="R157" s="152" t="s">
        <v>861</v>
      </c>
      <c r="S157" s="152"/>
      <c r="T157" s="152"/>
      <c r="U157" s="152"/>
      <c r="V157" s="152"/>
      <c r="W157" s="152"/>
      <c r="X157" s="152"/>
      <c r="Y157" s="152"/>
      <c r="Z157" s="152"/>
      <c r="AA157" s="152"/>
    </row>
    <row r="158" spans="2:27">
      <c r="B158" s="152"/>
      <c r="C158" s="144" t="s">
        <v>279</v>
      </c>
      <c r="D158" s="144" t="str">
        <f>Preferences.energy</f>
        <v>EJ</v>
      </c>
      <c r="E158" s="144"/>
      <c r="F158" s="144" t="s">
        <v>392</v>
      </c>
      <c r="G158" s="144" t="s">
        <v>274</v>
      </c>
      <c r="H158" s="155" t="s">
        <v>501</v>
      </c>
      <c r="I158" s="155" t="s">
        <v>502</v>
      </c>
      <c r="J158" s="155" t="s">
        <v>503</v>
      </c>
      <c r="K158" s="155" t="s">
        <v>504</v>
      </c>
      <c r="L158" s="155" t="s">
        <v>505</v>
      </c>
      <c r="M158" s="155" t="s">
        <v>506</v>
      </c>
      <c r="N158" s="155" t="s">
        <v>507</v>
      </c>
      <c r="O158" s="155">
        <v>2010</v>
      </c>
      <c r="P158" s="155">
        <v>2011</v>
      </c>
      <c r="Q158" s="144"/>
      <c r="R158" s="144">
        <v>2011</v>
      </c>
      <c r="S158" s="144"/>
      <c r="T158" s="144"/>
      <c r="U158" s="144"/>
      <c r="V158" s="144"/>
      <c r="W158" s="144"/>
      <c r="X158" s="144"/>
      <c r="Y158" s="144"/>
      <c r="Z158" s="144"/>
      <c r="AA158" s="152"/>
    </row>
    <row r="159" spans="2:27">
      <c r="B159" s="152"/>
      <c r="C159" s="152" t="s">
        <v>858</v>
      </c>
      <c r="D159" s="152" t="s">
        <v>2216</v>
      </c>
      <c r="E159" s="152"/>
      <c r="F159" s="152"/>
      <c r="G159" s="152"/>
      <c r="H159" s="274">
        <f>16.8011964*(unit.EJ)</f>
        <v>16.801196399999998</v>
      </c>
      <c r="I159" s="274">
        <f>21.0157056*(unit.EJ)</f>
        <v>21.0157056</v>
      </c>
      <c r="J159" s="274">
        <f>22.6696788*(unit.EJ)</f>
        <v>22.6696788</v>
      </c>
      <c r="K159" s="274">
        <f>27.429624*(unit.EJ)</f>
        <v>27.429624</v>
      </c>
      <c r="L159" s="274">
        <f>30.127896*(unit.EJ)</f>
        <v>30.127896</v>
      </c>
      <c r="M159" s="274">
        <f>36.4040784*(unit.EJ)</f>
        <v>36.404078400000003</v>
      </c>
      <c r="N159" s="274">
        <f>44.5586256*(unit.EJ)</f>
        <v>44.558625599999999</v>
      </c>
      <c r="O159" s="274">
        <f>53.241246*(unit.EJ)</f>
        <v>53.241245999999997</v>
      </c>
      <c r="P159" s="274">
        <f>55.713996*(unit.EJ)</f>
        <v>55.713996000000002</v>
      </c>
      <c r="Q159" s="152"/>
      <c r="R159" s="152">
        <f ca="1">R146</f>
        <v>0</v>
      </c>
      <c r="S159" s="152"/>
      <c r="T159" s="152"/>
      <c r="U159" s="152"/>
      <c r="V159" s="152"/>
      <c r="W159" s="152"/>
      <c r="X159" s="152"/>
      <c r="Y159" s="152"/>
      <c r="Z159" s="152"/>
      <c r="AA159" s="152"/>
    </row>
    <row r="160" spans="2:27">
      <c r="B160" s="152"/>
      <c r="C160" s="152" t="s">
        <v>858</v>
      </c>
      <c r="D160" s="152" t="s">
        <v>755</v>
      </c>
      <c r="E160" s="152"/>
      <c r="F160" s="152"/>
      <c r="G160" s="152"/>
      <c r="H160" s="274">
        <f t="shared" ref="H160:P160" si="24">0*(unit.EJ)</f>
        <v>0</v>
      </c>
      <c r="I160" s="274">
        <f t="shared" si="24"/>
        <v>0</v>
      </c>
      <c r="J160" s="274">
        <f t="shared" si="24"/>
        <v>0</v>
      </c>
      <c r="K160" s="274">
        <f t="shared" si="24"/>
        <v>0</v>
      </c>
      <c r="L160" s="274">
        <f t="shared" si="24"/>
        <v>0</v>
      </c>
      <c r="M160" s="274">
        <f t="shared" si="24"/>
        <v>0</v>
      </c>
      <c r="N160" s="274">
        <f t="shared" si="24"/>
        <v>0</v>
      </c>
      <c r="O160" s="274">
        <f t="shared" si="24"/>
        <v>0</v>
      </c>
      <c r="P160" s="274">
        <f t="shared" si="24"/>
        <v>0</v>
      </c>
      <c r="Q160" s="152"/>
      <c r="R160" s="152">
        <f ca="1">R147</f>
        <v>0</v>
      </c>
      <c r="S160" s="152"/>
      <c r="T160" s="152"/>
      <c r="U160" s="152"/>
      <c r="V160" s="152"/>
      <c r="W160" s="152"/>
      <c r="X160" s="152"/>
      <c r="Y160" s="152"/>
      <c r="Z160" s="152"/>
      <c r="AA160" s="152"/>
    </row>
    <row r="161" spans="2:28">
      <c r="B161" s="152"/>
      <c r="C161" s="152" t="s">
        <v>858</v>
      </c>
      <c r="D161" s="152" t="s">
        <v>273</v>
      </c>
      <c r="E161" s="152"/>
      <c r="F161" s="152"/>
      <c r="G161" s="152"/>
      <c r="H161" s="274">
        <f>1.3810068*(unit.EJ)</f>
        <v>1.3810068</v>
      </c>
      <c r="I161" s="274">
        <f>2.56815*(unit.EJ)</f>
        <v>2.5681500000000002</v>
      </c>
      <c r="J161" s="274">
        <f>5.3715528*(unit.EJ)</f>
        <v>5.3715527999999999</v>
      </c>
      <c r="K161" s="274">
        <f>7.2464472*(unit.EJ)</f>
        <v>7.2464472000000004</v>
      </c>
      <c r="L161" s="274">
        <f>8.3950236*(unit.EJ)</f>
        <v>8.3950236</v>
      </c>
      <c r="M161" s="274">
        <f>9.3262428*(unit.EJ)</f>
        <v>9.3262427999999993</v>
      </c>
      <c r="N161" s="274">
        <f>9.9646272*(unit.EJ)</f>
        <v>9.9646272000000007</v>
      </c>
      <c r="O161" s="274">
        <f>9.9226368*(unit.EJ)</f>
        <v>9.9226367999999994</v>
      </c>
      <c r="P161" s="274">
        <f>9.3012444*(unit.EJ)</f>
        <v>9.3012443999999999</v>
      </c>
      <c r="Q161" s="152"/>
      <c r="R161" s="152">
        <f ca="1">R148</f>
        <v>0</v>
      </c>
      <c r="S161" s="152"/>
      <c r="T161" s="152"/>
      <c r="U161" s="152"/>
      <c r="V161" s="152"/>
      <c r="W161" s="152"/>
      <c r="X161" s="152"/>
      <c r="Y161" s="152"/>
      <c r="Z161" s="152"/>
      <c r="AA161" s="152"/>
    </row>
    <row r="162" spans="2:28">
      <c r="B162" s="152"/>
      <c r="C162" s="152" t="s">
        <v>858</v>
      </c>
      <c r="D162" s="152" t="s">
        <v>2212</v>
      </c>
      <c r="E162" s="152"/>
      <c r="F162" s="152"/>
      <c r="G162" s="152"/>
      <c r="H162" s="274">
        <f>0.0018612*(unit.EJ)</f>
        <v>1.8611999999999999E-3</v>
      </c>
      <c r="I162" s="274">
        <f>0.0018216*(unit.EJ)</f>
        <v>1.8216E-3</v>
      </c>
      <c r="J162" s="274">
        <f>0.0025236*(unit.EJ)</f>
        <v>2.5236E-3</v>
      </c>
      <c r="K162" s="274">
        <f>0.0188136*(unit.EJ)</f>
        <v>1.88136E-2</v>
      </c>
      <c r="L162" s="274">
        <f>0.0368568*(unit.EJ)</f>
        <v>3.6856800000000002E-2</v>
      </c>
      <c r="M162" s="274">
        <f>0.1244772*(unit.EJ)</f>
        <v>0.1244772</v>
      </c>
      <c r="N162" s="274">
        <f>0.4177584*(unit.EJ)</f>
        <v>0.41775839999999997</v>
      </c>
      <c r="O162" s="274">
        <f>1.370574*(unit.EJ)</f>
        <v>1.370574</v>
      </c>
      <c r="P162" s="274">
        <f>1.8177696*(unit.EJ)</f>
        <v>1.8177696000000001</v>
      </c>
      <c r="Q162" s="152"/>
      <c r="R162" s="152">
        <f ca="1">R149+R150+R151</f>
        <v>0</v>
      </c>
      <c r="S162" s="152"/>
      <c r="T162" s="152"/>
      <c r="U162" s="152"/>
      <c r="V162" s="152"/>
      <c r="W162" s="152"/>
      <c r="X162" s="152"/>
      <c r="Y162" s="152"/>
      <c r="Z162" s="152"/>
      <c r="AA162" s="152"/>
    </row>
    <row r="163" spans="2:28">
      <c r="B163" s="152"/>
      <c r="C163" s="152" t="s">
        <v>858</v>
      </c>
      <c r="D163" s="152" t="s">
        <v>259</v>
      </c>
      <c r="E163" s="152"/>
      <c r="F163" s="152"/>
      <c r="G163" s="152"/>
      <c r="H163" s="274">
        <f>5.1973488*(unit.EJ)</f>
        <v>5.1973488000000003</v>
      </c>
      <c r="I163" s="274">
        <f>6.180696*(unit.EJ)</f>
        <v>6.1806960000000002</v>
      </c>
      <c r="J163" s="274">
        <f>7.103448*(unit.EJ)</f>
        <v>7.1034480000000002</v>
      </c>
      <c r="K163" s="274">
        <f>7.7201532*(unit.EJ)</f>
        <v>7.7201532000000004</v>
      </c>
      <c r="L163" s="274">
        <f>8.9287596*(unit.EJ)</f>
        <v>8.9287595999999994</v>
      </c>
      <c r="M163" s="274">
        <f>9.433656*(unit.EJ)</f>
        <v>9.4336559999999992</v>
      </c>
      <c r="N163" s="274">
        <f>10.5463116*(unit.EJ)</f>
        <v>10.546311599999999</v>
      </c>
      <c r="O163" s="274">
        <f>12.389958*(unit.EJ)</f>
        <v>12.389958</v>
      </c>
      <c r="P163" s="274">
        <f>12.5653572*(unit.EJ)</f>
        <v>12.565357199999999</v>
      </c>
      <c r="Q163" s="152"/>
      <c r="R163" s="152">
        <f ca="1">R152</f>
        <v>0</v>
      </c>
      <c r="S163" s="152"/>
      <c r="T163" s="152"/>
      <c r="U163" s="152"/>
      <c r="V163" s="152"/>
      <c r="W163" s="152"/>
      <c r="X163" s="152"/>
      <c r="Y163" s="152"/>
      <c r="Z163" s="152"/>
      <c r="AA163" s="152"/>
    </row>
    <row r="164" spans="2:28">
      <c r="B164" s="152"/>
      <c r="C164" s="152" t="s">
        <v>858</v>
      </c>
      <c r="D164" s="152" t="s">
        <v>258</v>
      </c>
      <c r="E164" s="152"/>
      <c r="F164" s="152"/>
      <c r="G164" s="152"/>
      <c r="H164" s="274">
        <f>0.0288324*(unit.EJ)</f>
        <v>2.8832400000000001E-2</v>
      </c>
      <c r="I164" s="274">
        <f>0.0491184*(unit.EJ)</f>
        <v>4.91184E-2</v>
      </c>
      <c r="J164" s="274">
        <f>0.0825156*(unit.EJ)</f>
        <v>8.2515599999999995E-2</v>
      </c>
      <c r="K164" s="274">
        <f>0.1309248*(unit.EJ)</f>
        <v>0.13092480000000001</v>
      </c>
      <c r="L164" s="274">
        <f>0.143226*(unit.EJ)</f>
        <v>0.14322599999999999</v>
      </c>
      <c r="M164" s="274">
        <f>0.1867716*(unit.EJ)</f>
        <v>0.18677160000000001</v>
      </c>
      <c r="N164" s="274">
        <f>0.2097468*(unit.EJ)</f>
        <v>0.20974680000000001</v>
      </c>
      <c r="O164" s="274">
        <f>0.2452896*(unit.EJ)</f>
        <v>0.2452896</v>
      </c>
      <c r="P164" s="274">
        <f>0.2491632*(unit.EJ)</f>
        <v>0.2491632</v>
      </c>
      <c r="Q164" s="152"/>
      <c r="R164" s="152">
        <f ca="1">R153</f>
        <v>0</v>
      </c>
      <c r="S164" s="152"/>
      <c r="T164" s="152"/>
      <c r="U164" s="152"/>
      <c r="V164" s="152"/>
      <c r="W164" s="152"/>
      <c r="X164" s="152"/>
      <c r="Y164" s="152"/>
      <c r="Z164" s="152"/>
      <c r="AA164" s="152"/>
    </row>
    <row r="165" spans="2:28" ht="15" thickBot="1">
      <c r="B165" s="152"/>
      <c r="C165" s="145"/>
      <c r="D165" s="145" t="s">
        <v>375</v>
      </c>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c r="AA165" s="152"/>
    </row>
    <row r="166" spans="2:28">
      <c r="B166" s="152"/>
      <c r="C166" s="152"/>
      <c r="D166" s="152"/>
      <c r="E166" s="152"/>
      <c r="F166" s="152"/>
      <c r="G166" s="152"/>
      <c r="H166" s="152"/>
      <c r="I166" s="152"/>
      <c r="J166" s="152"/>
      <c r="K166" s="152"/>
      <c r="L166" s="152"/>
      <c r="M166" s="152"/>
      <c r="N166" s="152"/>
      <c r="O166" s="152"/>
      <c r="P166" s="152"/>
      <c r="Q166" s="152"/>
      <c r="R166" s="152"/>
      <c r="S166" s="152"/>
      <c r="T166" s="152"/>
      <c r="U166" s="152"/>
      <c r="V166" s="152"/>
      <c r="W166" s="152"/>
      <c r="X166" s="152"/>
      <c r="Y166" s="152"/>
      <c r="Z166" s="152"/>
      <c r="AA166" s="152"/>
    </row>
    <row r="167" spans="2:28">
      <c r="B167" s="152"/>
      <c r="C167" s="152"/>
      <c r="D167" s="152" t="s">
        <v>789</v>
      </c>
      <c r="E167" s="152"/>
      <c r="F167" s="152"/>
      <c r="G167" s="152"/>
      <c r="H167" s="152">
        <f t="shared" ref="H167:N167" si="25">H165-H132</f>
        <v>0</v>
      </c>
      <c r="I167" s="152">
        <f t="shared" si="25"/>
        <v>0</v>
      </c>
      <c r="J167" s="152">
        <f t="shared" si="25"/>
        <v>0</v>
      </c>
      <c r="K167" s="152">
        <f t="shared" si="25"/>
        <v>0</v>
      </c>
      <c r="L167" s="152">
        <f t="shared" si="25"/>
        <v>0</v>
      </c>
      <c r="M167" s="152">
        <f t="shared" si="25"/>
        <v>0</v>
      </c>
      <c r="N167" s="152">
        <f t="shared" si="25"/>
        <v>0</v>
      </c>
      <c r="O167" s="152"/>
      <c r="P167" s="152"/>
      <c r="Q167" s="152"/>
      <c r="R167" s="152">
        <f t="shared" ref="R167:Z167" ca="1" si="26">R165-R132</f>
        <v>0</v>
      </c>
      <c r="S167" s="152"/>
      <c r="T167" s="152"/>
      <c r="U167" s="152"/>
      <c r="V167" s="152"/>
      <c r="W167" s="152"/>
      <c r="X167" s="152"/>
      <c r="Y167" s="152"/>
      <c r="Z167" s="152"/>
      <c r="AA167" s="152"/>
      <c r="AB167" s="57" t="s">
        <v>790</v>
      </c>
    </row>
    <row r="168" spans="2:28">
      <c r="B168" s="40"/>
      <c r="C168" s="40"/>
      <c r="D168" s="40"/>
      <c r="E168" s="40"/>
      <c r="F168" s="40"/>
      <c r="G168" s="40"/>
      <c r="H168" s="40"/>
      <c r="I168" s="40"/>
      <c r="J168" s="40"/>
      <c r="K168" s="40"/>
      <c r="L168" s="40"/>
      <c r="M168" s="40"/>
      <c r="N168" s="40"/>
      <c r="O168" s="40"/>
      <c r="Q168" s="40"/>
      <c r="R168" s="40"/>
      <c r="S168" s="40"/>
      <c r="T168" s="40"/>
      <c r="U168" s="40"/>
      <c r="V168" s="40"/>
      <c r="W168" s="40"/>
      <c r="X168" s="40"/>
      <c r="Y168" s="40"/>
      <c r="Z168" s="40"/>
      <c r="AA168" s="40"/>
    </row>
    <row r="169" spans="2:28">
      <c r="B169" s="40"/>
      <c r="C169" s="40"/>
      <c r="D169" s="40"/>
      <c r="E169" s="40"/>
      <c r="F169" s="40"/>
      <c r="G169" s="40"/>
      <c r="H169" s="40"/>
      <c r="I169" s="40"/>
      <c r="J169" s="40"/>
      <c r="K169" s="40"/>
      <c r="L169" s="40"/>
      <c r="M169" s="40"/>
      <c r="N169" s="40"/>
      <c r="O169" s="40"/>
      <c r="Q169" s="40"/>
      <c r="R169" s="40"/>
      <c r="S169" s="40"/>
      <c r="T169" s="40"/>
      <c r="U169" s="40"/>
      <c r="V169" s="40"/>
      <c r="W169" s="40"/>
      <c r="X169" s="40"/>
      <c r="Y169" s="40"/>
      <c r="Z169" s="40"/>
      <c r="AA169" s="40"/>
    </row>
    <row r="170" spans="2:28">
      <c r="O170" s="111"/>
      <c r="Q170" s="111"/>
    </row>
    <row r="171" spans="2:28" ht="15">
      <c r="B171" s="41" t="s">
        <v>857</v>
      </c>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spans="2:28" s="111" customFormat="1">
      <c r="B172" s="121"/>
      <c r="C172" s="121"/>
      <c r="D172" s="121"/>
      <c r="E172" s="121"/>
      <c r="F172" s="121"/>
      <c r="G172" s="121"/>
      <c r="H172" s="121"/>
      <c r="I172" s="121"/>
      <c r="J172" s="121"/>
      <c r="K172" s="121"/>
      <c r="L172" s="121"/>
      <c r="M172" s="121"/>
      <c r="N172" s="121"/>
      <c r="O172" s="121"/>
      <c r="P172" s="121"/>
      <c r="Q172" s="121"/>
      <c r="R172" s="121"/>
      <c r="S172" s="121"/>
      <c r="T172" s="121"/>
      <c r="U172" s="121"/>
      <c r="V172" s="121"/>
      <c r="W172" s="121"/>
      <c r="X172" s="121"/>
      <c r="Y172" s="121"/>
      <c r="Z172" s="121"/>
      <c r="AA172" s="121"/>
    </row>
    <row r="173" spans="2:28" ht="15" thickBot="1">
      <c r="B173" s="121"/>
      <c r="C173" s="121"/>
      <c r="D173" s="121"/>
      <c r="E173" s="121"/>
      <c r="F173" s="121"/>
      <c r="G173" s="121"/>
      <c r="H173" s="148" t="s">
        <v>860</v>
      </c>
      <c r="I173" s="121"/>
      <c r="J173" s="121"/>
      <c r="K173" s="121"/>
      <c r="L173" s="121"/>
      <c r="M173" s="121"/>
      <c r="N173" s="121"/>
      <c r="O173" s="121"/>
      <c r="P173" s="121"/>
      <c r="Q173" s="121"/>
      <c r="R173" s="121" t="s">
        <v>861</v>
      </c>
      <c r="S173" s="121"/>
      <c r="T173" s="121"/>
      <c r="U173" s="121"/>
      <c r="V173" s="121"/>
      <c r="W173" s="121"/>
      <c r="X173" s="121"/>
      <c r="Y173" s="121"/>
      <c r="Z173" s="121"/>
      <c r="AA173" s="121"/>
    </row>
    <row r="174" spans="2:28">
      <c r="B174" s="121"/>
      <c r="C174" s="42" t="str">
        <f>Preferences.energy</f>
        <v>EJ</v>
      </c>
      <c r="D174" s="42"/>
      <c r="E174" s="42"/>
      <c r="F174" s="42"/>
      <c r="G174" s="42"/>
      <c r="H174" s="149" t="s">
        <v>501</v>
      </c>
      <c r="I174" s="149" t="s">
        <v>502</v>
      </c>
      <c r="J174" s="149" t="s">
        <v>503</v>
      </c>
      <c r="K174" s="149" t="s">
        <v>504</v>
      </c>
      <c r="L174" s="149" t="s">
        <v>505</v>
      </c>
      <c r="M174" s="149" t="s">
        <v>506</v>
      </c>
      <c r="N174" s="149" t="s">
        <v>507</v>
      </c>
      <c r="O174" s="149">
        <v>2010</v>
      </c>
      <c r="P174" s="149">
        <v>2011</v>
      </c>
      <c r="Q174" s="42"/>
      <c r="R174" s="42">
        <v>2011</v>
      </c>
      <c r="S174" s="42"/>
      <c r="T174" s="42"/>
      <c r="U174" s="42"/>
      <c r="V174" s="42"/>
      <c r="W174" s="42"/>
      <c r="X174" s="42"/>
      <c r="Y174" s="42"/>
      <c r="Z174" s="42"/>
      <c r="AA174" s="121"/>
    </row>
    <row r="175" spans="2:28">
      <c r="B175" s="121"/>
      <c r="C175" s="121" t="str">
        <f>$B$2&amp;".C.01"</f>
        <v>G.C.01</v>
      </c>
      <c r="D175" s="121" t="str">
        <f>INDEX(Regional.energy[Description],MATCH(C175,Regional.energy[Regional energy code],0))</f>
        <v>Global Solid hydrocarbons</v>
      </c>
      <c r="E175" s="121"/>
      <c r="F175" s="121"/>
      <c r="G175" s="121"/>
      <c r="H175" s="148"/>
      <c r="I175" s="148"/>
      <c r="J175" s="148"/>
      <c r="K175" s="148"/>
      <c r="L175" s="148"/>
      <c r="M175" s="148"/>
      <c r="N175" s="148"/>
      <c r="O175" s="148"/>
      <c r="P175" s="148"/>
      <c r="Q175" s="121"/>
      <c r="R175" s="121"/>
      <c r="S175" s="121"/>
      <c r="T175" s="121"/>
      <c r="U175" s="121"/>
      <c r="V175" s="121"/>
      <c r="W175" s="121"/>
      <c r="X175" s="121"/>
      <c r="Y175" s="121"/>
      <c r="Z175" s="121"/>
      <c r="AA175" s="121"/>
    </row>
    <row r="176" spans="2:28">
      <c r="B176" s="121"/>
      <c r="C176" s="121" t="str">
        <f>$B$2&amp;".C.02"</f>
        <v>G.C.02</v>
      </c>
      <c r="D176" s="121" t="str">
        <f>INDEX(Regional.energy[Description],MATCH(C176,Regional.energy[Regional energy code],0))</f>
        <v>Global Liquid hydrocarbons</v>
      </c>
      <c r="E176" s="121"/>
      <c r="F176" s="121"/>
      <c r="G176" s="121"/>
      <c r="H176" s="148"/>
      <c r="I176" s="148"/>
      <c r="J176" s="148"/>
      <c r="K176" s="148"/>
      <c r="L176" s="148"/>
      <c r="M176" s="148"/>
      <c r="N176" s="148"/>
      <c r="O176" s="148"/>
      <c r="P176" s="148"/>
      <c r="Q176" s="121"/>
      <c r="R176" s="121"/>
      <c r="S176" s="121"/>
      <c r="T176" s="121"/>
      <c r="U176" s="121"/>
      <c r="V176" s="121"/>
      <c r="W176" s="121"/>
      <c r="X176" s="121"/>
      <c r="Y176" s="121"/>
      <c r="Z176" s="121"/>
      <c r="AA176" s="121"/>
    </row>
    <row r="177" spans="2:27">
      <c r="B177" s="121"/>
      <c r="C177" s="121" t="str">
        <f>$B$2&amp;".C.03"</f>
        <v>G.C.03</v>
      </c>
      <c r="D177" s="121" t="str">
        <f>INDEX(Regional.energy[Description],MATCH(C177,Regional.energy[Regional energy code],0))</f>
        <v>Global Gaseous hydrocarbons</v>
      </c>
      <c r="E177" s="121"/>
      <c r="F177" s="121"/>
      <c r="G177" s="121"/>
      <c r="H177" s="148"/>
      <c r="I177" s="148"/>
      <c r="J177" s="148"/>
      <c r="K177" s="148"/>
      <c r="L177" s="148"/>
      <c r="M177" s="148"/>
      <c r="N177" s="148"/>
      <c r="O177" s="148"/>
      <c r="P177" s="148"/>
      <c r="Q177" s="121"/>
      <c r="R177" s="121"/>
      <c r="S177" s="121"/>
      <c r="T177" s="121"/>
      <c r="U177" s="121"/>
      <c r="V177" s="121"/>
      <c r="W177" s="121"/>
      <c r="X177" s="121"/>
      <c r="Y177" s="121"/>
      <c r="Z177" s="121"/>
      <c r="AA177" s="121"/>
    </row>
    <row r="178" spans="2:27" ht="15" thickBot="1">
      <c r="B178" s="121"/>
      <c r="C178" s="103" t="s">
        <v>375</v>
      </c>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21"/>
    </row>
    <row r="179" spans="2:27">
      <c r="B179" s="121"/>
      <c r="C179" s="121"/>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1"/>
      <c r="Z179" s="121"/>
      <c r="AA179" s="121"/>
    </row>
    <row r="180" spans="2:27">
      <c r="B180" s="121"/>
      <c r="C180" s="121"/>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1"/>
      <c r="Z180" s="121"/>
      <c r="AA180" s="121"/>
    </row>
    <row r="181" spans="2:27">
      <c r="O181" s="111"/>
      <c r="Q181" s="111"/>
    </row>
    <row r="182" spans="2:27">
      <c r="O182" s="111"/>
      <c r="Q182" s="111"/>
    </row>
    <row r="183" spans="2:27">
      <c r="Q183" s="111"/>
      <c r="R183" s="111"/>
    </row>
    <row r="184" spans="2:27">
      <c r="Q184" s="111"/>
      <c r="R184" s="111"/>
    </row>
    <row r="185" spans="2:27">
      <c r="Q185" s="111"/>
      <c r="R185" s="111"/>
    </row>
    <row r="186" spans="2:27">
      <c r="Q186" s="111"/>
      <c r="R186" s="111"/>
    </row>
    <row r="187" spans="2:27">
      <c r="Q187" s="111"/>
      <c r="R187" s="111"/>
    </row>
    <row r="188" spans="2:27">
      <c r="Q188" s="111"/>
      <c r="R188" s="111"/>
    </row>
  </sheetData>
  <phoneticPr fontId="79" type="noConversion"/>
  <hyperlinks>
    <hyperlink ref="E2" location="Contents!A1" display="Click here to go to the &quot;contents&quot; pag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499984740745262"/>
  </sheetPr>
  <dimension ref="A1:BD228"/>
  <sheetViews>
    <sheetView showGridLines="0" zoomScale="70" zoomScaleNormal="70" zoomScalePageLayoutView="70" workbookViewId="0">
      <selection activeCell="G24" sqref="G24"/>
    </sheetView>
  </sheetViews>
  <sheetFormatPr baseColWidth="10" defaultColWidth="9.1640625" defaultRowHeight="14" x14ac:dyDescent="0"/>
  <cols>
    <col min="1" max="1" width="2.83203125" style="7" customWidth="1"/>
    <col min="2" max="2" width="7" style="7" customWidth="1"/>
    <col min="3" max="3" width="9.6640625" style="7" customWidth="1"/>
    <col min="4" max="4" width="3" style="7" customWidth="1"/>
    <col min="5" max="5" width="6.6640625" style="40" customWidth="1"/>
    <col min="6" max="6" width="31.83203125" style="40" customWidth="1"/>
    <col min="7" max="7" width="98.6640625" style="40" customWidth="1"/>
    <col min="8" max="8" width="4.6640625" style="40" customWidth="1"/>
    <col min="9" max="9" width="9" style="39" customWidth="1"/>
    <col min="10" max="11" width="11.33203125" style="98" customWidth="1"/>
    <col min="12" max="12" width="39.5" style="40" customWidth="1"/>
    <col min="13" max="13" width="5.5" style="40" customWidth="1"/>
    <col min="14" max="14" width="36.6640625" style="98" customWidth="1"/>
    <col min="15" max="15" width="58.6640625" style="39" customWidth="1"/>
    <col min="16" max="16" width="26.1640625" style="111" customWidth="1"/>
    <col min="17" max="17" width="53.6640625" bestFit="1" customWidth="1"/>
    <col min="18" max="18" width="5.5" style="39" customWidth="1"/>
    <col min="19" max="19" width="12.6640625" style="111" customWidth="1"/>
    <col min="20" max="20" width="55.1640625" style="111" customWidth="1"/>
    <col min="21" max="21" width="40.6640625" style="111" customWidth="1"/>
    <col min="22" max="22" width="59.6640625" style="111" customWidth="1"/>
    <col min="23" max="23" width="6.5" style="40" customWidth="1"/>
    <col min="24" max="24" width="8.5" style="40" customWidth="1"/>
    <col min="25" max="25" width="17" style="7" customWidth="1"/>
    <col min="26" max="26" width="18.33203125" style="40" customWidth="1"/>
    <col min="27" max="27" width="41.5" style="7" bestFit="1" customWidth="1"/>
    <col min="28" max="28" width="110" customWidth="1"/>
    <col min="29" max="29" width="5" style="40" customWidth="1"/>
    <col min="30" max="30" width="6.6640625" style="7" customWidth="1"/>
    <col min="31" max="31" width="6.6640625" style="40" customWidth="1"/>
    <col min="32" max="32" width="22.5" style="40" customWidth="1"/>
    <col min="33" max="33" width="47.5" style="40" bestFit="1" customWidth="1"/>
    <col min="34" max="34" width="5" style="40" customWidth="1"/>
    <col min="35" max="35" width="10.5" style="75" customWidth="1"/>
    <col min="36" max="36" width="33.33203125" style="7" customWidth="1"/>
    <col min="37" max="37" width="90.33203125" style="7" customWidth="1"/>
    <col min="38" max="38" width="5" style="40" customWidth="1"/>
    <col min="39" max="39" width="12.5" style="40" customWidth="1"/>
    <col min="40" max="40" width="11.83203125" style="40" customWidth="1"/>
    <col min="41" max="41" width="22.5" style="40" customWidth="1"/>
    <col min="42" max="42" width="48.1640625" style="40" customWidth="1"/>
    <col min="43" max="43" width="6.33203125" style="40" customWidth="1"/>
    <col min="44" max="44" width="7" style="7" customWidth="1"/>
    <col min="45" max="45" width="6.33203125" style="7" customWidth="1"/>
    <col min="46" max="46" width="51.5" style="7" bestFit="1" customWidth="1"/>
    <col min="47" max="47" width="5.33203125" style="7" customWidth="1"/>
    <col min="48" max="48" width="9.6640625" style="7" customWidth="1"/>
    <col min="49" max="49" width="27.5" style="7" bestFit="1" customWidth="1"/>
    <col min="50" max="50" width="9.1640625" style="7" customWidth="1"/>
    <col min="51" max="51" width="6.5" style="7" customWidth="1"/>
    <col min="52" max="52" width="7.33203125" style="7" customWidth="1"/>
    <col min="53" max="53" width="11.5" style="7" customWidth="1"/>
    <col min="54" max="54" width="9.5" style="7" bestFit="1" customWidth="1"/>
    <col min="55" max="55" width="33.33203125" style="40" bestFit="1" customWidth="1"/>
    <col min="56" max="56" width="12.33203125" style="7" customWidth="1"/>
    <col min="57" max="57" width="12" style="7" customWidth="1"/>
    <col min="58" max="16384" width="9.1640625" style="7"/>
  </cols>
  <sheetData>
    <row r="1" spans="1:56" ht="8.25" customHeight="1">
      <c r="I1" s="40"/>
      <c r="J1" s="40"/>
      <c r="K1" s="40"/>
      <c r="N1" s="40"/>
      <c r="O1" s="40"/>
      <c r="P1" s="40"/>
      <c r="Q1" s="40"/>
      <c r="R1" s="40"/>
      <c r="S1" s="40"/>
      <c r="T1" s="40"/>
      <c r="U1" s="40"/>
      <c r="V1" s="40"/>
      <c r="X1" s="7"/>
      <c r="Z1" s="7"/>
      <c r="AB1" s="7"/>
      <c r="AD1" s="40"/>
      <c r="AH1" s="75"/>
      <c r="AI1" s="40"/>
      <c r="AM1" s="7"/>
      <c r="BB1" s="40"/>
      <c r="BC1" s="7"/>
    </row>
    <row r="2" spans="1:56" ht="20">
      <c r="B2" s="9" t="s">
        <v>270</v>
      </c>
      <c r="G2" s="99" t="s">
        <v>350</v>
      </c>
      <c r="H2" s="30"/>
      <c r="I2" s="40"/>
      <c r="J2" s="40"/>
      <c r="K2" s="30"/>
      <c r="L2" s="30"/>
      <c r="M2" s="111"/>
      <c r="N2" s="40"/>
      <c r="O2" s="40"/>
      <c r="P2" s="40"/>
      <c r="Q2" s="40"/>
      <c r="R2" s="40"/>
      <c r="S2" s="40"/>
      <c r="T2" s="40"/>
      <c r="U2" s="40"/>
      <c r="V2" s="40"/>
      <c r="W2" s="30"/>
      <c r="X2" s="7"/>
      <c r="Z2" s="7"/>
      <c r="AB2" s="7"/>
      <c r="AD2" s="40"/>
      <c r="AH2" s="75"/>
      <c r="AI2" s="40"/>
      <c r="AM2" s="7"/>
      <c r="BB2" s="40"/>
      <c r="BC2" s="7"/>
    </row>
    <row r="3" spans="1:56" ht="7.5" customHeight="1">
      <c r="B3" s="9"/>
      <c r="I3" s="40"/>
      <c r="J3" s="40"/>
      <c r="K3" s="40"/>
      <c r="N3" s="40"/>
      <c r="O3" s="40"/>
      <c r="P3" s="40"/>
      <c r="Q3" s="40"/>
      <c r="R3" s="40"/>
      <c r="S3" s="40"/>
      <c r="T3" s="40"/>
      <c r="U3" s="40"/>
      <c r="V3" s="40"/>
      <c r="X3" s="7"/>
      <c r="Z3" s="7"/>
      <c r="AB3" s="7"/>
      <c r="AD3" s="40"/>
      <c r="AH3" s="75"/>
      <c r="AI3" s="40"/>
      <c r="AM3" s="7"/>
      <c r="BB3" s="40"/>
      <c r="BC3" s="7"/>
    </row>
    <row r="4" spans="1:56" s="40" customFormat="1" ht="9" customHeight="1">
      <c r="AH4" s="75"/>
    </row>
    <row r="5" spans="1:56">
      <c r="I5" s="40"/>
      <c r="J5" s="40"/>
      <c r="K5" s="40"/>
      <c r="N5" s="40"/>
      <c r="O5" s="40"/>
      <c r="P5" s="40"/>
      <c r="Q5" s="40"/>
      <c r="R5" s="40"/>
      <c r="S5" s="40"/>
      <c r="T5" s="40"/>
      <c r="U5" s="40"/>
      <c r="V5" s="40"/>
      <c r="X5" s="7"/>
      <c r="Z5" s="7"/>
      <c r="AB5" s="7"/>
      <c r="AD5" s="40"/>
      <c r="AH5" s="75"/>
      <c r="AI5" s="40"/>
      <c r="AM5" s="7"/>
      <c r="BB5" s="40"/>
      <c r="BC5" s="7"/>
    </row>
    <row r="6" spans="1:56" ht="15">
      <c r="B6" s="15" t="s">
        <v>460</v>
      </c>
      <c r="C6" s="26"/>
      <c r="D6" s="26"/>
      <c r="E6" s="15" t="s">
        <v>708</v>
      </c>
      <c r="F6" s="43"/>
      <c r="G6" s="43"/>
      <c r="I6" s="126" t="s">
        <v>494</v>
      </c>
      <c r="J6" s="126"/>
      <c r="K6" s="117"/>
      <c r="L6" s="126"/>
      <c r="M6" s="126"/>
      <c r="N6" s="15" t="s">
        <v>512</v>
      </c>
      <c r="Q6" s="117"/>
      <c r="R6" s="122"/>
      <c r="S6" s="15" t="s">
        <v>753</v>
      </c>
      <c r="W6" s="126"/>
      <c r="X6" s="15" t="s">
        <v>513</v>
      </c>
      <c r="Y6" s="15"/>
      <c r="Z6" s="97"/>
      <c r="AA6" s="40"/>
      <c r="AB6" s="7"/>
      <c r="AD6" s="15" t="s">
        <v>573</v>
      </c>
      <c r="AE6" s="15"/>
      <c r="AH6" s="75"/>
      <c r="AI6" s="15" t="s">
        <v>277</v>
      </c>
      <c r="AM6" s="15" t="s">
        <v>750</v>
      </c>
      <c r="AR6" s="15" t="s">
        <v>384</v>
      </c>
      <c r="AU6" s="26"/>
      <c r="AV6" s="15" t="s">
        <v>278</v>
      </c>
      <c r="AZ6" s="15" t="s">
        <v>577</v>
      </c>
      <c r="BB6" s="40"/>
      <c r="BC6" s="7"/>
    </row>
    <row r="7" spans="1:56" ht="15" thickBot="1">
      <c r="A7" s="117"/>
      <c r="B7" s="122"/>
      <c r="C7" s="122"/>
      <c r="D7" s="122"/>
      <c r="E7" s="122"/>
      <c r="F7" s="122"/>
      <c r="G7" s="122"/>
      <c r="I7" s="122"/>
      <c r="J7" s="122"/>
      <c r="K7" s="122"/>
      <c r="L7" s="122"/>
      <c r="M7" s="122"/>
      <c r="N7" s="79" t="s">
        <v>709</v>
      </c>
      <c r="Q7" s="125"/>
      <c r="R7" s="122"/>
      <c r="S7" s="79" t="s">
        <v>709</v>
      </c>
      <c r="W7" s="122"/>
      <c r="X7" s="117"/>
      <c r="Z7" s="7"/>
      <c r="AB7" s="7"/>
      <c r="AD7" s="40"/>
      <c r="AH7" s="75"/>
      <c r="AI7" s="40"/>
      <c r="AM7" s="7"/>
      <c r="AR7" s="40"/>
      <c r="AU7" s="26"/>
      <c r="BB7" s="40"/>
      <c r="BC7" s="7"/>
    </row>
    <row r="8" spans="1:56" s="26" customFormat="1" ht="29" thickBot="1">
      <c r="A8" s="122"/>
      <c r="B8" s="123" t="s">
        <v>279</v>
      </c>
      <c r="C8" s="123" t="s">
        <v>241</v>
      </c>
      <c r="D8" s="117"/>
      <c r="E8" s="64" t="s">
        <v>279</v>
      </c>
      <c r="F8" s="123" t="s">
        <v>462</v>
      </c>
      <c r="G8" s="64" t="s">
        <v>436</v>
      </c>
      <c r="H8" s="64"/>
      <c r="I8" s="76" t="s">
        <v>342</v>
      </c>
      <c r="J8" s="76" t="s">
        <v>355</v>
      </c>
      <c r="K8" s="76" t="s">
        <v>279</v>
      </c>
      <c r="L8" s="76" t="s">
        <v>241</v>
      </c>
      <c r="M8" s="76"/>
      <c r="N8" s="76" t="s">
        <v>279</v>
      </c>
      <c r="O8" s="76" t="s">
        <v>241</v>
      </c>
      <c r="P8" s="76" t="s">
        <v>710</v>
      </c>
      <c r="Q8" s="76" t="s">
        <v>274</v>
      </c>
      <c r="R8" s="76"/>
      <c r="S8" s="104" t="s">
        <v>342</v>
      </c>
      <c r="T8" s="76" t="s">
        <v>630</v>
      </c>
      <c r="U8" s="76" t="s">
        <v>279</v>
      </c>
      <c r="V8" s="76" t="s">
        <v>241</v>
      </c>
      <c r="W8" s="76"/>
      <c r="X8" s="123" t="s">
        <v>279</v>
      </c>
      <c r="Y8" s="123" t="s">
        <v>280</v>
      </c>
      <c r="Z8" s="123" t="s">
        <v>281</v>
      </c>
      <c r="AA8" s="123" t="s">
        <v>241</v>
      </c>
      <c r="AB8" s="123" t="s">
        <v>282</v>
      </c>
      <c r="AC8" s="64"/>
      <c r="AD8" s="76" t="s">
        <v>748</v>
      </c>
      <c r="AE8" s="76" t="s">
        <v>572</v>
      </c>
      <c r="AF8" s="64" t="s">
        <v>749</v>
      </c>
      <c r="AG8" s="64" t="s">
        <v>241</v>
      </c>
      <c r="AH8" s="76"/>
      <c r="AI8" s="130" t="s">
        <v>645</v>
      </c>
      <c r="AJ8" s="64" t="s">
        <v>241</v>
      </c>
      <c r="AK8" s="64" t="s">
        <v>282</v>
      </c>
      <c r="AL8" s="64"/>
      <c r="AM8" s="26" t="s">
        <v>748</v>
      </c>
      <c r="AN8" s="43" t="s">
        <v>751</v>
      </c>
      <c r="AO8" s="43" t="s">
        <v>752</v>
      </c>
      <c r="AP8" s="43" t="s">
        <v>241</v>
      </c>
      <c r="AQ8" s="43"/>
      <c r="AR8" s="24" t="s">
        <v>279</v>
      </c>
      <c r="AS8" s="24" t="s">
        <v>241</v>
      </c>
      <c r="AT8" s="24" t="s">
        <v>282</v>
      </c>
      <c r="AV8" s="27" t="s">
        <v>279</v>
      </c>
      <c r="AW8" s="27" t="s">
        <v>241</v>
      </c>
      <c r="AX8" s="27" t="s">
        <v>282</v>
      </c>
      <c r="AZ8" s="96" t="s">
        <v>342</v>
      </c>
      <c r="BA8" s="27" t="s">
        <v>576</v>
      </c>
      <c r="BB8" s="27" t="s">
        <v>279</v>
      </c>
      <c r="BC8" s="27" t="s">
        <v>241</v>
      </c>
      <c r="BD8" s="27" t="s">
        <v>282</v>
      </c>
    </row>
    <row r="9" spans="1:56" s="26" customFormat="1" ht="13.5" customHeight="1">
      <c r="A9" s="122"/>
      <c r="B9" s="117" t="s">
        <v>360</v>
      </c>
      <c r="C9" s="117" t="s">
        <v>354</v>
      </c>
      <c r="D9" s="28"/>
      <c r="E9" s="124">
        <v>10</v>
      </c>
      <c r="F9" s="122" t="s">
        <v>51</v>
      </c>
      <c r="G9" s="165" t="s">
        <v>438</v>
      </c>
      <c r="H9" s="66"/>
      <c r="I9" s="75" t="s">
        <v>360</v>
      </c>
      <c r="J9" s="75">
        <v>10</v>
      </c>
      <c r="K9" s="117" t="str">
        <f>Regional.sectors[[#This Row],[Region]]&amp;"."&amp;Regional.sectors[[#This Row],[Sector]]</f>
        <v>G.10</v>
      </c>
      <c r="L9" s="117" t="str">
        <f>INDEX(Region.codes[Description],MATCH(Regional.sectors[[#This Row],[Region]],Region.codes[Code],0))&amp;" "&amp;INDEX(Sector.codes[[Description ]],MATCH(Regional.sectors[[#This Row],[Sector]],Sector.codes[Code],0))</f>
        <v>Global Transport</v>
      </c>
      <c r="M9" s="117"/>
      <c r="N9" s="219" t="s">
        <v>2367</v>
      </c>
      <c r="O9" s="219" t="s">
        <v>2367</v>
      </c>
      <c r="P9" s="219" t="s">
        <v>51</v>
      </c>
      <c r="Q9" s="219"/>
      <c r="R9" s="28"/>
      <c r="S9" s="165" t="str">
        <f>Region.codes[Code]</f>
        <v>G</v>
      </c>
      <c r="T9" s="165" t="str">
        <f>Technology.codes[[#This Row],[Code]]</f>
        <v>walk.passenger.urban</v>
      </c>
      <c r="U9" s="165" t="str">
        <f>S9&amp;"."&amp;Regional.Technologies[[#This Row],[Technology]]</f>
        <v>G.walk.passenger.urban</v>
      </c>
      <c r="V9" s="165" t="str">
        <f>INDEX(Region.codes[Description],MATCH(S9,Region.codes[Code],0))&amp;" "&amp;INDEX(Technology.codes[Description],MATCH(Regional.Technologies[[#This Row],[Technology]],Technology.codes[Code],0))</f>
        <v>Global walk.passenger.urban</v>
      </c>
      <c r="W9" s="74"/>
      <c r="X9" s="47" t="s">
        <v>514</v>
      </c>
      <c r="Y9" s="40" t="s">
        <v>307</v>
      </c>
      <c r="Z9" s="40" t="s">
        <v>317</v>
      </c>
      <c r="AA9" s="40" t="s">
        <v>758</v>
      </c>
      <c r="AB9" s="40" t="s">
        <v>761</v>
      </c>
      <c r="AC9" s="77"/>
      <c r="AD9" s="128" t="s">
        <v>360</v>
      </c>
      <c r="AE9" s="128" t="str">
        <f>Energy.codes[[#This Row],[Code]]</f>
        <v>Q.01</v>
      </c>
      <c r="AF9" s="77" t="str">
        <f>Regional.energy[[#This Row],[Region code]]&amp;"."&amp;Regional.energy[[#This Row],[Energy code]]</f>
        <v>G.Q.01</v>
      </c>
      <c r="AG9" s="77" t="str">
        <f>INDEX(Region.codes[Description],MATCH(Regional.energy[[#This Row],[Region code]],Region.codes[Code],0))&amp;" "&amp;INDEX(Energy.codes[Description],MATCH(Regional.energy[[#This Row],[Energy code]],Energy.codes[Code],0))</f>
        <v xml:space="preserve">Global Coal reserves </v>
      </c>
      <c r="AH9" s="77"/>
      <c r="AI9" s="218" t="s">
        <v>285</v>
      </c>
      <c r="AJ9" s="218" t="s">
        <v>286</v>
      </c>
      <c r="AK9" s="218" t="s">
        <v>387</v>
      </c>
      <c r="AL9" s="129"/>
      <c r="AM9" s="26" t="s">
        <v>360</v>
      </c>
      <c r="AN9" s="43" t="str">
        <f>IPCC.emissions.sectors[[#This Row],[IPCC sector code]]</f>
        <v>1A</v>
      </c>
      <c r="AO9" s="43" t="str">
        <f>Regional.emissions[[#This Row],[Region code]]&amp;"."&amp;Regional.emissions[[#This Row],[IPCC code]]</f>
        <v>G.1A</v>
      </c>
      <c r="AP9" s="43" t="str">
        <f>INDEX(Region.codes[Description],MATCH(Regional.emissions[[#This Row],[Region code]],Region.codes[Code],0))&amp;" "&amp;INDEX(IPCC.emissions.sectors[Description],MATCH(Regional.emissions[[#This Row],[IPCC code]],IPCC.emissions.sectors[IPCC sector code],0))</f>
        <v>Global Fuel Combustion</v>
      </c>
      <c r="AQ9" s="43"/>
      <c r="AR9" s="7" t="s">
        <v>242</v>
      </c>
      <c r="AS9" s="7" t="s">
        <v>310</v>
      </c>
      <c r="AT9" s="43" t="s">
        <v>221</v>
      </c>
      <c r="AV9" s="26" t="s">
        <v>578</v>
      </c>
      <c r="AW9" s="26" t="s">
        <v>290</v>
      </c>
      <c r="AZ9" s="44" t="s">
        <v>360</v>
      </c>
      <c r="BA9" s="43" t="s">
        <v>578</v>
      </c>
      <c r="BB9" s="43" t="str">
        <f>Regional.costs[[#This Row],[Region]]&amp;"."&amp;Regional.costs[[#This Row],[Cost code]]</f>
        <v>G.CC.High</v>
      </c>
      <c r="BC9" s="43" t="str">
        <f>INDEX(Region.codes[Description],MATCH(Regional.costs[[#This Row],[Region]],Region.codes[Code],0))&amp;" "&amp;INDEX(Cost.vectors[Description],MATCH(Regional.costs[[#This Row],[Cost code]],Cost.vectors[Code],0))</f>
        <v>Global High estimate of capital costs</v>
      </c>
      <c r="BD9" s="43"/>
    </row>
    <row r="10" spans="1:56" s="26" customFormat="1" ht="13.5" customHeight="1">
      <c r="A10" s="122"/>
      <c r="B10" s="122"/>
      <c r="C10" s="122"/>
      <c r="D10" s="122"/>
      <c r="E10" s="124">
        <v>20</v>
      </c>
      <c r="F10" s="122" t="s">
        <v>56</v>
      </c>
      <c r="G10" s="165" t="s">
        <v>437</v>
      </c>
      <c r="H10" s="67"/>
      <c r="I10" s="75" t="s">
        <v>360</v>
      </c>
      <c r="J10" s="75">
        <v>20</v>
      </c>
      <c r="K10" s="117" t="str">
        <f>Regional.sectors[[#This Row],[Region]]&amp;"."&amp;Regional.sectors[[#This Row],[Sector]]</f>
        <v>G.20</v>
      </c>
      <c r="L10" s="117" t="str">
        <f>INDEX(Region.codes[Description],MATCH(Regional.sectors[[#This Row],[Region]],Region.codes[Code],0))&amp;" "&amp;INDEX(Sector.codes[[Description ]],MATCH(Regional.sectors[[#This Row],[Sector]],Sector.codes[Code],0))</f>
        <v>Global Buildings</v>
      </c>
      <c r="M10" s="117"/>
      <c r="N10" s="219" t="s">
        <v>2047</v>
      </c>
      <c r="O10" s="219" t="s">
        <v>2047</v>
      </c>
      <c r="P10" s="219" t="s">
        <v>51</v>
      </c>
      <c r="Q10" s="219"/>
      <c r="R10" s="28"/>
      <c r="S10" s="219" t="str">
        <f>Region.codes[Code]</f>
        <v>G</v>
      </c>
      <c r="T10" s="219" t="str">
        <f>Technology.codes[[#This Row],[Code]]</f>
        <v>bike.passenger.urban</v>
      </c>
      <c r="U10" s="219" t="str">
        <f>S10&amp;"."&amp;Regional.Technologies[[#This Row],[Technology]]</f>
        <v>G.bike.passenger.urban</v>
      </c>
      <c r="V10" s="219" t="str">
        <f>INDEX(Region.codes[Description],MATCH(S10,Region.codes[Code],0))&amp;" "&amp;INDEX(Technology.codes[Description],MATCH(Regional.Technologies[[#This Row],[Technology]],Technology.codes[Code],0))</f>
        <v>Global bike.passenger.urban</v>
      </c>
      <c r="W10" s="74"/>
      <c r="X10" s="47" t="s">
        <v>515</v>
      </c>
      <c r="Y10" s="40" t="s">
        <v>307</v>
      </c>
      <c r="Z10" s="40" t="s">
        <v>317</v>
      </c>
      <c r="AA10" s="40" t="s">
        <v>759</v>
      </c>
      <c r="AB10" s="40" t="s">
        <v>448</v>
      </c>
      <c r="AC10" s="77"/>
      <c r="AD10" s="128" t="s">
        <v>360</v>
      </c>
      <c r="AE10" s="128" t="str">
        <f>Energy.codes[[#This Row],[Code]]</f>
        <v>Q.02</v>
      </c>
      <c r="AF10" s="77" t="str">
        <f>Regional.energy[[#This Row],[Region code]]&amp;"."&amp;Regional.energy[[#This Row],[Energy code]]</f>
        <v>G.Q.02</v>
      </c>
      <c r="AG10" s="77" t="str">
        <f>INDEX(Region.codes[Description],MATCH(Regional.energy[[#This Row],[Region code]],Region.codes[Code],0))&amp;" "&amp;INDEX(Energy.codes[Description],MATCH(Regional.energy[[#This Row],[Energy code]],Energy.codes[Code],0))</f>
        <v xml:space="preserve">Global Oil reserves </v>
      </c>
      <c r="AH10" s="77"/>
      <c r="AI10" s="218" t="s">
        <v>287</v>
      </c>
      <c r="AJ10" s="218" t="s">
        <v>288</v>
      </c>
      <c r="AK10" s="218"/>
      <c r="AL10" s="129"/>
      <c r="AM10" s="26" t="s">
        <v>360</v>
      </c>
      <c r="AN10" s="43" t="str">
        <f>IPCC.emissions.sectors[[#This Row],[IPCC sector code]]</f>
        <v>1B</v>
      </c>
      <c r="AO10" s="43" t="str">
        <f>Regional.emissions[[#This Row],[Region code]]&amp;"."&amp;Regional.emissions[[#This Row],[IPCC code]]</f>
        <v>G.1B</v>
      </c>
      <c r="AP10" s="43" t="str">
        <f>INDEX(Region.codes[Description],MATCH(Regional.emissions[[#This Row],[Region code]],Region.codes[Code],0))&amp;" "&amp;INDEX(IPCC.emissions.sectors[Description],MATCH(Regional.emissions[[#This Row],[IPCC code]],IPCC.emissions.sectors[IPCC sector code],0))</f>
        <v>Global Fugitive Emissions from Fuels</v>
      </c>
      <c r="AQ10" s="43"/>
      <c r="AR10" s="117" t="s">
        <v>243</v>
      </c>
      <c r="AS10" s="117" t="s">
        <v>311</v>
      </c>
      <c r="AT10" s="122" t="s">
        <v>223</v>
      </c>
      <c r="AV10" s="26" t="s">
        <v>579</v>
      </c>
      <c r="AW10" s="26" t="s">
        <v>294</v>
      </c>
      <c r="AZ10" s="44" t="s">
        <v>360</v>
      </c>
      <c r="BA10" s="43" t="s">
        <v>579</v>
      </c>
      <c r="BB10" s="43" t="str">
        <f>Regional.costs[[#This Row],[Region]]&amp;"."&amp;Regional.costs[[#This Row],[Cost code]]</f>
        <v>G.CC.Point</v>
      </c>
      <c r="BC10" s="43" t="str">
        <f>INDEX(Region.codes[Description],MATCH(Regional.costs[[#This Row],[Region]],Region.codes[Code],0))&amp;" "&amp;INDEX(Cost.vectors[Description],MATCH(Regional.costs[[#This Row],[Cost code]],Cost.vectors[Code],0))</f>
        <v>Global Point estimate of capital costs</v>
      </c>
      <c r="BD10" s="43"/>
    </row>
    <row r="11" spans="1:56" s="26" customFormat="1" ht="13.5" customHeight="1">
      <c r="A11" s="122"/>
      <c r="B11" s="122"/>
      <c r="C11" s="122"/>
      <c r="D11" s="122"/>
      <c r="E11" s="124">
        <v>30</v>
      </c>
      <c r="F11" s="122" t="s">
        <v>55</v>
      </c>
      <c r="G11" s="165" t="s">
        <v>1172</v>
      </c>
      <c r="H11" s="67"/>
      <c r="I11" s="75" t="s">
        <v>360</v>
      </c>
      <c r="J11" s="75">
        <v>30</v>
      </c>
      <c r="K11" s="117" t="str">
        <f>Regional.sectors[[#This Row],[Region]]&amp;"."&amp;Regional.sectors[[#This Row],[Sector]]</f>
        <v>G.30</v>
      </c>
      <c r="L11" s="117" t="str">
        <f>INDEX(Region.codes[Description],MATCH(Regional.sectors[[#This Row],[Region]],Region.codes[Code],0))&amp;" "&amp;INDEX(Sector.codes[[Description ]],MATCH(Regional.sectors[[#This Row],[Sector]],Sector.codes[Code],0))</f>
        <v>Global Materials</v>
      </c>
      <c r="M11" s="117"/>
      <c r="N11" s="219" t="s">
        <v>2022</v>
      </c>
      <c r="O11" s="219" t="s">
        <v>2022</v>
      </c>
      <c r="P11" s="219" t="s">
        <v>51</v>
      </c>
      <c r="Q11" s="219"/>
      <c r="R11" s="28"/>
      <c r="S11" s="219" t="str">
        <f>Region.codes[Code]</f>
        <v>G</v>
      </c>
      <c r="T11" s="219" t="str">
        <f>Technology.codes[[#This Row],[Code]]</f>
        <v>motorbike.passenger.urban.fuel</v>
      </c>
      <c r="U11" s="219" t="str">
        <f>S11&amp;"."&amp;Regional.Technologies[[#This Row],[Technology]]</f>
        <v>G.motorbike.passenger.urban.fuel</v>
      </c>
      <c r="V11" s="219" t="str">
        <f>INDEX(Region.codes[Description],MATCH(S11,Region.codes[Code],0))&amp;" "&amp;INDEX(Technology.codes[Description],MATCH(Regional.Technologies[[#This Row],[Technology]],Technology.codes[Code],0))</f>
        <v>Global motorbike.passenger.urban.fuel</v>
      </c>
      <c r="W11" s="74"/>
      <c r="X11" s="47" t="s">
        <v>516</v>
      </c>
      <c r="Y11" s="40" t="s">
        <v>307</v>
      </c>
      <c r="Z11" s="40" t="s">
        <v>317</v>
      </c>
      <c r="AA11" s="40" t="s">
        <v>760</v>
      </c>
      <c r="AB11" s="40" t="s">
        <v>448</v>
      </c>
      <c r="AC11" s="77"/>
      <c r="AD11" s="128" t="s">
        <v>360</v>
      </c>
      <c r="AE11" s="128" t="str">
        <f>Energy.codes[[#This Row],[Code]]</f>
        <v>Q.03</v>
      </c>
      <c r="AF11" s="77" t="str">
        <f>Regional.energy[[#This Row],[Region code]]&amp;"."&amp;Regional.energy[[#This Row],[Energy code]]</f>
        <v>G.Q.03</v>
      </c>
      <c r="AG11" s="77" t="str">
        <f>INDEX(Region.codes[Description],MATCH(Regional.energy[[#This Row],[Region code]],Region.codes[Code],0))&amp;" "&amp;INDEX(Energy.codes[Description],MATCH(Regional.energy[[#This Row],[Energy code]],Energy.codes[Code],0))</f>
        <v xml:space="preserve">Global Gas reserves </v>
      </c>
      <c r="AH11" s="77"/>
      <c r="AI11" s="218">
        <v>2</v>
      </c>
      <c r="AJ11" s="218" t="s">
        <v>289</v>
      </c>
      <c r="AK11" s="218"/>
      <c r="AL11" s="129"/>
      <c r="AM11" s="26" t="s">
        <v>360</v>
      </c>
      <c r="AN11" s="131">
        <f>IPCC.emissions.sectors[[#This Row],[IPCC sector code]]</f>
        <v>2</v>
      </c>
      <c r="AO11" s="43" t="str">
        <f>Regional.emissions[[#This Row],[Region code]]&amp;"."&amp;Regional.emissions[[#This Row],[IPCC code]]</f>
        <v>G.2</v>
      </c>
      <c r="AP11" s="43" t="str">
        <f>INDEX(Region.codes[Description],MATCH(Regional.emissions[[#This Row],[Region code]],Region.codes[Code],0))&amp;" "&amp;INDEX(IPCC.emissions.sectors[Description],MATCH(Regional.emissions[[#This Row],[IPCC code]],IPCC.emissions.sectors[IPCC sector code],0))</f>
        <v>Global Industrial Processes</v>
      </c>
      <c r="AQ11" s="43"/>
      <c r="AR11" s="117" t="s">
        <v>244</v>
      </c>
      <c r="AS11" s="117" t="s">
        <v>312</v>
      </c>
      <c r="AT11" s="122" t="s">
        <v>226</v>
      </c>
      <c r="AV11" s="26" t="s">
        <v>580</v>
      </c>
      <c r="AW11" s="26" t="s">
        <v>295</v>
      </c>
      <c r="AZ11" s="44" t="s">
        <v>360</v>
      </c>
      <c r="BA11" s="43" t="s">
        <v>580</v>
      </c>
      <c r="BB11" s="43" t="str">
        <f>Regional.costs[[#This Row],[Region]]&amp;"."&amp;Regional.costs[[#This Row],[Cost code]]</f>
        <v>G.CC.Low</v>
      </c>
      <c r="BC11" s="43" t="str">
        <f>INDEX(Region.codes[Description],MATCH(Regional.costs[[#This Row],[Region]],Region.codes[Code],0))&amp;" "&amp;INDEX(Cost.vectors[Description],MATCH(Regional.costs[[#This Row],[Cost code]],Cost.vectors[Code],0))</f>
        <v>Global Low estimate of capital costs</v>
      </c>
      <c r="BD11" s="43"/>
    </row>
    <row r="12" spans="1:56" s="26" customFormat="1" ht="13.5" customHeight="1">
      <c r="A12" s="122"/>
      <c r="B12" s="122"/>
      <c r="C12" s="122"/>
      <c r="D12" s="122"/>
      <c r="E12" s="124">
        <v>40</v>
      </c>
      <c r="F12" s="68" t="s">
        <v>50</v>
      </c>
      <c r="G12" s="165" t="s">
        <v>1170</v>
      </c>
      <c r="H12" s="67"/>
      <c r="I12" s="75" t="s">
        <v>360</v>
      </c>
      <c r="J12" s="75">
        <v>40</v>
      </c>
      <c r="K12" s="117" t="str">
        <f>Regional.sectors[[#This Row],[Region]]&amp;"."&amp;Regional.sectors[[#This Row],[Sector]]</f>
        <v>G.40</v>
      </c>
      <c r="L12" s="117" t="str">
        <f>INDEX(Region.codes[Description],MATCH(Regional.sectors[[#This Row],[Region]],Region.codes[Code],0))&amp;" "&amp;INDEX(Sector.codes[[Description ]],MATCH(Regional.sectors[[#This Row],[Sector]],Sector.codes[Code],0))</f>
        <v>Global Electricity Generation</v>
      </c>
      <c r="M12" s="117"/>
      <c r="N12" s="219" t="s">
        <v>2023</v>
      </c>
      <c r="O12" s="219" t="s">
        <v>2023</v>
      </c>
      <c r="P12" s="219" t="s">
        <v>51</v>
      </c>
      <c r="Q12" s="219"/>
      <c r="R12" s="28"/>
      <c r="S12" s="219" t="str">
        <f>Region.codes[Code]</f>
        <v>G</v>
      </c>
      <c r="T12" s="219" t="str">
        <f>Technology.codes[[#This Row],[Code]]</f>
        <v>motorbike.passenger.urban.elec</v>
      </c>
      <c r="U12" s="219" t="str">
        <f>S12&amp;"."&amp;Regional.Technologies[[#This Row],[Technology]]</f>
        <v>G.motorbike.passenger.urban.elec</v>
      </c>
      <c r="V12" s="219" t="str">
        <f>INDEX(Region.codes[Description],MATCH(S12,Region.codes[Code],0))&amp;" "&amp;INDEX(Technology.codes[Description],MATCH(Regional.Technologies[[#This Row],[Technology]],Technology.codes[Code],0))</f>
        <v>Global motorbike.passenger.urban.elec</v>
      </c>
      <c r="W12" s="74"/>
      <c r="X12" s="47" t="s">
        <v>517</v>
      </c>
      <c r="Y12" s="40" t="s">
        <v>307</v>
      </c>
      <c r="Z12" s="40" t="s">
        <v>273</v>
      </c>
      <c r="AA12" s="40" t="s">
        <v>253</v>
      </c>
      <c r="AB12" s="40" t="s">
        <v>308</v>
      </c>
      <c r="AC12" s="77"/>
      <c r="AD12" s="128" t="s">
        <v>360</v>
      </c>
      <c r="AE12" s="128" t="str">
        <f>Energy.codes[[#This Row],[Code]]</f>
        <v>N.01</v>
      </c>
      <c r="AF12" s="77" t="str">
        <f>Regional.energy[[#This Row],[Region code]]&amp;"."&amp;Regional.energy[[#This Row],[Energy code]]</f>
        <v>G.N.01</v>
      </c>
      <c r="AG12" s="77" t="str">
        <f>INDEX(Region.codes[Description],MATCH(Regional.energy[[#This Row],[Region code]],Region.codes[Code],0))&amp;" "&amp;INDEX(Energy.codes[Description],MATCH(Regional.energy[[#This Row],[Energy code]],Energy.codes[Code],0))</f>
        <v>Global Nuclear fission</v>
      </c>
      <c r="AH12" s="77"/>
      <c r="AI12" s="218">
        <v>3</v>
      </c>
      <c r="AJ12" s="218" t="s">
        <v>293</v>
      </c>
      <c r="AK12" s="218"/>
      <c r="AL12" s="129"/>
      <c r="AM12" s="26" t="s">
        <v>360</v>
      </c>
      <c r="AN12" s="131">
        <f>IPCC.emissions.sectors[[#This Row],[IPCC sector code]]</f>
        <v>3</v>
      </c>
      <c r="AO12" s="43" t="str">
        <f>Regional.emissions[[#This Row],[Region code]]&amp;"."&amp;Regional.emissions[[#This Row],[IPCC code]]</f>
        <v>G.3</v>
      </c>
      <c r="AP12" s="43" t="str">
        <f>INDEX(Region.codes[Description],MATCH(Regional.emissions[[#This Row],[Region code]],Region.codes[Code],0))&amp;" "&amp;INDEX(IPCC.emissions.sectors[Description],MATCH(Regional.emissions[[#This Row],[IPCC code]],IPCC.emissions.sectors[IPCC sector code],0))</f>
        <v>Global Solvent and Other Product Use</v>
      </c>
      <c r="AQ12" s="43"/>
      <c r="AR12" s="117" t="s">
        <v>313</v>
      </c>
      <c r="AS12" s="25" t="s">
        <v>314</v>
      </c>
      <c r="AT12" s="28" t="s">
        <v>385</v>
      </c>
      <c r="AV12" s="26" t="s">
        <v>581</v>
      </c>
      <c r="AW12" s="26" t="s">
        <v>297</v>
      </c>
      <c r="AZ12" s="44" t="s">
        <v>360</v>
      </c>
      <c r="BA12" s="43" t="s">
        <v>581</v>
      </c>
      <c r="BB12" s="43" t="str">
        <f>Regional.costs[[#This Row],[Region]]&amp;"."&amp;Regional.costs[[#This Row],[Cost code]]</f>
        <v>G.OC.High</v>
      </c>
      <c r="BC12" s="43" t="str">
        <f>INDEX(Region.codes[Description],MATCH(Regional.costs[[#This Row],[Region]],Region.codes[Code],0))&amp;" "&amp;INDEX(Cost.vectors[Description],MATCH(Regional.costs[[#This Row],[Cost code]],Cost.vectors[Code],0))</f>
        <v>Global High estimate of operating costs</v>
      </c>
      <c r="BD12" s="43"/>
    </row>
    <row r="13" spans="1:56" s="26" customFormat="1" ht="13.5" customHeight="1">
      <c r="A13" s="122"/>
      <c r="B13" s="122"/>
      <c r="C13" s="122"/>
      <c r="D13" s="122"/>
      <c r="E13" s="124">
        <v>50</v>
      </c>
      <c r="F13" s="68" t="s">
        <v>2219</v>
      </c>
      <c r="G13" s="165" t="s">
        <v>1171</v>
      </c>
      <c r="H13" s="67"/>
      <c r="I13" s="75" t="s">
        <v>360</v>
      </c>
      <c r="J13" s="75">
        <v>50</v>
      </c>
      <c r="K13" s="117" t="str">
        <f>Regional.sectors[[#This Row],[Region]]&amp;"."&amp;Regional.sectors[[#This Row],[Sector]]</f>
        <v>G.50</v>
      </c>
      <c r="L13" s="117" t="str">
        <f>INDEX(Region.codes[Description],MATCH(Regional.sectors[[#This Row],[Region]],Region.codes[Code],0))&amp;" "&amp;INDEX(Sector.codes[[Description ]],MATCH(Regional.sectors[[#This Row],[Sector]],Sector.codes[Code],0))</f>
        <v>Global Fuel production</v>
      </c>
      <c r="M13" s="117"/>
      <c r="N13" s="219" t="s">
        <v>2027</v>
      </c>
      <c r="O13" s="219" t="s">
        <v>2027</v>
      </c>
      <c r="P13" s="219" t="s">
        <v>51</v>
      </c>
      <c r="Q13" s="219"/>
      <c r="R13" s="28"/>
      <c r="S13" s="219" t="str">
        <f>Region.codes[Code]</f>
        <v>G</v>
      </c>
      <c r="T13" s="219" t="str">
        <f>Technology.codes[[#This Row],[Code]]</f>
        <v>car.passenger.urban.fuel</v>
      </c>
      <c r="U13" s="219" t="str">
        <f>S13&amp;"."&amp;Regional.Technologies[[#This Row],[Technology]]</f>
        <v>G.car.passenger.urban.fuel</v>
      </c>
      <c r="V13" s="219" t="str">
        <f>INDEX(Region.codes[Description],MATCH(S13,Region.codes[Code],0))&amp;" "&amp;INDEX(Technology.codes[Description],MATCH(Regional.Technologies[[#This Row],[Technology]],Technology.codes[Code],0))</f>
        <v>Global car.passenger.urban.fuel</v>
      </c>
      <c r="W13" s="74"/>
      <c r="X13" s="47" t="s">
        <v>518</v>
      </c>
      <c r="Y13" s="40" t="s">
        <v>307</v>
      </c>
      <c r="Z13" s="40" t="s">
        <v>309</v>
      </c>
      <c r="AA13" s="40" t="s">
        <v>254</v>
      </c>
      <c r="AB13" s="40"/>
      <c r="AC13" s="77"/>
      <c r="AD13" s="128" t="s">
        <v>360</v>
      </c>
      <c r="AE13" s="128" t="str">
        <f>Energy.codes[[#This Row],[Code]]</f>
        <v>R.01</v>
      </c>
      <c r="AF13" s="77" t="str">
        <f>Regional.energy[[#This Row],[Region code]]&amp;"."&amp;Regional.energy[[#This Row],[Energy code]]</f>
        <v>G.R.01</v>
      </c>
      <c r="AG13" s="77" t="str">
        <f>INDEX(Region.codes[Description],MATCH(Regional.energy[[#This Row],[Region code]],Region.codes[Code],0))&amp;" "&amp;INDEX(Energy.codes[Description],MATCH(Regional.energy[[#This Row],[Energy code]],Energy.codes[Code],0))</f>
        <v>Global Solar</v>
      </c>
      <c r="AH13" s="77"/>
      <c r="AI13" s="218">
        <v>4</v>
      </c>
      <c r="AJ13" s="218" t="s">
        <v>261</v>
      </c>
      <c r="AK13" s="218" t="s">
        <v>388</v>
      </c>
      <c r="AL13" s="129"/>
      <c r="AM13" s="26" t="s">
        <v>360</v>
      </c>
      <c r="AN13" s="131">
        <f>IPCC.emissions.sectors[[#This Row],[IPCC sector code]]</f>
        <v>4</v>
      </c>
      <c r="AO13" s="43" t="str">
        <f>Regional.emissions[[#This Row],[Region code]]&amp;"."&amp;Regional.emissions[[#This Row],[IPCC code]]</f>
        <v>G.4</v>
      </c>
      <c r="AP13" s="43" t="str">
        <f>INDEX(Region.codes[Description],MATCH(Regional.emissions[[#This Row],[Region code]],Region.codes[Code],0))&amp;" "&amp;INDEX(IPCC.emissions.sectors[Description],MATCH(Regional.emissions[[#This Row],[IPCC code]],IPCC.emissions.sectors[IPCC sector code],0))</f>
        <v>Global Agriculture</v>
      </c>
      <c r="AQ13" s="43"/>
      <c r="AR13" s="122"/>
      <c r="AS13" s="117"/>
      <c r="AT13" s="117"/>
      <c r="AV13" s="26" t="s">
        <v>582</v>
      </c>
      <c r="AW13" s="26" t="s">
        <v>298</v>
      </c>
      <c r="AZ13" s="44" t="s">
        <v>360</v>
      </c>
      <c r="BA13" s="43" t="s">
        <v>582</v>
      </c>
      <c r="BB13" s="43" t="str">
        <f>Regional.costs[[#This Row],[Region]]&amp;"."&amp;Regional.costs[[#This Row],[Cost code]]</f>
        <v>G.OC.Point</v>
      </c>
      <c r="BC13" s="43" t="str">
        <f>INDEX(Region.codes[Description],MATCH(Regional.costs[[#This Row],[Region]],Region.codes[Code],0))&amp;" "&amp;INDEX(Cost.vectors[Description],MATCH(Regional.costs[[#This Row],[Cost code]],Cost.vectors[Code],0))</f>
        <v>Global Point estimate of operating costs</v>
      </c>
      <c r="BD13" s="43"/>
    </row>
    <row r="14" spans="1:56" s="26" customFormat="1" ht="13.5" customHeight="1">
      <c r="A14" s="122"/>
      <c r="B14" s="122"/>
      <c r="C14" s="122"/>
      <c r="D14" s="122"/>
      <c r="E14" s="124">
        <v>60</v>
      </c>
      <c r="F14" s="68" t="s">
        <v>461</v>
      </c>
      <c r="G14" s="165" t="s">
        <v>446</v>
      </c>
      <c r="H14" s="67"/>
      <c r="I14" s="75" t="s">
        <v>360</v>
      </c>
      <c r="J14" s="75">
        <v>60</v>
      </c>
      <c r="K14" s="117" t="str">
        <f>Regional.sectors[[#This Row],[Region]]&amp;"."&amp;Regional.sectors[[#This Row],[Sector]]</f>
        <v>G.60</v>
      </c>
      <c r="L14" s="117" t="str">
        <f>INDEX(Region.codes[Description],MATCH(Regional.sectors[[#This Row],[Region]],Region.codes[Code],0))&amp;" "&amp;INDEX(Sector.codes[[Description ]],MATCH(Regional.sectors[[#This Row],[Sector]],Sector.codes[Code],0))</f>
        <v>Global Land / Food / Bioenergy / Sequestration</v>
      </c>
      <c r="M14" s="117"/>
      <c r="N14" s="219" t="s">
        <v>2028</v>
      </c>
      <c r="O14" s="219" t="s">
        <v>2028</v>
      </c>
      <c r="P14" s="219" t="s">
        <v>51</v>
      </c>
      <c r="Q14" s="219"/>
      <c r="R14" s="28"/>
      <c r="S14" s="219" t="str">
        <f>Region.codes[Code]</f>
        <v>G</v>
      </c>
      <c r="T14" s="219" t="str">
        <f>Technology.codes[[#This Row],[Code]]</f>
        <v>car.passenger.urban.PH</v>
      </c>
      <c r="U14" s="219" t="str">
        <f>S14&amp;"."&amp;Regional.Technologies[[#This Row],[Technology]]</f>
        <v>G.car.passenger.urban.PH</v>
      </c>
      <c r="V14" s="219" t="str">
        <f>INDEX(Region.codes[Description],MATCH(S14,Region.codes[Code],0))&amp;" "&amp;INDEX(Technology.codes[Description],MATCH(Regional.Technologies[[#This Row],[Technology]],Technology.codes[Code],0))</f>
        <v>Global car.passenger.urban.PH</v>
      </c>
      <c r="W14" s="74"/>
      <c r="X14" s="47" t="s">
        <v>519</v>
      </c>
      <c r="Y14" s="40" t="s">
        <v>307</v>
      </c>
      <c r="Z14" s="40" t="s">
        <v>309</v>
      </c>
      <c r="AA14" s="40" t="s">
        <v>255</v>
      </c>
      <c r="AB14" s="40"/>
      <c r="AC14" s="77"/>
      <c r="AD14" s="128" t="s">
        <v>360</v>
      </c>
      <c r="AE14" s="128" t="str">
        <f>Energy.codes[[#This Row],[Code]]</f>
        <v>R.02</v>
      </c>
      <c r="AF14" s="77" t="str">
        <f>Regional.energy[[#This Row],[Region code]]&amp;"."&amp;Regional.energy[[#This Row],[Energy code]]</f>
        <v>G.R.02</v>
      </c>
      <c r="AG14" s="77" t="str">
        <f>INDEX(Region.codes[Description],MATCH(Regional.energy[[#This Row],[Region code]],Region.codes[Code],0))&amp;" "&amp;INDEX(Energy.codes[Description],MATCH(Regional.energy[[#This Row],[Energy code]],Energy.codes[Code],0))</f>
        <v>Global Wind</v>
      </c>
      <c r="AH14" s="77"/>
      <c r="AI14" s="218">
        <v>5</v>
      </c>
      <c r="AJ14" s="218" t="s">
        <v>296</v>
      </c>
      <c r="AK14" s="218"/>
      <c r="AL14" s="129"/>
      <c r="AM14" s="26" t="s">
        <v>360</v>
      </c>
      <c r="AN14" s="131">
        <f>IPCC.emissions.sectors[[#This Row],[IPCC sector code]]</f>
        <v>5</v>
      </c>
      <c r="AO14" s="43" t="str">
        <f>Regional.emissions[[#This Row],[Region code]]&amp;"."&amp;Regional.emissions[[#This Row],[IPCC code]]</f>
        <v>G.5</v>
      </c>
      <c r="AP14" s="43" t="str">
        <f>INDEX(Region.codes[Description],MATCH(Regional.emissions[[#This Row],[Region code]],Region.codes[Code],0))&amp;" "&amp;INDEX(IPCC.emissions.sectors[Description],MATCH(Regional.emissions[[#This Row],[IPCC code]],IPCC.emissions.sectors[IPCC sector code],0))</f>
        <v>Global Land Use, Land-Use Change and Forestry</v>
      </c>
      <c r="AQ14" s="43"/>
      <c r="AR14" s="75"/>
      <c r="AS14" s="75"/>
      <c r="AT14" s="75"/>
      <c r="AV14" s="26" t="s">
        <v>583</v>
      </c>
      <c r="AW14" s="26" t="s">
        <v>300</v>
      </c>
      <c r="AZ14" s="44" t="s">
        <v>360</v>
      </c>
      <c r="BA14" s="43" t="s">
        <v>583</v>
      </c>
      <c r="BB14" s="43" t="str">
        <f>Regional.costs[[#This Row],[Region]]&amp;"."&amp;Regional.costs[[#This Row],[Cost code]]</f>
        <v>G.OC.Low</v>
      </c>
      <c r="BC14" s="43" t="str">
        <f>INDEX(Region.codes[Description],MATCH(Regional.costs[[#This Row],[Region]],Region.codes[Code],0))&amp;" "&amp;INDEX(Cost.vectors[Description],MATCH(Regional.costs[[#This Row],[Cost code]],Cost.vectors[Code],0))</f>
        <v>Global Low estimate of operating costs</v>
      </c>
      <c r="BD14" s="43"/>
    </row>
    <row r="15" spans="1:56" s="26" customFormat="1" ht="13.5" customHeight="1">
      <c r="A15" s="122"/>
      <c r="B15" s="122"/>
      <c r="C15" s="122"/>
      <c r="D15" s="122"/>
      <c r="E15" s="68"/>
      <c r="F15" s="122"/>
      <c r="G15" s="122"/>
      <c r="H15" s="67"/>
      <c r="I15" s="28"/>
      <c r="J15" s="28"/>
      <c r="K15" s="127"/>
      <c r="L15" s="127"/>
      <c r="M15" s="127"/>
      <c r="N15" s="219" t="s">
        <v>2028</v>
      </c>
      <c r="O15" s="219" t="s">
        <v>2028</v>
      </c>
      <c r="P15" s="219" t="s">
        <v>51</v>
      </c>
      <c r="Q15" s="219"/>
      <c r="R15" s="28"/>
      <c r="S15" s="219" t="str">
        <f>Region.codes[Code]</f>
        <v>G</v>
      </c>
      <c r="T15" s="219" t="str">
        <f>Technology.codes[[#This Row],[Code]]</f>
        <v>car.passenger.urban.PH</v>
      </c>
      <c r="U15" s="219" t="str">
        <f>S15&amp;"."&amp;Regional.Technologies[[#This Row],[Technology]]</f>
        <v>G.car.passenger.urban.PH</v>
      </c>
      <c r="V15" s="219" t="str">
        <f>INDEX(Region.codes[Description],MATCH(S15,Region.codes[Code],0))&amp;" "&amp;INDEX(Technology.codes[Description],MATCH(Regional.Technologies[[#This Row],[Technology]],Technology.codes[Code],0))</f>
        <v>Global car.passenger.urban.PH</v>
      </c>
      <c r="W15" s="74"/>
      <c r="X15" s="47" t="s">
        <v>520</v>
      </c>
      <c r="Y15" s="40" t="s">
        <v>307</v>
      </c>
      <c r="Z15" s="40" t="s">
        <v>309</v>
      </c>
      <c r="AA15" s="40" t="s">
        <v>256</v>
      </c>
      <c r="AB15" s="40"/>
      <c r="AC15" s="77"/>
      <c r="AD15" s="128" t="s">
        <v>360</v>
      </c>
      <c r="AE15" s="128" t="str">
        <f>Energy.codes[[#This Row],[Code]]</f>
        <v>R.03</v>
      </c>
      <c r="AF15" s="77" t="str">
        <f>Regional.energy[[#This Row],[Region code]]&amp;"."&amp;Regional.energy[[#This Row],[Energy code]]</f>
        <v>G.R.03</v>
      </c>
      <c r="AG15" s="77" t="str">
        <f>INDEX(Region.codes[Description],MATCH(Regional.energy[[#This Row],[Region code]],Region.codes[Code],0))&amp;" "&amp;INDEX(Energy.codes[Description],MATCH(Regional.energy[[#This Row],[Energy code]],Energy.codes[Code],0))</f>
        <v>Global Tidal</v>
      </c>
      <c r="AH15" s="77"/>
      <c r="AI15" s="218">
        <v>6</v>
      </c>
      <c r="AJ15" s="218" t="s">
        <v>262</v>
      </c>
      <c r="AK15" s="218"/>
      <c r="AL15" s="129"/>
      <c r="AM15" s="26" t="s">
        <v>360</v>
      </c>
      <c r="AN15" s="131">
        <f>IPCC.emissions.sectors[[#This Row],[IPCC sector code]]</f>
        <v>6</v>
      </c>
      <c r="AO15" s="43" t="str">
        <f>Regional.emissions[[#This Row],[Region code]]&amp;"."&amp;Regional.emissions[[#This Row],[IPCC code]]</f>
        <v>G.6</v>
      </c>
      <c r="AP15" s="43" t="str">
        <f>INDEX(Region.codes[Description],MATCH(Regional.emissions[[#This Row],[Region code]],Region.codes[Code],0))&amp;" "&amp;INDEX(IPCC.emissions.sectors[Description],MATCH(Regional.emissions[[#This Row],[IPCC code]],IPCC.emissions.sectors[IPCC sector code],0))</f>
        <v>Global Waste</v>
      </c>
      <c r="AQ15" s="43"/>
      <c r="AR15" s="68"/>
      <c r="AS15" s="75"/>
      <c r="AT15" s="75"/>
      <c r="AV15" s="26" t="s">
        <v>584</v>
      </c>
      <c r="AW15" s="26" t="s">
        <v>302</v>
      </c>
      <c r="AZ15" s="44" t="s">
        <v>360</v>
      </c>
      <c r="BA15" s="43" t="s">
        <v>584</v>
      </c>
      <c r="BB15" s="43" t="str">
        <f>Regional.costs[[#This Row],[Region]]&amp;"."&amp;Regional.costs[[#This Row],[Cost code]]</f>
        <v>G.FC.High</v>
      </c>
      <c r="BC15" s="43" t="str">
        <f>INDEX(Region.codes[Description],MATCH(Regional.costs[[#This Row],[Region]],Region.codes[Code],0))&amp;" "&amp;INDEX(Cost.vectors[Description],MATCH(Regional.costs[[#This Row],[Cost code]],Cost.vectors[Code],0))</f>
        <v>Global High estimate of fuel costs</v>
      </c>
      <c r="BD15" s="43"/>
    </row>
    <row r="16" spans="1:56" s="26" customFormat="1" ht="13.5" customHeight="1">
      <c r="A16" s="122"/>
      <c r="B16" s="122"/>
      <c r="C16" s="122"/>
      <c r="D16" s="122"/>
      <c r="E16" s="125"/>
      <c r="F16" s="122"/>
      <c r="G16" s="122"/>
      <c r="H16" s="67"/>
      <c r="I16" s="28"/>
      <c r="J16" s="28"/>
      <c r="K16" s="122"/>
      <c r="L16" s="122"/>
      <c r="M16" s="122"/>
      <c r="N16" s="219" t="s">
        <v>2029</v>
      </c>
      <c r="O16" s="219" t="s">
        <v>2029</v>
      </c>
      <c r="P16" s="219" t="s">
        <v>51</v>
      </c>
      <c r="Q16" s="219"/>
      <c r="R16" s="28"/>
      <c r="S16" s="219" t="str">
        <f>Region.codes[Code]</f>
        <v>G</v>
      </c>
      <c r="T16" s="219" t="str">
        <f>Technology.codes[[#This Row],[Code]]</f>
        <v>car.passenger.urban.EV</v>
      </c>
      <c r="U16" s="219" t="str">
        <f>S16&amp;"."&amp;Regional.Technologies[[#This Row],[Technology]]</f>
        <v>G.car.passenger.urban.EV</v>
      </c>
      <c r="V16" s="219" t="str">
        <f>INDEX(Region.codes[Description],MATCH(S16,Region.codes[Code],0))&amp;" "&amp;INDEX(Technology.codes[Description],MATCH(Regional.Technologies[[#This Row],[Technology]],Technology.codes[Code],0))</f>
        <v>Global car.passenger.urban.EV</v>
      </c>
      <c r="W16" s="74"/>
      <c r="X16" s="47" t="s">
        <v>521</v>
      </c>
      <c r="Y16" s="40" t="s">
        <v>307</v>
      </c>
      <c r="Z16" s="40" t="s">
        <v>309</v>
      </c>
      <c r="AA16" s="40" t="s">
        <v>257</v>
      </c>
      <c r="AB16" s="40"/>
      <c r="AC16" s="77"/>
      <c r="AD16" s="128" t="s">
        <v>360</v>
      </c>
      <c r="AE16" s="128" t="str">
        <f>Energy.codes[[#This Row],[Code]]</f>
        <v>R.04</v>
      </c>
      <c r="AF16" s="77" t="str">
        <f>Regional.energy[[#This Row],[Region code]]&amp;"."&amp;Regional.energy[[#This Row],[Energy code]]</f>
        <v>G.R.04</v>
      </c>
      <c r="AG16" s="77" t="str">
        <f>INDEX(Region.codes[Description],MATCH(Regional.energy[[#This Row],[Region code]],Region.codes[Code],0))&amp;" "&amp;INDEX(Energy.codes[Description],MATCH(Regional.energy[[#This Row],[Energy code]],Energy.codes[Code],0))</f>
        <v>Global Wave</v>
      </c>
      <c r="AH16" s="77"/>
      <c r="AI16" s="218">
        <v>7</v>
      </c>
      <c r="AJ16" s="218" t="s">
        <v>299</v>
      </c>
      <c r="AK16" s="218"/>
      <c r="AL16" s="129"/>
      <c r="AM16" s="26" t="s">
        <v>360</v>
      </c>
      <c r="AN16" s="131">
        <f>IPCC.emissions.sectors[[#This Row],[IPCC sector code]]</f>
        <v>7</v>
      </c>
      <c r="AO16" s="43" t="str">
        <f>Regional.emissions[[#This Row],[Region code]]&amp;"."&amp;Regional.emissions[[#This Row],[IPCC code]]</f>
        <v>G.7</v>
      </c>
      <c r="AP16" s="43" t="str">
        <f>INDEX(Region.codes[Description],MATCH(Regional.emissions[[#This Row],[Region code]],Region.codes[Code],0))&amp;" "&amp;INDEX(IPCC.emissions.sectors[Description],MATCH(Regional.emissions[[#This Row],[IPCC code]],IPCC.emissions.sectors[IPCC sector code],0))</f>
        <v>Global Other</v>
      </c>
      <c r="AQ16" s="43"/>
      <c r="AR16" s="10"/>
      <c r="AS16" s="47"/>
      <c r="AT16" s="47"/>
      <c r="AV16" s="26" t="s">
        <v>585</v>
      </c>
      <c r="AW16" s="26" t="s">
        <v>304</v>
      </c>
      <c r="AZ16" s="44" t="s">
        <v>360</v>
      </c>
      <c r="BA16" s="43" t="s">
        <v>585</v>
      </c>
      <c r="BB16" s="43" t="str">
        <f>Regional.costs[[#This Row],[Region]]&amp;"."&amp;Regional.costs[[#This Row],[Cost code]]</f>
        <v>G.FC.Point</v>
      </c>
      <c r="BC16" s="43" t="str">
        <f>INDEX(Region.codes[Description],MATCH(Regional.costs[[#This Row],[Region]],Region.codes[Code],0))&amp;" "&amp;INDEX(Cost.vectors[Description],MATCH(Regional.costs[[#This Row],[Cost code]],Cost.vectors[Code],0))</f>
        <v>Global Point estimate of fuel costs</v>
      </c>
      <c r="BD16" s="43"/>
    </row>
    <row r="17" spans="5:56" s="26" customFormat="1" ht="13.5" customHeight="1">
      <c r="E17" s="43"/>
      <c r="F17" s="43"/>
      <c r="G17" s="43"/>
      <c r="H17" s="69"/>
      <c r="I17" s="28"/>
      <c r="J17" s="28"/>
      <c r="K17" s="122"/>
      <c r="L17" s="122"/>
      <c r="M17" s="122"/>
      <c r="N17" s="219" t="s">
        <v>2049</v>
      </c>
      <c r="O17" s="219" t="s">
        <v>2049</v>
      </c>
      <c r="P17" s="219" t="s">
        <v>51</v>
      </c>
      <c r="Q17" s="219"/>
      <c r="R17" s="28"/>
      <c r="S17" s="219" t="str">
        <f>Region.codes[Code]</f>
        <v>G</v>
      </c>
      <c r="T17" s="219" t="str">
        <f>Technology.codes[[#This Row],[Code]]</f>
        <v>car.passenger.urban.H2</v>
      </c>
      <c r="U17" s="219" t="str">
        <f>S17&amp;"."&amp;Regional.Technologies[[#This Row],[Technology]]</f>
        <v>G.car.passenger.urban.H2</v>
      </c>
      <c r="V17" s="219" t="str">
        <f>INDEX(Region.codes[Description],MATCH(S17,Region.codes[Code],0))&amp;" "&amp;INDEX(Technology.codes[Description],MATCH(Regional.Technologies[[#This Row],[Technology]],Technology.codes[Code],0))</f>
        <v>Global car.passenger.urban.H2</v>
      </c>
      <c r="W17" s="127"/>
      <c r="X17" s="47" t="s">
        <v>522</v>
      </c>
      <c r="Y17" s="40" t="s">
        <v>307</v>
      </c>
      <c r="Z17" s="40" t="s">
        <v>309</v>
      </c>
      <c r="AA17" s="40" t="s">
        <v>258</v>
      </c>
      <c r="AB17" s="40"/>
      <c r="AC17" s="77"/>
      <c r="AD17" s="128" t="s">
        <v>360</v>
      </c>
      <c r="AE17" s="128" t="str">
        <f>Energy.codes[[#This Row],[Code]]</f>
        <v>R.05</v>
      </c>
      <c r="AF17" s="77" t="str">
        <f>Regional.energy[[#This Row],[Region code]]&amp;"."&amp;Regional.energy[[#This Row],[Energy code]]</f>
        <v>G.R.05</v>
      </c>
      <c r="AG17" s="77" t="str">
        <f>INDEX(Region.codes[Description],MATCH(Regional.energy[[#This Row],[Region code]],Region.codes[Code],0))&amp;" "&amp;INDEX(Energy.codes[Description],MATCH(Regional.energy[[#This Row],[Energy code]],Energy.codes[Code],0))</f>
        <v>Global Geothermal</v>
      </c>
      <c r="AH17" s="77"/>
      <c r="AI17" s="218" t="s">
        <v>301</v>
      </c>
      <c r="AJ17" s="218" t="s">
        <v>303</v>
      </c>
      <c r="AK17" s="218" t="s">
        <v>386</v>
      </c>
      <c r="AL17" s="129"/>
      <c r="AM17" s="26" t="s">
        <v>360</v>
      </c>
      <c r="AN17" s="43" t="str">
        <f>IPCC.emissions.sectors[[#This Row],[IPCC sector code]]</f>
        <v>X1</v>
      </c>
      <c r="AO17" s="43" t="str">
        <f>Regional.emissions[[#This Row],[Region code]]&amp;"."&amp;Regional.emissions[[#This Row],[IPCC code]]</f>
        <v>G.X1</v>
      </c>
      <c r="AP17" s="43" t="str">
        <f>INDEX(Region.codes[Description],MATCH(Regional.emissions[[#This Row],[Region code]],Region.codes[Code],0))&amp;" "&amp;INDEX(IPCC.emissions.sectors[Description],MATCH(Regional.emissions[[#This Row],[IPCC code]],IPCC.emissions.sectors[IPCC sector code],0))</f>
        <v>Global Bioenergy credit</v>
      </c>
      <c r="AQ17" s="43"/>
      <c r="AR17" s="47"/>
      <c r="AS17" s="47"/>
      <c r="AT17" s="47"/>
      <c r="AV17" s="26" t="s">
        <v>586</v>
      </c>
      <c r="AW17" s="26" t="s">
        <v>306</v>
      </c>
      <c r="AZ17" s="44" t="s">
        <v>360</v>
      </c>
      <c r="BA17" s="43" t="s">
        <v>586</v>
      </c>
      <c r="BB17" s="43" t="str">
        <f>Regional.costs[[#This Row],[Region]]&amp;"."&amp;Regional.costs[[#This Row],[Cost code]]</f>
        <v>G.FC.Low</v>
      </c>
      <c r="BC17" s="43" t="str">
        <f>INDEX(Region.codes[Description],MATCH(Regional.costs[[#This Row],[Region]],Region.codes[Code],0))&amp;" "&amp;INDEX(Cost.vectors[Description],MATCH(Regional.costs[[#This Row],[Cost code]],Cost.vectors[Code],0))</f>
        <v>Global Low estimate of fuel costs</v>
      </c>
      <c r="BD17" s="43"/>
    </row>
    <row r="18" spans="5:56" s="26" customFormat="1" ht="13.5" customHeight="1">
      <c r="E18" s="43"/>
      <c r="G18" s="43"/>
      <c r="H18" s="43"/>
      <c r="I18" s="28"/>
      <c r="J18" s="28"/>
      <c r="K18" s="122"/>
      <c r="L18" s="122"/>
      <c r="M18" s="122"/>
      <c r="N18" s="219" t="s">
        <v>2030</v>
      </c>
      <c r="O18" s="219" t="s">
        <v>2030</v>
      </c>
      <c r="P18" s="219" t="s">
        <v>51</v>
      </c>
      <c r="Q18" s="219"/>
      <c r="R18" s="28"/>
      <c r="S18" s="219" t="str">
        <f>Region.codes[Code]</f>
        <v>G</v>
      </c>
      <c r="T18" s="219" t="str">
        <f>Technology.codes[[#This Row],[Code]]</f>
        <v>bus.passenger.urban.fuel</v>
      </c>
      <c r="U18" s="219" t="str">
        <f>S18&amp;"."&amp;Regional.Technologies[[#This Row],[Technology]]</f>
        <v>G.bus.passenger.urban.fuel</v>
      </c>
      <c r="V18" s="219" t="str">
        <f>INDEX(Region.codes[Description],MATCH(S18,Region.codes[Code],0))&amp;" "&amp;INDEX(Technology.codes[Description],MATCH(Regional.Technologies[[#This Row],[Technology]],Technology.codes[Code],0))</f>
        <v>Global bus.passenger.urban.fuel</v>
      </c>
      <c r="W18" s="122"/>
      <c r="X18" s="47" t="s">
        <v>523</v>
      </c>
      <c r="Y18" s="40" t="s">
        <v>307</v>
      </c>
      <c r="Z18" s="40" t="s">
        <v>309</v>
      </c>
      <c r="AA18" s="40" t="s">
        <v>259</v>
      </c>
      <c r="AB18" s="40"/>
      <c r="AC18" s="77"/>
      <c r="AD18" s="128" t="s">
        <v>360</v>
      </c>
      <c r="AE18" s="128" t="str">
        <f>Energy.codes[[#This Row],[Code]]</f>
        <v>R.06</v>
      </c>
      <c r="AF18" s="77" t="str">
        <f>Regional.energy[[#This Row],[Region code]]&amp;"."&amp;Regional.energy[[#This Row],[Energy code]]</f>
        <v>G.R.06</v>
      </c>
      <c r="AG18" s="77" t="str">
        <f>INDEX(Region.codes[Description],MATCH(Regional.energy[[#This Row],[Region code]],Region.codes[Code],0))&amp;" "&amp;INDEX(Energy.codes[Description],MATCH(Regional.energy[[#This Row],[Energy code]],Energy.codes[Code],0))</f>
        <v>Global Hydro</v>
      </c>
      <c r="AH18" s="77"/>
      <c r="AI18" s="147" t="s">
        <v>1757</v>
      </c>
      <c r="AJ18" s="147" t="s">
        <v>1758</v>
      </c>
      <c r="AK18" s="147" t="s">
        <v>1761</v>
      </c>
      <c r="AL18" s="47"/>
      <c r="AM18" s="26" t="s">
        <v>360</v>
      </c>
      <c r="AN18" s="43" t="str">
        <f>IPCC.emissions.sectors[[#This Row],[IPCC sector code]]</f>
        <v>X2.A</v>
      </c>
      <c r="AO18" s="43" t="str">
        <f>Regional.emissions[[#This Row],[Region code]]&amp;"."&amp;Regional.emissions[[#This Row],[IPCC code]]</f>
        <v>G.X2.A</v>
      </c>
      <c r="AP18" s="43" t="str">
        <f>INDEX(Region.codes[Description],MATCH(Regional.emissions[[#This Row],[Region code]],Region.codes[Code],0))&amp;" "&amp;INDEX(IPCC.emissions.sectors[Description],MATCH(Regional.emissions[[#This Row],[IPCC code]],IPCC.emissions.sectors[IPCC sector code],0))</f>
        <v>Global Carbon capture combustion</v>
      </c>
      <c r="AQ18" s="43"/>
      <c r="AR18" s="47"/>
      <c r="AS18" s="47"/>
      <c r="AT18" s="47"/>
      <c r="AU18" s="40"/>
      <c r="AV18" s="40"/>
      <c r="AW18" s="40"/>
      <c r="BB18" s="43"/>
    </row>
    <row r="19" spans="5:56" s="26" customFormat="1" ht="13.5" customHeight="1">
      <c r="E19" s="43"/>
      <c r="G19" s="43"/>
      <c r="H19" s="43"/>
      <c r="I19" s="28"/>
      <c r="J19" s="28"/>
      <c r="K19" s="122"/>
      <c r="L19" s="122"/>
      <c r="M19" s="122"/>
      <c r="N19" s="219" t="s">
        <v>2031</v>
      </c>
      <c r="O19" s="219" t="s">
        <v>2031</v>
      </c>
      <c r="P19" s="219" t="s">
        <v>51</v>
      </c>
      <c r="Q19" s="219"/>
      <c r="R19" s="28"/>
      <c r="S19" s="219" t="str">
        <f>Region.codes[Code]</f>
        <v>G</v>
      </c>
      <c r="T19" s="219" t="str">
        <f>Technology.codes[[#This Row],[Code]]</f>
        <v>bus.passenger.urban.PH</v>
      </c>
      <c r="U19" s="219" t="str">
        <f>S19&amp;"."&amp;Regional.Technologies[[#This Row],[Technology]]</f>
        <v>G.bus.passenger.urban.PH</v>
      </c>
      <c r="V19" s="219" t="str">
        <f>INDEX(Region.codes[Description],MATCH(S19,Region.codes[Code],0))&amp;" "&amp;INDEX(Technology.codes[Description],MATCH(Regional.Technologies[[#This Row],[Technology]],Technology.codes[Code],0))</f>
        <v>Global bus.passenger.urban.PH</v>
      </c>
      <c r="W19" s="122"/>
      <c r="X19" s="47" t="s">
        <v>524</v>
      </c>
      <c r="Y19" s="40" t="s">
        <v>307</v>
      </c>
      <c r="Z19" s="40" t="s">
        <v>309</v>
      </c>
      <c r="AA19" s="40" t="s">
        <v>260</v>
      </c>
      <c r="AB19" s="40" t="s">
        <v>315</v>
      </c>
      <c r="AC19" s="77"/>
      <c r="AD19" s="128" t="s">
        <v>360</v>
      </c>
      <c r="AE19" s="128" t="str">
        <f>Energy.codes[[#This Row],[Code]]</f>
        <v>R.07</v>
      </c>
      <c r="AF19" s="77" t="str">
        <f>Regional.energy[[#This Row],[Region code]]&amp;"."&amp;Regional.energy[[#This Row],[Energy code]]</f>
        <v>G.R.07</v>
      </c>
      <c r="AG19" s="77" t="str">
        <f>INDEX(Region.codes[Description],MATCH(Regional.energy[[#This Row],[Region code]],Region.codes[Code],0))&amp;" "&amp;INDEX(Energy.codes[Description],MATCH(Regional.energy[[#This Row],[Energy code]],Energy.codes[Code],0))</f>
        <v>Global Environmental heat</v>
      </c>
      <c r="AH19" s="77"/>
      <c r="AI19" s="147" t="s">
        <v>1759</v>
      </c>
      <c r="AJ19" s="147" t="s">
        <v>1760</v>
      </c>
      <c r="AK19" s="147" t="s">
        <v>1762</v>
      </c>
      <c r="AL19" s="40"/>
      <c r="AM19" s="43" t="s">
        <v>360</v>
      </c>
      <c r="AN19" s="43" t="str">
        <f>IPCC.emissions.sectors[[#This Row],[IPCC sector code]]</f>
        <v>X2.B</v>
      </c>
      <c r="AO19" s="43" t="str">
        <f>Regional.emissions[[#This Row],[Region code]]&amp;"."&amp;Regional.emissions[[#This Row],[IPCC code]]</f>
        <v>G.X2.B</v>
      </c>
      <c r="AP19" s="43" t="str">
        <f>INDEX(Region.codes[Description],MATCH(Regional.emissions[[#This Row],[Region code]],Region.codes[Code],0))&amp;" "&amp;INDEX(IPCC.emissions.sectors[Description],MATCH(Regional.emissions[[#This Row],[IPCC code]],IPCC.emissions.sectors[IPCC sector code],0))</f>
        <v>Global Carbon capture industrial process</v>
      </c>
      <c r="AQ19" s="43"/>
      <c r="AR19" s="47"/>
      <c r="AS19" s="47"/>
      <c r="AT19" s="47"/>
      <c r="AU19" s="40"/>
      <c r="AV19" s="40"/>
      <c r="AW19" s="40"/>
      <c r="BB19" s="43"/>
    </row>
    <row r="20" spans="5:56" s="26" customFormat="1" ht="13.5" customHeight="1">
      <c r="E20" s="43"/>
      <c r="G20" s="43"/>
      <c r="H20" s="43"/>
      <c r="I20" s="28"/>
      <c r="J20" s="28"/>
      <c r="K20" s="122"/>
      <c r="L20" s="122"/>
      <c r="M20" s="122"/>
      <c r="N20" s="219" t="s">
        <v>2031</v>
      </c>
      <c r="O20" s="219" t="s">
        <v>2031</v>
      </c>
      <c r="P20" s="219" t="s">
        <v>51</v>
      </c>
      <c r="Q20" s="219"/>
      <c r="R20" s="28"/>
      <c r="S20" s="219" t="str">
        <f>Region.codes[Code]</f>
        <v>G</v>
      </c>
      <c r="T20" s="219" t="str">
        <f>Technology.codes[[#This Row],[Code]]</f>
        <v>bus.passenger.urban.PH</v>
      </c>
      <c r="U20" s="219" t="str">
        <f>S20&amp;"."&amp;Regional.Technologies[[#This Row],[Technology]]</f>
        <v>G.bus.passenger.urban.PH</v>
      </c>
      <c r="V20" s="219" t="str">
        <f>INDEX(Region.codes[Description],MATCH(S20,Region.codes[Code],0))&amp;" "&amp;INDEX(Technology.codes[Description],MATCH(Regional.Technologies[[#This Row],[Technology]],Technology.codes[Code],0))</f>
        <v>Global bus.passenger.urban.PH</v>
      </c>
      <c r="W20" s="122"/>
      <c r="X20" s="93" t="s">
        <v>525</v>
      </c>
      <c r="Y20" s="168" t="s">
        <v>307</v>
      </c>
      <c r="Z20" s="168" t="s">
        <v>309</v>
      </c>
      <c r="AA20" s="168" t="s">
        <v>1328</v>
      </c>
      <c r="AB20" s="168" t="s">
        <v>762</v>
      </c>
      <c r="AC20" s="77"/>
      <c r="AD20" s="128" t="s">
        <v>360</v>
      </c>
      <c r="AE20" s="128" t="str">
        <f>Energy.codes[[#This Row],[Code]]</f>
        <v>R.08</v>
      </c>
      <c r="AF20" s="77" t="str">
        <f>Regional.energy[[#This Row],[Region code]]&amp;"."&amp;Regional.energy[[#This Row],[Energy code]]</f>
        <v>G.R.08</v>
      </c>
      <c r="AG20" s="77" t="str">
        <f>INDEX(Region.codes[Description],MATCH(Regional.energy[[#This Row],[Region code]],Region.codes[Code],0))&amp;" "&amp;INDEX(Energy.codes[Description],MATCH(Regional.energy[[#This Row],[Energy code]],Energy.codes[Code],0))</f>
        <v>Global Agricultural produce</v>
      </c>
      <c r="AH20" s="77"/>
      <c r="AI20" s="47" t="s">
        <v>1763</v>
      </c>
      <c r="AJ20" s="47" t="s">
        <v>1764</v>
      </c>
      <c r="AK20" s="47" t="s">
        <v>1765</v>
      </c>
      <c r="AL20" s="40"/>
      <c r="AM20" s="43" t="s">
        <v>360</v>
      </c>
      <c r="AN20" s="43" t="str">
        <f>IPCC.emissions.sectors[[#This Row],[IPCC sector code]]</f>
        <v>X2.C</v>
      </c>
      <c r="AO20" s="278" t="str">
        <f>Regional.emissions[[#This Row],[Region code]]&amp;"."&amp;Regional.emissions[[#This Row],[IPCC code]]</f>
        <v>G.X2.C</v>
      </c>
      <c r="AP20" s="278" t="str">
        <f>INDEX(Region.codes[Description],MATCH(Regional.emissions[[#This Row],[Region code]],Region.codes[Code],0))&amp;" "&amp;INDEX(IPCC.emissions.sectors[Description],MATCH(Regional.emissions[[#This Row],[IPCC code]],IPCC.emissions.sectors[IPCC sector code],0))</f>
        <v>Global Carbon capture from air</v>
      </c>
      <c r="AQ20" s="43"/>
      <c r="AR20" s="47"/>
      <c r="AS20" s="47"/>
      <c r="AT20" s="47"/>
      <c r="AU20" s="40"/>
      <c r="AV20" s="40"/>
      <c r="AW20" s="40"/>
      <c r="BB20" s="43"/>
    </row>
    <row r="21" spans="5:56" s="26" customFormat="1" ht="13.5" customHeight="1">
      <c r="E21" s="43"/>
      <c r="G21" s="43"/>
      <c r="H21" s="43"/>
      <c r="I21" s="28"/>
      <c r="J21" s="28"/>
      <c r="K21" s="43"/>
      <c r="L21" s="43"/>
      <c r="M21" s="43"/>
      <c r="N21" s="219" t="s">
        <v>2032</v>
      </c>
      <c r="O21" s="219" t="s">
        <v>2032</v>
      </c>
      <c r="P21" s="219" t="s">
        <v>51</v>
      </c>
      <c r="Q21" s="219"/>
      <c r="R21" s="28"/>
      <c r="S21" s="219" t="str">
        <f>Region.codes[Code]</f>
        <v>G</v>
      </c>
      <c r="T21" s="219" t="str">
        <f>Technology.codes[[#This Row],[Code]]</f>
        <v>bus.passenger.urban.EV</v>
      </c>
      <c r="U21" s="219" t="str">
        <f>S21&amp;"."&amp;Regional.Technologies[[#This Row],[Technology]]</f>
        <v>G.bus.passenger.urban.EV</v>
      </c>
      <c r="V21" s="219" t="str">
        <f>INDEX(Region.codes[Description],MATCH(S21,Region.codes[Code],0))&amp;" "&amp;INDEX(Technology.codes[Description],MATCH(Regional.Technologies[[#This Row],[Technology]],Technology.codes[Code],0))</f>
        <v>Global bus.passenger.urban.EV</v>
      </c>
      <c r="W21" s="43"/>
      <c r="X21" s="135" t="s">
        <v>1335</v>
      </c>
      <c r="Y21" s="136" t="s">
        <v>307</v>
      </c>
      <c r="Z21" s="136" t="s">
        <v>309</v>
      </c>
      <c r="AA21" s="136" t="s">
        <v>262</v>
      </c>
      <c r="AB21" s="136" t="s">
        <v>1336</v>
      </c>
      <c r="AC21" s="77"/>
      <c r="AD21" s="128" t="s">
        <v>360</v>
      </c>
      <c r="AE21" s="128" t="str">
        <f>Energy.codes[[#This Row],[Code]]</f>
        <v>R.09</v>
      </c>
      <c r="AF21" s="77" t="str">
        <f>Regional.energy[[#This Row],[Region code]]&amp;"."&amp;Regional.energy[[#This Row],[Energy code]]</f>
        <v>G.R.09</v>
      </c>
      <c r="AG21" s="77" t="str">
        <f>INDEX(Region.codes[Description],MATCH(Regional.energy[[#This Row],[Region code]],Region.codes[Code],0))&amp;" "&amp;INDEX(Energy.codes[Description],MATCH(Regional.energy[[#This Row],[Energy code]],Energy.codes[Code],0))</f>
        <v>Global Waste</v>
      </c>
      <c r="AH21" s="77"/>
      <c r="AI21" s="77"/>
      <c r="AJ21" s="7"/>
      <c r="AK21" s="7"/>
      <c r="AL21" s="43"/>
      <c r="AN21" s="43"/>
      <c r="AO21" s="43"/>
      <c r="AP21" s="43"/>
      <c r="AQ21" s="43"/>
      <c r="AR21" s="47"/>
      <c r="AS21" s="47"/>
      <c r="AT21" s="47"/>
      <c r="AU21" s="40"/>
      <c r="AV21" s="40"/>
      <c r="AW21" s="40"/>
      <c r="BB21" s="43"/>
    </row>
    <row r="22" spans="5:56" s="26" customFormat="1" ht="13.5" customHeight="1">
      <c r="E22" s="43"/>
      <c r="F22" s="43"/>
      <c r="G22" s="43"/>
      <c r="H22" s="43"/>
      <c r="I22" s="28"/>
      <c r="J22" s="28"/>
      <c r="K22" s="43"/>
      <c r="L22" s="43"/>
      <c r="M22" s="43"/>
      <c r="N22" s="219" t="s">
        <v>2050</v>
      </c>
      <c r="O22" s="219" t="s">
        <v>2050</v>
      </c>
      <c r="P22" s="219" t="s">
        <v>51</v>
      </c>
      <c r="Q22" s="219"/>
      <c r="R22" s="28"/>
      <c r="S22" s="219" t="str">
        <f>Region.codes[Code]</f>
        <v>G</v>
      </c>
      <c r="T22" s="219" t="str">
        <f>Technology.codes[[#This Row],[Code]]</f>
        <v>bus.passenger.urban.H2</v>
      </c>
      <c r="U22" s="219" t="str">
        <f>S22&amp;"."&amp;Regional.Technologies[[#This Row],[Technology]]</f>
        <v>G.bus.passenger.urban.H2</v>
      </c>
      <c r="V22" s="219" t="str">
        <f>INDEX(Region.codes[Description],MATCH(S22,Region.codes[Code],0))&amp;" "&amp;INDEX(Technology.codes[Description],MATCH(Regional.Technologies[[#This Row],[Technology]],Technology.codes[Code],0))</f>
        <v>Global bus.passenger.urban.H2</v>
      </c>
      <c r="W22" s="43"/>
      <c r="X22" s="47" t="s">
        <v>526</v>
      </c>
      <c r="Y22" s="40" t="s">
        <v>291</v>
      </c>
      <c r="Z22" s="40" t="s">
        <v>292</v>
      </c>
      <c r="AA22" s="40" t="s">
        <v>248</v>
      </c>
      <c r="AB22" s="40" t="s">
        <v>449</v>
      </c>
      <c r="AC22" s="77"/>
      <c r="AD22" s="128" t="s">
        <v>360</v>
      </c>
      <c r="AE22" s="128" t="str">
        <f>Energy.codes[[#This Row],[Code]]</f>
        <v>T.01</v>
      </c>
      <c r="AF22" s="77" t="str">
        <f>Regional.energy[[#This Row],[Region code]]&amp;"."&amp;Regional.energy[[#This Row],[Energy code]]</f>
        <v>G.T.01</v>
      </c>
      <c r="AG22" s="77" t="str">
        <f>INDEX(Region.codes[Description],MATCH(Regional.energy[[#This Row],[Region code]],Region.codes[Code],0))&amp;" "&amp;INDEX(Energy.codes[Description],MATCH(Regional.energy[[#This Row],[Energy code]],Energy.codes[Code],0))</f>
        <v>Global Road transport</v>
      </c>
      <c r="AH22" s="77"/>
      <c r="AI22" s="378" t="s">
        <v>2362</v>
      </c>
      <c r="AJ22" s="7"/>
      <c r="AK22" s="7"/>
      <c r="AL22" s="43"/>
      <c r="AN22" s="43"/>
      <c r="AO22" s="43"/>
      <c r="AP22" s="43"/>
      <c r="AQ22" s="43"/>
      <c r="AR22" s="47"/>
      <c r="AS22" s="47"/>
      <c r="AT22" s="47"/>
      <c r="AU22" s="40"/>
      <c r="AV22" s="40"/>
      <c r="AW22" s="40"/>
      <c r="BB22" s="43"/>
    </row>
    <row r="23" spans="5:56" s="26" customFormat="1" ht="13.5" customHeight="1">
      <c r="E23" s="43"/>
      <c r="H23" s="43"/>
      <c r="I23" s="28"/>
      <c r="J23" s="28"/>
      <c r="K23" s="43"/>
      <c r="L23" s="176"/>
      <c r="M23" s="43"/>
      <c r="N23" s="219" t="s">
        <v>2033</v>
      </c>
      <c r="O23" s="219" t="s">
        <v>2033</v>
      </c>
      <c r="P23" s="219" t="s">
        <v>51</v>
      </c>
      <c r="Q23" s="219"/>
      <c r="R23" s="28"/>
      <c r="S23" s="219" t="str">
        <f>Region.codes[Code]</f>
        <v>G</v>
      </c>
      <c r="T23" s="219" t="str">
        <f>Technology.codes[[#This Row],[Code]]</f>
        <v>train.passenger.urban.fuel</v>
      </c>
      <c r="U23" s="219" t="str">
        <f>S23&amp;"."&amp;Regional.Technologies[[#This Row],[Technology]]</f>
        <v>G.train.passenger.urban.fuel</v>
      </c>
      <c r="V23" s="219" t="str">
        <f>INDEX(Region.codes[Description],MATCH(S23,Region.codes[Code],0))&amp;" "&amp;INDEX(Technology.codes[Description],MATCH(Regional.Technologies[[#This Row],[Technology]],Technology.codes[Code],0))</f>
        <v>Global train.passenger.urban.fuel</v>
      </c>
      <c r="W23" s="43"/>
      <c r="X23" s="47" t="s">
        <v>527</v>
      </c>
      <c r="Y23" s="40" t="s">
        <v>291</v>
      </c>
      <c r="Z23" s="40" t="s">
        <v>292</v>
      </c>
      <c r="AA23" s="40" t="s">
        <v>249</v>
      </c>
      <c r="AB23" s="218" t="s">
        <v>1230</v>
      </c>
      <c r="AC23" s="77"/>
      <c r="AD23" s="128" t="s">
        <v>360</v>
      </c>
      <c r="AE23" s="128" t="str">
        <f>Energy.codes[[#This Row],[Code]]</f>
        <v>T.02</v>
      </c>
      <c r="AF23" s="77" t="str">
        <f>Regional.energy[[#This Row],[Region code]]&amp;"."&amp;Regional.energy[[#This Row],[Energy code]]</f>
        <v>G.T.02</v>
      </c>
      <c r="AG23" s="77" t="str">
        <f>INDEX(Region.codes[Description],MATCH(Regional.energy[[#This Row],[Region code]],Region.codes[Code],0))&amp;" "&amp;INDEX(Energy.codes[Description],MATCH(Regional.energy[[#This Row],[Energy code]],Energy.codes[Code],0))</f>
        <v>Global Rail transport</v>
      </c>
      <c r="AH23" s="77"/>
      <c r="AI23" s="378" t="s">
        <v>2363</v>
      </c>
      <c r="AL23" s="43"/>
      <c r="AN23" s="43"/>
      <c r="AO23" s="43"/>
      <c r="AP23" s="43"/>
      <c r="AQ23" s="43"/>
      <c r="AR23" s="47"/>
      <c r="AS23" s="47"/>
      <c r="AT23" s="47"/>
      <c r="AU23" s="40"/>
      <c r="AV23" s="40"/>
      <c r="AW23" s="40"/>
      <c r="BB23" s="43"/>
    </row>
    <row r="24" spans="5:56" s="26" customFormat="1" ht="13.5" customHeight="1">
      <c r="E24" s="43"/>
      <c r="G24" s="43"/>
      <c r="H24" s="43"/>
      <c r="I24" s="28"/>
      <c r="J24" s="28"/>
      <c r="K24" s="43"/>
      <c r="L24" s="176"/>
      <c r="M24" s="43"/>
      <c r="N24" s="219" t="s">
        <v>2044</v>
      </c>
      <c r="O24" s="219" t="s">
        <v>2044</v>
      </c>
      <c r="P24" s="219" t="s">
        <v>51</v>
      </c>
      <c r="Q24" s="219"/>
      <c r="R24" s="28"/>
      <c r="S24" s="219" t="str">
        <f>Region.codes[Code]</f>
        <v>G</v>
      </c>
      <c r="T24" s="219" t="str">
        <f>Technology.codes[[#This Row],[Code]]</f>
        <v>train.passenger.urban.elec</v>
      </c>
      <c r="U24" s="219" t="str">
        <f>S24&amp;"."&amp;Regional.Technologies[[#This Row],[Technology]]</f>
        <v>G.train.passenger.urban.elec</v>
      </c>
      <c r="V24" s="219" t="str">
        <f>INDEX(Region.codes[Description],MATCH(S24,Region.codes[Code],0))&amp;" "&amp;INDEX(Technology.codes[Description],MATCH(Regional.Technologies[[#This Row],[Technology]],Technology.codes[Code],0))</f>
        <v>Global train.passenger.urban.elec</v>
      </c>
      <c r="W24" s="43"/>
      <c r="X24" s="47" t="s">
        <v>528</v>
      </c>
      <c r="Y24" s="40" t="s">
        <v>291</v>
      </c>
      <c r="Z24" s="40" t="s">
        <v>292</v>
      </c>
      <c r="AA24" s="40" t="s">
        <v>366</v>
      </c>
      <c r="AB24" s="218" t="s">
        <v>1231</v>
      </c>
      <c r="AC24" s="77"/>
      <c r="AD24" s="128" t="s">
        <v>360</v>
      </c>
      <c r="AE24" s="128" t="str">
        <f>Energy.codes[[#This Row],[Code]]</f>
        <v>T.03</v>
      </c>
      <c r="AF24" s="77" t="str">
        <f>Regional.energy[[#This Row],[Region code]]&amp;"."&amp;Regional.energy[[#This Row],[Energy code]]</f>
        <v>G.T.03</v>
      </c>
      <c r="AG24" s="77" t="str">
        <f>INDEX(Region.codes[Description],MATCH(Regional.energy[[#This Row],[Region code]],Region.codes[Code],0))&amp;" "&amp;INDEX(Energy.codes[Description],MATCH(Regional.energy[[#This Row],[Energy code]],Energy.codes[Code],0))</f>
        <v>Global Aviation transport</v>
      </c>
      <c r="AH24" s="77"/>
      <c r="AI24" s="77"/>
      <c r="AJ24" s="44"/>
      <c r="AL24" s="43"/>
      <c r="AN24" s="43"/>
      <c r="AO24" s="43"/>
      <c r="AP24" s="43"/>
      <c r="AQ24" s="43"/>
      <c r="AR24" s="40"/>
      <c r="AS24" s="40"/>
      <c r="AT24" s="40"/>
      <c r="AU24" s="40"/>
      <c r="AV24" s="40"/>
      <c r="AW24" s="40"/>
      <c r="BB24" s="43"/>
    </row>
    <row r="25" spans="5:56" s="26" customFormat="1" ht="13.5" customHeight="1">
      <c r="E25" s="43"/>
      <c r="G25" s="43"/>
      <c r="H25" s="43"/>
      <c r="I25" s="28"/>
      <c r="J25" s="28"/>
      <c r="L25" s="176"/>
      <c r="M25" s="43"/>
      <c r="N25" s="219" t="s">
        <v>2368</v>
      </c>
      <c r="O25" s="219" t="s">
        <v>2368</v>
      </c>
      <c r="P25" s="219" t="s">
        <v>51</v>
      </c>
      <c r="Q25" s="219"/>
      <c r="R25" s="28"/>
      <c r="S25" s="219" t="str">
        <f>Region.codes[Code]</f>
        <v>G</v>
      </c>
      <c r="T25" s="219" t="str">
        <f>Technology.codes[[#This Row],[Code]]</f>
        <v>walk.passenger.rural</v>
      </c>
      <c r="U25" s="219" t="str">
        <f>S25&amp;"."&amp;Regional.Technologies[[#This Row],[Technology]]</f>
        <v>G.walk.passenger.rural</v>
      </c>
      <c r="V25" s="219" t="str">
        <f>INDEX(Region.codes[Description],MATCH(S25,Region.codes[Code],0))&amp;" "&amp;INDEX(Technology.codes[Description],MATCH(Regional.Technologies[[#This Row],[Technology]],Technology.codes[Code],0))</f>
        <v>Global walk.passenger.rural</v>
      </c>
      <c r="W25" s="43"/>
      <c r="X25" s="47" t="s">
        <v>529</v>
      </c>
      <c r="Y25" s="40" t="s">
        <v>291</v>
      </c>
      <c r="Z25" s="40" t="s">
        <v>292</v>
      </c>
      <c r="AA25" s="40" t="s">
        <v>362</v>
      </c>
      <c r="AB25" s="218" t="s">
        <v>1232</v>
      </c>
      <c r="AC25" s="77"/>
      <c r="AD25" s="128" t="s">
        <v>360</v>
      </c>
      <c r="AE25" s="128" t="str">
        <f>Energy.codes[[#This Row],[Code]]</f>
        <v>T.04</v>
      </c>
      <c r="AF25" s="77" t="str">
        <f>Regional.energy[[#This Row],[Region code]]&amp;"."&amp;Regional.energy[[#This Row],[Energy code]]</f>
        <v>G.T.04</v>
      </c>
      <c r="AG25" s="77" t="str">
        <f>INDEX(Region.codes[Description],MATCH(Regional.energy[[#This Row],[Region code]],Region.codes[Code],0))&amp;" "&amp;INDEX(Energy.codes[Description],MATCH(Regional.energy[[#This Row],[Energy code]],Energy.codes[Code],0))</f>
        <v>Global Water transport</v>
      </c>
      <c r="AH25" s="77"/>
      <c r="AI25" s="77"/>
      <c r="AL25" s="43"/>
      <c r="AN25" s="43"/>
      <c r="AO25" s="43"/>
      <c r="AP25" s="43"/>
      <c r="AQ25" s="43"/>
      <c r="AR25" s="116"/>
      <c r="AS25" s="7"/>
      <c r="AT25" s="7"/>
      <c r="AU25" s="40"/>
      <c r="AV25" s="40"/>
      <c r="AW25" s="40"/>
      <c r="BB25" s="43"/>
    </row>
    <row r="26" spans="5:56" s="26" customFormat="1" ht="13.5" customHeight="1">
      <c r="E26" s="43"/>
      <c r="G26" s="43"/>
      <c r="H26" s="43"/>
      <c r="I26" s="28"/>
      <c r="J26" s="28"/>
      <c r="K26" s="43"/>
      <c r="L26" s="176"/>
      <c r="M26" s="43"/>
      <c r="N26" s="219" t="s">
        <v>2048</v>
      </c>
      <c r="O26" s="219" t="s">
        <v>2048</v>
      </c>
      <c r="P26" s="219" t="s">
        <v>51</v>
      </c>
      <c r="Q26" s="219"/>
      <c r="R26" s="28"/>
      <c r="S26" s="219" t="str">
        <f>Region.codes[Code]</f>
        <v>G</v>
      </c>
      <c r="T26" s="219" t="str">
        <f>Technology.codes[[#This Row],[Code]]</f>
        <v>bike.passenger.rural</v>
      </c>
      <c r="U26" s="219" t="str">
        <f>S26&amp;"."&amp;Regional.Technologies[[#This Row],[Technology]]</f>
        <v>G.bike.passenger.rural</v>
      </c>
      <c r="V26" s="219" t="str">
        <f>INDEX(Region.codes[Description],MATCH(S26,Region.codes[Code],0))&amp;" "&amp;INDEX(Technology.codes[Description],MATCH(Regional.Technologies[[#This Row],[Technology]],Technology.codes[Code],0))</f>
        <v>Global bike.passenger.rural</v>
      </c>
      <c r="W26" s="43"/>
      <c r="X26" s="47" t="s">
        <v>530</v>
      </c>
      <c r="Y26" s="40" t="s">
        <v>291</v>
      </c>
      <c r="Z26" s="40" t="s">
        <v>55</v>
      </c>
      <c r="AA26" s="40" t="s">
        <v>358</v>
      </c>
      <c r="AB26" s="40" t="s">
        <v>450</v>
      </c>
      <c r="AC26" s="77"/>
      <c r="AD26" s="128" t="s">
        <v>360</v>
      </c>
      <c r="AE26" s="128" t="str">
        <f>Energy.codes[[#This Row],[Code]]</f>
        <v>M.01</v>
      </c>
      <c r="AF26" s="77" t="str">
        <f>Regional.energy[[#This Row],[Region code]]&amp;"."&amp;Regional.energy[[#This Row],[Energy code]]</f>
        <v>G.M.01</v>
      </c>
      <c r="AG26" s="77" t="str">
        <f>INDEX(Region.codes[Description],MATCH(Regional.energy[[#This Row],[Region code]],Region.codes[Code],0))&amp;" "&amp;INDEX(Energy.codes[Description],MATCH(Regional.energy[[#This Row],[Energy code]],Energy.codes[Code],0))</f>
        <v>Global Products</v>
      </c>
      <c r="AH26" s="77"/>
      <c r="AI26" s="77"/>
      <c r="AL26" s="43"/>
      <c r="AN26" s="43"/>
      <c r="AO26" s="43"/>
      <c r="AP26" s="43"/>
      <c r="AQ26" s="43"/>
      <c r="BB26" s="43"/>
    </row>
    <row r="27" spans="5:56" s="26" customFormat="1" ht="13.5" customHeight="1">
      <c r="E27" s="43"/>
      <c r="G27" s="43"/>
      <c r="H27" s="43"/>
      <c r="I27" s="28"/>
      <c r="J27" s="28"/>
      <c r="K27" s="43"/>
      <c r="L27" s="176"/>
      <c r="M27" s="43"/>
      <c r="N27" s="219" t="s">
        <v>2025</v>
      </c>
      <c r="O27" s="219" t="s">
        <v>2025</v>
      </c>
      <c r="P27" s="219" t="s">
        <v>51</v>
      </c>
      <c r="Q27" s="219"/>
      <c r="R27" s="28"/>
      <c r="S27" s="219" t="str">
        <f>Region.codes[Code]</f>
        <v>G</v>
      </c>
      <c r="T27" s="219" t="str">
        <f>Technology.codes[[#This Row],[Code]]</f>
        <v>motorbike.passenger.rural.fuel</v>
      </c>
      <c r="U27" s="219" t="str">
        <f>S27&amp;"."&amp;Regional.Technologies[[#This Row],[Technology]]</f>
        <v>G.motorbike.passenger.rural.fuel</v>
      </c>
      <c r="V27" s="219" t="str">
        <f>INDEX(Region.codes[Description],MATCH(S27,Region.codes[Code],0))&amp;" "&amp;INDEX(Technology.codes[Description],MATCH(Regional.Technologies[[#This Row],[Technology]],Technology.codes[Code],0))</f>
        <v>Global motorbike.passenger.rural.fuel</v>
      </c>
      <c r="W27" s="43"/>
      <c r="X27" s="47" t="s">
        <v>531</v>
      </c>
      <c r="Y27" s="40" t="s">
        <v>291</v>
      </c>
      <c r="Z27" s="40" t="s">
        <v>55</v>
      </c>
      <c r="AA27" s="40" t="s">
        <v>55</v>
      </c>
      <c r="AB27" s="40" t="s">
        <v>451</v>
      </c>
      <c r="AC27" s="77"/>
      <c r="AD27" s="128" t="s">
        <v>360</v>
      </c>
      <c r="AE27" s="128" t="str">
        <f>Energy.codes[[#This Row],[Code]]</f>
        <v>M.02</v>
      </c>
      <c r="AF27" s="77" t="str">
        <f>Regional.energy[[#This Row],[Region code]]&amp;"."&amp;Regional.energy[[#This Row],[Energy code]]</f>
        <v>G.M.02</v>
      </c>
      <c r="AG27" s="77" t="str">
        <f>INDEX(Region.codes[Description],MATCH(Regional.energy[[#This Row],[Region code]],Region.codes[Code],0))&amp;" "&amp;INDEX(Energy.codes[Description],MATCH(Regional.energy[[#This Row],[Energy code]],Energy.codes[Code],0))</f>
        <v>Global Materials</v>
      </c>
      <c r="AH27" s="77"/>
      <c r="AI27" s="77"/>
      <c r="AL27" s="43"/>
      <c r="AN27" s="43"/>
      <c r="AO27" s="43"/>
      <c r="AP27" s="43"/>
      <c r="AQ27" s="43"/>
      <c r="BB27" s="43"/>
    </row>
    <row r="28" spans="5:56" s="26" customFormat="1" ht="13.5" customHeight="1">
      <c r="E28" s="43"/>
      <c r="G28" s="43"/>
      <c r="H28" s="43"/>
      <c r="I28" s="28"/>
      <c r="J28" s="28"/>
      <c r="K28" s="43"/>
      <c r="L28" s="176"/>
      <c r="M28" s="43"/>
      <c r="N28" s="219" t="s">
        <v>2026</v>
      </c>
      <c r="O28" s="219" t="s">
        <v>2026</v>
      </c>
      <c r="P28" s="219" t="s">
        <v>51</v>
      </c>
      <c r="Q28" s="219"/>
      <c r="R28" s="28"/>
      <c r="S28" s="219" t="str">
        <f>Region.codes[Code]</f>
        <v>G</v>
      </c>
      <c r="T28" s="219" t="str">
        <f>Technology.codes[[#This Row],[Code]]</f>
        <v>motorbike.passenger.rural.elec</v>
      </c>
      <c r="U28" s="219" t="str">
        <f>S28&amp;"."&amp;Regional.Technologies[[#This Row],[Technology]]</f>
        <v>G.motorbike.passenger.rural.elec</v>
      </c>
      <c r="V28" s="219" t="str">
        <f>INDEX(Region.codes[Description],MATCH(S28,Region.codes[Code],0))&amp;" "&amp;INDEX(Technology.codes[Description],MATCH(Regional.Technologies[[#This Row],[Technology]],Technology.codes[Code],0))</f>
        <v>Global motorbike.passenger.rural.elec</v>
      </c>
      <c r="W28" s="43"/>
      <c r="X28" s="47" t="s">
        <v>532</v>
      </c>
      <c r="Y28" s="40" t="s">
        <v>291</v>
      </c>
      <c r="Z28" s="40" t="s">
        <v>55</v>
      </c>
      <c r="AA28" s="40" t="s">
        <v>359</v>
      </c>
      <c r="AB28" s="40" t="s">
        <v>452</v>
      </c>
      <c r="AC28" s="77"/>
      <c r="AD28" s="128" t="s">
        <v>360</v>
      </c>
      <c r="AE28" s="128" t="str">
        <f>Energy.codes[[#This Row],[Code]]</f>
        <v>M.03</v>
      </c>
      <c r="AF28" s="77" t="str">
        <f>Regional.energy[[#This Row],[Region code]]&amp;"."&amp;Regional.energy[[#This Row],[Energy code]]</f>
        <v>G.M.03</v>
      </c>
      <c r="AG28" s="77" t="str">
        <f>INDEX(Region.codes[Description],MATCH(Regional.energy[[#This Row],[Region code]],Region.codes[Code],0))&amp;" "&amp;INDEX(Energy.codes[Description],MATCH(Regional.energy[[#This Row],[Energy code]],Energy.codes[Code],0))</f>
        <v>Global Raw resources</v>
      </c>
      <c r="AH28" s="77"/>
      <c r="AI28" s="77"/>
      <c r="AL28" s="43"/>
      <c r="AN28" s="43"/>
      <c r="AO28" s="43"/>
      <c r="AP28" s="43"/>
      <c r="AQ28" s="43"/>
      <c r="BB28" s="43"/>
    </row>
    <row r="29" spans="5:56" s="26" customFormat="1" ht="13.5" customHeight="1">
      <c r="E29" s="43"/>
      <c r="G29" s="43"/>
      <c r="H29" s="43"/>
      <c r="I29" s="28"/>
      <c r="J29" s="28"/>
      <c r="K29" s="43"/>
      <c r="L29" s="43"/>
      <c r="M29" s="43"/>
      <c r="N29" s="219" t="s">
        <v>2037</v>
      </c>
      <c r="O29" s="219" t="s">
        <v>2037</v>
      </c>
      <c r="P29" s="219" t="s">
        <v>51</v>
      </c>
      <c r="Q29" s="219"/>
      <c r="R29" s="28"/>
      <c r="S29" s="219" t="str">
        <f>Region.codes[Code]</f>
        <v>G</v>
      </c>
      <c r="T29" s="219" t="str">
        <f>Technology.codes[[#This Row],[Code]]</f>
        <v>car.passenger.rural.fuel</v>
      </c>
      <c r="U29" s="219" t="str">
        <f>S29&amp;"."&amp;Regional.Technologies[[#This Row],[Technology]]</f>
        <v>G.car.passenger.rural.fuel</v>
      </c>
      <c r="V29" s="219" t="str">
        <f>INDEX(Region.codes[Description],MATCH(S29,Region.codes[Code],0))&amp;" "&amp;INDEX(Technology.codes[Description],MATCH(Regional.Technologies[[#This Row],[Technology]],Technology.codes[Code],0))</f>
        <v>Global car.passenger.rural.fuel</v>
      </c>
      <c r="W29" s="43"/>
      <c r="X29" s="47" t="s">
        <v>533</v>
      </c>
      <c r="Y29" s="40" t="s">
        <v>291</v>
      </c>
      <c r="Z29" s="40" t="s">
        <v>56</v>
      </c>
      <c r="AA29" s="40" t="s">
        <v>251</v>
      </c>
      <c r="AB29" s="40" t="s">
        <v>305</v>
      </c>
      <c r="AC29" s="77"/>
      <c r="AD29" s="128" t="s">
        <v>360</v>
      </c>
      <c r="AE29" s="128" t="str">
        <f>Energy.codes[[#This Row],[Code]]</f>
        <v>B.01</v>
      </c>
      <c r="AF29" s="77" t="str">
        <f>Regional.energy[[#This Row],[Region code]]&amp;"."&amp;Regional.energy[[#This Row],[Energy code]]</f>
        <v>G.B.01</v>
      </c>
      <c r="AG29" s="77" t="str">
        <f>INDEX(Region.codes[Description],MATCH(Regional.energy[[#This Row],[Region code]],Region.codes[Code],0))&amp;" "&amp;INDEX(Energy.codes[Description],MATCH(Regional.energy[[#This Row],[Energy code]],Energy.codes[Code],0))</f>
        <v>Global Heating and cooling</v>
      </c>
      <c r="AH29" s="77"/>
      <c r="AI29" s="77"/>
      <c r="AL29" s="43"/>
      <c r="AN29" s="43"/>
      <c r="AO29" s="43"/>
      <c r="AP29" s="43"/>
      <c r="AQ29" s="43"/>
      <c r="BB29" s="43"/>
    </row>
    <row r="30" spans="5:56" s="26" customFormat="1" ht="13.5" customHeight="1">
      <c r="E30" s="43"/>
      <c r="G30" s="43"/>
      <c r="H30" s="43"/>
      <c r="I30" s="28"/>
      <c r="J30" s="28"/>
      <c r="K30" s="43"/>
      <c r="L30" s="43"/>
      <c r="M30" s="43"/>
      <c r="N30" s="219" t="s">
        <v>2038</v>
      </c>
      <c r="O30" s="219" t="s">
        <v>2038</v>
      </c>
      <c r="P30" s="219" t="s">
        <v>51</v>
      </c>
      <c r="Q30" s="219"/>
      <c r="R30" s="28"/>
      <c r="S30" s="219" t="str">
        <f>Region.codes[Code]</f>
        <v>G</v>
      </c>
      <c r="T30" s="219" t="str">
        <f>Technology.codes[[#This Row],[Code]]</f>
        <v>car.passenger.rural.PH</v>
      </c>
      <c r="U30" s="219" t="str">
        <f>S30&amp;"."&amp;Regional.Technologies[[#This Row],[Technology]]</f>
        <v>G.car.passenger.rural.PH</v>
      </c>
      <c r="V30" s="219" t="str">
        <f>INDEX(Region.codes[Description],MATCH(S30,Region.codes[Code],0))&amp;" "&amp;INDEX(Technology.codes[Description],MATCH(Regional.Technologies[[#This Row],[Technology]],Technology.codes[Code],0))</f>
        <v>Global car.passenger.rural.PH</v>
      </c>
      <c r="W30" s="43"/>
      <c r="X30" s="47" t="s">
        <v>534</v>
      </c>
      <c r="Y30" s="40" t="s">
        <v>291</v>
      </c>
      <c r="Z30" s="40" t="s">
        <v>56</v>
      </c>
      <c r="AA30" s="40" t="s">
        <v>252</v>
      </c>
      <c r="AB30" s="40" t="s">
        <v>763</v>
      </c>
      <c r="AC30" s="77"/>
      <c r="AD30" s="128" t="s">
        <v>360</v>
      </c>
      <c r="AE30" s="128" t="str">
        <f>Energy.codes[[#This Row],[Code]]</f>
        <v>B.02</v>
      </c>
      <c r="AF30" s="77" t="str">
        <f>Regional.energy[[#This Row],[Region code]]&amp;"."&amp;Regional.energy[[#This Row],[Energy code]]</f>
        <v>G.B.02</v>
      </c>
      <c r="AG30" s="77" t="str">
        <f>INDEX(Region.codes[Description],MATCH(Regional.energy[[#This Row],[Region code]],Region.codes[Code],0))&amp;" "&amp;INDEX(Energy.codes[Description],MATCH(Regional.energy[[#This Row],[Energy code]],Energy.codes[Code],0))</f>
        <v>Global Lighting &amp; appliances</v>
      </c>
      <c r="AH30" s="77"/>
      <c r="AI30" s="77"/>
      <c r="AL30" s="43"/>
      <c r="AN30" s="43"/>
      <c r="AO30" s="43"/>
      <c r="AP30" s="43"/>
      <c r="AQ30" s="43"/>
      <c r="BB30" s="43"/>
    </row>
    <row r="31" spans="5:56" s="26" customFormat="1" ht="13.5" customHeight="1">
      <c r="E31" s="43"/>
      <c r="G31" s="43"/>
      <c r="H31" s="43"/>
      <c r="I31" s="68"/>
      <c r="J31" s="68"/>
      <c r="K31" s="43"/>
      <c r="L31" s="43"/>
      <c r="M31" s="43"/>
      <c r="N31" s="219" t="s">
        <v>2038</v>
      </c>
      <c r="O31" s="219" t="s">
        <v>2038</v>
      </c>
      <c r="P31" s="219" t="s">
        <v>51</v>
      </c>
      <c r="Q31" s="219"/>
      <c r="R31" s="28"/>
      <c r="S31" s="219" t="str">
        <f>Region.codes[Code]</f>
        <v>G</v>
      </c>
      <c r="T31" s="219" t="str">
        <f>Technology.codes[[#This Row],[Code]]</f>
        <v>car.passenger.rural.PH</v>
      </c>
      <c r="U31" s="219" t="str">
        <f>S31&amp;"."&amp;Regional.Technologies[[#This Row],[Technology]]</f>
        <v>G.car.passenger.rural.PH</v>
      </c>
      <c r="V31" s="219" t="str">
        <f>INDEX(Region.codes[Description],MATCH(S31,Region.codes[Code],0))&amp;" "&amp;INDEX(Technology.codes[Description],MATCH(Regional.Technologies[[#This Row],[Technology]],Technology.codes[Code],0))</f>
        <v>Global car.passenger.rural.PH</v>
      </c>
      <c r="W31" s="43"/>
      <c r="X31" s="47" t="s">
        <v>535</v>
      </c>
      <c r="Y31" s="40" t="s">
        <v>291</v>
      </c>
      <c r="Z31" s="40" t="s">
        <v>56</v>
      </c>
      <c r="AA31" s="40" t="s">
        <v>361</v>
      </c>
      <c r="AB31" s="40" t="s">
        <v>764</v>
      </c>
      <c r="AC31" s="77"/>
      <c r="AD31" s="128" t="s">
        <v>360</v>
      </c>
      <c r="AE31" s="128" t="str">
        <f>Energy.codes[[#This Row],[Code]]</f>
        <v>B.03</v>
      </c>
      <c r="AF31" s="77" t="str">
        <f>Regional.energy[[#This Row],[Region code]]&amp;"."&amp;Regional.energy[[#This Row],[Energy code]]</f>
        <v>G.B.03</v>
      </c>
      <c r="AG31" s="77" t="str">
        <f>INDEX(Region.codes[Description],MATCH(Regional.energy[[#This Row],[Region code]],Region.codes[Code],0))&amp;" "&amp;INDEX(Energy.codes[Description],MATCH(Regional.energy[[#This Row],[Energy code]],Energy.codes[Code],0))</f>
        <v>Global Cooking</v>
      </c>
      <c r="AH31" s="77"/>
      <c r="AI31" s="77"/>
      <c r="AL31" s="43"/>
      <c r="AN31" s="43"/>
      <c r="AO31" s="43"/>
      <c r="AP31" s="43"/>
      <c r="AQ31" s="43"/>
      <c r="BB31" s="43"/>
    </row>
    <row r="32" spans="5:56" s="26" customFormat="1" ht="13.5" customHeight="1">
      <c r="E32" s="43"/>
      <c r="G32" s="43"/>
      <c r="H32" s="43"/>
      <c r="I32" s="68"/>
      <c r="J32" s="68"/>
      <c r="K32" s="43"/>
      <c r="L32" s="43"/>
      <c r="M32" s="43"/>
      <c r="N32" s="219" t="s">
        <v>2039</v>
      </c>
      <c r="O32" s="219" t="s">
        <v>2039</v>
      </c>
      <c r="P32" s="219" t="s">
        <v>51</v>
      </c>
      <c r="Q32" s="219"/>
      <c r="R32" s="68"/>
      <c r="S32" s="219" t="str">
        <f>Region.codes[Code]</f>
        <v>G</v>
      </c>
      <c r="T32" s="219" t="str">
        <f>Technology.codes[[#This Row],[Code]]</f>
        <v>car.passenger.rural.EV</v>
      </c>
      <c r="U32" s="219" t="str">
        <f>S32&amp;"."&amp;Regional.Technologies[[#This Row],[Technology]]</f>
        <v>G.car.passenger.rural.EV</v>
      </c>
      <c r="V32" s="219" t="str">
        <f>INDEX(Region.codes[Description],MATCH(S32,Region.codes[Code],0))&amp;" "&amp;INDEX(Technology.codes[Description],MATCH(Regional.Technologies[[#This Row],[Technology]],Technology.codes[Code],0))</f>
        <v>Global car.passenger.rural.EV</v>
      </c>
      <c r="W32" s="43"/>
      <c r="X32" s="147" t="s">
        <v>2514</v>
      </c>
      <c r="Y32" s="219" t="s">
        <v>291</v>
      </c>
      <c r="Z32" s="219" t="s">
        <v>56</v>
      </c>
      <c r="AA32" s="219" t="s">
        <v>2515</v>
      </c>
      <c r="AB32" s="219" t="s">
        <v>2516</v>
      </c>
      <c r="AC32" s="77"/>
      <c r="AD32" s="128" t="s">
        <v>360</v>
      </c>
      <c r="AE32" s="128" t="str">
        <f>Energy.codes[[#This Row],[Code]]</f>
        <v>B.04</v>
      </c>
      <c r="AF32" s="77" t="str">
        <f>Regional.energy[[#This Row],[Region code]]&amp;"."&amp;Regional.energy[[#This Row],[Energy code]]</f>
        <v>G.B.04</v>
      </c>
      <c r="AG32" s="77" t="str">
        <f>INDEX(Region.codes[Description],MATCH(Regional.energy[[#This Row],[Region code]],Region.codes[Code],0))&amp;" "&amp;INDEX(Energy.codes[Description],MATCH(Regional.energy[[#This Row],[Energy code]],Energy.codes[Code],0))</f>
        <v>Global Non-residential</v>
      </c>
      <c r="AH32" s="77"/>
      <c r="AI32" s="77"/>
      <c r="AL32" s="43"/>
      <c r="AN32" s="43"/>
      <c r="AO32" s="43"/>
      <c r="AP32" s="43"/>
      <c r="AQ32" s="43"/>
      <c r="BB32" s="43"/>
    </row>
    <row r="33" spans="5:54" s="26" customFormat="1" ht="13.5" customHeight="1">
      <c r="E33" s="43"/>
      <c r="G33" s="43"/>
      <c r="H33" s="43"/>
      <c r="I33" s="68"/>
      <c r="J33" s="68"/>
      <c r="K33" s="43"/>
      <c r="L33" s="43"/>
      <c r="M33" s="43"/>
      <c r="N33" s="219" t="s">
        <v>2051</v>
      </c>
      <c r="O33" s="219" t="s">
        <v>2051</v>
      </c>
      <c r="P33" s="219" t="s">
        <v>51</v>
      </c>
      <c r="Q33" s="219"/>
      <c r="R33" s="68"/>
      <c r="S33" s="219" t="str">
        <f>Region.codes[Code]</f>
        <v>G</v>
      </c>
      <c r="T33" s="219" t="str">
        <f>Technology.codes[[#This Row],[Code]]</f>
        <v>car.passenger.rural.H2</v>
      </c>
      <c r="U33" s="219" t="str">
        <f>S33&amp;"."&amp;Regional.Technologies[[#This Row],[Technology]]</f>
        <v>G.car.passenger.rural.H2</v>
      </c>
      <c r="V33" s="219" t="str">
        <f>INDEX(Region.codes[Description],MATCH(S33,Region.codes[Code],0))&amp;" "&amp;INDEX(Technology.codes[Description],MATCH(Regional.Technologies[[#This Row],[Technology]],Technology.codes[Code],0))</f>
        <v>Global car.passenger.rural.H2</v>
      </c>
      <c r="W33" s="43"/>
      <c r="X33" s="47" t="s">
        <v>536</v>
      </c>
      <c r="Y33" s="40" t="s">
        <v>291</v>
      </c>
      <c r="Z33" s="40" t="s">
        <v>787</v>
      </c>
      <c r="AA33" s="40" t="s">
        <v>1325</v>
      </c>
      <c r="AB33" s="40" t="s">
        <v>765</v>
      </c>
      <c r="AC33" s="77"/>
      <c r="AD33" s="128" t="s">
        <v>360</v>
      </c>
      <c r="AE33" s="128" t="str">
        <f>Energy.codes[[#This Row],[Code]]</f>
        <v>F.01</v>
      </c>
      <c r="AF33" s="77" t="str">
        <f>Regional.energy[[#This Row],[Region code]]&amp;"."&amp;Regional.energy[[#This Row],[Energy code]]</f>
        <v>G.F.01</v>
      </c>
      <c r="AG33" s="77" t="str">
        <f>INDEX(Region.codes[Description],MATCH(Regional.energy[[#This Row],[Region code]],Region.codes[Code],0))&amp;" "&amp;INDEX(Energy.codes[Description],MATCH(Regional.energy[[#This Row],[Energy code]],Energy.codes[Code],0))</f>
        <v>Global Energy for agricultural production</v>
      </c>
      <c r="AH33" s="77"/>
      <c r="AI33" s="77"/>
      <c r="AJ33" s="43"/>
      <c r="AL33" s="43"/>
      <c r="AN33" s="43"/>
      <c r="AO33" s="43"/>
      <c r="AP33" s="43"/>
      <c r="AQ33" s="43"/>
      <c r="BB33" s="43"/>
    </row>
    <row r="34" spans="5:54" s="26" customFormat="1" ht="13.5" customHeight="1">
      <c r="E34" s="43"/>
      <c r="G34" s="43"/>
      <c r="H34" s="43"/>
      <c r="I34" s="68"/>
      <c r="J34" s="68"/>
      <c r="K34" s="43"/>
      <c r="L34" s="43"/>
      <c r="M34" s="43"/>
      <c r="N34" s="219" t="s">
        <v>2034</v>
      </c>
      <c r="O34" s="219" t="s">
        <v>2034</v>
      </c>
      <c r="P34" s="219" t="s">
        <v>51</v>
      </c>
      <c r="Q34" s="219"/>
      <c r="R34" s="68"/>
      <c r="S34" s="219" t="str">
        <f>Region.codes[Code]</f>
        <v>G</v>
      </c>
      <c r="T34" s="219" t="str">
        <f>Technology.codes[[#This Row],[Code]]</f>
        <v>bus.passenger.rural.fuel</v>
      </c>
      <c r="U34" s="219" t="str">
        <f>S34&amp;"."&amp;Regional.Technologies[[#This Row],[Technology]]</f>
        <v>G.bus.passenger.rural.fuel</v>
      </c>
      <c r="V34" s="219" t="str">
        <f>INDEX(Region.codes[Description],MATCH(S34,Region.codes[Code],0))&amp;" "&amp;INDEX(Technology.codes[Description],MATCH(Regional.Technologies[[#This Row],[Technology]],Technology.codes[Code],0))</f>
        <v>Global bus.passenger.rural.fuel</v>
      </c>
      <c r="W34" s="43"/>
      <c r="X34" s="147" t="s">
        <v>558</v>
      </c>
      <c r="Y34" s="219" t="s">
        <v>291</v>
      </c>
      <c r="Z34" s="219" t="s">
        <v>1324</v>
      </c>
      <c r="AA34" s="219" t="s">
        <v>1332</v>
      </c>
      <c r="AB34" s="219" t="s">
        <v>1334</v>
      </c>
      <c r="AC34" s="77"/>
      <c r="AD34" s="128" t="s">
        <v>360</v>
      </c>
      <c r="AE34" s="128" t="str">
        <f>Energy.codes[[#This Row],[Code]]</f>
        <v>A.01</v>
      </c>
      <c r="AF34" s="77" t="str">
        <f>Regional.energy[[#This Row],[Region code]]&amp;"."&amp;Regional.energy[[#This Row],[Energy code]]</f>
        <v>G.A.01</v>
      </c>
      <c r="AG34" s="77" t="str">
        <f>INDEX(Region.codes[Description],MATCH(Regional.energy[[#This Row],[Region code]],Region.codes[Code],0))&amp;" "&amp;INDEX(Energy.codes[Description],MATCH(Regional.energy[[#This Row],[Energy code]],Energy.codes[Code],0))</f>
        <v>Global Animal's energy usage</v>
      </c>
      <c r="AH34" s="77"/>
      <c r="AI34" s="77"/>
      <c r="AJ34" s="43"/>
      <c r="AL34" s="43"/>
      <c r="AN34" s="43"/>
      <c r="AO34" s="43"/>
      <c r="AP34" s="43"/>
      <c r="AQ34" s="43"/>
      <c r="BB34" s="43"/>
    </row>
    <row r="35" spans="5:54" s="26" customFormat="1" ht="13.5" customHeight="1">
      <c r="E35" s="43"/>
      <c r="G35" s="43"/>
      <c r="H35" s="43"/>
      <c r="I35" s="68"/>
      <c r="J35" s="68"/>
      <c r="K35" s="43"/>
      <c r="L35" s="43"/>
      <c r="M35" s="43"/>
      <c r="N35" s="219" t="s">
        <v>2035</v>
      </c>
      <c r="O35" s="219" t="s">
        <v>2035</v>
      </c>
      <c r="P35" s="219" t="s">
        <v>51</v>
      </c>
      <c r="Q35" s="219"/>
      <c r="R35" s="68"/>
      <c r="S35" s="219" t="str">
        <f>Region.codes[Code]</f>
        <v>G</v>
      </c>
      <c r="T35" s="219" t="str">
        <f>Technology.codes[[#This Row],[Code]]</f>
        <v>bus.passenger.rural.PH</v>
      </c>
      <c r="U35" s="219" t="str">
        <f>S35&amp;"."&amp;Regional.Technologies[[#This Row],[Technology]]</f>
        <v>G.bus.passenger.rural.PH</v>
      </c>
      <c r="V35" s="219" t="str">
        <f>INDEX(Region.codes[Description],MATCH(S35,Region.codes[Code],0))&amp;" "&amp;INDEX(Technology.codes[Description],MATCH(Regional.Technologies[[#This Row],[Technology]],Technology.codes[Code],0))</f>
        <v>Global bus.passenger.rural.PH</v>
      </c>
      <c r="W35" s="43"/>
      <c r="X35" s="47" t="s">
        <v>569</v>
      </c>
      <c r="Y35" s="40" t="s">
        <v>291</v>
      </c>
      <c r="Z35" s="40" t="s">
        <v>782</v>
      </c>
      <c r="AA35" s="40" t="s">
        <v>1333</v>
      </c>
      <c r="AB35" s="219" t="s">
        <v>1334</v>
      </c>
      <c r="AC35" s="77"/>
      <c r="AD35" s="128" t="s">
        <v>360</v>
      </c>
      <c r="AE35" s="128" t="str">
        <f>Energy.codes[[#This Row],[Code]]</f>
        <v>P.01</v>
      </c>
      <c r="AF35" s="77" t="str">
        <f>Regional.energy[[#This Row],[Region code]]&amp;"."&amp;Regional.energy[[#This Row],[Energy code]]</f>
        <v>G.P.01</v>
      </c>
      <c r="AG35" s="77" t="str">
        <f>INDEX(Region.codes[Description],MATCH(Regional.energy[[#This Row],[Region code]],Region.codes[Code],0))&amp;" "&amp;INDEX(Energy.codes[Description],MATCH(Regional.energy[[#This Row],[Energy code]],Energy.codes[Code],0))</f>
        <v>Global People's energy usage in living</v>
      </c>
      <c r="AH35" s="77"/>
      <c r="AI35" s="77"/>
      <c r="AJ35" s="43"/>
      <c r="AL35" s="43"/>
      <c r="AN35" s="43"/>
      <c r="AO35" s="43"/>
      <c r="AP35" s="43"/>
      <c r="AQ35" s="43"/>
      <c r="BB35" s="43"/>
    </row>
    <row r="36" spans="5:54" s="26" customFormat="1" ht="13.5" customHeight="1">
      <c r="E36" s="43"/>
      <c r="F36" s="43"/>
      <c r="G36" s="43"/>
      <c r="H36" s="43"/>
      <c r="I36" s="68"/>
      <c r="J36" s="68"/>
      <c r="K36" s="43"/>
      <c r="L36" s="43"/>
      <c r="M36" s="43"/>
      <c r="N36" s="219" t="s">
        <v>2035</v>
      </c>
      <c r="O36" s="219" t="s">
        <v>2035</v>
      </c>
      <c r="P36" s="219" t="s">
        <v>51</v>
      </c>
      <c r="Q36" s="219"/>
      <c r="R36" s="68"/>
      <c r="S36" s="219" t="str">
        <f>Region.codes[Code]</f>
        <v>G</v>
      </c>
      <c r="T36" s="219" t="str">
        <f>Technology.codes[[#This Row],[Code]]</f>
        <v>bus.passenger.rural.PH</v>
      </c>
      <c r="U36" s="219" t="str">
        <f>S36&amp;"."&amp;Regional.Technologies[[#This Row],[Technology]]</f>
        <v>G.bus.passenger.rural.PH</v>
      </c>
      <c r="V36" s="219" t="str">
        <f>INDEX(Region.codes[Description],MATCH(S36,Region.codes[Code],0))&amp;" "&amp;INDEX(Technology.codes[Description],MATCH(Regional.Technologies[[#This Row],[Technology]],Technology.codes[Code],0))</f>
        <v>Global bus.passenger.rural.PH</v>
      </c>
      <c r="W36" s="43"/>
      <c r="X36" s="135" t="s">
        <v>537</v>
      </c>
      <c r="Y36" s="136" t="s">
        <v>291</v>
      </c>
      <c r="Z36" s="136" t="s">
        <v>52</v>
      </c>
      <c r="AA36" s="136" t="s">
        <v>417</v>
      </c>
      <c r="AB36" s="136" t="s">
        <v>766</v>
      </c>
      <c r="AC36" s="77"/>
      <c r="AD36" s="128" t="s">
        <v>360</v>
      </c>
      <c r="AE36" s="128" t="str">
        <f>Energy.codes[[#This Row],[Code]]</f>
        <v>G.01</v>
      </c>
      <c r="AF36" s="77" t="str">
        <f>Regional.energy[[#This Row],[Region code]]&amp;"."&amp;Regional.energy[[#This Row],[Energy code]]</f>
        <v>G.G.01</v>
      </c>
      <c r="AG36" s="77" t="str">
        <f>INDEX(Region.codes[Description],MATCH(Regional.energy[[#This Row],[Region code]],Region.codes[Code],0))&amp;" "&amp;INDEX(Energy.codes[Description],MATCH(Regional.energy[[#This Row],[Energy code]],Energy.codes[Code],0))</f>
        <v>Global Geosequestration and storage of CO2</v>
      </c>
      <c r="AH36" s="77"/>
      <c r="AI36" s="77"/>
      <c r="AJ36" s="43"/>
      <c r="AL36" s="43"/>
      <c r="AN36" s="43"/>
      <c r="AO36" s="43"/>
      <c r="AP36" s="43"/>
      <c r="AQ36" s="43"/>
      <c r="BB36" s="43"/>
    </row>
    <row r="37" spans="5:54" s="26" customFormat="1" ht="13.5" customHeight="1">
      <c r="E37" s="43"/>
      <c r="F37" s="43"/>
      <c r="G37" s="43"/>
      <c r="H37" s="43"/>
      <c r="I37" s="68"/>
      <c r="J37" s="68"/>
      <c r="K37" s="43"/>
      <c r="L37" s="43"/>
      <c r="M37" s="43"/>
      <c r="N37" s="219" t="s">
        <v>2036</v>
      </c>
      <c r="O37" s="219" t="s">
        <v>2036</v>
      </c>
      <c r="P37" s="219" t="s">
        <v>51</v>
      </c>
      <c r="Q37" s="219"/>
      <c r="R37" s="68"/>
      <c r="S37" s="219" t="str">
        <f>Region.codes[Code]</f>
        <v>G</v>
      </c>
      <c r="T37" s="219" t="str">
        <f>Technology.codes[[#This Row],[Code]]</f>
        <v>bus.passenger.rural.EV</v>
      </c>
      <c r="U37" s="219" t="str">
        <f>S37&amp;"."&amp;Regional.Technologies[[#This Row],[Technology]]</f>
        <v>G.bus.passenger.rural.EV</v>
      </c>
      <c r="V37" s="219" t="str">
        <f>INDEX(Region.codes[Description],MATCH(S37,Region.codes[Code],0))&amp;" "&amp;INDEX(Technology.codes[Description],MATCH(Regional.Technologies[[#This Row],[Technology]],Technology.codes[Code],0))</f>
        <v>Global bus.passenger.rural.EV</v>
      </c>
      <c r="W37" s="43"/>
      <c r="X37" s="47" t="s">
        <v>538</v>
      </c>
      <c r="Y37" s="40" t="s">
        <v>240</v>
      </c>
      <c r="Z37" s="40" t="s">
        <v>318</v>
      </c>
      <c r="AA37" s="40" t="s">
        <v>263</v>
      </c>
      <c r="AB37" s="40" t="s">
        <v>768</v>
      </c>
      <c r="AC37" s="77"/>
      <c r="AD37" s="128" t="s">
        <v>360</v>
      </c>
      <c r="AE37" s="128" t="str">
        <f>Energy.codes[[#This Row],[Code]]</f>
        <v>FF.01</v>
      </c>
      <c r="AF37" s="77" t="str">
        <f>Regional.energy[[#This Row],[Region code]]&amp;"."&amp;Regional.energy[[#This Row],[Energy code]]</f>
        <v>G.FF.01</v>
      </c>
      <c r="AG37" s="77" t="str">
        <f>INDEX(Region.codes[Description],MATCH(Regional.energy[[#This Row],[Region code]],Region.codes[Code],0))&amp;" "&amp;INDEX(Energy.codes[Description],MATCH(Regional.energy[[#This Row],[Energy code]],Energy.codes[Code],0))</f>
        <v>Global Coal and fossil waste</v>
      </c>
      <c r="AH37" s="77"/>
      <c r="AI37" s="77"/>
      <c r="AJ37" s="43"/>
      <c r="AL37" s="43"/>
      <c r="AN37" s="43"/>
      <c r="AO37" s="43"/>
      <c r="AP37" s="43"/>
      <c r="AQ37" s="43"/>
      <c r="BB37" s="43"/>
    </row>
    <row r="38" spans="5:54" s="26" customFormat="1" ht="13.5" customHeight="1">
      <c r="E38" s="43"/>
      <c r="F38" s="43"/>
      <c r="G38" s="43"/>
      <c r="H38" s="43"/>
      <c r="I38" s="43"/>
      <c r="J38" s="43"/>
      <c r="K38" s="43"/>
      <c r="L38" s="43"/>
      <c r="M38" s="43"/>
      <c r="N38" s="219" t="s">
        <v>2052</v>
      </c>
      <c r="O38" s="219" t="s">
        <v>2052</v>
      </c>
      <c r="P38" s="219" t="s">
        <v>51</v>
      </c>
      <c r="Q38" s="219"/>
      <c r="R38" s="68"/>
      <c r="S38" s="219" t="str">
        <f>Region.codes[Code]</f>
        <v>G</v>
      </c>
      <c r="T38" s="219" t="str">
        <f>Technology.codes[[#This Row],[Code]]</f>
        <v>bus.passenger.rural.H2</v>
      </c>
      <c r="U38" s="219" t="str">
        <f>S38&amp;"."&amp;Regional.Technologies[[#This Row],[Technology]]</f>
        <v>G.bus.passenger.rural.H2</v>
      </c>
      <c r="V38" s="219" t="str">
        <f>INDEX(Region.codes[Description],MATCH(S38,Region.codes[Code],0))&amp;" "&amp;INDEX(Technology.codes[Description],MATCH(Regional.Technologies[[#This Row],[Technology]],Technology.codes[Code],0))</f>
        <v>Global bus.passenger.rural.H2</v>
      </c>
      <c r="W38" s="43"/>
      <c r="X38" s="47" t="s">
        <v>539</v>
      </c>
      <c r="Y38" s="40" t="s">
        <v>240</v>
      </c>
      <c r="Z38" s="40" t="s">
        <v>318</v>
      </c>
      <c r="AA38" s="40" t="s">
        <v>264</v>
      </c>
      <c r="AB38" s="40" t="s">
        <v>767</v>
      </c>
      <c r="AC38" s="77"/>
      <c r="AD38" s="128" t="s">
        <v>360</v>
      </c>
      <c r="AE38" s="128" t="str">
        <f>Energy.codes[[#This Row],[Code]]</f>
        <v>FF.02</v>
      </c>
      <c r="AF38" s="77" t="str">
        <f>Regional.energy[[#This Row],[Region code]]&amp;"."&amp;Regional.energy[[#This Row],[Energy code]]</f>
        <v>G.FF.02</v>
      </c>
      <c r="AG38" s="77" t="str">
        <f>INDEX(Region.codes[Description],MATCH(Regional.energy[[#This Row],[Region code]],Region.codes[Code],0))&amp;" "&amp;INDEX(Energy.codes[Description],MATCH(Regional.energy[[#This Row],[Energy code]],Energy.codes[Code],0))</f>
        <v>Global Oil and petroleum products</v>
      </c>
      <c r="AH38" s="77"/>
      <c r="AI38" s="77"/>
      <c r="AJ38" s="43"/>
      <c r="AL38" s="43"/>
      <c r="AN38" s="43"/>
      <c r="AO38" s="43"/>
      <c r="AP38" s="43"/>
      <c r="AQ38" s="43"/>
      <c r="BB38" s="43"/>
    </row>
    <row r="39" spans="5:54" s="26" customFormat="1" ht="13.5" customHeight="1">
      <c r="E39" s="43"/>
      <c r="F39" s="43"/>
      <c r="G39" s="43"/>
      <c r="H39" s="43"/>
      <c r="I39" s="43"/>
      <c r="J39" s="43"/>
      <c r="K39" s="43"/>
      <c r="L39" s="43"/>
      <c r="M39" s="43"/>
      <c r="N39" s="219" t="s">
        <v>2040</v>
      </c>
      <c r="O39" s="219" t="s">
        <v>2040</v>
      </c>
      <c r="P39" s="219" t="s">
        <v>51</v>
      </c>
      <c r="Q39" s="219"/>
      <c r="R39" s="43"/>
      <c r="S39" s="219" t="str">
        <f>Region.codes[Code]</f>
        <v>G</v>
      </c>
      <c r="T39" s="219" t="str">
        <f>Technology.codes[[#This Row],[Code]]</f>
        <v>train.passenger.rural.fuel</v>
      </c>
      <c r="U39" s="219" t="str">
        <f>S39&amp;"."&amp;Regional.Technologies[[#This Row],[Technology]]</f>
        <v>G.train.passenger.rural.fuel</v>
      </c>
      <c r="V39" s="219" t="str">
        <f>INDEX(Region.codes[Description],MATCH(S39,Region.codes[Code],0))&amp;" "&amp;INDEX(Technology.codes[Description],MATCH(Regional.Technologies[[#This Row],[Technology]],Technology.codes[Code],0))</f>
        <v>Global train.passenger.rural.fuel</v>
      </c>
      <c r="W39" s="43"/>
      <c r="X39" s="47" t="s">
        <v>540</v>
      </c>
      <c r="Y39" s="40" t="s">
        <v>240</v>
      </c>
      <c r="Z39" s="40" t="s">
        <v>318</v>
      </c>
      <c r="AA39" s="40" t="s">
        <v>225</v>
      </c>
      <c r="AB39" s="40" t="s">
        <v>769</v>
      </c>
      <c r="AC39" s="77"/>
      <c r="AD39" s="128" t="s">
        <v>360</v>
      </c>
      <c r="AE39" s="128" t="str">
        <f>Energy.codes[[#This Row],[Code]]</f>
        <v>FF.03</v>
      </c>
      <c r="AF39" s="77" t="str">
        <f>Regional.energy[[#This Row],[Region code]]&amp;"."&amp;Regional.energy[[#This Row],[Energy code]]</f>
        <v>G.FF.03</v>
      </c>
      <c r="AG39" s="77" t="str">
        <f>INDEX(Region.codes[Description],MATCH(Regional.energy[[#This Row],[Region code]],Region.codes[Code],0))&amp;" "&amp;INDEX(Energy.codes[Description],MATCH(Regional.energy[[#This Row],[Energy code]],Energy.codes[Code],0))</f>
        <v>Global Natural gas</v>
      </c>
      <c r="AH39" s="77"/>
      <c r="AI39" s="77"/>
      <c r="AJ39" s="43"/>
      <c r="AL39" s="43"/>
      <c r="AN39" s="43"/>
      <c r="AO39" s="43"/>
      <c r="AP39" s="43"/>
      <c r="AQ39" s="43"/>
      <c r="BB39" s="43"/>
    </row>
    <row r="40" spans="5:54" s="26" customFormat="1" ht="13.5" customHeight="1">
      <c r="E40" s="43"/>
      <c r="F40" s="43"/>
      <c r="G40" s="43"/>
      <c r="H40" s="43"/>
      <c r="I40" s="43"/>
      <c r="J40" s="43"/>
      <c r="K40" s="43"/>
      <c r="L40" s="43"/>
      <c r="M40" s="43"/>
      <c r="N40" s="219" t="s">
        <v>2045</v>
      </c>
      <c r="O40" s="219" t="s">
        <v>2045</v>
      </c>
      <c r="P40" s="219" t="s">
        <v>51</v>
      </c>
      <c r="Q40" s="219"/>
      <c r="R40" s="43"/>
      <c r="S40" s="219" t="str">
        <f>Region.codes[Code]</f>
        <v>G</v>
      </c>
      <c r="T40" s="219" t="str">
        <f>Technology.codes[[#This Row],[Code]]</f>
        <v>train.passenger.rural.elec</v>
      </c>
      <c r="U40" s="219" t="str">
        <f>S40&amp;"."&amp;Regional.Technologies[[#This Row],[Technology]]</f>
        <v>G.train.passenger.rural.elec</v>
      </c>
      <c r="V40" s="219" t="str">
        <f>INDEX(Region.codes[Description],MATCH(S40,Region.codes[Code],0))&amp;" "&amp;INDEX(Technology.codes[Description],MATCH(Regional.Technologies[[#This Row],[Technology]],Technology.codes[Code],0))</f>
        <v>Global train.passenger.rural.elec</v>
      </c>
      <c r="W40" s="43"/>
      <c r="X40" s="47" t="s">
        <v>541</v>
      </c>
      <c r="Y40" s="40" t="s">
        <v>240</v>
      </c>
      <c r="Z40" s="40" t="s">
        <v>319</v>
      </c>
      <c r="AA40" s="40" t="s">
        <v>26</v>
      </c>
      <c r="AB40" s="40" t="s">
        <v>320</v>
      </c>
      <c r="AC40" s="77"/>
      <c r="AD40" s="128" t="s">
        <v>360</v>
      </c>
      <c r="AE40" s="128" t="str">
        <f>Energy.codes[[#This Row],[Code]]</f>
        <v>C.01</v>
      </c>
      <c r="AF40" s="77" t="str">
        <f>Regional.energy[[#This Row],[Region code]]&amp;"."&amp;Regional.energy[[#This Row],[Energy code]]</f>
        <v>G.C.01</v>
      </c>
      <c r="AG40" s="77" t="str">
        <f>INDEX(Region.codes[Description],MATCH(Regional.energy[[#This Row],[Region code]],Region.codes[Code],0))&amp;" "&amp;INDEX(Energy.codes[Description],MATCH(Regional.energy[[#This Row],[Energy code]],Energy.codes[Code],0))</f>
        <v>Global Solid hydrocarbons</v>
      </c>
      <c r="AH40" s="77"/>
      <c r="AI40" s="77"/>
      <c r="AJ40" s="43"/>
      <c r="AL40" s="43"/>
      <c r="AN40" s="43"/>
      <c r="AO40" s="43"/>
      <c r="AP40" s="43"/>
      <c r="AQ40" s="43"/>
      <c r="BB40" s="43"/>
    </row>
    <row r="41" spans="5:54" s="26" customFormat="1" ht="13.5" customHeight="1">
      <c r="E41" s="43"/>
      <c r="F41" s="43"/>
      <c r="G41" s="43"/>
      <c r="H41" s="43"/>
      <c r="I41" s="43"/>
      <c r="J41" s="43"/>
      <c r="K41" s="43"/>
      <c r="L41" s="43"/>
      <c r="M41" s="43"/>
      <c r="N41" s="219" t="s">
        <v>2041</v>
      </c>
      <c r="O41" s="219" t="s">
        <v>2041</v>
      </c>
      <c r="P41" s="219" t="s">
        <v>51</v>
      </c>
      <c r="Q41" s="219"/>
      <c r="R41" s="43"/>
      <c r="S41" s="219" t="str">
        <f>Region.codes[Code]</f>
        <v>G</v>
      </c>
      <c r="T41" s="219" t="str">
        <f>Technology.codes[[#This Row],[Code]]</f>
        <v>plane.passenger.international.fuel</v>
      </c>
      <c r="U41" s="219" t="str">
        <f>S41&amp;"."&amp;Regional.Technologies[[#This Row],[Technology]]</f>
        <v>G.plane.passenger.international.fuel</v>
      </c>
      <c r="V41" s="219" t="str">
        <f>INDEX(Region.codes[Description],MATCH(S41,Region.codes[Code],0))&amp;" "&amp;INDEX(Technology.codes[Description],MATCH(Regional.Technologies[[#This Row],[Technology]],Technology.codes[Code],0))</f>
        <v>Global plane.passenger.international.fuel</v>
      </c>
      <c r="W41" s="43"/>
      <c r="X41" s="47" t="s">
        <v>542</v>
      </c>
      <c r="Y41" s="40" t="s">
        <v>240</v>
      </c>
      <c r="Z41" s="40" t="s">
        <v>319</v>
      </c>
      <c r="AA41" s="40" t="s">
        <v>27</v>
      </c>
      <c r="AB41" s="40" t="s">
        <v>321</v>
      </c>
      <c r="AC41" s="77"/>
      <c r="AD41" s="128" t="s">
        <v>360</v>
      </c>
      <c r="AE41" s="128" t="str">
        <f>Energy.codes[[#This Row],[Code]]</f>
        <v>C.02</v>
      </c>
      <c r="AF41" s="77" t="str">
        <f>Regional.energy[[#This Row],[Region code]]&amp;"."&amp;Regional.energy[[#This Row],[Energy code]]</f>
        <v>G.C.02</v>
      </c>
      <c r="AG41" s="77" t="str">
        <f>INDEX(Region.codes[Description],MATCH(Regional.energy[[#This Row],[Region code]],Region.codes[Code],0))&amp;" "&amp;INDEX(Energy.codes[Description],MATCH(Regional.energy[[#This Row],[Energy code]],Energy.codes[Code],0))</f>
        <v>Global Liquid hydrocarbons</v>
      </c>
      <c r="AH41" s="77"/>
      <c r="AI41" s="77"/>
      <c r="AJ41" s="43"/>
      <c r="AL41" s="43"/>
      <c r="AN41" s="43"/>
      <c r="AO41" s="43"/>
      <c r="AP41" s="43"/>
      <c r="AQ41" s="43"/>
      <c r="BB41" s="43"/>
    </row>
    <row r="42" spans="5:54" s="26" customFormat="1" ht="13.5" customHeight="1">
      <c r="E42" s="43"/>
      <c r="F42" s="43"/>
      <c r="G42" s="43"/>
      <c r="H42" s="43"/>
      <c r="I42" s="43"/>
      <c r="J42" s="43"/>
      <c r="K42" s="43"/>
      <c r="L42" s="43"/>
      <c r="M42" s="43"/>
      <c r="N42" s="219" t="s">
        <v>2369</v>
      </c>
      <c r="O42" s="219" t="s">
        <v>2369</v>
      </c>
      <c r="P42" s="219" t="s">
        <v>51</v>
      </c>
      <c r="Q42" s="219"/>
      <c r="R42" s="43"/>
      <c r="S42" s="219" t="str">
        <f>Region.codes[Code]</f>
        <v>G</v>
      </c>
      <c r="T42" s="219" t="str">
        <f>Technology.codes[[#This Row],[Code]]</f>
        <v>plane.passenger.international.H2</v>
      </c>
      <c r="U42" s="219" t="str">
        <f>S42&amp;"."&amp;Regional.Technologies[[#This Row],[Technology]]</f>
        <v>G.plane.passenger.international.H2</v>
      </c>
      <c r="V42" s="219" t="str">
        <f>INDEX(Region.codes[Description],MATCH(S42,Region.codes[Code],0))&amp;" "&amp;INDEX(Technology.codes[Description],MATCH(Regional.Technologies[[#This Row],[Technology]],Technology.codes[Code],0))</f>
        <v>Global plane.passenger.international.H2</v>
      </c>
      <c r="W42" s="43"/>
      <c r="X42" s="47" t="s">
        <v>543</v>
      </c>
      <c r="Y42" s="40" t="s">
        <v>240</v>
      </c>
      <c r="Z42" s="40" t="s">
        <v>319</v>
      </c>
      <c r="AA42" s="40" t="s">
        <v>28</v>
      </c>
      <c r="AB42" s="40" t="s">
        <v>322</v>
      </c>
      <c r="AC42" s="77"/>
      <c r="AD42" s="128" t="s">
        <v>360</v>
      </c>
      <c r="AE42" s="128" t="str">
        <f>Energy.codes[[#This Row],[Code]]</f>
        <v>C.03</v>
      </c>
      <c r="AF42" s="77" t="str">
        <f>Regional.energy[[#This Row],[Region code]]&amp;"."&amp;Regional.energy[[#This Row],[Energy code]]</f>
        <v>G.C.03</v>
      </c>
      <c r="AG42" s="77" t="str">
        <f>INDEX(Region.codes[Description],MATCH(Regional.energy[[#This Row],[Region code]],Region.codes[Code],0))&amp;" "&amp;INDEX(Energy.codes[Description],MATCH(Regional.energy[[#This Row],[Energy code]],Energy.codes[Code],0))</f>
        <v>Global Gaseous hydrocarbons</v>
      </c>
      <c r="AH42" s="77"/>
      <c r="AI42" s="77"/>
      <c r="AJ42" s="40"/>
      <c r="AL42" s="43"/>
      <c r="AN42" s="43"/>
      <c r="AO42" s="43"/>
      <c r="AP42" s="43"/>
      <c r="AQ42" s="43"/>
      <c r="BB42" s="43"/>
    </row>
    <row r="43" spans="5:54" s="26" customFormat="1" ht="13.5" customHeight="1">
      <c r="E43" s="43"/>
      <c r="F43" s="43"/>
      <c r="G43" s="43"/>
      <c r="H43" s="43"/>
      <c r="I43" s="43"/>
      <c r="J43" s="43"/>
      <c r="K43" s="43"/>
      <c r="L43" s="43"/>
      <c r="M43" s="43"/>
      <c r="N43" s="219" t="s">
        <v>2042</v>
      </c>
      <c r="O43" s="219" t="s">
        <v>2042</v>
      </c>
      <c r="P43" s="219" t="s">
        <v>51</v>
      </c>
      <c r="Q43" s="219"/>
      <c r="R43" s="43"/>
      <c r="S43" s="219" t="str">
        <f>Region.codes[Code]</f>
        <v>G</v>
      </c>
      <c r="T43" s="219" t="str">
        <f>Technology.codes[[#This Row],[Code]]</f>
        <v>ship.passenger.international.fuel</v>
      </c>
      <c r="U43" s="219" t="str">
        <f>S43&amp;"."&amp;Regional.Technologies[[#This Row],[Technology]]</f>
        <v>G.ship.passenger.international.fuel</v>
      </c>
      <c r="V43" s="219" t="str">
        <f>INDEX(Region.codes[Description],MATCH(S43,Region.codes[Code],0))&amp;" "&amp;INDEX(Technology.codes[Description],MATCH(Regional.Technologies[[#This Row],[Technology]],Technology.codes[Code],0))</f>
        <v>Global ship.passenger.international.fuel</v>
      </c>
      <c r="W43" s="43"/>
      <c r="X43" s="47" t="s">
        <v>544</v>
      </c>
      <c r="Y43" s="40" t="s">
        <v>240</v>
      </c>
      <c r="Z43" s="40" t="s">
        <v>24</v>
      </c>
      <c r="AA43" s="40" t="s">
        <v>265</v>
      </c>
      <c r="AB43" s="40" t="s">
        <v>770</v>
      </c>
      <c r="AC43" s="77"/>
      <c r="AD43" s="128" t="s">
        <v>360</v>
      </c>
      <c r="AE43" s="128" t="str">
        <f>Energy.codes[[#This Row],[Code]]</f>
        <v>E.01</v>
      </c>
      <c r="AF43" s="77" t="str">
        <f>Regional.energy[[#This Row],[Region code]]&amp;"."&amp;Regional.energy[[#This Row],[Energy code]]</f>
        <v>G.E.01</v>
      </c>
      <c r="AG43" s="77" t="str">
        <f>INDEX(Region.codes[Description],MATCH(Regional.energy[[#This Row],[Region code]],Region.codes[Code],0))&amp;" "&amp;INDEX(Energy.codes[Description],MATCH(Regional.energy[[#This Row],[Energy code]],Energy.codes[Code],0))</f>
        <v>Global Electricity (delivered to end user)</v>
      </c>
      <c r="AH43" s="77"/>
      <c r="AI43" s="77"/>
      <c r="AJ43" s="40"/>
      <c r="AL43" s="43"/>
      <c r="AN43" s="43"/>
      <c r="AO43" s="43"/>
      <c r="AP43" s="43"/>
      <c r="AQ43" s="43"/>
      <c r="BB43" s="43"/>
    </row>
    <row r="44" spans="5:54" s="26" customFormat="1" ht="13.5" customHeight="1">
      <c r="E44" s="43"/>
      <c r="F44" s="43"/>
      <c r="G44" s="43"/>
      <c r="H44" s="43"/>
      <c r="I44" s="43"/>
      <c r="J44" s="43"/>
      <c r="K44" s="43"/>
      <c r="L44" s="43"/>
      <c r="M44" s="43"/>
      <c r="N44" s="219" t="s">
        <v>2370</v>
      </c>
      <c r="O44" s="219" t="s">
        <v>2370</v>
      </c>
      <c r="P44" s="219" t="s">
        <v>51</v>
      </c>
      <c r="Q44" s="219"/>
      <c r="R44" s="43"/>
      <c r="S44" s="219" t="str">
        <f>Region.codes[Code]</f>
        <v>G</v>
      </c>
      <c r="T44" s="219" t="str">
        <f>Technology.codes[[#This Row],[Code]]</f>
        <v>ship.passenger.international.H2</v>
      </c>
      <c r="U44" s="219" t="str">
        <f>S44&amp;"."&amp;Regional.Technologies[[#This Row],[Technology]]</f>
        <v>G.ship.passenger.international.H2</v>
      </c>
      <c r="V44" s="219" t="str">
        <f>INDEX(Region.codes[Description],MATCH(S44,Region.codes[Code],0))&amp;" "&amp;INDEX(Technology.codes[Description],MATCH(Regional.Technologies[[#This Row],[Technology]],Technology.codes[Code],0))</f>
        <v>Global ship.passenger.international.H2</v>
      </c>
      <c r="W44" s="43"/>
      <c r="X44" s="47" t="s">
        <v>545</v>
      </c>
      <c r="Y44" s="40" t="s">
        <v>240</v>
      </c>
      <c r="Z44" s="40" t="s">
        <v>24</v>
      </c>
      <c r="AA44" s="40" t="s">
        <v>266</v>
      </c>
      <c r="AB44" s="40"/>
      <c r="AC44" s="77"/>
      <c r="AD44" s="128" t="s">
        <v>360</v>
      </c>
      <c r="AE44" s="128" t="str">
        <f>Energy.codes[[#This Row],[Code]]</f>
        <v>E.02</v>
      </c>
      <c r="AF44" s="77" t="str">
        <f>Regional.energy[[#This Row],[Region code]]&amp;"."&amp;Regional.energy[[#This Row],[Energy code]]</f>
        <v>G.E.02</v>
      </c>
      <c r="AG44" s="77" t="str">
        <f>INDEX(Region.codes[Description],MATCH(Regional.energy[[#This Row],[Region code]],Region.codes[Code],0))&amp;" "&amp;INDEX(Energy.codes[Description],MATCH(Regional.energy[[#This Row],[Energy code]],Energy.codes[Code],0))</f>
        <v>Global Electricity (supplied to grid)</v>
      </c>
      <c r="AH44" s="77"/>
      <c r="AI44" s="77"/>
      <c r="AJ44" s="40"/>
      <c r="AL44" s="43"/>
      <c r="AN44" s="43"/>
      <c r="AO44" s="43"/>
      <c r="AP44" s="43"/>
      <c r="AQ44" s="43"/>
      <c r="BB44" s="43"/>
    </row>
    <row r="45" spans="5:54" s="26" customFormat="1" ht="13.5" customHeight="1">
      <c r="E45" s="43"/>
      <c r="F45" s="43"/>
      <c r="G45" s="43"/>
      <c r="H45" s="43"/>
      <c r="I45" s="43"/>
      <c r="J45" s="43"/>
      <c r="K45" s="43"/>
      <c r="L45" s="43"/>
      <c r="M45" s="43"/>
      <c r="N45" s="219" t="s">
        <v>2043</v>
      </c>
      <c r="O45" s="219" t="s">
        <v>2043</v>
      </c>
      <c r="P45" s="219" t="s">
        <v>51</v>
      </c>
      <c r="Q45" s="219"/>
      <c r="R45" s="43"/>
      <c r="S45" s="219" t="str">
        <f>Region.codes[Code]</f>
        <v>G</v>
      </c>
      <c r="T45" s="219" t="str">
        <f>Technology.codes[[#This Row],[Code]]</f>
        <v>train.passenger.international.fuel</v>
      </c>
      <c r="U45" s="219" t="str">
        <f>S45&amp;"."&amp;Regional.Technologies[[#This Row],[Technology]]</f>
        <v>G.train.passenger.international.fuel</v>
      </c>
      <c r="V45" s="219" t="str">
        <f>INDEX(Region.codes[Description],MATCH(S45,Region.codes[Code],0))&amp;" "&amp;INDEX(Technology.codes[Description],MATCH(Regional.Technologies[[#This Row],[Technology]],Technology.codes[Code],0))</f>
        <v>Global train.passenger.international.fuel</v>
      </c>
      <c r="W45" s="43"/>
      <c r="X45" s="47" t="s">
        <v>546</v>
      </c>
      <c r="Y45" s="40" t="s">
        <v>240</v>
      </c>
      <c r="Z45" s="40" t="s">
        <v>323</v>
      </c>
      <c r="AA45" s="40" t="s">
        <v>267</v>
      </c>
      <c r="AB45" s="40" t="s">
        <v>773</v>
      </c>
      <c r="AC45" s="77"/>
      <c r="AD45" s="128" t="s">
        <v>360</v>
      </c>
      <c r="AE45" s="128" t="str">
        <f>Energy.codes[[#This Row],[Code]]</f>
        <v>H.01</v>
      </c>
      <c r="AF45" s="77" t="str">
        <f>Regional.energy[[#This Row],[Region code]]&amp;"."&amp;Regional.energy[[#This Row],[Energy code]]</f>
        <v>G.H.01</v>
      </c>
      <c r="AG45" s="77" t="str">
        <f>INDEX(Region.codes[Description],MATCH(Regional.energy[[#This Row],[Region code]],Region.codes[Code],0))&amp;" "&amp;INDEX(Energy.codes[Description],MATCH(Regional.energy[[#This Row],[Energy code]],Energy.codes[Code],0))</f>
        <v>Global Heat transport</v>
      </c>
      <c r="AH45" s="77"/>
      <c r="AI45" s="77"/>
      <c r="AJ45" s="43"/>
      <c r="AL45" s="43"/>
      <c r="AN45" s="43"/>
      <c r="AO45" s="43"/>
      <c r="AP45" s="43"/>
      <c r="AQ45" s="43"/>
      <c r="BB45" s="43"/>
    </row>
    <row r="46" spans="5:54" s="26" customFormat="1" ht="13.5" customHeight="1">
      <c r="E46" s="43"/>
      <c r="F46" s="43"/>
      <c r="G46" s="43"/>
      <c r="H46" s="43"/>
      <c r="I46" s="43"/>
      <c r="J46" s="43"/>
      <c r="K46" s="43"/>
      <c r="L46" s="43"/>
      <c r="M46" s="43"/>
      <c r="N46" s="219" t="s">
        <v>2046</v>
      </c>
      <c r="O46" s="219" t="s">
        <v>2046</v>
      </c>
      <c r="P46" s="219" t="s">
        <v>51</v>
      </c>
      <c r="Q46" s="219"/>
      <c r="R46" s="43"/>
      <c r="S46" s="219" t="str">
        <f>Region.codes[Code]</f>
        <v>G</v>
      </c>
      <c r="T46" s="219" t="str">
        <f>Technology.codes[[#This Row],[Code]]</f>
        <v>train.passenger.international.elec</v>
      </c>
      <c r="U46" s="219" t="str">
        <f>S46&amp;"."&amp;Regional.Technologies[[#This Row],[Technology]]</f>
        <v>G.train.passenger.international.elec</v>
      </c>
      <c r="V46" s="219" t="str">
        <f>INDEX(Region.codes[Description],MATCH(S46,Region.codes[Code],0))&amp;" "&amp;INDEX(Technology.codes[Description],MATCH(Regional.Technologies[[#This Row],[Technology]],Technology.codes[Code],0))</f>
        <v>Global train.passenger.international.elec</v>
      </c>
      <c r="W46" s="43"/>
      <c r="X46" s="47" t="s">
        <v>547</v>
      </c>
      <c r="Y46" s="40" t="s">
        <v>240</v>
      </c>
      <c r="Z46" s="40" t="s">
        <v>323</v>
      </c>
      <c r="AA46" s="40" t="s">
        <v>465</v>
      </c>
      <c r="AB46" s="40" t="s">
        <v>778</v>
      </c>
      <c r="AC46" s="77"/>
      <c r="AD46" s="128" t="s">
        <v>360</v>
      </c>
      <c r="AE46" s="128" t="str">
        <f>Energy.codes[[#This Row],[Code]]</f>
        <v>H.02</v>
      </c>
      <c r="AF46" s="77" t="str">
        <f>Regional.energy[[#This Row],[Region code]]&amp;"."&amp;Regional.energy[[#This Row],[Energy code]]</f>
        <v>G.H.02</v>
      </c>
      <c r="AG46" s="77" t="str">
        <f>INDEX(Region.codes[Description],MATCH(Regional.energy[[#This Row],[Region code]],Region.codes[Code],0))&amp;" "&amp;INDEX(Energy.codes[Description],MATCH(Regional.energy[[#This Row],[Energy code]],Energy.codes[Code],0))</f>
        <v>Global Solar thermal</v>
      </c>
      <c r="AH46" s="77"/>
      <c r="AI46" s="77"/>
      <c r="AJ46" s="43"/>
      <c r="AL46" s="43"/>
      <c r="AN46" s="43"/>
      <c r="AO46" s="43"/>
      <c r="AP46" s="43"/>
      <c r="AQ46" s="43"/>
      <c r="BB46" s="43"/>
    </row>
    <row r="47" spans="5:54" s="26" customFormat="1" ht="13.5" customHeight="1">
      <c r="E47" s="43"/>
      <c r="F47" s="43"/>
      <c r="G47" s="43"/>
      <c r="H47" s="43"/>
      <c r="I47" s="43"/>
      <c r="J47" s="43"/>
      <c r="K47" s="43"/>
      <c r="L47" s="43"/>
      <c r="M47" s="43"/>
      <c r="N47" s="253" t="s">
        <v>2371</v>
      </c>
      <c r="O47" s="253" t="s">
        <v>2371</v>
      </c>
      <c r="P47" s="219" t="s">
        <v>51</v>
      </c>
      <c r="Q47" s="219"/>
      <c r="R47" s="43"/>
      <c r="S47" s="219" t="str">
        <f>Region.codes[Code]</f>
        <v>G</v>
      </c>
      <c r="T47" s="219" t="str">
        <f>Technology.codes[[#This Row],[Code]]</f>
        <v>light.truck.domestic.fuel</v>
      </c>
      <c r="U47" s="219" t="str">
        <f>S47&amp;"."&amp;Regional.Technologies[[#This Row],[Technology]]</f>
        <v>G.light.truck.domestic.fuel</v>
      </c>
      <c r="V47" s="219" t="str">
        <f>INDEX(Region.codes[Description],MATCH(S47,Region.codes[Code],0))&amp;" "&amp;INDEX(Technology.codes[Description],MATCH(Regional.Technologies[[#This Row],[Technology]],Technology.codes[Code],0))</f>
        <v>Global light.truck.domestic.fuel</v>
      </c>
      <c r="W47" s="43"/>
      <c r="X47" s="47" t="s">
        <v>548</v>
      </c>
      <c r="Y47" s="40" t="s">
        <v>240</v>
      </c>
      <c r="Z47" s="40" t="s">
        <v>324</v>
      </c>
      <c r="AA47" s="40" t="s">
        <v>1214</v>
      </c>
      <c r="AB47" s="40" t="s">
        <v>1216</v>
      </c>
      <c r="AC47" s="77"/>
      <c r="AD47" s="128" t="s">
        <v>360</v>
      </c>
      <c r="AE47" s="128" t="str">
        <f>Energy.codes[[#This Row],[Code]]</f>
        <v>BM.01</v>
      </c>
      <c r="AF47" s="77" t="str">
        <f>Regional.energy[[#This Row],[Region code]]&amp;"."&amp;Regional.energy[[#This Row],[Energy code]]</f>
        <v>G.BM.01</v>
      </c>
      <c r="AG47" s="77" t="str">
        <f>INDEX(Region.codes[Description],MATCH(Regional.energy[[#This Row],[Region code]],Region.codes[Code],0))&amp;" "&amp;INDEX(Energy.codes[Description],MATCH(Regional.energy[[#This Row],[Energy code]],Energy.codes[Code],0))</f>
        <v>Global Meat</v>
      </c>
      <c r="AH47" s="77"/>
      <c r="AI47" s="77"/>
      <c r="AJ47" s="43"/>
      <c r="AL47" s="43"/>
      <c r="AN47" s="43"/>
      <c r="AO47" s="43"/>
      <c r="AP47" s="43"/>
      <c r="AQ47" s="43"/>
      <c r="BB47" s="43"/>
    </row>
    <row r="48" spans="5:54" s="26" customFormat="1" ht="13.5" customHeight="1">
      <c r="E48" s="43"/>
      <c r="F48" s="43"/>
      <c r="G48" s="43"/>
      <c r="H48" s="43"/>
      <c r="I48" s="43"/>
      <c r="J48" s="43"/>
      <c r="K48" s="43"/>
      <c r="L48" s="43"/>
      <c r="M48" s="43"/>
      <c r="N48" s="253" t="s">
        <v>2372</v>
      </c>
      <c r="O48" s="253" t="s">
        <v>2372</v>
      </c>
      <c r="P48" s="219" t="s">
        <v>51</v>
      </c>
      <c r="Q48" s="219"/>
      <c r="R48" s="43"/>
      <c r="S48" s="219" t="str">
        <f>Region.codes[Code]</f>
        <v>G</v>
      </c>
      <c r="T48" s="219" t="str">
        <f>Technology.codes[[#This Row],[Code]]</f>
        <v>light.truck.domestic.PH</v>
      </c>
      <c r="U48" s="219" t="str">
        <f>S48&amp;"."&amp;Regional.Technologies[[#This Row],[Technology]]</f>
        <v>G.light.truck.domestic.PH</v>
      </c>
      <c r="V48" s="219" t="str">
        <f>INDEX(Region.codes[Description],MATCH(S48,Region.codes[Code],0))&amp;" "&amp;INDEX(Technology.codes[Description],MATCH(Regional.Technologies[[#This Row],[Technology]],Technology.codes[Code],0))</f>
        <v>Global light.truck.domestic.PH</v>
      </c>
      <c r="W48" s="43"/>
      <c r="X48" s="147" t="s">
        <v>549</v>
      </c>
      <c r="Y48" s="218" t="s">
        <v>240</v>
      </c>
      <c r="Z48" s="218" t="s">
        <v>324</v>
      </c>
      <c r="AA48" s="218" t="s">
        <v>1215</v>
      </c>
      <c r="AB48" s="218" t="s">
        <v>1217</v>
      </c>
      <c r="AC48" s="77"/>
      <c r="AD48" s="128" t="s">
        <v>360</v>
      </c>
      <c r="AE48" s="128" t="str">
        <f>Energy.codes[[#This Row],[Code]]</f>
        <v>BM.02</v>
      </c>
      <c r="AF48" s="77" t="str">
        <f>Regional.energy[[#This Row],[Region code]]&amp;"."&amp;Regional.energy[[#This Row],[Energy code]]</f>
        <v>G.BM.02</v>
      </c>
      <c r="AG48" s="77" t="str">
        <f>INDEX(Region.codes[Description],MATCH(Regional.energy[[#This Row],[Region code]],Region.codes[Code],0))&amp;" "&amp;INDEX(Energy.codes[Description],MATCH(Regional.energy[[#This Row],[Energy code]],Energy.codes[Code],0))</f>
        <v>Global Food crops</v>
      </c>
      <c r="AH48" s="77"/>
      <c r="AI48" s="77"/>
      <c r="AJ48" s="43"/>
      <c r="AL48" s="43"/>
      <c r="AN48" s="43"/>
      <c r="AO48" s="43"/>
      <c r="AP48" s="43"/>
      <c r="AQ48" s="43"/>
      <c r="BB48" s="43"/>
    </row>
    <row r="49" spans="5:55" s="26" customFormat="1" ht="13.5" customHeight="1">
      <c r="E49" s="43"/>
      <c r="F49" s="43"/>
      <c r="G49" s="43"/>
      <c r="H49" s="43"/>
      <c r="I49" s="43"/>
      <c r="J49" s="43"/>
      <c r="K49" s="43"/>
      <c r="L49" s="43"/>
      <c r="M49" s="43"/>
      <c r="N49" s="253" t="s">
        <v>2373</v>
      </c>
      <c r="O49" s="253" t="s">
        <v>2373</v>
      </c>
      <c r="P49" s="219" t="s">
        <v>51</v>
      </c>
      <c r="Q49" s="219"/>
      <c r="R49" s="43"/>
      <c r="S49" s="219" t="str">
        <f>Region.codes[Code]</f>
        <v>G</v>
      </c>
      <c r="T49" s="219" t="str">
        <f>Technology.codes[[#This Row],[Code]]</f>
        <v>light.truck.domestic.EV</v>
      </c>
      <c r="U49" s="219" t="str">
        <f>S49&amp;"."&amp;Regional.Technologies[[#This Row],[Technology]]</f>
        <v>G.light.truck.domestic.EV</v>
      </c>
      <c r="V49" s="219" t="str">
        <f>INDEX(Region.codes[Description],MATCH(S49,Region.codes[Code],0))&amp;" "&amp;INDEX(Technology.codes[Description],MATCH(Regional.Technologies[[#This Row],[Technology]],Technology.codes[Code],0))</f>
        <v>Global light.truck.domestic.EV</v>
      </c>
      <c r="W49" s="43"/>
      <c r="X49" s="147" t="s">
        <v>550</v>
      </c>
      <c r="Y49" s="218" t="s">
        <v>240</v>
      </c>
      <c r="Z49" s="218" t="s">
        <v>324</v>
      </c>
      <c r="AA49" s="40" t="s">
        <v>1211</v>
      </c>
      <c r="AB49" s="92" t="s">
        <v>1219</v>
      </c>
      <c r="AC49" s="77"/>
      <c r="AD49" s="128" t="s">
        <v>360</v>
      </c>
      <c r="AE49" s="128" t="str">
        <f>Energy.codes[[#This Row],[Code]]</f>
        <v>BM.03</v>
      </c>
      <c r="AF49" s="77" t="str">
        <f>Regional.energy[[#This Row],[Region code]]&amp;"."&amp;Regional.energy[[#This Row],[Energy code]]</f>
        <v>G.BM.03</v>
      </c>
      <c r="AG49" s="77" t="str">
        <f>INDEX(Region.codes[Description],MATCH(Regional.energy[[#This Row],[Region code]],Region.codes[Code],0))&amp;" "&amp;INDEX(Energy.codes[Description],MATCH(Regional.energy[[#This Row],[Energy code]],Energy.codes[Code],0))</f>
        <v>Global Energy crops</v>
      </c>
      <c r="AH49" s="77"/>
      <c r="AI49" s="77"/>
      <c r="AJ49" s="43"/>
      <c r="AL49" s="43"/>
      <c r="AN49" s="43"/>
      <c r="AO49" s="43"/>
      <c r="AP49" s="43"/>
      <c r="AQ49" s="43"/>
      <c r="BB49" s="43"/>
    </row>
    <row r="50" spans="5:55" s="26" customFormat="1" ht="13.5" customHeight="1">
      <c r="E50" s="43"/>
      <c r="F50" s="43"/>
      <c r="G50" s="43"/>
      <c r="H50" s="43"/>
      <c r="I50" s="43"/>
      <c r="J50" s="43"/>
      <c r="K50" s="43"/>
      <c r="L50" s="43"/>
      <c r="M50" s="43"/>
      <c r="N50" s="253" t="s">
        <v>2374</v>
      </c>
      <c r="O50" s="253" t="s">
        <v>2374</v>
      </c>
      <c r="P50" s="219" t="s">
        <v>51</v>
      </c>
      <c r="Q50" s="219"/>
      <c r="R50" s="43"/>
      <c r="S50" s="219" t="str">
        <f>Region.codes[Code]</f>
        <v>G</v>
      </c>
      <c r="T50" s="219" t="str">
        <f>Technology.codes[[#This Row],[Code]]</f>
        <v>light.truck.domestic.H2</v>
      </c>
      <c r="U50" s="219" t="str">
        <f>S50&amp;"."&amp;Regional.Technologies[[#This Row],[Technology]]</f>
        <v>G.light.truck.domestic.H2</v>
      </c>
      <c r="V50" s="219" t="str">
        <f>INDEX(Region.codes[Description],MATCH(S50,Region.codes[Code],0))&amp;" "&amp;INDEX(Technology.codes[Description],MATCH(Regional.Technologies[[#This Row],[Technology]],Technology.codes[Code],0))</f>
        <v>Global light.truck.domestic.H2</v>
      </c>
      <c r="W50" s="43"/>
      <c r="X50" s="147" t="s">
        <v>551</v>
      </c>
      <c r="Y50" s="218" t="s">
        <v>240</v>
      </c>
      <c r="Z50" s="218" t="s">
        <v>324</v>
      </c>
      <c r="AA50" s="218" t="s">
        <v>1212</v>
      </c>
      <c r="AB50" s="218" t="s">
        <v>1218</v>
      </c>
      <c r="AC50" s="77"/>
      <c r="AD50" s="128" t="s">
        <v>360</v>
      </c>
      <c r="AE50" s="128" t="str">
        <f>Energy.codes[[#This Row],[Code]]</f>
        <v>BM.04</v>
      </c>
      <c r="AF50" s="77" t="str">
        <f>Regional.energy[[#This Row],[Region code]]&amp;"."&amp;Regional.energy[[#This Row],[Energy code]]</f>
        <v>G.BM.04</v>
      </c>
      <c r="AG50" s="77" t="str">
        <f>INDEX(Region.codes[Description],MATCH(Regional.energy[[#This Row],[Region code]],Region.codes[Code],0))&amp;" "&amp;INDEX(Energy.codes[Description],MATCH(Regional.energy[[#This Row],[Energy code]],Energy.codes[Code],0))</f>
        <v>Global Other crops</v>
      </c>
      <c r="AH50" s="77"/>
      <c r="AI50" s="77"/>
      <c r="AJ50" s="43"/>
      <c r="AL50" s="43"/>
      <c r="AN50" s="43"/>
      <c r="AO50" s="43"/>
      <c r="AP50" s="43"/>
      <c r="AQ50" s="43"/>
      <c r="BB50" s="43"/>
    </row>
    <row r="51" spans="5:55" s="26" customFormat="1" ht="13.5" customHeight="1">
      <c r="E51" s="43"/>
      <c r="F51" s="43"/>
      <c r="G51" s="43"/>
      <c r="H51" s="43"/>
      <c r="I51" s="43"/>
      <c r="J51" s="43"/>
      <c r="K51" s="43"/>
      <c r="L51" s="43"/>
      <c r="M51" s="43"/>
      <c r="N51" s="253" t="s">
        <v>2375</v>
      </c>
      <c r="O51" s="253" t="s">
        <v>2375</v>
      </c>
      <c r="P51" s="219" t="s">
        <v>51</v>
      </c>
      <c r="Q51" s="219"/>
      <c r="R51" s="43"/>
      <c r="S51" s="219" t="str">
        <f>Region.codes[Code]</f>
        <v>G</v>
      </c>
      <c r="T51" s="219" t="str">
        <f>Technology.codes[[#This Row],[Code]]</f>
        <v>heavy.truck.domestic.fuel</v>
      </c>
      <c r="U51" s="219" t="str">
        <f>S51&amp;"."&amp;Regional.Technologies[[#This Row],[Technology]]</f>
        <v>G.heavy.truck.domestic.fuel</v>
      </c>
      <c r="V51" s="219" t="str">
        <f>INDEX(Region.codes[Description],MATCH(S51,Region.codes[Code],0))&amp;" "&amp;INDEX(Technology.codes[Description],MATCH(Regional.Technologies[[#This Row],[Technology]],Technology.codes[Code],0))</f>
        <v>Global heavy.truck.domestic.fuel</v>
      </c>
      <c r="W51" s="43"/>
      <c r="X51" s="147" t="s">
        <v>780</v>
      </c>
      <c r="Y51" s="218" t="s">
        <v>240</v>
      </c>
      <c r="Z51" s="218" t="s">
        <v>324</v>
      </c>
      <c r="AA51" s="40" t="s">
        <v>268</v>
      </c>
      <c r="AB51" s="40" t="s">
        <v>325</v>
      </c>
      <c r="AC51" s="77"/>
      <c r="AD51" s="128" t="s">
        <v>360</v>
      </c>
      <c r="AE51" s="128" t="str">
        <f>Energy.codes[[#This Row],[Code]]</f>
        <v>BM.05</v>
      </c>
      <c r="AF51" s="77" t="str">
        <f>Regional.energy[[#This Row],[Region code]]&amp;"."&amp;Regional.energy[[#This Row],[Energy code]]</f>
        <v>G.BM.05</v>
      </c>
      <c r="AG51" s="77" t="str">
        <f>INDEX(Region.codes[Description],MATCH(Regional.energy[[#This Row],[Region code]],Region.codes[Code],0))&amp;" "&amp;INDEX(Energy.codes[Description],MATCH(Regional.energy[[#This Row],[Energy code]],Energy.codes[Code],0))</f>
        <v>Global Dry biomass and waste</v>
      </c>
      <c r="AH51" s="77"/>
      <c r="AI51" s="77"/>
      <c r="AJ51" s="43"/>
      <c r="AL51" s="43"/>
      <c r="AN51" s="43"/>
      <c r="AO51" s="43"/>
      <c r="AP51" s="43"/>
      <c r="AQ51" s="43"/>
      <c r="BB51" s="43"/>
    </row>
    <row r="52" spans="5:55" s="26" customFormat="1" ht="12.75" customHeight="1">
      <c r="E52" s="43"/>
      <c r="F52" s="43"/>
      <c r="G52" s="43"/>
      <c r="H52" s="43"/>
      <c r="I52" s="43"/>
      <c r="J52" s="43"/>
      <c r="K52" s="43"/>
      <c r="L52" s="43"/>
      <c r="M52" s="43"/>
      <c r="N52" s="253" t="s">
        <v>2376</v>
      </c>
      <c r="O52" s="253" t="s">
        <v>2376</v>
      </c>
      <c r="P52" s="219" t="s">
        <v>51</v>
      </c>
      <c r="Q52" s="219"/>
      <c r="R52" s="43"/>
      <c r="S52" s="219" t="str">
        <f>Region.codes[Code]</f>
        <v>G</v>
      </c>
      <c r="T52" s="219" t="str">
        <f>Technology.codes[[#This Row],[Code]]</f>
        <v>heavy.truck.domestic.PH</v>
      </c>
      <c r="U52" s="219" t="str">
        <f>S52&amp;"."&amp;Regional.Technologies[[#This Row],[Technology]]</f>
        <v>G.heavy.truck.domestic.PH</v>
      </c>
      <c r="V52" s="219" t="str">
        <f>INDEX(Region.codes[Description],MATCH(S52,Region.codes[Code],0))&amp;" "&amp;INDEX(Technology.codes[Description],MATCH(Regional.Technologies[[#This Row],[Technology]],Technology.codes[Code],0))</f>
        <v>Global heavy.truck.domestic.PH</v>
      </c>
      <c r="W52" s="43"/>
      <c r="X52" s="147" t="s">
        <v>781</v>
      </c>
      <c r="Y52" s="218" t="s">
        <v>240</v>
      </c>
      <c r="Z52" s="218" t="s">
        <v>324</v>
      </c>
      <c r="AA52" s="40" t="s">
        <v>269</v>
      </c>
      <c r="AB52" s="40" t="s">
        <v>327</v>
      </c>
      <c r="AC52" s="77"/>
      <c r="AD52" s="128" t="s">
        <v>360</v>
      </c>
      <c r="AE52" s="128" t="str">
        <f>Energy.codes[[#This Row],[Code]]</f>
        <v>BM.06</v>
      </c>
      <c r="AF52" s="77" t="str">
        <f>Regional.energy[[#This Row],[Region code]]&amp;"."&amp;Regional.energy[[#This Row],[Energy code]]</f>
        <v>G.BM.06</v>
      </c>
      <c r="AG52" s="77" t="str">
        <f>INDEX(Region.codes[Description],MATCH(Regional.energy[[#This Row],[Region code]],Region.codes[Code],0))&amp;" "&amp;INDEX(Energy.codes[Description],MATCH(Regional.energy[[#This Row],[Energy code]],Energy.codes[Code],0))</f>
        <v>Global Wet biomass and waste</v>
      </c>
      <c r="AH52" s="77"/>
      <c r="AI52" s="77"/>
      <c r="AJ52" s="43"/>
      <c r="AL52" s="43"/>
      <c r="AN52" s="43"/>
      <c r="AO52" s="43"/>
      <c r="AP52" s="43"/>
      <c r="AQ52" s="43"/>
      <c r="BB52" s="43"/>
    </row>
    <row r="53" spans="5:55" s="26" customFormat="1" ht="12.75" customHeight="1">
      <c r="E53" s="43"/>
      <c r="F53" s="43"/>
      <c r="G53" s="43"/>
      <c r="H53" s="43"/>
      <c r="I53" s="43"/>
      <c r="J53" s="43"/>
      <c r="K53" s="43"/>
      <c r="L53" s="43"/>
      <c r="M53" s="43"/>
      <c r="N53" s="253" t="s">
        <v>2377</v>
      </c>
      <c r="O53" s="253" t="s">
        <v>2377</v>
      </c>
      <c r="P53" s="219" t="s">
        <v>51</v>
      </c>
      <c r="Q53" s="219"/>
      <c r="R53" s="43"/>
      <c r="S53" s="219" t="str">
        <f>Region.codes[Code]</f>
        <v>G</v>
      </c>
      <c r="T53" s="219" t="str">
        <f>Technology.codes[[#This Row],[Code]]</f>
        <v>heavy.truck.domestic.EV</v>
      </c>
      <c r="U53" s="219" t="str">
        <f>S53&amp;"."&amp;Regional.Technologies[[#This Row],[Technology]]</f>
        <v>G.heavy.truck.domestic.EV</v>
      </c>
      <c r="V53" s="219" t="str">
        <f>INDEX(Region.codes[Description],MATCH(S53,Region.codes[Code],0))&amp;" "&amp;INDEX(Technology.codes[Description],MATCH(Regional.Technologies[[#This Row],[Technology]],Technology.codes[Code],0))</f>
        <v>Global heavy.truck.domestic.EV</v>
      </c>
      <c r="W53" s="43"/>
      <c r="X53" s="147" t="s">
        <v>1213</v>
      </c>
      <c r="Y53" s="218" t="s">
        <v>240</v>
      </c>
      <c r="Z53" s="218" t="s">
        <v>324</v>
      </c>
      <c r="AA53" s="40" t="s">
        <v>328</v>
      </c>
      <c r="AB53" s="40" t="s">
        <v>329</v>
      </c>
      <c r="AC53" s="77"/>
      <c r="AD53" s="128" t="s">
        <v>360</v>
      </c>
      <c r="AE53" s="128" t="str">
        <f>Energy.codes[[#This Row],[Code]]</f>
        <v>BM.07</v>
      </c>
      <c r="AF53" s="77" t="str">
        <f>Regional.energy[[#This Row],[Region code]]&amp;"."&amp;Regional.energy[[#This Row],[Energy code]]</f>
        <v>G.BM.07</v>
      </c>
      <c r="AG53" s="77" t="str">
        <f>INDEX(Region.codes[Description],MATCH(Regional.energy[[#This Row],[Region code]],Region.codes[Code],0))&amp;" "&amp;INDEX(Energy.codes[Description],MATCH(Regional.energy[[#This Row],[Energy code]],Energy.codes[Code],0))</f>
        <v>Global Gaseous waste</v>
      </c>
      <c r="AH53" s="77"/>
      <c r="AI53" s="77"/>
      <c r="AJ53" s="43"/>
      <c r="AL53" s="43"/>
      <c r="AN53" s="43"/>
      <c r="AO53" s="43"/>
      <c r="AP53" s="43"/>
      <c r="AQ53" s="43"/>
      <c r="BB53" s="43"/>
    </row>
    <row r="54" spans="5:55" s="26" customFormat="1" ht="12.75" customHeight="1">
      <c r="E54" s="43"/>
      <c r="F54" s="43"/>
      <c r="G54" s="43"/>
      <c r="H54" s="43"/>
      <c r="I54" s="43"/>
      <c r="J54" s="43"/>
      <c r="K54" s="43"/>
      <c r="L54" s="43"/>
      <c r="M54" s="43"/>
      <c r="N54" s="253" t="s">
        <v>2378</v>
      </c>
      <c r="O54" s="253" t="s">
        <v>2378</v>
      </c>
      <c r="P54" s="219" t="s">
        <v>51</v>
      </c>
      <c r="Q54" s="219"/>
      <c r="R54" s="43"/>
      <c r="S54" s="219" t="str">
        <f>Region.codes[Code]</f>
        <v>G</v>
      </c>
      <c r="T54" s="219" t="str">
        <f>Technology.codes[[#This Row],[Code]]</f>
        <v>heavy.truck.domestic.H2</v>
      </c>
      <c r="U54" s="219" t="str">
        <f>S54&amp;"."&amp;Regional.Technologies[[#This Row],[Technology]]</f>
        <v>G.heavy.truck.domestic.H2</v>
      </c>
      <c r="V54" s="219" t="str">
        <f>INDEX(Region.codes[Description],MATCH(S54,Region.codes[Code],0))&amp;" "&amp;INDEX(Technology.codes[Description],MATCH(Regional.Technologies[[#This Row],[Technology]],Technology.codes[Code],0))</f>
        <v>Global heavy.truck.domestic.H2</v>
      </c>
      <c r="W54" s="43"/>
      <c r="X54" s="147" t="s">
        <v>1329</v>
      </c>
      <c r="Y54" s="219" t="s">
        <v>240</v>
      </c>
      <c r="Z54" s="219" t="s">
        <v>324</v>
      </c>
      <c r="AA54" s="219" t="s">
        <v>1330</v>
      </c>
      <c r="AB54" s="219" t="s">
        <v>1331</v>
      </c>
      <c r="AC54" s="77"/>
      <c r="AD54" s="128" t="s">
        <v>360</v>
      </c>
      <c r="AE54" s="128" t="str">
        <f>Energy.codes[[#This Row],[Code]]</f>
        <v>BM.08</v>
      </c>
      <c r="AF54" s="77" t="str">
        <f>Regional.energy[[#This Row],[Region code]]&amp;"."&amp;Regional.energy[[#This Row],[Energy code]]</f>
        <v>G.BM.08</v>
      </c>
      <c r="AG54" s="77" t="str">
        <f>INDEX(Region.codes[Description],MATCH(Regional.energy[[#This Row],[Region code]],Region.codes[Code],0))&amp;" "&amp;INDEX(Energy.codes[Description],MATCH(Regional.energy[[#This Row],[Energy code]],Energy.codes[Code],0))</f>
        <v>Global Grass</v>
      </c>
      <c r="AH54" s="77"/>
      <c r="AI54" s="77"/>
      <c r="AJ54" s="43"/>
      <c r="AL54" s="43"/>
      <c r="AN54" s="43"/>
      <c r="AO54" s="43"/>
      <c r="AP54" s="43"/>
      <c r="AQ54" s="43"/>
      <c r="BB54" s="43"/>
    </row>
    <row r="55" spans="5:55" s="26" customFormat="1" ht="12.75" customHeight="1">
      <c r="E55" s="43"/>
      <c r="F55" s="43"/>
      <c r="G55" s="43"/>
      <c r="H55" s="43"/>
      <c r="I55" s="43"/>
      <c r="J55" s="43"/>
      <c r="K55" s="43"/>
      <c r="L55" s="43"/>
      <c r="M55" s="43"/>
      <c r="N55" s="253" t="s">
        <v>2379</v>
      </c>
      <c r="O55" s="253" t="s">
        <v>2379</v>
      </c>
      <c r="P55" s="219" t="s">
        <v>51</v>
      </c>
      <c r="Q55" s="219"/>
      <c r="R55" s="43"/>
      <c r="S55" s="219" t="str">
        <f>Region.codes[Code]</f>
        <v>G</v>
      </c>
      <c r="T55" s="219" t="str">
        <f>Technology.codes[[#This Row],[Code]]</f>
        <v>train.freight.domestic.fuel</v>
      </c>
      <c r="U55" s="219" t="str">
        <f>S55&amp;"."&amp;Regional.Technologies[[#This Row],[Technology]]</f>
        <v>G.train.freight.domestic.fuel</v>
      </c>
      <c r="V55" s="219" t="str">
        <f>INDEX(Region.codes[Description],MATCH(S55,Region.codes[Code],0))&amp;" "&amp;INDEX(Technology.codes[Description],MATCH(Regional.Technologies[[#This Row],[Technology]],Technology.codes[Code],0))</f>
        <v>Global train.freight.domestic.fuel</v>
      </c>
      <c r="W55" s="43"/>
      <c r="X55" s="135" t="s">
        <v>552</v>
      </c>
      <c r="Y55" s="136" t="s">
        <v>240</v>
      </c>
      <c r="Z55" s="136" t="s">
        <v>326</v>
      </c>
      <c r="AA55" s="136" t="s">
        <v>330</v>
      </c>
      <c r="AB55" s="136"/>
      <c r="AC55" s="77"/>
      <c r="AD55" s="128" t="s">
        <v>360</v>
      </c>
      <c r="AE55" s="128" t="str">
        <f>Energy.codes[[#This Row],[Code]]</f>
        <v>HY.01</v>
      </c>
      <c r="AF55" s="77" t="str">
        <f>Regional.energy[[#This Row],[Region code]]&amp;"."&amp;Regional.energy[[#This Row],[Energy code]]</f>
        <v>G.HY.01</v>
      </c>
      <c r="AG55" s="77" t="str">
        <f>INDEX(Region.codes[Description],MATCH(Regional.energy[[#This Row],[Region code]],Region.codes[Code],0))&amp;" "&amp;INDEX(Energy.codes[Description],MATCH(Regional.energy[[#This Row],[Energy code]],Energy.codes[Code],0))</f>
        <v>Global H2</v>
      </c>
      <c r="AH55" s="77"/>
      <c r="AI55" s="77"/>
      <c r="AJ55" s="43"/>
      <c r="AL55" s="43"/>
      <c r="AN55" s="43"/>
      <c r="AO55" s="43"/>
      <c r="AP55" s="43"/>
      <c r="AQ55" s="43"/>
      <c r="BB55" s="43"/>
    </row>
    <row r="56" spans="5:55" s="26" customFormat="1" ht="12.75" customHeight="1">
      <c r="E56" s="43"/>
      <c r="F56" s="43"/>
      <c r="G56" s="43"/>
      <c r="H56" s="43"/>
      <c r="I56" s="43"/>
      <c r="J56" s="43"/>
      <c r="K56" s="43"/>
      <c r="L56" s="43"/>
      <c r="M56" s="43"/>
      <c r="N56" s="253" t="s">
        <v>2380</v>
      </c>
      <c r="O56" s="253" t="s">
        <v>2380</v>
      </c>
      <c r="P56" s="219" t="s">
        <v>51</v>
      </c>
      <c r="Q56" s="219"/>
      <c r="R56" s="43"/>
      <c r="S56" s="219" t="str">
        <f>Region.codes[Code]</f>
        <v>G</v>
      </c>
      <c r="T56" s="219" t="str">
        <f>Technology.codes[[#This Row],[Code]]</f>
        <v>train.freight.domestic.elec</v>
      </c>
      <c r="U56" s="219" t="str">
        <f>S56&amp;"."&amp;Regional.Technologies[[#This Row],[Technology]]</f>
        <v>G.train.freight.domestic.elec</v>
      </c>
      <c r="V56" s="219" t="str">
        <f>INDEX(Region.codes[Description],MATCH(S56,Region.codes[Code],0))&amp;" "&amp;INDEX(Technology.codes[Description],MATCH(Regional.Technologies[[#This Row],[Technology]],Technology.codes[Code],0))</f>
        <v>Global train.freight.domestic.elec</v>
      </c>
      <c r="W56" s="43"/>
      <c r="X56" s="47" t="s">
        <v>553</v>
      </c>
      <c r="Y56" s="40" t="s">
        <v>57</v>
      </c>
      <c r="Z56" s="40" t="s">
        <v>57</v>
      </c>
      <c r="AA56" s="40" t="s">
        <v>363</v>
      </c>
      <c r="AB56" s="40" t="s">
        <v>378</v>
      </c>
      <c r="AC56" s="77"/>
      <c r="AD56" s="128" t="s">
        <v>360</v>
      </c>
      <c r="AE56" s="128" t="str">
        <f>Energy.codes[[#This Row],[Code]]</f>
        <v>FC.01</v>
      </c>
      <c r="AF56" s="77" t="str">
        <f>Regional.energy[[#This Row],[Region code]]&amp;"."&amp;Regional.energy[[#This Row],[Energy code]]</f>
        <v>G.FC.01</v>
      </c>
      <c r="AG56" s="77" t="str">
        <f>INDEX(Region.codes[Description],MATCH(Regional.energy[[#This Row],[Region code]],Region.codes[Code],0))&amp;" "&amp;INDEX(Energy.codes[Description],MATCH(Regional.energy[[#This Row],[Energy code]],Energy.codes[Code],0))</f>
        <v xml:space="preserve">Global Food consumption </v>
      </c>
      <c r="AH56" s="77"/>
      <c r="AI56" s="77"/>
      <c r="AJ56" s="43"/>
      <c r="AL56" s="43"/>
      <c r="AN56" s="43"/>
      <c r="AO56" s="43"/>
      <c r="AP56" s="43"/>
      <c r="AQ56" s="43"/>
      <c r="BB56" s="43"/>
    </row>
    <row r="57" spans="5:55" s="26" customFormat="1" ht="12.75" customHeight="1">
      <c r="E57" s="43"/>
      <c r="F57" s="43"/>
      <c r="G57" s="43"/>
      <c r="H57" s="43"/>
      <c r="I57" s="43"/>
      <c r="J57" s="43"/>
      <c r="K57" s="43"/>
      <c r="L57" s="43"/>
      <c r="M57" s="43"/>
      <c r="N57" s="253" t="s">
        <v>2381</v>
      </c>
      <c r="O57" s="253" t="s">
        <v>2381</v>
      </c>
      <c r="P57" s="219" t="s">
        <v>51</v>
      </c>
      <c r="Q57" s="219"/>
      <c r="R57" s="43"/>
      <c r="S57" s="219" t="str">
        <f>Region.codes[Code]</f>
        <v>G</v>
      </c>
      <c r="T57" s="219" t="str">
        <f>Technology.codes[[#This Row],[Code]]</f>
        <v>ship.freight.domestic.fuel</v>
      </c>
      <c r="U57" s="219" t="str">
        <f>S57&amp;"."&amp;Regional.Technologies[[#This Row],[Technology]]</f>
        <v>G.ship.freight.domestic.fuel</v>
      </c>
      <c r="V57" s="219" t="str">
        <f>INDEX(Region.codes[Description],MATCH(S57,Region.codes[Code],0))&amp;" "&amp;INDEX(Technology.codes[Description],MATCH(Regional.Technologies[[#This Row],[Technology]],Technology.codes[Code],0))</f>
        <v>Global ship.freight.domestic.fuel</v>
      </c>
      <c r="W57" s="43"/>
      <c r="X57" s="135" t="s">
        <v>554</v>
      </c>
      <c r="Y57" s="136" t="s">
        <v>57</v>
      </c>
      <c r="Z57" s="136" t="s">
        <v>57</v>
      </c>
      <c r="AA57" s="136" t="s">
        <v>377</v>
      </c>
      <c r="AB57" s="136" t="s">
        <v>379</v>
      </c>
      <c r="AC57" s="77"/>
      <c r="AD57" s="128" t="s">
        <v>360</v>
      </c>
      <c r="AE57" s="128" t="str">
        <f>Energy.codes[[#This Row],[Code]]</f>
        <v>FC.02</v>
      </c>
      <c r="AF57" s="77" t="str">
        <f>Regional.energy[[#This Row],[Region code]]&amp;"."&amp;Regional.energy[[#This Row],[Energy code]]</f>
        <v>G.FC.02</v>
      </c>
      <c r="AG57" s="77" t="str">
        <f>INDEX(Region.codes[Description],MATCH(Regional.energy[[#This Row],[Region code]],Region.codes[Code],0))&amp;" "&amp;INDEX(Energy.codes[Description],MATCH(Regional.energy[[#This Row],[Energy code]],Energy.codes[Code],0))</f>
        <v xml:space="preserve">Global Food producton </v>
      </c>
      <c r="AH57" s="77"/>
      <c r="AI57" s="77"/>
      <c r="AJ57" s="43"/>
      <c r="AL57" s="43"/>
      <c r="AN57" s="43"/>
      <c r="AO57" s="43"/>
      <c r="AP57" s="43"/>
      <c r="AQ57" s="43"/>
      <c r="BB57" s="43"/>
    </row>
    <row r="58" spans="5:55" s="26" customFormat="1" ht="12.75" customHeight="1">
      <c r="E58" s="43"/>
      <c r="F58" s="43"/>
      <c r="G58" s="43"/>
      <c r="H58" s="43"/>
      <c r="I58" s="43"/>
      <c r="J58" s="43"/>
      <c r="K58" s="43"/>
      <c r="L58" s="43"/>
      <c r="M58" s="43"/>
      <c r="N58" s="253" t="s">
        <v>2382</v>
      </c>
      <c r="O58" s="253" t="s">
        <v>2382</v>
      </c>
      <c r="P58" s="219" t="s">
        <v>51</v>
      </c>
      <c r="Q58" s="219"/>
      <c r="R58" s="43"/>
      <c r="S58" s="219" t="str">
        <f>Region.codes[Code]</f>
        <v>G</v>
      </c>
      <c r="T58" s="219" t="str">
        <f>Technology.codes[[#This Row],[Code]]</f>
        <v>ship.freight.domestic.H2</v>
      </c>
      <c r="U58" s="219" t="str">
        <f>S58&amp;"."&amp;Regional.Technologies[[#This Row],[Technology]]</f>
        <v>G.ship.freight.domestic.H2</v>
      </c>
      <c r="V58" s="219" t="str">
        <f>INDEX(Region.codes[Description],MATCH(S58,Region.codes[Code],0))&amp;" "&amp;INDEX(Technology.codes[Description],MATCH(Regional.Technologies[[#This Row],[Technology]],Technology.codes[Code],0))</f>
        <v>Global ship.freight.domestic.H2</v>
      </c>
      <c r="W58" s="43"/>
      <c r="X58" s="47" t="s">
        <v>555</v>
      </c>
      <c r="Y58" s="40" t="s">
        <v>283</v>
      </c>
      <c r="Z58" s="40" t="s">
        <v>284</v>
      </c>
      <c r="AA58" s="40" t="s">
        <v>245</v>
      </c>
      <c r="AB58" s="40"/>
      <c r="AC58" s="77"/>
      <c r="AD58" s="128" t="s">
        <v>360</v>
      </c>
      <c r="AE58" s="128" t="str">
        <f>Energy.codes[[#This Row],[Code]]</f>
        <v>L.01</v>
      </c>
      <c r="AF58" s="77" t="str">
        <f>Regional.energy[[#This Row],[Region code]]&amp;"."&amp;Regional.energy[[#This Row],[Energy code]]</f>
        <v>G.L.01</v>
      </c>
      <c r="AG58" s="77" t="str">
        <f>INDEX(Region.codes[Description],MATCH(Regional.energy[[#This Row],[Region code]],Region.codes[Code],0))&amp;" "&amp;INDEX(Energy.codes[Description],MATCH(Regional.energy[[#This Row],[Energy code]],Energy.codes[Code],0))</f>
        <v>Global Conversion losses</v>
      </c>
      <c r="AH58" s="77"/>
      <c r="AI58" s="77"/>
      <c r="AJ58" s="43"/>
      <c r="AL58" s="43"/>
      <c r="AN58" s="43"/>
      <c r="AO58" s="43"/>
      <c r="AP58" s="43"/>
      <c r="AQ58" s="43"/>
      <c r="BB58" s="43"/>
    </row>
    <row r="59" spans="5:55" s="26" customFormat="1" ht="12.75" customHeight="1">
      <c r="E59" s="43"/>
      <c r="F59" s="43"/>
      <c r="G59" s="43"/>
      <c r="H59" s="43"/>
      <c r="I59" s="43"/>
      <c r="J59" s="43"/>
      <c r="K59" s="43"/>
      <c r="L59" s="43"/>
      <c r="M59" s="43"/>
      <c r="N59" s="253" t="s">
        <v>2383</v>
      </c>
      <c r="O59" s="253" t="s">
        <v>2383</v>
      </c>
      <c r="P59" s="219" t="s">
        <v>51</v>
      </c>
      <c r="Q59" s="219"/>
      <c r="R59" s="43"/>
      <c r="S59" s="219" t="str">
        <f>Region.codes[Code]</f>
        <v>G</v>
      </c>
      <c r="T59" s="219" t="str">
        <f>Technology.codes[[#This Row],[Code]]</f>
        <v>heavy.truck.international.fuel</v>
      </c>
      <c r="U59" s="219" t="str">
        <f>S59&amp;"."&amp;Regional.Technologies[[#This Row],[Technology]]</f>
        <v>G.heavy.truck.international.fuel</v>
      </c>
      <c r="V59" s="219" t="str">
        <f>INDEX(Region.codes[Description],MATCH(S59,Region.codes[Code],0))&amp;" "&amp;INDEX(Technology.codes[Description],MATCH(Regional.Technologies[[#This Row],[Technology]],Technology.codes[Code],0))</f>
        <v>Global heavy.truck.international.fuel</v>
      </c>
      <c r="W59" s="43"/>
      <c r="X59" s="47" t="s">
        <v>556</v>
      </c>
      <c r="Y59" s="40" t="s">
        <v>283</v>
      </c>
      <c r="Z59" s="40" t="s">
        <v>284</v>
      </c>
      <c r="AA59" s="40" t="s">
        <v>246</v>
      </c>
      <c r="AB59" s="40"/>
      <c r="AC59" s="77"/>
      <c r="AD59" s="128" t="s">
        <v>360</v>
      </c>
      <c r="AE59" s="128" t="str">
        <f>Energy.codes[[#This Row],[Code]]</f>
        <v>L.02</v>
      </c>
      <c r="AF59" s="77" t="str">
        <f>Regional.energy[[#This Row],[Region code]]&amp;"."&amp;Regional.energy[[#This Row],[Energy code]]</f>
        <v>G.L.02</v>
      </c>
      <c r="AG59" s="77" t="str">
        <f>INDEX(Region.codes[Description],MATCH(Regional.energy[[#This Row],[Region code]],Region.codes[Code],0))&amp;" "&amp;INDEX(Energy.codes[Description],MATCH(Regional.energy[[#This Row],[Energy code]],Energy.codes[Code],0))</f>
        <v>Global Distribution losses and own use</v>
      </c>
      <c r="AH59" s="77"/>
      <c r="AI59" s="77"/>
      <c r="AJ59" s="43"/>
      <c r="AL59" s="43"/>
      <c r="AN59" s="43"/>
      <c r="AO59" s="43"/>
      <c r="AP59" s="43"/>
      <c r="AQ59" s="43"/>
      <c r="BB59" s="43"/>
    </row>
    <row r="60" spans="5:55" s="26" customFormat="1" ht="12.75" customHeight="1">
      <c r="E60" s="43"/>
      <c r="F60" s="43"/>
      <c r="G60" s="43"/>
      <c r="H60" s="43"/>
      <c r="I60" s="43"/>
      <c r="J60" s="43"/>
      <c r="K60" s="43"/>
      <c r="L60" s="43"/>
      <c r="M60" s="43"/>
      <c r="N60" s="253" t="s">
        <v>2384</v>
      </c>
      <c r="O60" s="253" t="s">
        <v>2384</v>
      </c>
      <c r="P60" s="219" t="s">
        <v>51</v>
      </c>
      <c r="Q60" s="219"/>
      <c r="R60" s="43"/>
      <c r="S60" s="219" t="str">
        <f>Region.codes[Code]</f>
        <v>G</v>
      </c>
      <c r="T60" s="219" t="str">
        <f>Technology.codes[[#This Row],[Code]]</f>
        <v>heavy.truck.international.PH</v>
      </c>
      <c r="U60" s="219" t="str">
        <f>S60&amp;"."&amp;Regional.Technologies[[#This Row],[Technology]]</f>
        <v>G.heavy.truck.international.PH</v>
      </c>
      <c r="V60" s="219" t="str">
        <f>INDEX(Region.codes[Description],MATCH(S60,Region.codes[Code],0))&amp;" "&amp;INDEX(Technology.codes[Description],MATCH(Regional.Technologies[[#This Row],[Technology]],Technology.codes[Code],0))</f>
        <v>Global heavy.truck.international.PH</v>
      </c>
      <c r="W60" s="43"/>
      <c r="X60" s="135" t="s">
        <v>557</v>
      </c>
      <c r="Y60" s="136" t="s">
        <v>283</v>
      </c>
      <c r="Z60" s="136" t="s">
        <v>247</v>
      </c>
      <c r="AA60" s="136" t="s">
        <v>247</v>
      </c>
      <c r="AB60" s="136"/>
      <c r="AC60" s="77"/>
      <c r="AD60" s="128" t="s">
        <v>360</v>
      </c>
      <c r="AE60" s="128" t="str">
        <f>Energy.codes[[#This Row],[Code]]</f>
        <v>U.01</v>
      </c>
      <c r="AF60" s="77" t="str">
        <f>Regional.energy[[#This Row],[Region code]]&amp;"."&amp;Regional.energy[[#This Row],[Energy code]]</f>
        <v>G.U.01</v>
      </c>
      <c r="AG60" s="77" t="str">
        <f>INDEX(Region.codes[Description],MATCH(Regional.energy[[#This Row],[Region code]],Region.codes[Code],0))&amp;" "&amp;INDEX(Energy.codes[Description],MATCH(Regional.energy[[#This Row],[Energy code]],Energy.codes[Code],0))</f>
        <v>Global Unallocated</v>
      </c>
      <c r="AH60" s="77"/>
      <c r="AI60" s="77"/>
      <c r="AJ60" s="43"/>
      <c r="AL60" s="43"/>
      <c r="AN60" s="43"/>
      <c r="AO60" s="43"/>
      <c r="AP60" s="43"/>
      <c r="AQ60" s="43"/>
      <c r="BB60" s="43"/>
    </row>
    <row r="61" spans="5:55" s="26" customFormat="1" ht="12.75" customHeight="1">
      <c r="E61" s="43"/>
      <c r="F61" s="43"/>
      <c r="G61" s="43"/>
      <c r="H61" s="43"/>
      <c r="I61" s="43"/>
      <c r="J61" s="43"/>
      <c r="K61" s="43"/>
      <c r="L61" s="43"/>
      <c r="M61" s="43"/>
      <c r="N61" s="253" t="s">
        <v>2385</v>
      </c>
      <c r="O61" s="253" t="s">
        <v>2385</v>
      </c>
      <c r="P61" s="219" t="s">
        <v>51</v>
      </c>
      <c r="Q61" s="219"/>
      <c r="R61" s="43"/>
      <c r="S61" s="219" t="str">
        <f>Region.codes[Code]</f>
        <v>G</v>
      </c>
      <c r="T61" s="219" t="str">
        <f>Technology.codes[[#This Row],[Code]]</f>
        <v>heavy.truck.international.EV</v>
      </c>
      <c r="U61" s="219" t="str">
        <f>S61&amp;"."&amp;Regional.Technologies[[#This Row],[Technology]]</f>
        <v>G.heavy.truck.international.EV</v>
      </c>
      <c r="V61" s="219" t="str">
        <f>INDEX(Region.codes[Description],MATCH(S61,Region.codes[Code],0))&amp;" "&amp;INDEX(Technology.codes[Description],MATCH(Regional.Technologies[[#This Row],[Technology]],Technology.codes[Code],0))</f>
        <v>Global heavy.truck.international.EV</v>
      </c>
      <c r="W61" s="43"/>
      <c r="X61" s="47" t="s">
        <v>558</v>
      </c>
      <c r="Y61" s="40" t="s">
        <v>331</v>
      </c>
      <c r="Z61" s="40" t="s">
        <v>332</v>
      </c>
      <c r="AA61" s="40" t="s">
        <v>364</v>
      </c>
      <c r="AB61" s="40"/>
      <c r="AC61" s="77"/>
      <c r="AD61" s="128" t="s">
        <v>360</v>
      </c>
      <c r="AE61" s="128" t="str">
        <f>Energy.codes[[#This Row],[Code]]</f>
        <v>A.01</v>
      </c>
      <c r="AF61" s="77" t="str">
        <f>Regional.energy[[#This Row],[Region code]]&amp;"."&amp;Regional.energy[[#This Row],[Energy code]]</f>
        <v>G.A.01</v>
      </c>
      <c r="AG61" s="77" t="str">
        <f>INDEX(Region.codes[Description],MATCH(Regional.energy[[#This Row],[Region code]],Region.codes[Code],0))&amp;" "&amp;INDEX(Energy.codes[Description],MATCH(Regional.energy[[#This Row],[Energy code]],Energy.codes[Code],0))</f>
        <v>Global Animal's energy usage</v>
      </c>
      <c r="AH61" s="77"/>
      <c r="AI61" s="77"/>
      <c r="AJ61" s="43"/>
      <c r="AL61" s="43"/>
      <c r="AN61" s="43"/>
      <c r="AO61" s="43"/>
      <c r="AP61" s="43"/>
      <c r="AQ61" s="43"/>
      <c r="BB61" s="43"/>
    </row>
    <row r="62" spans="5:55" s="26" customFormat="1" ht="12.75" customHeight="1">
      <c r="E62" s="43"/>
      <c r="F62" s="43"/>
      <c r="G62" s="43"/>
      <c r="H62" s="43"/>
      <c r="I62" s="43"/>
      <c r="J62" s="43"/>
      <c r="K62" s="43"/>
      <c r="L62" s="43"/>
      <c r="M62" s="43"/>
      <c r="N62" s="253" t="s">
        <v>2386</v>
      </c>
      <c r="O62" s="253" t="s">
        <v>2386</v>
      </c>
      <c r="P62" s="219" t="s">
        <v>51</v>
      </c>
      <c r="Q62" s="219"/>
      <c r="R62" s="44"/>
      <c r="S62" s="219" t="str">
        <f>Region.codes[Code]</f>
        <v>G</v>
      </c>
      <c r="T62" s="219" t="str">
        <f>Technology.codes[[#This Row],[Code]]</f>
        <v>heavy.truck.international.H2</v>
      </c>
      <c r="U62" s="219" t="str">
        <f>S62&amp;"."&amp;Regional.Technologies[[#This Row],[Technology]]</f>
        <v>G.heavy.truck.international.H2</v>
      </c>
      <c r="V62" s="219" t="str">
        <f>INDEX(Region.codes[Description],MATCH(S62,Region.codes[Code],0))&amp;" "&amp;INDEX(Technology.codes[Description],MATCH(Regional.Technologies[[#This Row],[Technology]],Technology.codes[Code],0))</f>
        <v>Global heavy.truck.international.H2</v>
      </c>
      <c r="W62" s="43"/>
      <c r="X62" s="47" t="s">
        <v>559</v>
      </c>
      <c r="Y62" s="40" t="s">
        <v>331</v>
      </c>
      <c r="Z62" s="40" t="s">
        <v>332</v>
      </c>
      <c r="AA62" s="40" t="s">
        <v>365</v>
      </c>
      <c r="AB62" s="40"/>
      <c r="AC62" s="40"/>
      <c r="AD62" s="128" t="s">
        <v>360</v>
      </c>
      <c r="AE62" s="128" t="str">
        <f>Energy.codes[[#This Row],[Code]]</f>
        <v>A.02</v>
      </c>
      <c r="AF62" s="77" t="str">
        <f>Regional.energy[[#This Row],[Region code]]&amp;"."&amp;Regional.energy[[#This Row],[Energy code]]</f>
        <v>G.A.02</v>
      </c>
      <c r="AG62" s="77" t="str">
        <f>INDEX(Region.codes[Description],MATCH(Regional.energy[[#This Row],[Region code]],Region.codes[Code],0))&amp;" "&amp;INDEX(Energy.codes[Description],MATCH(Regional.energy[[#This Row],[Energy code]],Energy.codes[Code],0))</f>
        <v>Global Sea area</v>
      </c>
      <c r="AH62" s="77"/>
      <c r="AI62" s="77"/>
      <c r="AJ62" s="43"/>
      <c r="AL62" s="43"/>
      <c r="AN62" s="43"/>
      <c r="AO62" s="43"/>
      <c r="AP62" s="43"/>
      <c r="AQ62" s="43"/>
      <c r="BC62" s="43"/>
    </row>
    <row r="63" spans="5:55" s="26" customFormat="1" ht="12.75" customHeight="1">
      <c r="E63" s="43"/>
      <c r="F63" s="43"/>
      <c r="G63" s="43"/>
      <c r="H63" s="43"/>
      <c r="I63" s="43"/>
      <c r="J63" s="43"/>
      <c r="K63" s="43"/>
      <c r="L63" s="43"/>
      <c r="M63" s="43"/>
      <c r="N63" s="253" t="s">
        <v>2387</v>
      </c>
      <c r="O63" s="253" t="s">
        <v>2387</v>
      </c>
      <c r="P63" s="219" t="s">
        <v>51</v>
      </c>
      <c r="Q63" s="219"/>
      <c r="R63" s="43"/>
      <c r="S63" s="219" t="str">
        <f>Region.codes[Code]</f>
        <v>G</v>
      </c>
      <c r="T63" s="219" t="str">
        <f>Technology.codes[[#This Row],[Code]]</f>
        <v>train.freight.international.fuel</v>
      </c>
      <c r="U63" s="219" t="str">
        <f>S63&amp;"."&amp;Regional.Technologies[[#This Row],[Technology]]</f>
        <v>G.train.freight.international.fuel</v>
      </c>
      <c r="V63" s="219" t="str">
        <f>INDEX(Region.codes[Description],MATCH(S63,Region.codes[Code],0))&amp;" "&amp;INDEX(Technology.codes[Description],MATCH(Regional.Technologies[[#This Row],[Technology]],Technology.codes[Code],0))</f>
        <v>Global train.freight.international.fuel</v>
      </c>
      <c r="W63" s="43"/>
      <c r="X63" s="47" t="s">
        <v>560</v>
      </c>
      <c r="Y63" s="40" t="s">
        <v>331</v>
      </c>
      <c r="Z63" s="40" t="s">
        <v>332</v>
      </c>
      <c r="AA63" s="40" t="s">
        <v>333</v>
      </c>
      <c r="AB63" s="40"/>
      <c r="AC63" s="40"/>
      <c r="AD63" s="128" t="s">
        <v>360</v>
      </c>
      <c r="AE63" s="128" t="str">
        <f>Energy.codes[[#This Row],[Code]]</f>
        <v>A.03</v>
      </c>
      <c r="AF63" s="77" t="str">
        <f>Regional.energy[[#This Row],[Region code]]&amp;"."&amp;Regional.energy[[#This Row],[Energy code]]</f>
        <v>G.A.03</v>
      </c>
      <c r="AG63" s="77" t="str">
        <f>INDEX(Region.codes[Description],MATCH(Regional.energy[[#This Row],[Region code]],Region.codes[Code],0))&amp;" "&amp;INDEX(Energy.codes[Description],MATCH(Regional.energy[[#This Row],[Energy code]],Energy.codes[Code],0))</f>
        <v>Global Length of wave front</v>
      </c>
      <c r="AH63" s="77"/>
      <c r="AI63" s="77"/>
      <c r="AJ63" s="43"/>
      <c r="AL63" s="43"/>
      <c r="AN63" s="43"/>
      <c r="AO63" s="43"/>
      <c r="AP63" s="43"/>
      <c r="AQ63" s="43"/>
      <c r="BC63" s="43"/>
    </row>
    <row r="64" spans="5:55" s="26" customFormat="1" ht="12.75" customHeight="1">
      <c r="E64" s="43"/>
      <c r="F64" s="43"/>
      <c r="G64" s="43"/>
      <c r="H64" s="43"/>
      <c r="I64" s="43"/>
      <c r="J64" s="43"/>
      <c r="K64" s="43"/>
      <c r="L64" s="43"/>
      <c r="M64" s="43"/>
      <c r="N64" s="253" t="s">
        <v>2388</v>
      </c>
      <c r="O64" s="253" t="s">
        <v>2388</v>
      </c>
      <c r="P64" s="219" t="s">
        <v>51</v>
      </c>
      <c r="Q64" s="219"/>
      <c r="R64" s="77"/>
      <c r="S64" s="219" t="str">
        <f>Region.codes[Code]</f>
        <v>G</v>
      </c>
      <c r="T64" s="219" t="str">
        <f>Technology.codes[[#This Row],[Code]]</f>
        <v>train.freight.international.elec</v>
      </c>
      <c r="U64" s="219" t="str">
        <f>S64&amp;"."&amp;Regional.Technologies[[#This Row],[Technology]]</f>
        <v>G.train.freight.international.elec</v>
      </c>
      <c r="V64" s="219" t="str">
        <f>INDEX(Region.codes[Description],MATCH(S64,Region.codes[Code],0))&amp;" "&amp;INDEX(Technology.codes[Description],MATCH(Regional.Technologies[[#This Row],[Technology]],Technology.codes[Code],0))</f>
        <v>Global train.freight.international.elec</v>
      </c>
      <c r="W64" s="43"/>
      <c r="X64" s="47" t="s">
        <v>561</v>
      </c>
      <c r="Y64" s="40" t="s">
        <v>331</v>
      </c>
      <c r="Z64" s="40" t="s">
        <v>334</v>
      </c>
      <c r="AA64" s="40" t="s">
        <v>335</v>
      </c>
      <c r="AB64" s="40"/>
      <c r="AC64" s="40"/>
      <c r="AD64" s="128" t="s">
        <v>360</v>
      </c>
      <c r="AE64" s="128" t="str">
        <f>Energy.codes[[#This Row],[Code]]</f>
        <v>I.01</v>
      </c>
      <c r="AF64" s="77" t="str">
        <f>Regional.energy[[#This Row],[Region code]]&amp;"."&amp;Regional.energy[[#This Row],[Energy code]]</f>
        <v>G.I.01</v>
      </c>
      <c r="AG64" s="77" t="str">
        <f>INDEX(Region.codes[Description],MATCH(Regional.energy[[#This Row],[Region code]],Region.codes[Code],0))&amp;" "&amp;INDEX(Energy.codes[Description],MATCH(Regional.energy[[#This Row],[Energy code]],Energy.codes[Code],0))</f>
        <v xml:space="preserve">Global Installed Capacity </v>
      </c>
      <c r="AH64" s="77"/>
      <c r="AI64" s="77"/>
      <c r="AK64" s="43"/>
      <c r="AL64" s="43"/>
      <c r="AN64" s="43"/>
      <c r="AO64" s="43"/>
      <c r="AP64" s="43"/>
      <c r="AQ64" s="43"/>
      <c r="BC64" s="43"/>
    </row>
    <row r="65" spans="5:55" s="26" customFormat="1" ht="12.75" customHeight="1">
      <c r="E65" s="43"/>
      <c r="F65" s="43"/>
      <c r="G65" s="43"/>
      <c r="H65" s="43"/>
      <c r="I65" s="43"/>
      <c r="J65" s="43"/>
      <c r="K65" s="43"/>
      <c r="L65" s="43"/>
      <c r="M65" s="43"/>
      <c r="N65" s="253" t="s">
        <v>2389</v>
      </c>
      <c r="O65" s="253" t="s">
        <v>2389</v>
      </c>
      <c r="P65" s="219" t="s">
        <v>51</v>
      </c>
      <c r="Q65" s="219"/>
      <c r="R65" s="77"/>
      <c r="S65" s="219" t="str">
        <f>Region.codes[Code]</f>
        <v>G</v>
      </c>
      <c r="T65" s="219" t="str">
        <f>Technology.codes[[#This Row],[Code]]</f>
        <v>ship.freight.international.fuel</v>
      </c>
      <c r="U65" s="219" t="str">
        <f>S65&amp;"."&amp;Regional.Technologies[[#This Row],[Technology]]</f>
        <v>G.ship.freight.international.fuel</v>
      </c>
      <c r="V65" s="219" t="str">
        <f>INDEX(Region.codes[Description],MATCH(S65,Region.codes[Code],0))&amp;" "&amp;INDEX(Technology.codes[Description],MATCH(Regional.Technologies[[#This Row],[Technology]],Technology.codes[Code],0))</f>
        <v>Global ship.freight.international.fuel</v>
      </c>
      <c r="W65" s="43"/>
      <c r="X65" s="47" t="s">
        <v>562</v>
      </c>
      <c r="Y65" s="40" t="s">
        <v>331</v>
      </c>
      <c r="Z65" s="40" t="s">
        <v>334</v>
      </c>
      <c r="AA65" s="40" t="s">
        <v>275</v>
      </c>
      <c r="AB65" s="40"/>
      <c r="AC65" s="40"/>
      <c r="AD65" s="128" t="s">
        <v>360</v>
      </c>
      <c r="AE65" s="128" t="str">
        <f>Energy.codes[[#This Row],[Code]]</f>
        <v>I.02</v>
      </c>
      <c r="AF65" s="77" t="str">
        <f>Regional.energy[[#This Row],[Region code]]&amp;"."&amp;Regional.energy[[#This Row],[Energy code]]</f>
        <v>G.I.02</v>
      </c>
      <c r="AG65" s="77" t="str">
        <f>INDEX(Region.codes[Description],MATCH(Regional.energy[[#This Row],[Region code]],Region.codes[Code],0))&amp;" "&amp;INDEX(Energy.codes[Description],MATCH(Regional.energy[[#This Row],[Energy code]],Energy.codes[Code],0))</f>
        <v>Global Load factor</v>
      </c>
      <c r="AH65" s="77"/>
      <c r="AI65" s="77"/>
      <c r="AK65" s="43"/>
      <c r="AL65" s="43"/>
      <c r="AN65" s="43"/>
      <c r="AO65" s="43"/>
      <c r="AP65" s="43"/>
      <c r="AQ65" s="43"/>
      <c r="BC65" s="43"/>
    </row>
    <row r="66" spans="5:55" s="26" customFormat="1" ht="12.75" customHeight="1">
      <c r="E66" s="43"/>
      <c r="F66" s="43"/>
      <c r="G66" s="43"/>
      <c r="H66" s="43"/>
      <c r="I66" s="43"/>
      <c r="J66" s="43"/>
      <c r="K66" s="43"/>
      <c r="L66" s="43"/>
      <c r="M66" s="43"/>
      <c r="N66" s="253" t="s">
        <v>2390</v>
      </c>
      <c r="O66" s="253" t="s">
        <v>2390</v>
      </c>
      <c r="P66" s="219" t="s">
        <v>51</v>
      </c>
      <c r="Q66" s="219"/>
      <c r="R66" s="77"/>
      <c r="S66" s="219" t="str">
        <f>Region.codes[Code]</f>
        <v>G</v>
      </c>
      <c r="T66" s="219" t="str">
        <f>Technology.codes[[#This Row],[Code]]</f>
        <v>ship.freight.international.H2</v>
      </c>
      <c r="U66" s="219" t="str">
        <f>S66&amp;"."&amp;Regional.Technologies[[#This Row],[Technology]]</f>
        <v>G.ship.freight.international.H2</v>
      </c>
      <c r="V66" s="219" t="str">
        <f>INDEX(Region.codes[Description],MATCH(S66,Region.codes[Code],0))&amp;" "&amp;INDEX(Technology.codes[Description],MATCH(Regional.Technologies[[#This Row],[Technology]],Technology.codes[Code],0))</f>
        <v>Global ship.freight.international.H2</v>
      </c>
      <c r="W66" s="43"/>
      <c r="X66" s="40" t="s">
        <v>563</v>
      </c>
      <c r="Y66" s="40" t="s">
        <v>331</v>
      </c>
      <c r="Z66" s="40" t="s">
        <v>334</v>
      </c>
      <c r="AA66" s="40" t="s">
        <v>334</v>
      </c>
      <c r="AB66" s="40"/>
      <c r="AC66" s="40"/>
      <c r="AD66" s="128" t="s">
        <v>360</v>
      </c>
      <c r="AE66" s="128" t="str">
        <f>Energy.codes[[#This Row],[Code]]</f>
        <v>I.03</v>
      </c>
      <c r="AF66" s="77" t="str">
        <f>Regional.energy[[#This Row],[Region code]]&amp;"."&amp;Regional.energy[[#This Row],[Energy code]]</f>
        <v>G.I.03</v>
      </c>
      <c r="AG66" s="77" t="str">
        <f>INDEX(Region.codes[Description],MATCH(Regional.energy[[#This Row],[Region code]],Region.codes[Code],0))&amp;" "&amp;INDEX(Energy.codes[Description],MATCH(Regional.energy[[#This Row],[Energy code]],Energy.codes[Code],0))</f>
        <v>Global Installed Capacity</v>
      </c>
      <c r="AH66" s="77"/>
      <c r="AI66" s="77"/>
      <c r="AK66" s="43"/>
      <c r="AL66" s="43"/>
      <c r="AN66" s="43"/>
      <c r="AO66" s="43"/>
      <c r="AP66" s="43"/>
      <c r="AQ66" s="43"/>
      <c r="BC66" s="43"/>
    </row>
    <row r="67" spans="5:55" s="26" customFormat="1" ht="12.75" customHeight="1">
      <c r="E67" s="43"/>
      <c r="F67" s="43"/>
      <c r="G67" s="43"/>
      <c r="H67" s="43"/>
      <c r="I67" s="43"/>
      <c r="J67" s="43"/>
      <c r="K67" s="43"/>
      <c r="L67" s="43"/>
      <c r="M67" s="44"/>
      <c r="N67" s="253" t="s">
        <v>2391</v>
      </c>
      <c r="O67" s="253" t="s">
        <v>2391</v>
      </c>
      <c r="P67" s="219" t="s">
        <v>51</v>
      </c>
      <c r="Q67" s="219"/>
      <c r="R67" s="77"/>
      <c r="S67" s="219" t="str">
        <f>Region.codes[Code]</f>
        <v>G</v>
      </c>
      <c r="T67" s="219" t="str">
        <f>Technology.codes[[#This Row],[Code]]</f>
        <v>plane.freight.international.fuel</v>
      </c>
      <c r="U67" s="219" t="str">
        <f>S67&amp;"."&amp;Regional.Technologies[[#This Row],[Technology]]</f>
        <v>G.plane.freight.international.fuel</v>
      </c>
      <c r="V67" s="219" t="str">
        <f>INDEX(Region.codes[Description],MATCH(S67,Region.codes[Code],0))&amp;" "&amp;INDEX(Technology.codes[Description],MATCH(Regional.Technologies[[#This Row],[Technology]],Technology.codes[Code],0))</f>
        <v>Global plane.freight.international.fuel</v>
      </c>
      <c r="W67" s="43"/>
      <c r="X67" s="40" t="s">
        <v>564</v>
      </c>
      <c r="Y67" s="40" t="s">
        <v>331</v>
      </c>
      <c r="Z67" s="40" t="s">
        <v>283</v>
      </c>
      <c r="AA67" s="40" t="s">
        <v>336</v>
      </c>
      <c r="AB67" s="40"/>
      <c r="AC67" s="40"/>
      <c r="AD67" s="128" t="s">
        <v>360</v>
      </c>
      <c r="AE67" s="128" t="str">
        <f>Energy.codes[[#This Row],[Code]]</f>
        <v>BA.01</v>
      </c>
      <c r="AF67" s="77" t="str">
        <f>Regional.energy[[#This Row],[Region code]]&amp;"."&amp;Regional.energy[[#This Row],[Energy code]]</f>
        <v>G.BA.01</v>
      </c>
      <c r="AG67" s="77" t="str">
        <f>INDEX(Region.codes[Description],MATCH(Regional.energy[[#This Row],[Region code]],Region.codes[Code],0))&amp;" "&amp;INDEX(Energy.codes[Description],MATCH(Regional.energy[[#This Row],[Energy code]],Energy.codes[Code],0))</f>
        <v>Global Balancing capacity used</v>
      </c>
      <c r="AH67" s="77"/>
      <c r="AI67" s="77"/>
      <c r="AK67" s="43"/>
      <c r="AL67" s="43"/>
      <c r="AN67" s="43"/>
      <c r="AO67" s="43"/>
      <c r="AP67" s="43"/>
      <c r="AQ67" s="43"/>
      <c r="BC67" s="43"/>
    </row>
    <row r="68" spans="5:55" s="26" customFormat="1" ht="12.75" customHeight="1">
      <c r="E68" s="43"/>
      <c r="F68" s="43"/>
      <c r="G68" s="43"/>
      <c r="H68" s="43"/>
      <c r="I68" s="43"/>
      <c r="J68" s="43"/>
      <c r="K68" s="43"/>
      <c r="L68" s="43"/>
      <c r="M68" s="44"/>
      <c r="N68" s="253" t="s">
        <v>2392</v>
      </c>
      <c r="O68" s="253" t="s">
        <v>2392</v>
      </c>
      <c r="P68" s="219" t="s">
        <v>51</v>
      </c>
      <c r="Q68" s="219"/>
      <c r="R68" s="77"/>
      <c r="S68" s="219" t="str">
        <f>Region.codes[Code]</f>
        <v>G</v>
      </c>
      <c r="T68" s="219" t="str">
        <f>Technology.codes[[#This Row],[Code]]</f>
        <v>plane.freight.international.H2</v>
      </c>
      <c r="U68" s="219" t="str">
        <f>S68&amp;"."&amp;Regional.Technologies[[#This Row],[Technology]]</f>
        <v>G.plane.freight.international.H2</v>
      </c>
      <c r="V68" s="219" t="str">
        <f>INDEX(Region.codes[Description],MATCH(S68,Region.codes[Code],0))&amp;" "&amp;INDEX(Technology.codes[Description],MATCH(Regional.Technologies[[#This Row],[Technology]],Technology.codes[Code],0))</f>
        <v>Global plane.freight.international.H2</v>
      </c>
      <c r="W68" s="43"/>
      <c r="X68" s="40" t="s">
        <v>565</v>
      </c>
      <c r="Y68" s="40" t="s">
        <v>331</v>
      </c>
      <c r="Z68" s="40" t="s">
        <v>283</v>
      </c>
      <c r="AA68" s="40" t="s">
        <v>337</v>
      </c>
      <c r="AB68" s="40"/>
      <c r="AC68" s="40"/>
      <c r="AD68" s="128" t="s">
        <v>360</v>
      </c>
      <c r="AE68" s="128" t="str">
        <f>Energy.codes[[#This Row],[Code]]</f>
        <v>BA.02</v>
      </c>
      <c r="AF68" s="77" t="str">
        <f>Regional.energy[[#This Row],[Region code]]&amp;"."&amp;Regional.energy[[#This Row],[Energy code]]</f>
        <v>G.BA.02</v>
      </c>
      <c r="AG68" s="77" t="str">
        <f>INDEX(Region.codes[Description],MATCH(Regional.energy[[#This Row],[Region code]],Region.codes[Code],0))&amp;" "&amp;INDEX(Energy.codes[Description],MATCH(Regional.energy[[#This Row],[Energy code]],Energy.codes[Code],0))</f>
        <v>Global Shiftable electricity demand</v>
      </c>
      <c r="AH68" s="77"/>
      <c r="AI68" s="77"/>
      <c r="AK68" s="43"/>
      <c r="AL68" s="43"/>
      <c r="AN68" s="43"/>
      <c r="AO68" s="43"/>
      <c r="AP68" s="43"/>
      <c r="AQ68" s="43"/>
      <c r="BC68" s="43"/>
    </row>
    <row r="69" spans="5:55" s="26" customFormat="1" ht="12.75" customHeight="1">
      <c r="E69" s="43"/>
      <c r="F69" s="43"/>
      <c r="G69" s="43"/>
      <c r="H69" s="43"/>
      <c r="I69" s="43"/>
      <c r="J69" s="43"/>
      <c r="K69" s="43"/>
      <c r="L69" s="43"/>
      <c r="M69" s="44"/>
      <c r="N69" s="219" t="s">
        <v>714</v>
      </c>
      <c r="O69" s="165" t="s">
        <v>473</v>
      </c>
      <c r="P69" s="165" t="s">
        <v>323</v>
      </c>
      <c r="Q69" s="165"/>
      <c r="R69" s="77"/>
      <c r="S69" s="219" t="str">
        <f>Region.codes[Code]</f>
        <v>G</v>
      </c>
      <c r="T69" s="219" t="str">
        <f>Technology.codes[[#This Row],[Code]]</f>
        <v>solid.boiler.heat</v>
      </c>
      <c r="U69" s="219" t="str">
        <f>S69&amp;"."&amp;Regional.Technologies[[#This Row],[Technology]]</f>
        <v>G.solid.boiler.heat</v>
      </c>
      <c r="V69" s="219" t="str">
        <f>INDEX(Region.codes[Description],MATCH(S69,Region.codes[Code],0))&amp;" "&amp;INDEX(Technology.codes[Description],MATCH(Regional.Technologies[[#This Row],[Technology]],Technology.codes[Code],0))</f>
        <v>Global Solid fuel boiler</v>
      </c>
      <c r="W69" s="43"/>
      <c r="X69" s="40" t="s">
        <v>566</v>
      </c>
      <c r="Y69" s="40" t="s">
        <v>331</v>
      </c>
      <c r="Z69" s="40" t="s">
        <v>283</v>
      </c>
      <c r="AA69" s="40" t="s">
        <v>338</v>
      </c>
      <c r="AB69" s="40"/>
      <c r="AC69" s="40"/>
      <c r="AD69" s="128" t="s">
        <v>360</v>
      </c>
      <c r="AE69" s="128" t="str">
        <f>Energy.codes[[#This Row],[Code]]</f>
        <v>BA.03</v>
      </c>
      <c r="AF69" s="77" t="str">
        <f>Regional.energy[[#This Row],[Region code]]&amp;"."&amp;Regional.energy[[#This Row],[Energy code]]</f>
        <v>G.BA.03</v>
      </c>
      <c r="AG69" s="77" t="str">
        <f>INDEX(Region.codes[Description],MATCH(Regional.energy[[#This Row],[Region code]],Region.codes[Code],0))&amp;" "&amp;INDEX(Energy.codes[Description],MATCH(Regional.energy[[#This Row],[Energy code]],Energy.codes[Code],0))</f>
        <v>Global Additional electricity at peak</v>
      </c>
      <c r="AH69" s="77"/>
      <c r="AI69" s="77"/>
      <c r="AK69" s="43"/>
      <c r="AL69" s="43"/>
      <c r="AN69" s="43"/>
      <c r="AO69" s="43"/>
      <c r="AP69" s="43"/>
      <c r="AQ69" s="43"/>
      <c r="BC69" s="43"/>
    </row>
    <row r="70" spans="5:55" s="26" customFormat="1" ht="12.75" customHeight="1">
      <c r="E70" s="43"/>
      <c r="F70" s="43"/>
      <c r="G70" s="43"/>
      <c r="H70" s="43"/>
      <c r="I70" s="43"/>
      <c r="J70" s="43"/>
      <c r="K70" s="43"/>
      <c r="L70" s="43"/>
      <c r="M70" s="44"/>
      <c r="N70" s="253" t="s">
        <v>715</v>
      </c>
      <c r="O70" s="165" t="s">
        <v>474</v>
      </c>
      <c r="P70" s="165" t="s">
        <v>323</v>
      </c>
      <c r="Q70" s="165"/>
      <c r="R70" s="77"/>
      <c r="S70" s="219" t="str">
        <f>Region.codes[Code]</f>
        <v>G</v>
      </c>
      <c r="T70" s="219" t="str">
        <f>Technology.codes[[#This Row],[Code]]</f>
        <v>liquid.boiler.heat</v>
      </c>
      <c r="U70" s="219" t="str">
        <f>S70&amp;"."&amp;Regional.Technologies[[#This Row],[Technology]]</f>
        <v>G.liquid.boiler.heat</v>
      </c>
      <c r="V70" s="219" t="str">
        <f>INDEX(Region.codes[Description],MATCH(S70,Region.codes[Code],0))&amp;" "&amp;INDEX(Technology.codes[Description],MATCH(Regional.Technologies[[#This Row],[Technology]],Technology.codes[Code],0))</f>
        <v>Global Liquid fuel boiler</v>
      </c>
      <c r="W70" s="43"/>
      <c r="X70" s="40" t="s">
        <v>567</v>
      </c>
      <c r="Y70" s="40" t="s">
        <v>331</v>
      </c>
      <c r="Z70" s="40" t="s">
        <v>283</v>
      </c>
      <c r="AA70" s="40" t="s">
        <v>339</v>
      </c>
      <c r="AB70" s="40"/>
      <c r="AC70" s="40"/>
      <c r="AD70" s="128" t="s">
        <v>360</v>
      </c>
      <c r="AE70" s="128" t="str">
        <f>Energy.codes[[#This Row],[Code]]</f>
        <v>BA.04</v>
      </c>
      <c r="AF70" s="77" t="str">
        <f>Regional.energy[[#This Row],[Region code]]&amp;"."&amp;Regional.energy[[#This Row],[Energy code]]</f>
        <v>G.BA.04</v>
      </c>
      <c r="AG70" s="77" t="str">
        <f>INDEX(Region.codes[Description],MATCH(Regional.energy[[#This Row],[Region code]],Region.codes[Code],0))&amp;" "&amp;INDEX(Energy.codes[Description],MATCH(Regional.energy[[#This Row],[Energy code]],Energy.codes[Code],0))</f>
        <v>Global Temperature related additional electricity demand</v>
      </c>
      <c r="AH70" s="77"/>
      <c r="AI70" s="77"/>
      <c r="AK70" s="43"/>
      <c r="AL70" s="43"/>
      <c r="AN70" s="43"/>
      <c r="AO70" s="43"/>
      <c r="AP70" s="43"/>
      <c r="AQ70" s="43"/>
      <c r="BC70" s="43"/>
    </row>
    <row r="71" spans="5:55" s="26" customFormat="1" ht="12.75" customHeight="1">
      <c r="E71" s="43"/>
      <c r="F71" s="43"/>
      <c r="G71" s="43"/>
      <c r="H71" s="43"/>
      <c r="I71" s="43"/>
      <c r="J71" s="43"/>
      <c r="K71" s="43"/>
      <c r="L71" s="43"/>
      <c r="M71" s="44"/>
      <c r="N71" s="253" t="s">
        <v>716</v>
      </c>
      <c r="O71" s="165" t="s">
        <v>475</v>
      </c>
      <c r="P71" s="165" t="s">
        <v>323</v>
      </c>
      <c r="Q71" s="165"/>
      <c r="R71" s="77"/>
      <c r="S71" s="219" t="str">
        <f>Region.codes[Code]</f>
        <v>G</v>
      </c>
      <c r="T71" s="219" t="str">
        <f>Technology.codes[[#This Row],[Code]]</f>
        <v>gas.boiler.heat</v>
      </c>
      <c r="U71" s="219" t="str">
        <f>S71&amp;"."&amp;Regional.Technologies[[#This Row],[Technology]]</f>
        <v>G.gas.boiler.heat</v>
      </c>
      <c r="V71" s="219" t="str">
        <f>INDEX(Region.codes[Description],MATCH(S71,Region.codes[Code],0))&amp;" "&amp;INDEX(Technology.codes[Description],MATCH(Regional.Technologies[[#This Row],[Technology]],Technology.codes[Code],0))</f>
        <v>Global Gaseous fuel boiler</v>
      </c>
      <c r="W71" s="43"/>
      <c r="X71" s="40" t="s">
        <v>568</v>
      </c>
      <c r="Y71" s="40" t="s">
        <v>331</v>
      </c>
      <c r="Z71" s="40" t="s">
        <v>283</v>
      </c>
      <c r="AA71" s="40" t="s">
        <v>340</v>
      </c>
      <c r="AB71" s="40"/>
      <c r="AC71" s="40"/>
      <c r="AD71" s="128" t="s">
        <v>360</v>
      </c>
      <c r="AE71" s="128" t="str">
        <f>Energy.codes[[#This Row],[Code]]</f>
        <v>BA.05</v>
      </c>
      <c r="AF71" s="77" t="str">
        <f>Regional.energy[[#This Row],[Region code]]&amp;"."&amp;Regional.energy[[#This Row],[Energy code]]</f>
        <v>G.BA.05</v>
      </c>
      <c r="AG71" s="77" t="str">
        <f>INDEX(Region.codes[Description],MATCH(Regional.energy[[#This Row],[Region code]],Region.codes[Code],0))&amp;" "&amp;INDEX(Energy.codes[Description],MATCH(Regional.energy[[#This Row],[Energy code]],Energy.codes[Code],0))</f>
        <v>Global Interconnector capacity</v>
      </c>
      <c r="AH71" s="77"/>
      <c r="AI71" s="77"/>
      <c r="AK71" s="43"/>
      <c r="AL71" s="43"/>
      <c r="AN71" s="43"/>
      <c r="AO71" s="43"/>
      <c r="AP71" s="43"/>
      <c r="AQ71" s="43"/>
      <c r="BC71" s="43"/>
    </row>
    <row r="72" spans="5:55" s="26" customFormat="1" ht="12.75" customHeight="1">
      <c r="E72" s="43"/>
      <c r="F72" s="43"/>
      <c r="G72" s="43"/>
      <c r="H72" s="43"/>
      <c r="I72" s="43"/>
      <c r="J72" s="43"/>
      <c r="K72" s="43"/>
      <c r="L72" s="43"/>
      <c r="M72" s="44"/>
      <c r="N72" s="253" t="s">
        <v>717</v>
      </c>
      <c r="O72" s="165" t="s">
        <v>476</v>
      </c>
      <c r="P72" s="165" t="s">
        <v>711</v>
      </c>
      <c r="Q72" s="165"/>
      <c r="R72" s="77"/>
      <c r="S72" s="219" t="str">
        <f>Region.codes[Code]</f>
        <v>G</v>
      </c>
      <c r="T72" s="219" t="str">
        <f>Technology.codes[[#This Row],[Code]]</f>
        <v>micro.chp.heat</v>
      </c>
      <c r="U72" s="219" t="str">
        <f>S72&amp;"."&amp;Regional.Technologies[[#This Row],[Technology]]</f>
        <v>G.micro.chp.heat</v>
      </c>
      <c r="V72" s="219" t="str">
        <f>INDEX(Region.codes[Description],MATCH(S72,Region.codes[Code],0))&amp;" "&amp;INDEX(Technology.codes[Description],MATCH(Regional.Technologies[[#This Row],[Technology]],Technology.codes[Code],0))</f>
        <v>Global Micro combined heat and power (for single domestic purpose)</v>
      </c>
      <c r="W72" s="43"/>
      <c r="X72" s="40" t="s">
        <v>569</v>
      </c>
      <c r="Y72" s="40" t="s">
        <v>331</v>
      </c>
      <c r="Z72" s="40" t="s">
        <v>206</v>
      </c>
      <c r="AA72" s="40" t="s">
        <v>206</v>
      </c>
      <c r="AB72" s="40"/>
      <c r="AC72" s="40"/>
      <c r="AD72" s="128" t="s">
        <v>360</v>
      </c>
      <c r="AE72" s="128" t="str">
        <f>Energy.codes[[#This Row],[Code]]</f>
        <v>P.01</v>
      </c>
      <c r="AF72" s="77" t="str">
        <f>Regional.energy[[#This Row],[Region code]]&amp;"."&amp;Regional.energy[[#This Row],[Energy code]]</f>
        <v>G.P.01</v>
      </c>
      <c r="AG72" s="77" t="str">
        <f>INDEX(Region.codes[Description],MATCH(Regional.energy[[#This Row],[Region code]],Region.codes[Code],0))&amp;" "&amp;INDEX(Energy.codes[Description],MATCH(Regional.energy[[#This Row],[Energy code]],Energy.codes[Code],0))</f>
        <v>Global People's energy usage in living</v>
      </c>
      <c r="AH72" s="77"/>
      <c r="AI72" s="77"/>
      <c r="AK72" s="43"/>
      <c r="AL72" s="43"/>
      <c r="AN72" s="43"/>
      <c r="AO72" s="43"/>
      <c r="AP72" s="43"/>
      <c r="AQ72" s="43"/>
      <c r="BC72" s="43"/>
    </row>
    <row r="73" spans="5:55" s="26" customFormat="1" ht="12.75" customHeight="1">
      <c r="E73" s="43"/>
      <c r="F73" s="43"/>
      <c r="G73" s="43"/>
      <c r="H73" s="43"/>
      <c r="I73" s="43"/>
      <c r="J73" s="43"/>
      <c r="K73" s="43"/>
      <c r="L73" s="43"/>
      <c r="M73" s="44"/>
      <c r="N73" s="253" t="s">
        <v>718</v>
      </c>
      <c r="O73" s="165" t="s">
        <v>477</v>
      </c>
      <c r="P73" s="165" t="s">
        <v>711</v>
      </c>
      <c r="Q73" s="165"/>
      <c r="R73" s="77"/>
      <c r="S73" s="219" t="str">
        <f>Region.codes[Code]</f>
        <v>G</v>
      </c>
      <c r="T73" s="219" t="str">
        <f>Technology.codes[[#This Row],[Code]]</f>
        <v>chp.heat</v>
      </c>
      <c r="U73" s="219" t="str">
        <f>S73&amp;"."&amp;Regional.Technologies[[#This Row],[Technology]]</f>
        <v>G.chp.heat</v>
      </c>
      <c r="V73" s="219" t="str">
        <f>INDEX(Region.codes[Description],MATCH(S73,Region.codes[Code],0))&amp;" "&amp;INDEX(Technology.codes[Description],MATCH(Regional.Technologies[[#This Row],[Technology]],Technology.codes[Code],0))</f>
        <v>Global Large scale combined heat and power</v>
      </c>
      <c r="W73" s="43"/>
      <c r="X73" s="40" t="s">
        <v>570</v>
      </c>
      <c r="Y73" s="40" t="s">
        <v>331</v>
      </c>
      <c r="Z73" s="40" t="s">
        <v>206</v>
      </c>
      <c r="AA73" s="40" t="s">
        <v>208</v>
      </c>
      <c r="AB73" s="40"/>
      <c r="AC73" s="40"/>
      <c r="AD73" s="128" t="s">
        <v>360</v>
      </c>
      <c r="AE73" s="128" t="str">
        <f>Energy.codes[[#This Row],[Code]]</f>
        <v>P.02</v>
      </c>
      <c r="AF73" s="77" t="str">
        <f>Regional.energy[[#This Row],[Region code]]&amp;"."&amp;Regional.energy[[#This Row],[Energy code]]</f>
        <v>G.P.02</v>
      </c>
      <c r="AG73" s="77" t="str">
        <f>INDEX(Region.codes[Description],MATCH(Regional.energy[[#This Row],[Region code]],Region.codes[Code],0))&amp;" "&amp;INDEX(Energy.codes[Description],MATCH(Regional.energy[[#This Row],[Energy code]],Energy.codes[Code],0))</f>
        <v>Global Households</v>
      </c>
      <c r="AH73" s="43"/>
      <c r="AI73" s="77"/>
      <c r="AK73" s="43"/>
      <c r="AL73" s="43"/>
      <c r="AM73" s="43"/>
      <c r="AN73" s="43"/>
      <c r="AO73" s="43"/>
      <c r="AP73" s="43"/>
      <c r="AQ73" s="43"/>
      <c r="BC73" s="43"/>
    </row>
    <row r="74" spans="5:55" s="26" customFormat="1" ht="12.75" customHeight="1">
      <c r="E74" s="43"/>
      <c r="F74" s="43"/>
      <c r="G74" s="43"/>
      <c r="H74" s="43"/>
      <c r="I74" s="43"/>
      <c r="J74" s="43"/>
      <c r="K74" s="43"/>
      <c r="L74" s="43"/>
      <c r="M74" s="44"/>
      <c r="N74" s="253" t="s">
        <v>719</v>
      </c>
      <c r="O74" s="165" t="s">
        <v>465</v>
      </c>
      <c r="P74" s="165" t="s">
        <v>323</v>
      </c>
      <c r="Q74" s="165"/>
      <c r="R74" s="77"/>
      <c r="S74" s="219" t="str">
        <f>Region.codes[Code]</f>
        <v>G</v>
      </c>
      <c r="T74" s="219" t="str">
        <f>Technology.codes[[#This Row],[Code]]</f>
        <v>solar.heat</v>
      </c>
      <c r="U74" s="219" t="str">
        <f>S74&amp;"."&amp;Regional.Technologies[[#This Row],[Technology]]</f>
        <v>G.solar.heat</v>
      </c>
      <c r="V74" s="219" t="str">
        <f>INDEX(Region.codes[Description],MATCH(S74,Region.codes[Code],0))&amp;" "&amp;INDEX(Technology.codes[Description],MATCH(Regional.Technologies[[#This Row],[Technology]],Technology.codes[Code],0))</f>
        <v>Global Solar thermal</v>
      </c>
      <c r="W74" s="43"/>
      <c r="X74" s="40" t="s">
        <v>571</v>
      </c>
      <c r="Y74" s="40" t="s">
        <v>331</v>
      </c>
      <c r="Z74" s="40" t="s">
        <v>206</v>
      </c>
      <c r="AA74" s="40" t="s">
        <v>60</v>
      </c>
      <c r="AB74" s="40"/>
      <c r="AC74" s="40"/>
      <c r="AD74" s="128" t="s">
        <v>360</v>
      </c>
      <c r="AE74" s="128" t="str">
        <f>Energy.codes[[#This Row],[Code]]</f>
        <v>P.03</v>
      </c>
      <c r="AF74" s="77" t="str">
        <f>Regional.energy[[#This Row],[Region code]]&amp;"."&amp;Regional.energy[[#This Row],[Energy code]]</f>
        <v>G.P.03</v>
      </c>
      <c r="AG74" s="77" t="str">
        <f>INDEX(Region.codes[Description],MATCH(Regional.energy[[#This Row],[Region code]],Region.codes[Code],0))&amp;" "&amp;INDEX(Energy.codes[Description],MATCH(Regional.energy[[#This Row],[Energy code]],Energy.codes[Code],0))</f>
        <v>Global Household size</v>
      </c>
      <c r="AH74" s="43"/>
      <c r="AI74" s="77"/>
      <c r="AK74" s="43"/>
      <c r="AL74" s="43"/>
      <c r="AM74" s="43"/>
      <c r="AN74" s="43"/>
      <c r="AO74" s="43"/>
      <c r="AP74" s="43"/>
      <c r="AQ74" s="43"/>
      <c r="BC74" s="43"/>
    </row>
    <row r="75" spans="5:55" s="26" customFormat="1" ht="12.75" customHeight="1">
      <c r="E75" s="43"/>
      <c r="F75" s="43"/>
      <c r="G75" s="43"/>
      <c r="H75" s="43"/>
      <c r="I75" s="43"/>
      <c r="J75" s="43"/>
      <c r="K75" s="43"/>
      <c r="L75" s="43"/>
      <c r="M75" s="44"/>
      <c r="N75" s="253" t="s">
        <v>720</v>
      </c>
      <c r="O75" s="165" t="s">
        <v>466</v>
      </c>
      <c r="P75" s="165" t="s">
        <v>323</v>
      </c>
      <c r="Q75" s="165"/>
      <c r="R75" s="77"/>
      <c r="S75" s="219" t="str">
        <f>Region.codes[Code]</f>
        <v>G</v>
      </c>
      <c r="T75" s="219" t="str">
        <f>Technology.codes[[#This Row],[Code]]</f>
        <v>district.heat</v>
      </c>
      <c r="U75" s="219" t="str">
        <f>S75&amp;"."&amp;Regional.Technologies[[#This Row],[Technology]]</f>
        <v>G.district.heat</v>
      </c>
      <c r="V75" s="219" t="str">
        <f>INDEX(Region.codes[Description],MATCH(S75,Region.codes[Code],0))&amp;" "&amp;INDEX(Technology.codes[Description],MATCH(Regional.Technologies[[#This Row],[Technology]],Technology.codes[Code],0))</f>
        <v>Global District heating</v>
      </c>
      <c r="W75" s="43"/>
      <c r="X75" s="43"/>
      <c r="Y75" s="7"/>
      <c r="Z75" s="43"/>
      <c r="AC75" s="40"/>
      <c r="AE75" s="43"/>
      <c r="AF75" s="43"/>
      <c r="AG75" s="43"/>
      <c r="AH75" s="43"/>
      <c r="AI75" s="68"/>
      <c r="AJ75" s="75"/>
      <c r="AL75" s="43"/>
      <c r="AM75" s="43"/>
      <c r="AN75" s="43"/>
      <c r="AO75" s="43"/>
      <c r="AP75" s="43"/>
      <c r="AQ75" s="43"/>
      <c r="BC75" s="43"/>
    </row>
    <row r="76" spans="5:55" s="26" customFormat="1" ht="12.75" customHeight="1">
      <c r="E76" s="43"/>
      <c r="F76" s="43"/>
      <c r="G76" s="43"/>
      <c r="H76" s="43"/>
      <c r="I76" s="43"/>
      <c r="J76" s="43"/>
      <c r="K76" s="43"/>
      <c r="L76" s="43"/>
      <c r="M76" s="44"/>
      <c r="N76" s="253" t="s">
        <v>721</v>
      </c>
      <c r="O76" s="165" t="s">
        <v>491</v>
      </c>
      <c r="P76" s="165" t="s">
        <v>323</v>
      </c>
      <c r="Q76" s="165"/>
      <c r="R76" s="77"/>
      <c r="S76" s="219" t="str">
        <f>Region.codes[Code]</f>
        <v>G</v>
      </c>
      <c r="T76" s="219" t="str">
        <f>Technology.codes[[#This Row],[Code]]</f>
        <v>air.pump.heat</v>
      </c>
      <c r="U76" s="219" t="str">
        <f>S76&amp;"."&amp;Regional.Technologies[[#This Row],[Technology]]</f>
        <v>G.air.pump.heat</v>
      </c>
      <c r="V76" s="219" t="str">
        <f>INDEX(Region.codes[Description],MATCH(S76,Region.codes[Code],0))&amp;" "&amp;INDEX(Technology.codes[Description],MATCH(Regional.Technologies[[#This Row],[Technology]],Technology.codes[Code],0))</f>
        <v>Global Air source heat pump</v>
      </c>
      <c r="W76" s="43"/>
      <c r="X76" s="43"/>
      <c r="Y76" s="7"/>
      <c r="Z76" s="43"/>
      <c r="AC76" s="40"/>
      <c r="AE76" s="43"/>
      <c r="AF76" s="43"/>
      <c r="AG76" s="43"/>
      <c r="AH76" s="43"/>
      <c r="AI76" s="68"/>
      <c r="AJ76" s="75"/>
      <c r="AL76" s="43"/>
      <c r="AM76" s="43"/>
      <c r="AN76" s="43"/>
      <c r="AO76" s="43"/>
      <c r="AP76" s="43"/>
      <c r="AQ76" s="43"/>
      <c r="BC76" s="43"/>
    </row>
    <row r="77" spans="5:55" s="26" customFormat="1" ht="12.75" customHeight="1">
      <c r="E77" s="43"/>
      <c r="F77" s="43"/>
      <c r="G77" s="43"/>
      <c r="H77" s="43"/>
      <c r="I77" s="43"/>
      <c r="J77" s="43"/>
      <c r="K77" s="43"/>
      <c r="L77" s="43"/>
      <c r="M77" s="44"/>
      <c r="N77" s="253" t="s">
        <v>722</v>
      </c>
      <c r="O77" s="165" t="s">
        <v>492</v>
      </c>
      <c r="P77" s="165" t="s">
        <v>323</v>
      </c>
      <c r="Q77" s="165"/>
      <c r="R77" s="77"/>
      <c r="S77" s="219" t="str">
        <f>Region.codes[Code]</f>
        <v>G</v>
      </c>
      <c r="T77" s="219" t="str">
        <f>Technology.codes[[#This Row],[Code]]</f>
        <v>ground.pump.heat</v>
      </c>
      <c r="U77" s="219" t="str">
        <f>S77&amp;"."&amp;Regional.Technologies[[#This Row],[Technology]]</f>
        <v>G.ground.pump.heat</v>
      </c>
      <c r="V77" s="219" t="str">
        <f>INDEX(Region.codes[Description],MATCH(S77,Region.codes[Code],0))&amp;" "&amp;INDEX(Technology.codes[Description],MATCH(Regional.Technologies[[#This Row],[Technology]],Technology.codes[Code],0))</f>
        <v>Global Ground source heat pump</v>
      </c>
      <c r="W77" s="43"/>
      <c r="X77" s="43"/>
      <c r="Y77" s="7"/>
      <c r="Z77" s="43"/>
      <c r="AC77" s="40"/>
      <c r="AE77" s="43"/>
      <c r="AF77" s="43"/>
      <c r="AG77" s="43"/>
      <c r="AH77" s="43"/>
      <c r="AI77" s="68"/>
      <c r="AJ77" s="75"/>
      <c r="AL77" s="43"/>
      <c r="AM77" s="43"/>
      <c r="AN77" s="43"/>
      <c r="AO77" s="43"/>
      <c r="AP77" s="43"/>
      <c r="AQ77" s="43"/>
      <c r="BC77" s="43"/>
    </row>
    <row r="78" spans="5:55" s="26" customFormat="1" ht="12.75" customHeight="1">
      <c r="E78" s="43"/>
      <c r="F78" s="43"/>
      <c r="G78" s="43"/>
      <c r="H78" s="43"/>
      <c r="I78" s="43"/>
      <c r="J78" s="43"/>
      <c r="K78" s="43"/>
      <c r="L78" s="43"/>
      <c r="M78" s="44"/>
      <c r="N78" s="253" t="s">
        <v>723</v>
      </c>
      <c r="O78" s="165" t="s">
        <v>493</v>
      </c>
      <c r="P78" s="165" t="s">
        <v>323</v>
      </c>
      <c r="Q78" s="165"/>
      <c r="R78" s="77"/>
      <c r="S78" s="219" t="str">
        <f>Region.codes[Code]</f>
        <v>G</v>
      </c>
      <c r="T78" s="219" t="str">
        <f>Technology.codes[[#This Row],[Code]]</f>
        <v>elec.heat</v>
      </c>
      <c r="U78" s="219" t="str">
        <f>S78&amp;"."&amp;Regional.Technologies[[#This Row],[Technology]]</f>
        <v>G.elec.heat</v>
      </c>
      <c r="V78" s="219" t="str">
        <f>INDEX(Region.codes[Description],MATCH(S78,Region.codes[Code],0))&amp;" "&amp;INDEX(Technology.codes[Description],MATCH(Regional.Technologies[[#This Row],[Technology]],Technology.codes[Code],0))</f>
        <v>Global Electric heaters</v>
      </c>
      <c r="W78" s="43"/>
      <c r="X78" s="43"/>
      <c r="Y78" s="7"/>
      <c r="Z78" s="43"/>
      <c r="AC78" s="40"/>
      <c r="AE78" s="43"/>
      <c r="AF78" s="43"/>
      <c r="AG78" s="43"/>
      <c r="AH78" s="43"/>
      <c r="AI78" s="68"/>
      <c r="AJ78" s="75"/>
      <c r="AL78" s="43"/>
      <c r="AM78" s="43"/>
      <c r="AN78" s="43"/>
      <c r="AO78" s="43"/>
      <c r="AP78" s="43"/>
      <c r="AQ78" s="43"/>
      <c r="BC78" s="43"/>
    </row>
    <row r="79" spans="5:55" s="26" customFormat="1" ht="12.75" customHeight="1">
      <c r="E79" s="43"/>
      <c r="F79" s="43"/>
      <c r="G79" s="43"/>
      <c r="H79" s="43"/>
      <c r="I79" s="43"/>
      <c r="J79" s="43"/>
      <c r="K79" s="43"/>
      <c r="L79" s="43"/>
      <c r="M79" s="44"/>
      <c r="N79" s="253" t="s">
        <v>724</v>
      </c>
      <c r="O79" s="165" t="s">
        <v>467</v>
      </c>
      <c r="P79" s="165" t="s">
        <v>464</v>
      </c>
      <c r="Q79" s="165" t="s">
        <v>1154</v>
      </c>
      <c r="R79" s="77"/>
      <c r="S79" s="219" t="str">
        <f>Region.codes[Code]</f>
        <v>G</v>
      </c>
      <c r="T79" s="219" t="str">
        <f>Technology.codes[[#This Row],[Code]]</f>
        <v>ac.cooling</v>
      </c>
      <c r="U79" s="219" t="str">
        <f>S79&amp;"."&amp;Regional.Technologies[[#This Row],[Technology]]</f>
        <v>G.ac.cooling</v>
      </c>
      <c r="V79" s="219" t="str">
        <f>INDEX(Region.codes[Description],MATCH(S79,Region.codes[Code],0))&amp;" "&amp;INDEX(Technology.codes[Description],MATCH(Regional.Technologies[[#This Row],[Technology]],Technology.codes[Code],0))</f>
        <v>Global Air conditioning</v>
      </c>
      <c r="W79" s="43"/>
      <c r="X79" s="43"/>
      <c r="Y79" s="7"/>
      <c r="Z79" s="43"/>
      <c r="AC79" s="40"/>
      <c r="AE79" s="43"/>
      <c r="AF79" s="43"/>
      <c r="AG79" s="43"/>
      <c r="AH79" s="43"/>
      <c r="AI79" s="68"/>
      <c r="AJ79" s="75"/>
      <c r="AL79" s="43"/>
      <c r="AM79" s="43"/>
      <c r="AN79" s="43"/>
      <c r="AO79" s="43"/>
      <c r="AP79" s="43"/>
      <c r="AQ79" s="43"/>
      <c r="BC79" s="43"/>
    </row>
    <row r="80" spans="5:55" s="26" customFormat="1" ht="12.75" customHeight="1">
      <c r="E80" s="43"/>
      <c r="F80" s="43"/>
      <c r="G80" s="40"/>
      <c r="H80" s="43"/>
      <c r="I80" s="43"/>
      <c r="J80" s="43"/>
      <c r="K80" s="43"/>
      <c r="L80" s="40"/>
      <c r="M80" s="44"/>
      <c r="N80" s="253" t="s">
        <v>725</v>
      </c>
      <c r="O80" s="165" t="s">
        <v>468</v>
      </c>
      <c r="P80" s="165" t="s">
        <v>712</v>
      </c>
      <c r="Q80" s="165"/>
      <c r="R80" s="77"/>
      <c r="S80" s="219" t="str">
        <f>Region.codes[Code]</f>
        <v>G</v>
      </c>
      <c r="T80" s="219" t="str">
        <f>Technology.codes[[#This Row],[Code]]</f>
        <v>bulb.light</v>
      </c>
      <c r="U80" s="219" t="str">
        <f>S80&amp;"."&amp;Regional.Technologies[[#This Row],[Technology]]</f>
        <v>G.bulb.light</v>
      </c>
      <c r="V80" s="219" t="str">
        <f>INDEX(Region.codes[Description],MATCH(S80,Region.codes[Code],0))&amp;" "&amp;INDEX(Technology.codes[Description],MATCH(Regional.Technologies[[#This Row],[Technology]],Technology.codes[Code],0))</f>
        <v>Global Light bulb</v>
      </c>
      <c r="W80" s="43"/>
      <c r="X80" s="43"/>
      <c r="Y80" s="7"/>
      <c r="Z80" s="43"/>
      <c r="AC80" s="40"/>
      <c r="AE80" s="43"/>
      <c r="AF80" s="43"/>
      <c r="AG80" s="43"/>
      <c r="AH80" s="43"/>
      <c r="AI80" s="68"/>
      <c r="AJ80" s="75"/>
      <c r="AL80" s="43"/>
      <c r="AM80" s="43"/>
      <c r="AN80" s="43"/>
      <c r="AO80" s="43"/>
      <c r="AP80" s="43"/>
      <c r="AQ80" s="43"/>
      <c r="BC80" s="43"/>
    </row>
    <row r="81" spans="5:55" s="26" customFormat="1" ht="12.75" customHeight="1">
      <c r="E81" s="40"/>
      <c r="F81" s="40"/>
      <c r="G81" s="40"/>
      <c r="H81" s="43"/>
      <c r="I81" s="43"/>
      <c r="J81" s="43"/>
      <c r="K81" s="43"/>
      <c r="L81" s="40"/>
      <c r="M81" s="44"/>
      <c r="N81" s="253" t="s">
        <v>726</v>
      </c>
      <c r="O81" s="165" t="s">
        <v>469</v>
      </c>
      <c r="P81" s="165" t="s">
        <v>713</v>
      </c>
      <c r="Q81" s="165" t="s">
        <v>470</v>
      </c>
      <c r="R81" s="77"/>
      <c r="S81" s="219" t="str">
        <f>Region.codes[Code]</f>
        <v>G</v>
      </c>
      <c r="T81" s="219" t="str">
        <f>Technology.codes[[#This Row],[Code]]</f>
        <v>appliance</v>
      </c>
      <c r="U81" s="219" t="str">
        <f>S81&amp;"."&amp;Regional.Technologies[[#This Row],[Technology]]</f>
        <v>G.appliance</v>
      </c>
      <c r="V81" s="219" t="str">
        <f>INDEX(Region.codes[Description],MATCH(S81,Region.codes[Code],0))&amp;" "&amp;INDEX(Technology.codes[Description],MATCH(Regional.Technologies[[#This Row],[Technology]],Technology.codes[Code],0))</f>
        <v>Global Appliance</v>
      </c>
      <c r="W81" s="40"/>
      <c r="X81" s="43"/>
      <c r="Y81" s="7"/>
      <c r="Z81" s="43"/>
      <c r="AC81" s="40"/>
      <c r="AE81" s="43"/>
      <c r="AF81" s="43"/>
      <c r="AG81" s="43"/>
      <c r="AH81" s="43"/>
      <c r="AI81" s="68"/>
      <c r="AJ81" s="75"/>
      <c r="AL81" s="43"/>
      <c r="AM81" s="43"/>
      <c r="AN81" s="43"/>
      <c r="AO81" s="43"/>
      <c r="AP81" s="43"/>
      <c r="AQ81" s="43"/>
      <c r="BC81" s="43"/>
    </row>
    <row r="82" spans="5:55" s="26" customFormat="1" ht="12.75" customHeight="1">
      <c r="E82" s="40"/>
      <c r="F82" s="40"/>
      <c r="G82" s="40"/>
      <c r="H82" s="43"/>
      <c r="I82" s="43"/>
      <c r="J82" s="43"/>
      <c r="K82" s="43"/>
      <c r="L82" s="40"/>
      <c r="M82" s="44"/>
      <c r="N82" s="253" t="s">
        <v>727</v>
      </c>
      <c r="O82" s="165" t="s">
        <v>471</v>
      </c>
      <c r="P82" s="165" t="s">
        <v>713</v>
      </c>
      <c r="Q82" s="165"/>
      <c r="R82" s="77"/>
      <c r="S82" s="219" t="str">
        <f>Region.codes[Code]</f>
        <v>G</v>
      </c>
      <c r="T82" s="219" t="str">
        <f>Technology.codes[[#This Row],[Code]]</f>
        <v>oven.cook</v>
      </c>
      <c r="U82" s="219" t="str">
        <f>S82&amp;"."&amp;Regional.Technologies[[#This Row],[Technology]]</f>
        <v>G.oven.cook</v>
      </c>
      <c r="V82" s="219" t="str">
        <f>INDEX(Region.codes[Description],MATCH(S82,Region.codes[Code],0))&amp;" "&amp;INDEX(Technology.codes[Description],MATCH(Regional.Technologies[[#This Row],[Technology]],Technology.codes[Code],0))</f>
        <v>Global Oven</v>
      </c>
      <c r="W82" s="40"/>
      <c r="X82" s="43"/>
      <c r="Y82" s="40"/>
      <c r="Z82" s="43"/>
      <c r="AC82" s="40"/>
      <c r="AE82" s="43"/>
      <c r="AF82" s="43"/>
      <c r="AG82" s="43"/>
      <c r="AH82" s="43"/>
      <c r="AI82" s="68"/>
      <c r="AJ82" s="75"/>
      <c r="AL82" s="43"/>
      <c r="AM82" s="43"/>
      <c r="AN82" s="43"/>
      <c r="AO82" s="43"/>
      <c r="AP82" s="43"/>
      <c r="AQ82" s="43"/>
      <c r="AS82" s="7"/>
      <c r="AT82" s="7"/>
      <c r="BC82" s="43"/>
    </row>
    <row r="83" spans="5:55" s="26" customFormat="1" ht="12.75" customHeight="1">
      <c r="E83" s="40"/>
      <c r="F83" s="40"/>
      <c r="G83" s="40"/>
      <c r="H83" s="40"/>
      <c r="I83" s="39"/>
      <c r="J83" s="98"/>
      <c r="K83" s="98"/>
      <c r="L83" s="40"/>
      <c r="M83" s="44"/>
      <c r="N83" s="253" t="s">
        <v>1153</v>
      </c>
      <c r="O83" s="165" t="s">
        <v>1175</v>
      </c>
      <c r="P83" s="165" t="s">
        <v>24</v>
      </c>
      <c r="Q83" s="165"/>
      <c r="R83" s="77"/>
      <c r="S83" s="219" t="str">
        <f>Region.codes[Code]</f>
        <v>G</v>
      </c>
      <c r="T83" s="219" t="str">
        <f>Technology.codes[[#This Row],[Code]]</f>
        <v>unabated.solid.ultra.elec</v>
      </c>
      <c r="U83" s="219" t="str">
        <f>S83&amp;"."&amp;Regional.Technologies[[#This Row],[Technology]]</f>
        <v>G.unabated.solid.ultra.elec</v>
      </c>
      <c r="V83" s="219" t="str">
        <f>INDEX(Region.codes[Description],MATCH(S83,Region.codes[Code],0))&amp;" "&amp;INDEX(Technology.codes[Description],MATCH(Regional.Technologies[[#This Row],[Technology]],Technology.codes[Code],0))</f>
        <v>Global Unabated solid-fuel ultrasupercritical power plant</v>
      </c>
      <c r="W83" s="40"/>
      <c r="X83" s="43"/>
      <c r="Y83" s="40"/>
      <c r="Z83" s="43"/>
      <c r="AC83" s="40"/>
      <c r="AE83" s="43"/>
      <c r="AF83" s="43"/>
      <c r="AG83" s="43"/>
      <c r="AH83" s="43"/>
      <c r="AI83" s="68"/>
      <c r="AJ83" s="75"/>
      <c r="AL83" s="43"/>
      <c r="AM83" s="43"/>
      <c r="AN83" s="43"/>
      <c r="AO83" s="43"/>
      <c r="AP83" s="43"/>
      <c r="AQ83" s="43"/>
      <c r="AR83" s="7"/>
      <c r="AS83" s="7"/>
      <c r="AT83" s="7"/>
      <c r="AU83" s="7"/>
      <c r="BC83" s="43"/>
    </row>
    <row r="84" spans="5:55" ht="12.75" customHeight="1">
      <c r="M84" s="44"/>
      <c r="N84" s="253" t="s">
        <v>1155</v>
      </c>
      <c r="O84" s="165" t="s">
        <v>1176</v>
      </c>
      <c r="P84" s="165" t="s">
        <v>24</v>
      </c>
      <c r="Q84" s="165"/>
      <c r="R84" s="77"/>
      <c r="S84" s="219" t="str">
        <f>Region.codes[Code]</f>
        <v>G</v>
      </c>
      <c r="T84" s="219" t="str">
        <f>Technology.codes[[#This Row],[Code]]</f>
        <v>unabated.solid.super.elec</v>
      </c>
      <c r="U84" s="219" t="str">
        <f>S84&amp;"."&amp;Regional.Technologies[[#This Row],[Technology]]</f>
        <v>G.unabated.solid.super.elec</v>
      </c>
      <c r="V84" s="219" t="str">
        <f>INDEX(Region.codes[Description],MATCH(S84,Region.codes[Code],0))&amp;" "&amp;INDEX(Technology.codes[Description],MATCH(Regional.Technologies[[#This Row],[Technology]],Technology.codes[Code],0))</f>
        <v>Global Unabated solid-fuel supercritical power plant</v>
      </c>
      <c r="Y84" s="40"/>
      <c r="Z84" s="43"/>
      <c r="AA84" s="26"/>
      <c r="AB84" s="26"/>
      <c r="AD84" s="26"/>
      <c r="AE84" s="43"/>
      <c r="AF84" s="43"/>
      <c r="AG84" s="43"/>
      <c r="AH84" s="43"/>
      <c r="AI84" s="68"/>
      <c r="AJ84" s="75"/>
      <c r="AK84" s="26"/>
    </row>
    <row r="85" spans="5:55" ht="12.75" customHeight="1">
      <c r="M85" s="44"/>
      <c r="N85" s="253" t="s">
        <v>1156</v>
      </c>
      <c r="O85" s="165" t="s">
        <v>1177</v>
      </c>
      <c r="P85" s="165" t="s">
        <v>24</v>
      </c>
      <c r="Q85" s="165"/>
      <c r="R85" s="77"/>
      <c r="S85" s="219" t="str">
        <f>Region.codes[Code]</f>
        <v>G</v>
      </c>
      <c r="T85" s="219" t="str">
        <f>Technology.codes[[#This Row],[Code]]</f>
        <v>unabated.solid.sub.elec</v>
      </c>
      <c r="U85" s="219" t="str">
        <f>S85&amp;"."&amp;Regional.Technologies[[#This Row],[Technology]]</f>
        <v>G.unabated.solid.sub.elec</v>
      </c>
      <c r="V85" s="219" t="str">
        <f>INDEX(Region.codes[Description],MATCH(S85,Region.codes[Code],0))&amp;" "&amp;INDEX(Technology.codes[Description],MATCH(Regional.Technologies[[#This Row],[Technology]],Technology.codes[Code],0))</f>
        <v>Global Unabated solid-fuel subcritical power plant</v>
      </c>
      <c r="Y85" s="40"/>
      <c r="Z85" s="43"/>
      <c r="AA85" s="26"/>
      <c r="AB85" s="26"/>
      <c r="AD85" s="26"/>
      <c r="AE85" s="43"/>
      <c r="AF85" s="43"/>
      <c r="AG85" s="43"/>
      <c r="AH85" s="43"/>
      <c r="AI85" s="68"/>
      <c r="AJ85" s="75"/>
      <c r="AK85" s="26"/>
    </row>
    <row r="86" spans="5:55">
      <c r="M86" s="44"/>
      <c r="N86" s="253" t="s">
        <v>1158</v>
      </c>
      <c r="O86" s="165" t="s">
        <v>1178</v>
      </c>
      <c r="P86" s="165" t="s">
        <v>24</v>
      </c>
      <c r="Q86" s="165"/>
      <c r="R86" s="77"/>
      <c r="S86" s="219" t="str">
        <f>Region.codes[Code]</f>
        <v>G</v>
      </c>
      <c r="T86" s="219" t="str">
        <f>Technology.codes[[#This Row],[Code]]</f>
        <v>unabated.liquid.new.tech.elec</v>
      </c>
      <c r="U86" s="219" t="str">
        <f>S86&amp;"."&amp;Regional.Technologies[[#This Row],[Technology]]</f>
        <v>G.unabated.liquid.new.tech.elec</v>
      </c>
      <c r="V86" s="219" t="str">
        <f>INDEX(Region.codes[Description],MATCH(S86,Region.codes[Code],0))&amp;" "&amp;INDEX(Technology.codes[Description],MATCH(Regional.Technologies[[#This Row],[Technology]],Technology.codes[Code],0))</f>
        <v>Global Unabated liquid-fuel efficient power plant</v>
      </c>
      <c r="Y86" s="40"/>
      <c r="Z86" s="43"/>
      <c r="AD86" s="26"/>
      <c r="AE86" s="43"/>
      <c r="AF86" s="43"/>
      <c r="AG86" s="43"/>
      <c r="AH86" s="43"/>
      <c r="AI86" s="68"/>
      <c r="AJ86" s="75"/>
    </row>
    <row r="87" spans="5:55">
      <c r="M87" s="44"/>
      <c r="N87" s="253" t="s">
        <v>1157</v>
      </c>
      <c r="O87" s="165" t="s">
        <v>1179</v>
      </c>
      <c r="P87" s="165" t="s">
        <v>24</v>
      </c>
      <c r="Q87" s="165"/>
      <c r="R87" s="77"/>
      <c r="S87" s="219" t="str">
        <f>Region.codes[Code]</f>
        <v>G</v>
      </c>
      <c r="T87" s="219" t="str">
        <f>Technology.codes[[#This Row],[Code]]</f>
        <v>unabated.liquid.old.tech.elec</v>
      </c>
      <c r="U87" s="219" t="str">
        <f>S87&amp;"."&amp;Regional.Technologies[[#This Row],[Technology]]</f>
        <v>G.unabated.liquid.old.tech.elec</v>
      </c>
      <c r="V87" s="219" t="str">
        <f>INDEX(Region.codes[Description],MATCH(S87,Region.codes[Code],0))&amp;" "&amp;INDEX(Technology.codes[Description],MATCH(Regional.Technologies[[#This Row],[Technology]],Technology.codes[Code],0))</f>
        <v>Global Unabated liquid-fuel inefficient power plant</v>
      </c>
      <c r="Y87" s="40"/>
      <c r="AD87" s="26"/>
      <c r="AE87" s="43"/>
      <c r="AF87" s="43"/>
      <c r="AG87" s="43"/>
      <c r="AH87" s="43"/>
      <c r="AI87" s="68"/>
      <c r="AJ87" s="75"/>
    </row>
    <row r="88" spans="5:55">
      <c r="M88" s="44"/>
      <c r="N88" s="253" t="s">
        <v>1160</v>
      </c>
      <c r="O88" s="165" t="s">
        <v>1161</v>
      </c>
      <c r="P88" s="165" t="s">
        <v>24</v>
      </c>
      <c r="Q88" s="165"/>
      <c r="R88" s="77"/>
      <c r="S88" s="219" t="str">
        <f>Region.codes[Code]</f>
        <v>G</v>
      </c>
      <c r="T88" s="219" t="str">
        <f>Technology.codes[[#This Row],[Code]]</f>
        <v>unabated.gas.OC.elec</v>
      </c>
      <c r="U88" s="219" t="str">
        <f>S88&amp;"."&amp;Regional.Technologies[[#This Row],[Technology]]</f>
        <v>G.unabated.gas.OC.elec</v>
      </c>
      <c r="V88" s="219" t="str">
        <f>INDEX(Region.codes[Description],MATCH(S88,Region.codes[Code],0))&amp;" "&amp;INDEX(Technology.codes[Description],MATCH(Regional.Technologies[[#This Row],[Technology]],Technology.codes[Code],0))</f>
        <v>Global Unabated open-cycle gas turbine power plant</v>
      </c>
      <c r="Y88" s="40"/>
      <c r="AD88" s="26"/>
      <c r="AE88" s="43"/>
      <c r="AF88" s="43"/>
      <c r="AG88" s="43"/>
      <c r="AH88" s="43"/>
      <c r="AI88" s="68"/>
      <c r="AJ88" s="75"/>
    </row>
    <row r="89" spans="5:55">
      <c r="M89" s="44"/>
      <c r="N89" s="253" t="s">
        <v>1159</v>
      </c>
      <c r="O89" s="165" t="s">
        <v>1162</v>
      </c>
      <c r="P89" s="165" t="s">
        <v>24</v>
      </c>
      <c r="Q89" s="165"/>
      <c r="R89" s="77"/>
      <c r="S89" s="219" t="str">
        <f>Region.codes[Code]</f>
        <v>G</v>
      </c>
      <c r="T89" s="219" t="str">
        <f>Technology.codes[[#This Row],[Code]]</f>
        <v>unabated.gas.CC.elec</v>
      </c>
      <c r="U89" s="219" t="str">
        <f>S89&amp;"."&amp;Regional.Technologies[[#This Row],[Technology]]</f>
        <v>G.unabated.gas.CC.elec</v>
      </c>
      <c r="V89" s="219" t="str">
        <f>INDEX(Region.codes[Description],MATCH(S89,Region.codes[Code],0))&amp;" "&amp;INDEX(Technology.codes[Description],MATCH(Regional.Technologies[[#This Row],[Technology]],Technology.codes[Code],0))</f>
        <v>Global Unabated combined cycle gas turbine power plant</v>
      </c>
      <c r="Y89" s="40"/>
      <c r="AD89" s="26"/>
      <c r="AE89" s="43"/>
      <c r="AF89" s="43"/>
      <c r="AG89" s="43"/>
      <c r="AH89" s="43"/>
      <c r="AI89" s="68"/>
      <c r="AJ89" s="75"/>
    </row>
    <row r="90" spans="5:55">
      <c r="M90" s="44"/>
      <c r="N90" s="253" t="s">
        <v>1163</v>
      </c>
      <c r="O90" s="165" t="s">
        <v>1180</v>
      </c>
      <c r="P90" s="165" t="s">
        <v>24</v>
      </c>
      <c r="Q90" s="165"/>
      <c r="R90" s="77"/>
      <c r="S90" s="219" t="str">
        <f>Region.codes[Code]</f>
        <v>G</v>
      </c>
      <c r="T90" s="219" t="str">
        <f>Technology.codes[[#This Row],[Code]]</f>
        <v>CCS.solid.ultra.elec</v>
      </c>
      <c r="U90" s="219" t="str">
        <f>S90&amp;"."&amp;Regional.Technologies[[#This Row],[Technology]]</f>
        <v>G.CCS.solid.ultra.elec</v>
      </c>
      <c r="V90" s="219" t="str">
        <f>INDEX(Region.codes[Description],MATCH(S90,Region.codes[Code],0))&amp;" "&amp;INDEX(Technology.codes[Description],MATCH(Regional.Technologies[[#This Row],[Technology]],Technology.codes[Code],0))</f>
        <v>Global Carbon capture solid-fuel ultrasupercritical power plant</v>
      </c>
      <c r="Y90" s="40"/>
      <c r="AD90" s="26"/>
      <c r="AE90" s="43"/>
      <c r="AF90" s="43"/>
      <c r="AG90" s="43"/>
      <c r="AH90" s="43"/>
      <c r="AI90" s="68"/>
      <c r="AJ90" s="75"/>
    </row>
    <row r="91" spans="5:55">
      <c r="M91" s="44"/>
      <c r="N91" s="253" t="s">
        <v>1164</v>
      </c>
      <c r="O91" s="165" t="s">
        <v>1181</v>
      </c>
      <c r="P91" s="165" t="s">
        <v>24</v>
      </c>
      <c r="Q91" s="165"/>
      <c r="R91" s="77"/>
      <c r="S91" s="219" t="str">
        <f>Region.codes[Code]</f>
        <v>G</v>
      </c>
      <c r="T91" s="219" t="str">
        <f>Technology.codes[[#This Row],[Code]]</f>
        <v>CCS.solid.super.elec</v>
      </c>
      <c r="U91" s="219" t="str">
        <f>S91&amp;"."&amp;Regional.Technologies[[#This Row],[Technology]]</f>
        <v>G.CCS.solid.super.elec</v>
      </c>
      <c r="V91" s="219" t="str">
        <f>INDEX(Region.codes[Description],MATCH(S91,Region.codes[Code],0))&amp;" "&amp;INDEX(Technology.codes[Description],MATCH(Regional.Technologies[[#This Row],[Technology]],Technology.codes[Code],0))</f>
        <v>Global Carbon capture solid-fuel supercritical power plant</v>
      </c>
      <c r="Y91" s="40"/>
      <c r="AD91" s="26"/>
      <c r="AE91" s="43"/>
      <c r="AF91" s="43"/>
      <c r="AG91" s="43"/>
      <c r="AH91" s="43"/>
      <c r="AI91" s="68"/>
      <c r="AJ91" s="75"/>
    </row>
    <row r="92" spans="5:55">
      <c r="M92" s="44"/>
      <c r="N92" s="253" t="s">
        <v>1165</v>
      </c>
      <c r="O92" s="165" t="s">
        <v>1182</v>
      </c>
      <c r="P92" s="165" t="s">
        <v>24</v>
      </c>
      <c r="Q92" s="165"/>
      <c r="R92" s="77"/>
      <c r="S92" s="219" t="str">
        <f>Region.codes[Code]</f>
        <v>G</v>
      </c>
      <c r="T92" s="219" t="str">
        <f>Technology.codes[[#This Row],[Code]]</f>
        <v>CCS.solid.sub.elec</v>
      </c>
      <c r="U92" s="219" t="str">
        <f>S92&amp;"."&amp;Regional.Technologies[[#This Row],[Technology]]</f>
        <v>G.CCS.solid.sub.elec</v>
      </c>
      <c r="V92" s="219" t="str">
        <f>INDEX(Region.codes[Description],MATCH(S92,Region.codes[Code],0))&amp;" "&amp;INDEX(Technology.codes[Description],MATCH(Regional.Technologies[[#This Row],[Technology]],Technology.codes[Code],0))</f>
        <v>Global Carbon capture solid-fuel subcritical power plant</v>
      </c>
      <c r="Y92" s="40"/>
      <c r="AD92" s="26"/>
      <c r="AE92" s="43"/>
      <c r="AF92" s="43"/>
      <c r="AG92" s="43"/>
      <c r="AH92" s="43"/>
      <c r="AI92" s="68"/>
      <c r="AJ92" s="75"/>
    </row>
    <row r="93" spans="5:55">
      <c r="M93" s="44"/>
      <c r="N93" s="253" t="s">
        <v>1166</v>
      </c>
      <c r="O93" s="165" t="s">
        <v>1183</v>
      </c>
      <c r="P93" s="165" t="s">
        <v>24</v>
      </c>
      <c r="Q93" s="165"/>
      <c r="R93" s="77"/>
      <c r="S93" s="219" t="str">
        <f>Region.codes[Code]</f>
        <v>G</v>
      </c>
      <c r="T93" s="219" t="str">
        <f>Technology.codes[[#This Row],[Code]]</f>
        <v>CCS.liquid.new.tech.elec</v>
      </c>
      <c r="U93" s="219" t="str">
        <f>S93&amp;"."&amp;Regional.Technologies[[#This Row],[Technology]]</f>
        <v>G.CCS.liquid.new.tech.elec</v>
      </c>
      <c r="V93" s="219" t="str">
        <f>INDEX(Region.codes[Description],MATCH(S93,Region.codes[Code],0))&amp;" "&amp;INDEX(Technology.codes[Description],MATCH(Regional.Technologies[[#This Row],[Technology]],Technology.codes[Code],0))</f>
        <v>Global Carbon capture liquid-fuel efficient power plant</v>
      </c>
      <c r="Y93" s="40"/>
      <c r="AD93" s="26"/>
      <c r="AE93" s="43"/>
      <c r="AF93" s="43"/>
      <c r="AG93" s="43"/>
      <c r="AH93" s="43"/>
      <c r="AI93" s="68"/>
      <c r="AJ93" s="75"/>
    </row>
    <row r="94" spans="5:55">
      <c r="M94" s="44"/>
      <c r="N94" s="253" t="s">
        <v>1167</v>
      </c>
      <c r="O94" s="165" t="s">
        <v>1184</v>
      </c>
      <c r="P94" s="165" t="s">
        <v>24</v>
      </c>
      <c r="Q94" s="165"/>
      <c r="R94" s="77"/>
      <c r="S94" s="219" t="str">
        <f>Region.codes[Code]</f>
        <v>G</v>
      </c>
      <c r="T94" s="219" t="str">
        <f>Technology.codes[[#This Row],[Code]]</f>
        <v>CCS.liquid.old.tech.elec</v>
      </c>
      <c r="U94" s="219" t="str">
        <f>S94&amp;"."&amp;Regional.Technologies[[#This Row],[Technology]]</f>
        <v>G.CCS.liquid.old.tech.elec</v>
      </c>
      <c r="V94" s="219" t="str">
        <f>INDEX(Region.codes[Description],MATCH(S94,Region.codes[Code],0))&amp;" "&amp;INDEX(Technology.codes[Description],MATCH(Regional.Technologies[[#This Row],[Technology]],Technology.codes[Code],0))</f>
        <v>Global Carbon capture liquid-fuel inefficient power plant</v>
      </c>
      <c r="Y94" s="40"/>
      <c r="AD94" s="26"/>
      <c r="AE94" s="43"/>
      <c r="AF94" s="43"/>
      <c r="AG94" s="43"/>
      <c r="AH94" s="43"/>
      <c r="AI94" s="68"/>
      <c r="AJ94" s="75"/>
    </row>
    <row r="95" spans="5:55">
      <c r="M95" s="44"/>
      <c r="N95" s="253" t="s">
        <v>1168</v>
      </c>
      <c r="O95" s="165" t="s">
        <v>1173</v>
      </c>
      <c r="P95" s="165" t="s">
        <v>24</v>
      </c>
      <c r="Q95" s="165"/>
      <c r="R95" s="77"/>
      <c r="S95" s="219" t="str">
        <f>Region.codes[Code]</f>
        <v>G</v>
      </c>
      <c r="T95" s="219" t="str">
        <f>Technology.codes[[#This Row],[Code]]</f>
        <v>CCS.gas.OC.elec</v>
      </c>
      <c r="U95" s="219" t="str">
        <f>S95&amp;"."&amp;Regional.Technologies[[#This Row],[Technology]]</f>
        <v>G.CCS.gas.OC.elec</v>
      </c>
      <c r="V95" s="219" t="str">
        <f>INDEX(Region.codes[Description],MATCH(S95,Region.codes[Code],0))&amp;" "&amp;INDEX(Technology.codes[Description],MATCH(Regional.Technologies[[#This Row],[Technology]],Technology.codes[Code],0))</f>
        <v>Global Carbon capture open-cycle gas turbine power plant</v>
      </c>
      <c r="Y95" s="40"/>
      <c r="AD95" s="26"/>
      <c r="AE95" s="43"/>
      <c r="AF95" s="43"/>
      <c r="AG95" s="43"/>
      <c r="AH95" s="43"/>
      <c r="AI95" s="68"/>
      <c r="AJ95" s="75"/>
    </row>
    <row r="96" spans="5:55">
      <c r="M96" s="44"/>
      <c r="N96" s="253" t="s">
        <v>1169</v>
      </c>
      <c r="O96" s="165" t="s">
        <v>1174</v>
      </c>
      <c r="P96" s="165" t="s">
        <v>24</v>
      </c>
      <c r="Q96" s="165"/>
      <c r="R96" s="77"/>
      <c r="S96" s="219" t="str">
        <f>Region.codes[Code]</f>
        <v>G</v>
      </c>
      <c r="T96" s="219" t="str">
        <f>Technology.codes[[#This Row],[Code]]</f>
        <v>CCS.gas.CC.elec</v>
      </c>
      <c r="U96" s="219" t="str">
        <f>S96&amp;"."&amp;Regional.Technologies[[#This Row],[Technology]]</f>
        <v>G.CCS.gas.CC.elec</v>
      </c>
      <c r="V96" s="219" t="str">
        <f>INDEX(Region.codes[Description],MATCH(S96,Region.codes[Code],0))&amp;" "&amp;INDEX(Technology.codes[Description],MATCH(Regional.Technologies[[#This Row],[Technology]],Technology.codes[Code],0))</f>
        <v>Global Carbon capture combined cycle gas turbine power plant</v>
      </c>
      <c r="Y96" s="40"/>
      <c r="AH96" s="43"/>
      <c r="AI96" s="68"/>
    </row>
    <row r="97" spans="13:35">
      <c r="M97" s="44"/>
      <c r="N97" s="253" t="s">
        <v>737</v>
      </c>
      <c r="O97" s="165" t="s">
        <v>457</v>
      </c>
      <c r="P97" s="165" t="s">
        <v>24</v>
      </c>
      <c r="Q97" s="165"/>
      <c r="R97" s="77"/>
      <c r="S97" s="219" t="str">
        <f>Region.codes[Code]</f>
        <v>G</v>
      </c>
      <c r="T97" s="219" t="str">
        <f>Technology.codes[[#This Row],[Code]]</f>
        <v>nuclear.elec</v>
      </c>
      <c r="U97" s="219" t="str">
        <f>S97&amp;"."&amp;Regional.Technologies[[#This Row],[Technology]]</f>
        <v>G.nuclear.elec</v>
      </c>
      <c r="V97" s="219" t="str">
        <f>INDEX(Region.codes[Description],MATCH(S97,Region.codes[Code],0))&amp;" "&amp;INDEX(Technology.codes[Description],MATCH(Regional.Technologies[[#This Row],[Technology]],Technology.codes[Code],0))</f>
        <v>Global Nuclear power stations</v>
      </c>
      <c r="Y97" s="40"/>
      <c r="AH97" s="43"/>
      <c r="AI97" s="68"/>
    </row>
    <row r="98" spans="13:35">
      <c r="M98" s="44"/>
      <c r="N98" s="253" t="s">
        <v>738</v>
      </c>
      <c r="O98" s="165" t="s">
        <v>574</v>
      </c>
      <c r="P98" s="165" t="s">
        <v>24</v>
      </c>
      <c r="Q98" s="165"/>
      <c r="R98" s="77"/>
      <c r="S98" s="219" t="str">
        <f>Region.codes[Code]</f>
        <v>G</v>
      </c>
      <c r="T98" s="219" t="str">
        <f>Technology.codes[[#This Row],[Code]]</f>
        <v>onshore.wind.elec</v>
      </c>
      <c r="U98" s="219" t="str">
        <f>S98&amp;"."&amp;Regional.Technologies[[#This Row],[Technology]]</f>
        <v>G.onshore.wind.elec</v>
      </c>
      <c r="V98" s="219" t="str">
        <f>INDEX(Region.codes[Description],MATCH(S98,Region.codes[Code],0))&amp;" "&amp;INDEX(Technology.codes[Description],MATCH(Regional.Technologies[[#This Row],[Technology]],Technology.codes[Code],0))</f>
        <v>Global On shore wind turbines</v>
      </c>
      <c r="Y98" s="40"/>
      <c r="AH98" s="43"/>
      <c r="AI98" s="68"/>
    </row>
    <row r="99" spans="13:35">
      <c r="M99" s="44"/>
      <c r="N99" s="253" t="s">
        <v>739</v>
      </c>
      <c r="O99" s="165" t="s">
        <v>575</v>
      </c>
      <c r="P99" s="165" t="s">
        <v>24</v>
      </c>
      <c r="Q99" s="165"/>
      <c r="R99" s="77"/>
      <c r="S99" s="219" t="str">
        <f>Region.codes[Code]</f>
        <v>G</v>
      </c>
      <c r="T99" s="219" t="str">
        <f>Technology.codes[[#This Row],[Code]]</f>
        <v>offshore.wind.elec</v>
      </c>
      <c r="U99" s="219" t="str">
        <f>S99&amp;"."&amp;Regional.Technologies[[#This Row],[Technology]]</f>
        <v>G.offshore.wind.elec</v>
      </c>
      <c r="V99" s="219" t="str">
        <f>INDEX(Region.codes[Description],MATCH(S99,Region.codes[Code],0))&amp;" "&amp;INDEX(Technology.codes[Description],MATCH(Regional.Technologies[[#This Row],[Technology]],Technology.codes[Code],0))</f>
        <v>Global Off shore wind turbines</v>
      </c>
      <c r="Y99" s="40"/>
      <c r="AH99" s="43"/>
      <c r="AI99" s="68"/>
    </row>
    <row r="100" spans="13:35">
      <c r="M100" s="44"/>
      <c r="N100" s="253" t="s">
        <v>740</v>
      </c>
      <c r="O100" s="165" t="s">
        <v>458</v>
      </c>
      <c r="P100" s="165" t="s">
        <v>24</v>
      </c>
      <c r="Q100" s="165"/>
      <c r="R100" s="77"/>
      <c r="S100" s="219" t="str">
        <f>Region.codes[Code]</f>
        <v>G</v>
      </c>
      <c r="T100" s="219" t="str">
        <f>Technology.codes[[#This Row],[Code]]</f>
        <v>hydro.elec</v>
      </c>
      <c r="U100" s="219" t="str">
        <f>S100&amp;"."&amp;Regional.Technologies[[#This Row],[Technology]]</f>
        <v>G.hydro.elec</v>
      </c>
      <c r="V100" s="219" t="str">
        <f>INDEX(Region.codes[Description],MATCH(S100,Region.codes[Code],0))&amp;" "&amp;INDEX(Technology.codes[Description],MATCH(Regional.Technologies[[#This Row],[Technology]],Technology.codes[Code],0))</f>
        <v>Global Hydroelectric dam</v>
      </c>
      <c r="Y100" s="40"/>
      <c r="AI100" s="68"/>
    </row>
    <row r="101" spans="13:35">
      <c r="M101" s="44"/>
      <c r="N101" s="253" t="s">
        <v>741</v>
      </c>
      <c r="O101" s="165" t="s">
        <v>256</v>
      </c>
      <c r="P101" s="165" t="s">
        <v>24</v>
      </c>
      <c r="Q101" s="165"/>
      <c r="R101" s="77"/>
      <c r="S101" s="219" t="str">
        <f>Region.codes[Code]</f>
        <v>G</v>
      </c>
      <c r="T101" s="219" t="str">
        <f>Technology.codes[[#This Row],[Code]]</f>
        <v>tidal.elec</v>
      </c>
      <c r="U101" s="219" t="str">
        <f>S101&amp;"."&amp;Regional.Technologies[[#This Row],[Technology]]</f>
        <v>G.tidal.elec</v>
      </c>
      <c r="V101" s="219" t="str">
        <f>INDEX(Region.codes[Description],MATCH(S101,Region.codes[Code],0))&amp;" "&amp;INDEX(Technology.codes[Description],MATCH(Regional.Technologies[[#This Row],[Technology]],Technology.codes[Code],0))</f>
        <v>Global Tidal</v>
      </c>
      <c r="Y101" s="40"/>
      <c r="AI101" s="68"/>
    </row>
    <row r="102" spans="13:35">
      <c r="M102" s="44"/>
      <c r="N102" s="253" t="s">
        <v>742</v>
      </c>
      <c r="O102" s="165" t="s">
        <v>257</v>
      </c>
      <c r="P102" s="165" t="s">
        <v>24</v>
      </c>
      <c r="Q102" s="165"/>
      <c r="R102" s="93"/>
      <c r="S102" s="219" t="str">
        <f>Region.codes[Code]</f>
        <v>G</v>
      </c>
      <c r="T102" s="219" t="str">
        <f>Technology.codes[[#This Row],[Code]]</f>
        <v>wave.elec</v>
      </c>
      <c r="U102" s="219" t="str">
        <f>S102&amp;"."&amp;Regional.Technologies[[#This Row],[Technology]]</f>
        <v>G.wave.elec</v>
      </c>
      <c r="V102" s="219" t="str">
        <f>INDEX(Region.codes[Description],MATCH(S102,Region.codes[Code],0))&amp;" "&amp;INDEX(Technology.codes[Description],MATCH(Regional.Technologies[[#This Row],[Technology]],Technology.codes[Code],0))</f>
        <v>Global Wave</v>
      </c>
      <c r="Y102" s="40"/>
    </row>
    <row r="103" spans="13:35">
      <c r="M103" s="44"/>
      <c r="N103" s="253" t="s">
        <v>743</v>
      </c>
      <c r="O103" s="165" t="s">
        <v>2201</v>
      </c>
      <c r="P103" s="165" t="s">
        <v>24</v>
      </c>
      <c r="Q103" s="165"/>
      <c r="S103" s="219" t="str">
        <f>Region.codes[Code]</f>
        <v>G</v>
      </c>
      <c r="T103" s="219" t="str">
        <f>Technology.codes[[#This Row],[Code]]</f>
        <v>solarpv.elec</v>
      </c>
      <c r="U103" s="219" t="str">
        <f>S103&amp;"."&amp;Regional.Technologies[[#This Row],[Technology]]</f>
        <v>G.solarpv.elec</v>
      </c>
      <c r="V103" s="219" t="str">
        <f>INDEX(Region.codes[Description],MATCH(S103,Region.codes[Code],0))&amp;" "&amp;INDEX(Technology.codes[Description],MATCH(Regional.Technologies[[#This Row],[Technology]],Technology.codes[Code],0))</f>
        <v>Global Solar photovoltaic</v>
      </c>
      <c r="Y103" s="40"/>
    </row>
    <row r="104" spans="13:35">
      <c r="M104" s="44"/>
      <c r="N104" s="253" t="s">
        <v>744</v>
      </c>
      <c r="O104" s="165" t="s">
        <v>459</v>
      </c>
      <c r="P104" s="165" t="s">
        <v>24</v>
      </c>
      <c r="Q104" s="165"/>
      <c r="S104" s="219" t="str">
        <f>Region.codes[Code]</f>
        <v>G</v>
      </c>
      <c r="T104" s="219" t="str">
        <f>Technology.codes[[#This Row],[Code]]</f>
        <v>concentrated.solar.elec</v>
      </c>
      <c r="U104" s="219" t="str">
        <f>S104&amp;"."&amp;Regional.Technologies[[#This Row],[Technology]]</f>
        <v>G.concentrated.solar.elec</v>
      </c>
      <c r="V104" s="219" t="str">
        <f>INDEX(Region.codes[Description],MATCH(S104,Region.codes[Code],0))&amp;" "&amp;INDEX(Technology.codes[Description],MATCH(Regional.Technologies[[#This Row],[Technology]],Technology.codes[Code],0))</f>
        <v>Global Concentrated solar</v>
      </c>
      <c r="Y104" s="40"/>
    </row>
    <row r="105" spans="13:35">
      <c r="M105" s="44"/>
      <c r="N105" s="253" t="s">
        <v>745</v>
      </c>
      <c r="O105" s="165" t="s">
        <v>258</v>
      </c>
      <c r="P105" s="165" t="s">
        <v>24</v>
      </c>
      <c r="Q105" s="165"/>
      <c r="S105" s="219" t="str">
        <f>Region.codes[Code]</f>
        <v>G</v>
      </c>
      <c r="T105" s="219" t="str">
        <f>Technology.codes[[#This Row],[Code]]</f>
        <v>geothermal.elec</v>
      </c>
      <c r="U105" s="219" t="str">
        <f>S105&amp;"."&amp;Regional.Technologies[[#This Row],[Technology]]</f>
        <v>G.geothermal.elec</v>
      </c>
      <c r="V105" s="219" t="str">
        <f>INDEX(Region.codes[Description],MATCH(S105,Region.codes[Code],0))&amp;" "&amp;INDEX(Technology.codes[Description],MATCH(Regional.Technologies[[#This Row],[Technology]],Technology.codes[Code],0))</f>
        <v>Global Geothermal</v>
      </c>
      <c r="Y105" s="40"/>
    </row>
    <row r="106" spans="13:35">
      <c r="M106" s="44"/>
      <c r="N106" s="253" t="s">
        <v>746</v>
      </c>
      <c r="O106" s="165" t="s">
        <v>499</v>
      </c>
      <c r="P106" s="165" t="s">
        <v>24</v>
      </c>
      <c r="Q106" s="165"/>
      <c r="S106" s="219" t="str">
        <f>Region.codes[Code]</f>
        <v>G</v>
      </c>
      <c r="T106" s="219" t="str">
        <f>Technology.codes[[#This Row],[Code]]</f>
        <v>storage.elec</v>
      </c>
      <c r="U106" s="219" t="str">
        <f>S106&amp;"."&amp;Regional.Technologies[[#This Row],[Technology]]</f>
        <v>G.storage.elec</v>
      </c>
      <c r="V106" s="219" t="str">
        <f>INDEX(Region.codes[Description],MATCH(S106,Region.codes[Code],0))&amp;" "&amp;INDEX(Technology.codes[Description],MATCH(Regional.Technologies[[#This Row],[Technology]],Technology.codes[Code],0))</f>
        <v>Global Storage unit</v>
      </c>
      <c r="Y106" s="40"/>
    </row>
    <row r="107" spans="13:35">
      <c r="M107" s="44"/>
      <c r="N107" s="253" t="s">
        <v>2340</v>
      </c>
      <c r="O107" s="219" t="s">
        <v>2341</v>
      </c>
      <c r="P107" s="219" t="s">
        <v>316</v>
      </c>
      <c r="Q107" s="219"/>
      <c r="S107" s="219" t="str">
        <f>Region.codes[Code]</f>
        <v>G</v>
      </c>
      <c r="T107" s="219" t="str">
        <f>Technology.codes[[#This Row],[Code]]</f>
        <v>Oil.refine</v>
      </c>
      <c r="U107" s="219" t="str">
        <f>S107&amp;"."&amp;Regional.Technologies[[#This Row],[Technology]]</f>
        <v>G.Oil.refine</v>
      </c>
      <c r="V107" s="219" t="str">
        <f>INDEX(Region.codes[Description],MATCH(S107,Region.codes[Code],0))&amp;" "&amp;INDEX(Technology.codes[Description],MATCH(Regional.Technologies[[#This Row],[Technology]],Technology.codes[Code],0))</f>
        <v>Global Oil refineries</v>
      </c>
      <c r="Y107" s="40"/>
    </row>
    <row r="108" spans="13:35">
      <c r="M108" s="44"/>
      <c r="N108" s="253" t="s">
        <v>2342</v>
      </c>
      <c r="O108" s="219" t="s">
        <v>2343</v>
      </c>
      <c r="P108" s="219" t="s">
        <v>888</v>
      </c>
      <c r="Q108" s="219"/>
      <c r="S108" s="219" t="str">
        <f>Region.codes[Code]</f>
        <v>G</v>
      </c>
      <c r="T108" s="219" t="str">
        <f>Technology.codes[[#This Row],[Code]]</f>
        <v>Coal.wash</v>
      </c>
      <c r="U108" s="219" t="str">
        <f>S108&amp;"."&amp;Regional.Technologies[[#This Row],[Technology]]</f>
        <v>G.Coal.wash</v>
      </c>
      <c r="V108" s="219" t="str">
        <f>INDEX(Region.codes[Description],MATCH(S108,Region.codes[Code],0))&amp;" "&amp;INDEX(Technology.codes[Description],MATCH(Regional.Technologies[[#This Row],[Technology]],Technology.codes[Code],0))</f>
        <v>Global Coal washeries</v>
      </c>
      <c r="Y108" s="40"/>
    </row>
    <row r="109" spans="13:35">
      <c r="M109" s="44"/>
      <c r="N109" s="253" t="s">
        <v>2359</v>
      </c>
      <c r="O109" s="219" t="s">
        <v>2360</v>
      </c>
      <c r="P109" s="219" t="s">
        <v>2361</v>
      </c>
      <c r="Q109" s="219"/>
      <c r="S109" s="219" t="str">
        <f>Region.codes[Code]</f>
        <v>G</v>
      </c>
      <c r="T109" s="219" t="str">
        <f>Technology.codes[[#This Row],[Code]]</f>
        <v>Natural.gas.process</v>
      </c>
      <c r="U109" s="219" t="str">
        <f>S109&amp;"."&amp;Regional.Technologies[[#This Row],[Technology]]</f>
        <v>G.Natural.gas.process</v>
      </c>
      <c r="V109" s="219" t="str">
        <f>INDEX(Region.codes[Description],MATCH(S109,Region.codes[Code],0))&amp;" "&amp;INDEX(Technology.codes[Description],MATCH(Regional.Technologies[[#This Row],[Technology]],Technology.codes[Code],0))</f>
        <v>Global Natural gas processing plants</v>
      </c>
      <c r="Y109" s="40"/>
    </row>
    <row r="110" spans="13:35">
      <c r="M110" s="44"/>
      <c r="N110" s="253" t="s">
        <v>2344</v>
      </c>
      <c r="O110" s="253" t="s">
        <v>2345</v>
      </c>
      <c r="P110" s="219" t="s">
        <v>220</v>
      </c>
      <c r="Q110" s="219"/>
      <c r="S110" s="219" t="str">
        <f>Region.codes[Code]</f>
        <v>G</v>
      </c>
      <c r="T110" s="219" t="str">
        <f>Technology.codes[[#This Row],[Code]]</f>
        <v>Natural.gas.liquidification</v>
      </c>
      <c r="U110" s="219" t="str">
        <f>S110&amp;"."&amp;Regional.Technologies[[#This Row],[Technology]]</f>
        <v>G.Natural.gas.liquidification</v>
      </c>
      <c r="V110" s="219" t="str">
        <f>INDEX(Region.codes[Description],MATCH(S110,Region.codes[Code],0))&amp;" "&amp;INDEX(Technology.codes[Description],MATCH(Regional.Technologies[[#This Row],[Technology]],Technology.codes[Code],0))</f>
        <v>Global Natural gas liquidification</v>
      </c>
      <c r="Y110" s="40"/>
    </row>
    <row r="111" spans="13:35">
      <c r="M111" s="44"/>
      <c r="N111" s="253" t="s">
        <v>2347</v>
      </c>
      <c r="O111" s="253" t="s">
        <v>2346</v>
      </c>
      <c r="P111" s="219"/>
      <c r="Q111" s="219"/>
      <c r="S111" s="219" t="str">
        <f>Region.codes[Code]</f>
        <v>G</v>
      </c>
      <c r="T111" s="219" t="str">
        <f>Technology.codes[[#This Row],[Code]]</f>
        <v>Sabatier.methane</v>
      </c>
      <c r="U111" s="219" t="str">
        <f>S111&amp;"."&amp;Regional.Technologies[[#This Row],[Technology]]</f>
        <v>G.Sabatier.methane</v>
      </c>
      <c r="V111" s="219" t="str">
        <f>INDEX(Region.codes[Description],MATCH(S111,Region.codes[Code],0))&amp;" "&amp;INDEX(Technology.codes[Description],MATCH(Regional.Technologies[[#This Row],[Technology]],Technology.codes[Code],0))</f>
        <v>Global Sabatier process used to produce methane (using hydrogen)</v>
      </c>
      <c r="Y111" s="40"/>
    </row>
    <row r="112" spans="13:35">
      <c r="M112" s="44"/>
      <c r="N112" s="253" t="s">
        <v>1728</v>
      </c>
      <c r="O112" s="253" t="s">
        <v>1732</v>
      </c>
      <c r="P112" s="219" t="s">
        <v>326</v>
      </c>
      <c r="Q112" s="219"/>
      <c r="S112" s="219" t="str">
        <f>Region.codes[Code]</f>
        <v>G</v>
      </c>
      <c r="T112" s="219" t="str">
        <f>Technology.codes[[#This Row],[Code]]</f>
        <v>SMR.hyd</v>
      </c>
      <c r="U112" s="219" t="str">
        <f>S112&amp;"."&amp;Regional.Technologies[[#This Row],[Technology]]</f>
        <v>G.SMR.hyd</v>
      </c>
      <c r="V112" s="219" t="str">
        <f>INDEX(Region.codes[Description],MATCH(S112,Region.codes[Code],0))&amp;" "&amp;INDEX(Technology.codes[Description],MATCH(Regional.Technologies[[#This Row],[Technology]],Technology.codes[Code],0))</f>
        <v>Global Production of hydrogen through SMR</v>
      </c>
      <c r="Y112" s="40"/>
    </row>
    <row r="113" spans="13:25">
      <c r="M113" s="44"/>
      <c r="N113" s="253" t="s">
        <v>1729</v>
      </c>
      <c r="O113" s="253" t="s">
        <v>1733</v>
      </c>
      <c r="P113" s="219" t="s">
        <v>326</v>
      </c>
      <c r="Q113" s="165"/>
      <c r="S113" s="219" t="str">
        <f>Region.codes[Code]</f>
        <v>G</v>
      </c>
      <c r="T113" s="219" t="str">
        <f>Technology.codes[[#This Row],[Code]]</f>
        <v>Coal.hyd</v>
      </c>
      <c r="U113" s="219" t="str">
        <f>S113&amp;"."&amp;Regional.Technologies[[#This Row],[Technology]]</f>
        <v>G.Coal.hyd</v>
      </c>
      <c r="V113" s="219" t="str">
        <f>INDEX(Region.codes[Description],MATCH(S113,Region.codes[Code],0))&amp;" "&amp;INDEX(Technology.codes[Description],MATCH(Regional.Technologies[[#This Row],[Technology]],Technology.codes[Code],0))</f>
        <v>Global Production of hydrogen through coal gasification</v>
      </c>
      <c r="Y113" s="40"/>
    </row>
    <row r="114" spans="13:25">
      <c r="M114" s="44"/>
      <c r="N114" s="253" t="s">
        <v>1730</v>
      </c>
      <c r="O114" s="253" t="s">
        <v>1734</v>
      </c>
      <c r="P114" s="219" t="s">
        <v>326</v>
      </c>
      <c r="Q114" s="165"/>
      <c r="S114" s="219" t="str">
        <f>Region.codes[Code]</f>
        <v>G</v>
      </c>
      <c r="T114" s="219" t="str">
        <f>Technology.codes[[#This Row],[Code]]</f>
        <v>Elec.hyd</v>
      </c>
      <c r="U114" s="219" t="str">
        <f>S114&amp;"."&amp;Regional.Technologies[[#This Row],[Technology]]</f>
        <v>G.Elec.hyd</v>
      </c>
      <c r="V114" s="219" t="str">
        <f>INDEX(Region.codes[Description],MATCH(S114,Region.codes[Code],0))&amp;" "&amp;INDEX(Technology.codes[Description],MATCH(Regional.Technologies[[#This Row],[Technology]],Technology.codes[Code],0))</f>
        <v>Global Production of hydrogen through electrolysis</v>
      </c>
      <c r="Y114" s="40"/>
    </row>
    <row r="115" spans="13:25">
      <c r="M115" s="44"/>
      <c r="N115" s="253" t="s">
        <v>2407</v>
      </c>
      <c r="O115" s="253" t="s">
        <v>2348</v>
      </c>
      <c r="P115" s="219" t="s">
        <v>747</v>
      </c>
      <c r="Q115" s="219"/>
      <c r="S115" s="219" t="str">
        <f>Region.codes[Code]</f>
        <v>G</v>
      </c>
      <c r="T115" s="219" t="str">
        <f>Technology.codes[[#This Row],[Code]]</f>
        <v>conversion.solid.to.solid.or.pellet</v>
      </c>
      <c r="U115" s="219" t="str">
        <f>S115&amp;"."&amp;Regional.Technologies[[#This Row],[Technology]]</f>
        <v>G.conversion.solid.to.solid.or.pellet</v>
      </c>
      <c r="V115" s="219" t="str">
        <f>INDEX(Region.codes[Description],MATCH(S115,Region.codes[Code],0))&amp;" "&amp;INDEX(Technology.codes[Description],MATCH(Regional.Technologies[[#This Row],[Technology]],Technology.codes[Code],0))</f>
        <v>Global Biomass pelletization</v>
      </c>
      <c r="Y115" s="40"/>
    </row>
    <row r="116" spans="13:25">
      <c r="M116" s="44"/>
      <c r="N116" s="253" t="s">
        <v>2349</v>
      </c>
      <c r="O116" s="165" t="s">
        <v>2350</v>
      </c>
      <c r="P116" s="165" t="s">
        <v>747</v>
      </c>
      <c r="Q116" s="165"/>
      <c r="R116" s="73"/>
      <c r="S116" s="219" t="str">
        <f>Region.codes[Code]</f>
        <v>G</v>
      </c>
      <c r="T116" s="219" t="str">
        <f>Technology.codes[[#This Row],[Code]]</f>
        <v>conversion.solid.to.liquid</v>
      </c>
      <c r="U116" s="219" t="str">
        <f>S116&amp;"."&amp;Regional.Technologies[[#This Row],[Technology]]</f>
        <v>G.conversion.solid.to.liquid</v>
      </c>
      <c r="V116" s="219" t="str">
        <f>INDEX(Region.codes[Description],MATCH(S116,Region.codes[Code],0))&amp;" "&amp;INDEX(Technology.codes[Description],MATCH(Regional.Technologies[[#This Row],[Technology]],Technology.codes[Code],0))</f>
        <v>Global Conversion plant (dry biomass to liquid)</v>
      </c>
      <c r="Y116" s="40"/>
    </row>
    <row r="117" spans="13:25">
      <c r="M117" s="44"/>
      <c r="N117" s="253" t="s">
        <v>2397</v>
      </c>
      <c r="O117" s="219" t="s">
        <v>2398</v>
      </c>
      <c r="P117" s="219"/>
      <c r="Q117" s="219"/>
      <c r="R117" s="73"/>
      <c r="S117" s="219" t="str">
        <f>Region.codes[Code]</f>
        <v>G</v>
      </c>
      <c r="T117" s="219" t="str">
        <f>Technology.codes[[#This Row],[Code]]</f>
        <v>conversion.wet.to.liquid</v>
      </c>
      <c r="U117" s="219" t="str">
        <f>S117&amp;"."&amp;Regional.Technologies[[#This Row],[Technology]]</f>
        <v>G.conversion.wet.to.liquid</v>
      </c>
      <c r="V117" s="219" t="str">
        <f>INDEX(Region.codes[Description],MATCH(S117,Region.codes[Code],0))&amp;" "&amp;INDEX(Technology.codes[Description],MATCH(Regional.Technologies[[#This Row],[Technology]],Technology.codes[Code],0))</f>
        <v>Global Conversion plant (liquid biomass to liquid hydrocarbon)</v>
      </c>
      <c r="Y117" s="40"/>
    </row>
    <row r="118" spans="13:25">
      <c r="N118" s="253" t="s">
        <v>2351</v>
      </c>
      <c r="O118" s="219" t="s">
        <v>2352</v>
      </c>
      <c r="P118" s="219" t="s">
        <v>747</v>
      </c>
      <c r="Q118" s="219"/>
      <c r="R118" s="73"/>
      <c r="S118" s="219" t="str">
        <f>Region.codes[Code]</f>
        <v>G</v>
      </c>
      <c r="T118" s="219" t="str">
        <f>Technology.codes[[#This Row],[Code]]</f>
        <v>conversion.solid.to.gas</v>
      </c>
      <c r="U118" s="219" t="str">
        <f>S118&amp;"."&amp;Regional.Technologies[[#This Row],[Technology]]</f>
        <v>G.conversion.solid.to.gas</v>
      </c>
      <c r="V118" s="219" t="str">
        <f>INDEX(Region.codes[Description],MATCH(S118,Region.codes[Code],0))&amp;" "&amp;INDEX(Technology.codes[Description],MATCH(Regional.Technologies[[#This Row],[Technology]],Technology.codes[Code],0))</f>
        <v>Global Conversion plant (dry biomass to gas)</v>
      </c>
      <c r="Y118" s="40"/>
    </row>
    <row r="119" spans="13:25">
      <c r="N119" s="253" t="s">
        <v>2353</v>
      </c>
      <c r="O119" s="219" t="s">
        <v>2354</v>
      </c>
      <c r="P119" s="219" t="s">
        <v>747</v>
      </c>
      <c r="Q119" s="219"/>
      <c r="S119" s="219" t="str">
        <f>Region.codes[Code]</f>
        <v>G</v>
      </c>
      <c r="T119" s="219" t="str">
        <f>Technology.codes[[#This Row],[Code]]</f>
        <v>conversion.liquid.to.gas</v>
      </c>
      <c r="U119" s="219" t="str">
        <f>S119&amp;"."&amp;Regional.Technologies[[#This Row],[Technology]]</f>
        <v>G.conversion.liquid.to.gas</v>
      </c>
      <c r="V119" s="219" t="str">
        <f>INDEX(Region.codes[Description],MATCH(S119,Region.codes[Code],0))&amp;" "&amp;INDEX(Technology.codes[Description],MATCH(Regional.Technologies[[#This Row],[Technology]],Technology.codes[Code],0))</f>
        <v>Global Conversion plant (wet biomass to gas)</v>
      </c>
      <c r="Y119" s="40"/>
    </row>
    <row r="120" spans="13:25">
      <c r="N120" s="253" t="s">
        <v>2408</v>
      </c>
      <c r="O120" s="165" t="s">
        <v>2409</v>
      </c>
      <c r="P120" s="165" t="s">
        <v>747</v>
      </c>
      <c r="Q120" s="165"/>
      <c r="S120" s="219" t="str">
        <f>Region.codes[Code]</f>
        <v>G</v>
      </c>
      <c r="T120" s="219" t="str">
        <f>Technology.codes[[#This Row],[Code]]</f>
        <v>collection.gas.waste</v>
      </c>
      <c r="U120" s="219" t="str">
        <f>S120&amp;"."&amp;Regional.Technologies[[#This Row],[Technology]]</f>
        <v>G.collection.gas.waste</v>
      </c>
      <c r="V120" s="219" t="str">
        <f>INDEX(Region.codes[Description],MATCH(S120,Region.codes[Code],0))&amp;" "&amp;INDEX(Technology.codes[Description],MATCH(Regional.Technologies[[#This Row],[Technology]],Technology.codes[Code],0))</f>
        <v>Global Collection of gaseous waste e.g. from landfill</v>
      </c>
      <c r="Y120" s="40"/>
    </row>
    <row r="121" spans="13:25">
      <c r="N121" s="253" t="s">
        <v>1731</v>
      </c>
      <c r="O121" s="165" t="s">
        <v>2355</v>
      </c>
      <c r="P121" s="165" t="s">
        <v>747</v>
      </c>
      <c r="Q121" s="165"/>
      <c r="S121" s="219" t="str">
        <f>Region.codes[Code]</f>
        <v>G</v>
      </c>
      <c r="T121" s="219" t="str">
        <f>Technology.codes[[#This Row],[Code]]</f>
        <v>MSW.gas</v>
      </c>
      <c r="U121" s="219" t="str">
        <f>S121&amp;"."&amp;Regional.Technologies[[#This Row],[Technology]]</f>
        <v>G.MSW.gas</v>
      </c>
      <c r="V121" s="219" t="str">
        <f>INDEX(Region.codes[Description],MATCH(S121,Region.codes[Code],0))&amp;" "&amp;INDEX(Technology.codes[Description],MATCH(Regional.Technologies[[#This Row],[Technology]],Technology.codes[Code],0))</f>
        <v>Global Municipal solid waste gasification</v>
      </c>
      <c r="Y121" s="40"/>
    </row>
    <row r="122" spans="13:25">
      <c r="N122" s="253" t="s">
        <v>1239</v>
      </c>
      <c r="O122" s="165" t="s">
        <v>463</v>
      </c>
      <c r="P122" s="165" t="s">
        <v>453</v>
      </c>
      <c r="Q122" s="165"/>
      <c r="S122" s="219" t="str">
        <f>Region.codes[Code]</f>
        <v>G</v>
      </c>
      <c r="T122" s="219" t="str">
        <f>Technology.codes[[#This Row],[Code]]</f>
        <v>GGR.tech</v>
      </c>
      <c r="U122" s="219" t="str">
        <f>S122&amp;"."&amp;Regional.Technologies[[#This Row],[Technology]]</f>
        <v>G.GGR.tech</v>
      </c>
      <c r="V122" s="219" t="str">
        <f>INDEX(Region.codes[Description],MATCH(S122,Region.codes[Code],0))&amp;" "&amp;INDEX(Technology.codes[Description],MATCH(Regional.Technologies[[#This Row],[Technology]],Technology.codes[Code],0))</f>
        <v>Global Geosequestration units</v>
      </c>
      <c r="Y122" s="40"/>
    </row>
    <row r="123" spans="13:25">
      <c r="N123" s="253" t="s">
        <v>1206</v>
      </c>
      <c r="O123" s="218" t="s">
        <v>1206</v>
      </c>
      <c r="P123" s="218"/>
      <c r="Q123" s="218"/>
      <c r="S123" s="219" t="str">
        <f>Region.codes[Code]</f>
        <v>G</v>
      </c>
      <c r="T123" s="219" t="str">
        <f>Technology.codes[[#This Row],[Code]]</f>
        <v>Forest</v>
      </c>
      <c r="U123" s="219" t="str">
        <f>S123&amp;"."&amp;Regional.Technologies[[#This Row],[Technology]]</f>
        <v>G.Forest</v>
      </c>
      <c r="V123" s="219" t="str">
        <f>INDEX(Region.codes[Description],MATCH(S123,Region.codes[Code],0))&amp;" "&amp;INDEX(Technology.codes[Description],MATCH(Regional.Technologies[[#This Row],[Technology]],Technology.codes[Code],0))</f>
        <v>Global Forest</v>
      </c>
      <c r="Y123" s="40"/>
    </row>
    <row r="124" spans="13:25">
      <c r="N124" s="253" t="s">
        <v>1223</v>
      </c>
      <c r="O124" s="218" t="s">
        <v>1207</v>
      </c>
      <c r="P124" s="218" t="s">
        <v>1221</v>
      </c>
      <c r="Q124" s="218"/>
      <c r="S124" s="219" t="str">
        <f>Region.codes[Code]</f>
        <v>G</v>
      </c>
      <c r="T124" s="219" t="str">
        <f>Technology.codes[[#This Row],[Code]]</f>
        <v>Arable.food</v>
      </c>
      <c r="U124" s="219" t="str">
        <f>S124&amp;"."&amp;Regional.Technologies[[#This Row],[Technology]]</f>
        <v>G.Arable.food</v>
      </c>
      <c r="V124" s="219" t="str">
        <f>INDEX(Region.codes[Description],MATCH(S124,Region.codes[Code],0))&amp;" "&amp;INDEX(Technology.codes[Description],MATCH(Regional.Technologies[[#This Row],[Technology]],Technology.codes[Code],0))</f>
        <v>Global Arable land for food crops</v>
      </c>
      <c r="Y124" s="40"/>
    </row>
    <row r="125" spans="13:25">
      <c r="N125" s="253" t="s">
        <v>1224</v>
      </c>
      <c r="O125" s="218" t="s">
        <v>1208</v>
      </c>
      <c r="P125" s="218"/>
      <c r="Q125" s="218"/>
      <c r="S125" s="219" t="str">
        <f>Region.codes[Code]</f>
        <v>G</v>
      </c>
      <c r="T125" s="219" t="str">
        <f>Technology.codes[[#This Row],[Code]]</f>
        <v>Arable.bio</v>
      </c>
      <c r="U125" s="219" t="str">
        <f>S125&amp;"."&amp;Regional.Technologies[[#This Row],[Technology]]</f>
        <v>G.Arable.bio</v>
      </c>
      <c r="V125" s="219" t="str">
        <f>INDEX(Region.codes[Description],MATCH(S125,Region.codes[Code],0))&amp;" "&amp;INDEX(Technology.codes[Description],MATCH(Regional.Technologies[[#This Row],[Technology]],Technology.codes[Code],0))</f>
        <v>Global Arable land for bioenergy</v>
      </c>
      <c r="Y125" s="40"/>
    </row>
    <row r="126" spans="13:25">
      <c r="N126" s="253" t="s">
        <v>1222</v>
      </c>
      <c r="O126" s="218" t="s">
        <v>1220</v>
      </c>
      <c r="P126" s="218" t="s">
        <v>1226</v>
      </c>
      <c r="Q126" s="218"/>
      <c r="S126" s="219" t="str">
        <f>Region.codes[Code]</f>
        <v>G</v>
      </c>
      <c r="T126" s="219" t="str">
        <f>Technology.codes[[#This Row],[Code]]</f>
        <v>Arable.other</v>
      </c>
      <c r="U126" s="219" t="str">
        <f>S126&amp;"."&amp;Regional.Technologies[[#This Row],[Technology]]</f>
        <v>G.Arable.other</v>
      </c>
      <c r="V126" s="219" t="str">
        <f>INDEX(Region.codes[Description],MATCH(S126,Region.codes[Code],0))&amp;" "&amp;INDEX(Technology.codes[Description],MATCH(Regional.Technologies[[#This Row],[Technology]],Technology.codes[Code],0))</f>
        <v xml:space="preserve">Global Arable land for other </v>
      </c>
      <c r="Y126" s="40"/>
    </row>
    <row r="127" spans="13:25">
      <c r="N127" s="253" t="s">
        <v>1225</v>
      </c>
      <c r="O127" s="218" t="s">
        <v>1209</v>
      </c>
      <c r="P127" s="218"/>
      <c r="Q127" s="218"/>
      <c r="S127" s="219" t="str">
        <f>Region.codes[Code]</f>
        <v>G</v>
      </c>
      <c r="T127" s="219" t="str">
        <f>Technology.codes[[#This Row],[Code]]</f>
        <v>Pasture.food</v>
      </c>
      <c r="U127" s="219" t="str">
        <f>S127&amp;"."&amp;Regional.Technologies[[#This Row],[Technology]]</f>
        <v>G.Pasture.food</v>
      </c>
      <c r="V127" s="219" t="str">
        <f>INDEX(Region.codes[Description],MATCH(S127,Region.codes[Code],0))&amp;" "&amp;INDEX(Technology.codes[Description],MATCH(Regional.Technologies[[#This Row],[Technology]],Technology.codes[Code],0))</f>
        <v>Global Pasture for livestock</v>
      </c>
      <c r="Y127" s="40"/>
    </row>
    <row r="128" spans="13:25">
      <c r="N128" s="253" t="s">
        <v>1227</v>
      </c>
      <c r="O128" s="218" t="s">
        <v>1210</v>
      </c>
      <c r="P128" s="218"/>
      <c r="Q128" s="218"/>
      <c r="S128" s="219" t="str">
        <f>Region.codes[Code]</f>
        <v>G</v>
      </c>
      <c r="T128" s="219" t="str">
        <f>Technology.codes[[#This Row],[Code]]</f>
        <v>Other.Land.unproductive</v>
      </c>
      <c r="U128" s="219" t="str">
        <f>S128&amp;"."&amp;Regional.Technologies[[#This Row],[Technology]]</f>
        <v>G.Other.Land.unproductive</v>
      </c>
      <c r="V128" s="219" t="str">
        <f>INDEX(Region.codes[Description],MATCH(S128,Region.codes[Code],0))&amp;" "&amp;INDEX(Technology.codes[Description],MATCH(Regional.Technologies[[#This Row],[Technology]],Technology.codes[Code],0))</f>
        <v>Global Other land (desert, settlements)</v>
      </c>
      <c r="Y128" s="40"/>
    </row>
    <row r="129" spans="14:25">
      <c r="N129" s="253" t="s">
        <v>1228</v>
      </c>
      <c r="O129" s="218" t="s">
        <v>1229</v>
      </c>
      <c r="P129" s="218"/>
      <c r="Q129" s="218"/>
      <c r="S129" s="219" t="str">
        <f>Region.codes[Code]</f>
        <v>G</v>
      </c>
      <c r="T129" s="219" t="str">
        <f>Technology.codes[[#This Row],[Code]]</f>
        <v>Other.Land.productive</v>
      </c>
      <c r="U129" s="219" t="str">
        <f>S129&amp;"."&amp;Regional.Technologies[[#This Row],[Technology]]</f>
        <v>G.Other.Land.productive</v>
      </c>
      <c r="V129" s="219" t="str">
        <f>INDEX(Region.codes[Description],MATCH(S129,Region.codes[Code],0))&amp;" "&amp;INDEX(Technology.codes[Description],MATCH(Regional.Technologies[[#This Row],[Technology]],Technology.codes[Code],0))</f>
        <v>Global Remainder of productive terestial land after bioenergy and food</v>
      </c>
      <c r="Y129" s="40"/>
    </row>
    <row r="130" spans="14:25">
      <c r="N130" s="253" t="s">
        <v>1241</v>
      </c>
      <c r="O130" s="219" t="s">
        <v>1326</v>
      </c>
      <c r="P130" s="219"/>
      <c r="Q130" s="219"/>
      <c r="S130" s="219" t="str">
        <f>Region.codes[Code]</f>
        <v>G</v>
      </c>
      <c r="T130" s="219" t="str">
        <f>Technology.codes[[#This Row],[Code]]</f>
        <v>Land.fill</v>
      </c>
      <c r="U130" s="219" t="str">
        <f>S130&amp;"."&amp;Regional.Technologies[[#This Row],[Technology]]</f>
        <v>G.Land.fill</v>
      </c>
      <c r="V130" s="219" t="str">
        <f>INDEX(Region.codes[Description],MATCH(S130,Region.codes[Code],0))&amp;" "&amp;INDEX(Technology.codes[Description],MATCH(Regional.Technologies[[#This Row],[Technology]],Technology.codes[Code],0))</f>
        <v>Global Land used for waste (buried or on surface)</v>
      </c>
      <c r="Y130" s="40"/>
    </row>
    <row r="131" spans="14:25">
      <c r="N131" s="253" t="s">
        <v>1233</v>
      </c>
      <c r="O131" s="165" t="s">
        <v>1233</v>
      </c>
      <c r="P131" s="165"/>
      <c r="Q131" s="165"/>
      <c r="S131" s="219" t="str">
        <f>Region.codes[Code]</f>
        <v>G</v>
      </c>
      <c r="T131" s="219" t="str">
        <f>Technology.codes[[#This Row],[Code]]</f>
        <v>Humans</v>
      </c>
      <c r="U131" s="219" t="str">
        <f>S131&amp;"."&amp;Regional.Technologies[[#This Row],[Technology]]</f>
        <v>G.Humans</v>
      </c>
      <c r="V131" s="219" t="str">
        <f>INDEX(Region.codes[Description],MATCH(S131,Region.codes[Code],0))&amp;" "&amp;INDEX(Technology.codes[Description],MATCH(Regional.Technologies[[#This Row],[Technology]],Technology.codes[Code],0))</f>
        <v>Global Humans</v>
      </c>
      <c r="Y131" s="40"/>
    </row>
    <row r="132" spans="14:25">
      <c r="N132" s="62" t="s">
        <v>1376</v>
      </c>
      <c r="O132" s="43" t="str">
        <f>Technology.codes[[#This Row],[Energy service]]&amp;" use in the "&amp;"Oxygen steel "&amp;"technology"</f>
        <v>Electricity use in the Oxygen steel technology</v>
      </c>
      <c r="P132" s="43" t="s">
        <v>24</v>
      </c>
      <c r="Q132" s="43" t="s">
        <v>1440</v>
      </c>
      <c r="S132" s="219" t="str">
        <f>Region.codes[Code]</f>
        <v>G</v>
      </c>
      <c r="T132" s="219" t="str">
        <f>Technology.codes[[#This Row],[Code]]</f>
        <v>Steel.Oxygen.Electricity</v>
      </c>
      <c r="U132" s="219" t="str">
        <f>S132&amp;"."&amp;Regional.Technologies[[#This Row],[Technology]]</f>
        <v>G.Steel.Oxygen.Electricity</v>
      </c>
      <c r="V132" s="219" t="str">
        <f>INDEX(Region.codes[Description],MATCH(S132,Region.codes[Code],0))&amp;" "&amp;INDEX(Technology.codes[Description],MATCH(Regional.Technologies[[#This Row],[Technology]],Technology.codes[Code],0))</f>
        <v>Global Electricity use in the Oxygen steel technology</v>
      </c>
      <c r="Y132" s="40"/>
    </row>
    <row r="133" spans="14:25">
      <c r="N133" s="62" t="s">
        <v>1798</v>
      </c>
      <c r="O133" s="43" t="str">
        <f>Technology.codes[[#This Row],[Energy service]]&amp;" use in the "&amp;"Oxygen steel "&amp;"technology"</f>
        <v>Coal use in the Oxygen steel technology</v>
      </c>
      <c r="P133" s="43" t="s">
        <v>888</v>
      </c>
      <c r="Q133" s="43" t="s">
        <v>1440</v>
      </c>
      <c r="S133" s="219" t="str">
        <f>Region.codes[Code]</f>
        <v>G</v>
      </c>
      <c r="T133" s="219" t="str">
        <f>Technology.codes[[#This Row],[Code]]</f>
        <v>Steel.Oxygen.Coal</v>
      </c>
      <c r="U133" s="219" t="str">
        <f>S133&amp;"."&amp;Regional.Technologies[[#This Row],[Technology]]</f>
        <v>G.Steel.Oxygen.Coal</v>
      </c>
      <c r="V133" s="219" t="str">
        <f>INDEX(Region.codes[Description],MATCH(S133,Region.codes[Code],0))&amp;" "&amp;INDEX(Technology.codes[Description],MATCH(Regional.Technologies[[#This Row],[Technology]],Technology.codes[Code],0))</f>
        <v>Global Coal use in the Oxygen steel technology</v>
      </c>
      <c r="Y133" s="40"/>
    </row>
    <row r="134" spans="14:25">
      <c r="N134" s="62" t="s">
        <v>1799</v>
      </c>
      <c r="O134" s="43" t="str">
        <f>Technology.codes[[#This Row],[Energy service]]&amp;" use in the "&amp;"Oxygen steel "&amp;"technology"</f>
        <v>Oil use in the Oxygen steel technology</v>
      </c>
      <c r="P134" s="43" t="s">
        <v>316</v>
      </c>
      <c r="Q134" s="43" t="s">
        <v>1440</v>
      </c>
      <c r="S134" s="219" t="str">
        <f>Region.codes[Code]</f>
        <v>G</v>
      </c>
      <c r="T134" s="219" t="str">
        <f>Technology.codes[[#This Row],[Code]]</f>
        <v>Steel.Oxygen.Oil</v>
      </c>
      <c r="U134" s="219" t="str">
        <f>S134&amp;"."&amp;Regional.Technologies[[#This Row],[Technology]]</f>
        <v>G.Steel.Oxygen.Oil</v>
      </c>
      <c r="V134" s="219" t="str">
        <f>INDEX(Region.codes[Description],MATCH(S134,Region.codes[Code],0))&amp;" "&amp;INDEX(Technology.codes[Description],MATCH(Regional.Technologies[[#This Row],[Technology]],Technology.codes[Code],0))</f>
        <v>Global Oil use in the Oxygen steel technology</v>
      </c>
      <c r="Y134" s="40"/>
    </row>
    <row r="135" spans="14:25">
      <c r="N135" s="62" t="s">
        <v>1800</v>
      </c>
      <c r="O135" s="43" t="str">
        <f>Technology.codes[[#This Row],[Energy service]]&amp;" use in the "&amp;"Oxygen steel "&amp;"technology"</f>
        <v>Natural Gas use in the Oxygen steel technology</v>
      </c>
      <c r="P135" s="43" t="s">
        <v>1801</v>
      </c>
      <c r="Q135" s="43" t="s">
        <v>1440</v>
      </c>
      <c r="S135" s="219" t="str">
        <f>Region.codes[Code]</f>
        <v>G</v>
      </c>
      <c r="T135" s="219" t="str">
        <f>Technology.codes[[#This Row],[Code]]</f>
        <v>Steel.Oxygen.NaturalGas</v>
      </c>
      <c r="U135" s="219" t="str">
        <f>S135&amp;"."&amp;Regional.Technologies[[#This Row],[Technology]]</f>
        <v>G.Steel.Oxygen.NaturalGas</v>
      </c>
      <c r="V135" s="219" t="str">
        <f>INDEX(Region.codes[Description],MATCH(S135,Region.codes[Code],0))&amp;" "&amp;INDEX(Technology.codes[Description],MATCH(Regional.Technologies[[#This Row],[Technology]],Technology.codes[Code],0))</f>
        <v>Global Natural Gas use in the Oxygen steel technology</v>
      </c>
      <c r="Y135" s="40"/>
    </row>
    <row r="136" spans="14:25">
      <c r="N136" s="62" t="s">
        <v>1802</v>
      </c>
      <c r="O136" s="43" t="str">
        <f>Technology.codes[[#This Row],[Energy service]]&amp;" use in the "&amp;"Oxygen steel "&amp;"technology"</f>
        <v>Solid Hydrocarbons use in the Oxygen steel technology</v>
      </c>
      <c r="P136" s="43" t="s">
        <v>1378</v>
      </c>
      <c r="Q136" s="43" t="s">
        <v>1440</v>
      </c>
      <c r="S136" s="219" t="str">
        <f>Region.codes[Code]</f>
        <v>G</v>
      </c>
      <c r="T136" s="219" t="str">
        <f>Technology.codes[[#This Row],[Code]]</f>
        <v>Steel.Oxygen.SolidHydrocarbons</v>
      </c>
      <c r="U136" s="219" t="str">
        <f>S136&amp;"."&amp;Regional.Technologies[[#This Row],[Technology]]</f>
        <v>G.Steel.Oxygen.SolidHydrocarbons</v>
      </c>
      <c r="V136" s="219" t="str">
        <f>INDEX(Region.codes[Description],MATCH(S136,Region.codes[Code],0))&amp;" "&amp;INDEX(Technology.codes[Description],MATCH(Regional.Technologies[[#This Row],[Technology]],Technology.codes[Code],0))</f>
        <v>Global Solid Hydrocarbons use in the Oxygen steel technology</v>
      </c>
      <c r="Y136" s="40"/>
    </row>
    <row r="137" spans="14:25">
      <c r="N137" s="62" t="s">
        <v>1635</v>
      </c>
      <c r="O137" s="43" t="str">
        <f>Technology.codes[[#This Row],[Energy service]]&amp;" use in the "&amp;"Oxygen steel "&amp;"technology"</f>
        <v>Heat use in the Oxygen steel technology</v>
      </c>
      <c r="P137" s="43" t="s">
        <v>323</v>
      </c>
      <c r="Q137" s="43" t="s">
        <v>1440</v>
      </c>
      <c r="S137" s="219" t="str">
        <f>Region.codes[Code]</f>
        <v>G</v>
      </c>
      <c r="T137" s="219" t="str">
        <f>Technology.codes[[#This Row],[Code]]</f>
        <v>Steel.Oxygen.Heat</v>
      </c>
      <c r="U137" s="219" t="str">
        <f>S137&amp;"."&amp;Regional.Technologies[[#This Row],[Technology]]</f>
        <v>G.Steel.Oxygen.Heat</v>
      </c>
      <c r="V137" s="219" t="str">
        <f>INDEX(Region.codes[Description],MATCH(S137,Region.codes[Code],0))&amp;" "&amp;INDEX(Technology.codes[Description],MATCH(Regional.Technologies[[#This Row],[Technology]],Technology.codes[Code],0))</f>
        <v>Global Heat use in the Oxygen steel technology</v>
      </c>
      <c r="Y137" s="40"/>
    </row>
    <row r="138" spans="14:25">
      <c r="N138" s="62" t="s">
        <v>2053</v>
      </c>
      <c r="O138" s="43" t="str">
        <f>Technology.codes[[#This Row],[Energy service]]&amp;" use in the "&amp;"Hisarna Oxygen steel "&amp;"technology"</f>
        <v>Electricity use in the Hisarna Oxygen steel technology</v>
      </c>
      <c r="P138" s="43" t="s">
        <v>24</v>
      </c>
      <c r="Q138" s="43" t="s">
        <v>1440</v>
      </c>
      <c r="S138" s="219" t="str">
        <f>Region.codes[Code]</f>
        <v>G</v>
      </c>
      <c r="T138" s="219" t="str">
        <f>Technology.codes[[#This Row],[Code]]</f>
        <v>Steel.OxygenHisarna.Electricity</v>
      </c>
      <c r="U138" s="219" t="str">
        <f>S138&amp;"."&amp;Regional.Technologies[[#This Row],[Technology]]</f>
        <v>G.Steel.OxygenHisarna.Electricity</v>
      </c>
      <c r="V138" s="219" t="str">
        <f>INDEX(Region.codes[Description],MATCH(S138,Region.codes[Code],0))&amp;" "&amp;INDEX(Technology.codes[Description],MATCH(Regional.Technologies[[#This Row],[Technology]],Technology.codes[Code],0))</f>
        <v>Global Electricity use in the Hisarna Oxygen steel technology</v>
      </c>
      <c r="Y138" s="40"/>
    </row>
    <row r="139" spans="14:25">
      <c r="N139" s="62" t="s">
        <v>2054</v>
      </c>
      <c r="O139" s="43" t="str">
        <f>Technology.codes[[#This Row],[Energy service]]&amp;" use in the "&amp;"Hisarna Oxygen steel "&amp;"technology"</f>
        <v>Coal use in the Hisarna Oxygen steel technology</v>
      </c>
      <c r="P139" s="43" t="s">
        <v>888</v>
      </c>
      <c r="Q139" s="43" t="s">
        <v>1440</v>
      </c>
      <c r="S139" s="219" t="str">
        <f>Region.codes[Code]</f>
        <v>G</v>
      </c>
      <c r="T139" s="219" t="str">
        <f>Technology.codes[[#This Row],[Code]]</f>
        <v>Steel.OxygenHisarna.Coal</v>
      </c>
      <c r="U139" s="219" t="str">
        <f>S139&amp;"."&amp;Regional.Technologies[[#This Row],[Technology]]</f>
        <v>G.Steel.OxygenHisarna.Coal</v>
      </c>
      <c r="V139" s="219" t="str">
        <f>INDEX(Region.codes[Description],MATCH(S139,Region.codes[Code],0))&amp;" "&amp;INDEX(Technology.codes[Description],MATCH(Regional.Technologies[[#This Row],[Technology]],Technology.codes[Code],0))</f>
        <v>Global Coal use in the Hisarna Oxygen steel technology</v>
      </c>
      <c r="Y139" s="40"/>
    </row>
    <row r="140" spans="14:25">
      <c r="N140" s="62" t="s">
        <v>2055</v>
      </c>
      <c r="O140" s="43" t="str">
        <f>Technology.codes[[#This Row],[Energy service]]&amp;" use in the "&amp;"Hisarna Oxygen steel "&amp;"technology"</f>
        <v>Oil use in the Hisarna Oxygen steel technology</v>
      </c>
      <c r="P140" s="43" t="s">
        <v>316</v>
      </c>
      <c r="Q140" s="43" t="s">
        <v>1440</v>
      </c>
      <c r="S140" s="219" t="str">
        <f>Region.codes[Code]</f>
        <v>G</v>
      </c>
      <c r="T140" s="219" t="str">
        <f>Technology.codes[[#This Row],[Code]]</f>
        <v>Steel.OxygenHisarna.Oil</v>
      </c>
      <c r="U140" s="219" t="str">
        <f>S140&amp;"."&amp;Regional.Technologies[[#This Row],[Technology]]</f>
        <v>G.Steel.OxygenHisarna.Oil</v>
      </c>
      <c r="V140" s="219" t="str">
        <f>INDEX(Region.codes[Description],MATCH(S140,Region.codes[Code],0))&amp;" "&amp;INDEX(Technology.codes[Description],MATCH(Regional.Technologies[[#This Row],[Technology]],Technology.codes[Code],0))</f>
        <v>Global Oil use in the Hisarna Oxygen steel technology</v>
      </c>
      <c r="Y140" s="40"/>
    </row>
    <row r="141" spans="14:25">
      <c r="N141" s="62" t="s">
        <v>2056</v>
      </c>
      <c r="O141" s="43" t="str">
        <f>Technology.codes[[#This Row],[Energy service]]&amp;" use in the "&amp;"Hisarna Oxygen steel "&amp;"technology"</f>
        <v>Natural Gas use in the Hisarna Oxygen steel technology</v>
      </c>
      <c r="P141" s="43" t="s">
        <v>1801</v>
      </c>
      <c r="Q141" s="43" t="s">
        <v>1440</v>
      </c>
      <c r="S141" s="219" t="str">
        <f>Region.codes[Code]</f>
        <v>G</v>
      </c>
      <c r="T141" s="219" t="str">
        <f>Technology.codes[[#This Row],[Code]]</f>
        <v>Steel.OxygenHisarna.NaturalGas</v>
      </c>
      <c r="U141" s="219" t="str">
        <f>S141&amp;"."&amp;Regional.Technologies[[#This Row],[Technology]]</f>
        <v>G.Steel.OxygenHisarna.NaturalGas</v>
      </c>
      <c r="V141" s="219" t="str">
        <f>INDEX(Region.codes[Description],MATCH(S141,Region.codes[Code],0))&amp;" "&amp;INDEX(Technology.codes[Description],MATCH(Regional.Technologies[[#This Row],[Technology]],Technology.codes[Code],0))</f>
        <v>Global Natural Gas use in the Hisarna Oxygen steel technology</v>
      </c>
      <c r="Y141" s="40"/>
    </row>
    <row r="142" spans="14:25">
      <c r="N142" s="62" t="s">
        <v>2057</v>
      </c>
      <c r="O142" s="43" t="str">
        <f>Technology.codes[[#This Row],[Energy service]]&amp;" use in the "&amp;"Hisarna Oxygen steel "&amp;"technology"</f>
        <v>Solid Hydrocarbons use in the Hisarna Oxygen steel technology</v>
      </c>
      <c r="P142" s="43" t="s">
        <v>1378</v>
      </c>
      <c r="Q142" s="43" t="s">
        <v>1440</v>
      </c>
      <c r="S142" s="219" t="str">
        <f>Region.codes[Code]</f>
        <v>G</v>
      </c>
      <c r="T142" s="219" t="str">
        <f>Technology.codes[[#This Row],[Code]]</f>
        <v>Steel.OxygenHisarna.SolidHydrocarbons</v>
      </c>
      <c r="U142" s="219" t="str">
        <f>S142&amp;"."&amp;Regional.Technologies[[#This Row],[Technology]]</f>
        <v>G.Steel.OxygenHisarna.SolidHydrocarbons</v>
      </c>
      <c r="V142" s="219" t="str">
        <f>INDEX(Region.codes[Description],MATCH(S142,Region.codes[Code],0))&amp;" "&amp;INDEX(Technology.codes[Description],MATCH(Regional.Technologies[[#This Row],[Technology]],Technology.codes[Code],0))</f>
        <v>Global Solid Hydrocarbons use in the Hisarna Oxygen steel technology</v>
      </c>
      <c r="Y142" s="40"/>
    </row>
    <row r="143" spans="14:25">
      <c r="N143" s="62" t="s">
        <v>2058</v>
      </c>
      <c r="O143" s="43" t="str">
        <f>Technology.codes[[#This Row],[Energy service]]&amp;" use in the "&amp;"Hisarna Oxygen steel "&amp;"technology"</f>
        <v>Heat use in the Hisarna Oxygen steel technology</v>
      </c>
      <c r="P143" s="43" t="s">
        <v>323</v>
      </c>
      <c r="Q143" s="43" t="s">
        <v>1440</v>
      </c>
      <c r="S143" s="219" t="str">
        <f>Region.codes[Code]</f>
        <v>G</v>
      </c>
      <c r="T143" s="219" t="str">
        <f>Technology.codes[[#This Row],[Code]]</f>
        <v>Steel.OxygenHisarna.Heat</v>
      </c>
      <c r="U143" s="219" t="str">
        <f>S143&amp;"."&amp;Regional.Technologies[[#This Row],[Technology]]</f>
        <v>G.Steel.OxygenHisarna.Heat</v>
      </c>
      <c r="V143" s="219" t="str">
        <f>INDEX(Region.codes[Description],MATCH(S143,Region.codes[Code],0))&amp;" "&amp;INDEX(Technology.codes[Description],MATCH(Regional.Technologies[[#This Row],[Technology]],Technology.codes[Code],0))</f>
        <v>Global Heat use in the Hisarna Oxygen steel technology</v>
      </c>
      <c r="Y143" s="40"/>
    </row>
    <row r="144" spans="14:25">
      <c r="N144" s="62" t="s">
        <v>1379</v>
      </c>
      <c r="O144" s="43" t="str">
        <f>Technology.codes[[#This Row],[Energy service]]&amp;" use in the "&amp;"Electric steel "&amp;"technology"</f>
        <v>Electricity use in the Electric steel technology</v>
      </c>
      <c r="P144" s="43" t="s">
        <v>24</v>
      </c>
      <c r="Q144" s="43" t="s">
        <v>1440</v>
      </c>
      <c r="S144" s="219" t="str">
        <f>Region.codes[Code]</f>
        <v>G</v>
      </c>
      <c r="T144" s="219" t="str">
        <f>Technology.codes[[#This Row],[Code]]</f>
        <v>Steel.Electric.Electricity</v>
      </c>
      <c r="U144" s="219" t="str">
        <f>S144&amp;"."&amp;Regional.Technologies[[#This Row],[Technology]]</f>
        <v>G.Steel.Electric.Electricity</v>
      </c>
      <c r="V144" s="219" t="str">
        <f>INDEX(Region.codes[Description],MATCH(S144,Region.codes[Code],0))&amp;" "&amp;INDEX(Technology.codes[Description],MATCH(Regional.Technologies[[#This Row],[Technology]],Technology.codes[Code],0))</f>
        <v>Global Electricity use in the Electric steel technology</v>
      </c>
      <c r="Y144" s="40"/>
    </row>
    <row r="145" spans="14:25">
      <c r="N145" s="62" t="s">
        <v>1803</v>
      </c>
      <c r="O145" s="43" t="str">
        <f>Technology.codes[[#This Row],[Energy service]]&amp;" use in the "&amp;"Electric steel "&amp;"technology"</f>
        <v>Coal use in the Electric steel technology</v>
      </c>
      <c r="P145" s="43" t="s">
        <v>888</v>
      </c>
      <c r="Q145" s="43" t="s">
        <v>1440</v>
      </c>
      <c r="S145" s="219" t="str">
        <f>Region.codes[Code]</f>
        <v>G</v>
      </c>
      <c r="T145" s="219" t="str">
        <f>Technology.codes[[#This Row],[Code]]</f>
        <v>Steel.Electric.Coal</v>
      </c>
      <c r="U145" s="219" t="str">
        <f>S145&amp;"."&amp;Regional.Technologies[[#This Row],[Technology]]</f>
        <v>G.Steel.Electric.Coal</v>
      </c>
      <c r="V145" s="219" t="str">
        <f>INDEX(Region.codes[Description],MATCH(S145,Region.codes[Code],0))&amp;" "&amp;INDEX(Technology.codes[Description],MATCH(Regional.Technologies[[#This Row],[Technology]],Technology.codes[Code],0))</f>
        <v>Global Coal use in the Electric steel technology</v>
      </c>
      <c r="Y145" s="40"/>
    </row>
    <row r="146" spans="14:25">
      <c r="N146" s="62" t="s">
        <v>1804</v>
      </c>
      <c r="O146" s="43" t="str">
        <f>Technology.codes[[#This Row],[Energy service]]&amp;" use in the "&amp;"Electric steel "&amp;"technology"</f>
        <v>Oil use in the Electric steel technology</v>
      </c>
      <c r="P146" s="43" t="s">
        <v>316</v>
      </c>
      <c r="Q146" s="43" t="s">
        <v>1440</v>
      </c>
      <c r="S146" s="219" t="str">
        <f>Region.codes[Code]</f>
        <v>G</v>
      </c>
      <c r="T146" s="219" t="str">
        <f>Technology.codes[[#This Row],[Code]]</f>
        <v>Steel.Electric.Oil</v>
      </c>
      <c r="U146" s="219" t="str">
        <f>S146&amp;"."&amp;Regional.Technologies[[#This Row],[Technology]]</f>
        <v>G.Steel.Electric.Oil</v>
      </c>
      <c r="V146" s="219" t="str">
        <f>INDEX(Region.codes[Description],MATCH(S146,Region.codes[Code],0))&amp;" "&amp;INDEX(Technology.codes[Description],MATCH(Regional.Technologies[[#This Row],[Technology]],Technology.codes[Code],0))</f>
        <v>Global Oil use in the Electric steel technology</v>
      </c>
      <c r="Y146" s="40"/>
    </row>
    <row r="147" spans="14:25">
      <c r="N147" s="62" t="s">
        <v>1805</v>
      </c>
      <c r="O147" s="43" t="str">
        <f>Technology.codes[[#This Row],[Energy service]]&amp;" use in the "&amp;"Electric steel "&amp;"technology"</f>
        <v>Natural Gas use in the Electric steel technology</v>
      </c>
      <c r="P147" s="43" t="s">
        <v>1801</v>
      </c>
      <c r="Q147" s="43" t="s">
        <v>1440</v>
      </c>
      <c r="S147" s="219" t="str">
        <f>Region.codes[Code]</f>
        <v>G</v>
      </c>
      <c r="T147" s="219" t="str">
        <f>Technology.codes[[#This Row],[Code]]</f>
        <v>Steel.Electric.NaturalGas</v>
      </c>
      <c r="U147" s="219" t="str">
        <f>S147&amp;"."&amp;Regional.Technologies[[#This Row],[Technology]]</f>
        <v>G.Steel.Electric.NaturalGas</v>
      </c>
      <c r="V147" s="219" t="str">
        <f>INDEX(Region.codes[Description],MATCH(S147,Region.codes[Code],0))&amp;" "&amp;INDEX(Technology.codes[Description],MATCH(Regional.Technologies[[#This Row],[Technology]],Technology.codes[Code],0))</f>
        <v>Global Natural Gas use in the Electric steel technology</v>
      </c>
      <c r="Y147" s="40"/>
    </row>
    <row r="148" spans="14:25">
      <c r="N148" s="62" t="s">
        <v>1806</v>
      </c>
      <c r="O148" s="43" t="str">
        <f>Technology.codes[[#This Row],[Energy service]]&amp;" use in the "&amp;"Electric steel "&amp;"technology"</f>
        <v>Solid Hydrocarbons use in the Electric steel technology</v>
      </c>
      <c r="P148" s="43" t="s">
        <v>1378</v>
      </c>
      <c r="Q148" s="43" t="s">
        <v>1440</v>
      </c>
      <c r="S148" s="219" t="str">
        <f>Region.codes[Code]</f>
        <v>G</v>
      </c>
      <c r="T148" s="219" t="str">
        <f>Technology.codes[[#This Row],[Code]]</f>
        <v>Steel.Electric.SolidHydrocarbons</v>
      </c>
      <c r="U148" s="219" t="str">
        <f>S148&amp;"."&amp;Regional.Technologies[[#This Row],[Technology]]</f>
        <v>G.Steel.Electric.SolidHydrocarbons</v>
      </c>
      <c r="V148" s="219" t="str">
        <f>INDEX(Region.codes[Description],MATCH(S148,Region.codes[Code],0))&amp;" "&amp;INDEX(Technology.codes[Description],MATCH(Regional.Technologies[[#This Row],[Technology]],Technology.codes[Code],0))</f>
        <v>Global Solid Hydrocarbons use in the Electric steel technology</v>
      </c>
      <c r="Y148" s="40"/>
    </row>
    <row r="149" spans="14:25">
      <c r="N149" s="62" t="s">
        <v>1636</v>
      </c>
      <c r="O149" s="43" t="str">
        <f>Technology.codes[[#This Row],[Energy service]]&amp;" use in the "&amp;"Electric steel "&amp;"technology"</f>
        <v>Heat use in the Electric steel technology</v>
      </c>
      <c r="P149" s="43" t="s">
        <v>323</v>
      </c>
      <c r="Q149" s="43" t="s">
        <v>1440</v>
      </c>
      <c r="S149" s="219" t="str">
        <f>Region.codes[Code]</f>
        <v>G</v>
      </c>
      <c r="T149" s="219" t="str">
        <f>Technology.codes[[#This Row],[Code]]</f>
        <v>Steel.Electric.Heat</v>
      </c>
      <c r="U149" s="219" t="str">
        <f>S149&amp;"."&amp;Regional.Technologies[[#This Row],[Technology]]</f>
        <v>G.Steel.Electric.Heat</v>
      </c>
      <c r="V149" s="219" t="str">
        <f>INDEX(Region.codes[Description],MATCH(S149,Region.codes[Code],0))&amp;" "&amp;INDEX(Technology.codes[Description],MATCH(Regional.Technologies[[#This Row],[Technology]],Technology.codes[Code],0))</f>
        <v>Global Heat use in the Electric steel technology</v>
      </c>
      <c r="Y149" s="40"/>
    </row>
    <row r="150" spans="14:25">
      <c r="N150" s="62" t="s">
        <v>1807</v>
      </c>
      <c r="O150" s="43" t="str">
        <f>Technology.codes[[#This Row],[Energy service]]&amp;" use in the "&amp;"Alumina Aluminium "&amp;"technology"</f>
        <v>Electricity use in the Alumina Aluminium technology</v>
      </c>
      <c r="P150" s="43" t="s">
        <v>24</v>
      </c>
      <c r="Q150" s="43" t="s">
        <v>1440</v>
      </c>
      <c r="S150" s="219" t="str">
        <f>Region.codes[Code]</f>
        <v>G</v>
      </c>
      <c r="T150" s="219" t="str">
        <f>Technology.codes[[#This Row],[Code]]</f>
        <v>Aluminium.Alumina.Electricity</v>
      </c>
      <c r="U150" s="219" t="str">
        <f>S150&amp;"."&amp;Regional.Technologies[[#This Row],[Technology]]</f>
        <v>G.Aluminium.Alumina.Electricity</v>
      </c>
      <c r="V150" s="219" t="str">
        <f>INDEX(Region.codes[Description],MATCH(S150,Region.codes[Code],0))&amp;" "&amp;INDEX(Technology.codes[Description],MATCH(Regional.Technologies[[#This Row],[Technology]],Technology.codes[Code],0))</f>
        <v>Global Electricity use in the Alumina Aluminium technology</v>
      </c>
      <c r="Y150" s="40"/>
    </row>
    <row r="151" spans="14:25">
      <c r="N151" s="62" t="s">
        <v>1808</v>
      </c>
      <c r="O151" s="43" t="str">
        <f>Technology.codes[[#This Row],[Energy service]]&amp;" use in the "&amp;"Alumina Aluminium "&amp;"technology"</f>
        <v>Coal use in the Alumina Aluminium technology</v>
      </c>
      <c r="P151" s="43" t="s">
        <v>888</v>
      </c>
      <c r="Q151" s="43" t="s">
        <v>1440</v>
      </c>
      <c r="S151" s="219" t="str">
        <f>Region.codes[Code]</f>
        <v>G</v>
      </c>
      <c r="T151" s="219" t="str">
        <f>Technology.codes[[#This Row],[Code]]</f>
        <v>Aluminium.Alumina.Coal</v>
      </c>
      <c r="U151" s="219" t="str">
        <f>S151&amp;"."&amp;Regional.Technologies[[#This Row],[Technology]]</f>
        <v>G.Aluminium.Alumina.Coal</v>
      </c>
      <c r="V151" s="219" t="str">
        <f>INDEX(Region.codes[Description],MATCH(S151,Region.codes[Code],0))&amp;" "&amp;INDEX(Technology.codes[Description],MATCH(Regional.Technologies[[#This Row],[Technology]],Technology.codes[Code],0))</f>
        <v>Global Coal use in the Alumina Aluminium technology</v>
      </c>
      <c r="Y151" s="40"/>
    </row>
    <row r="152" spans="14:25">
      <c r="N152" s="62" t="s">
        <v>1809</v>
      </c>
      <c r="O152" s="43" t="str">
        <f>Technology.codes[[#This Row],[Energy service]]&amp;" use in the "&amp;"Alumina Aluminium "&amp;"technology"</f>
        <v>Oil use in the Alumina Aluminium technology</v>
      </c>
      <c r="P152" s="43" t="s">
        <v>316</v>
      </c>
      <c r="Q152" s="43" t="s">
        <v>1440</v>
      </c>
      <c r="S152" s="219" t="str">
        <f>Region.codes[Code]</f>
        <v>G</v>
      </c>
      <c r="T152" s="219" t="str">
        <f>Technology.codes[[#This Row],[Code]]</f>
        <v>Aluminium.Alumina.Oil</v>
      </c>
      <c r="U152" s="219" t="str">
        <f>S152&amp;"."&amp;Regional.Technologies[[#This Row],[Technology]]</f>
        <v>G.Aluminium.Alumina.Oil</v>
      </c>
      <c r="V152" s="219" t="str">
        <f>INDEX(Region.codes[Description],MATCH(S152,Region.codes[Code],0))&amp;" "&amp;INDEX(Technology.codes[Description],MATCH(Regional.Technologies[[#This Row],[Technology]],Technology.codes[Code],0))</f>
        <v>Global Oil use in the Alumina Aluminium technology</v>
      </c>
      <c r="Y152" s="40"/>
    </row>
    <row r="153" spans="14:25">
      <c r="N153" s="62" t="s">
        <v>1810</v>
      </c>
      <c r="O153" s="43" t="str">
        <f>Technology.codes[[#This Row],[Energy service]]&amp;" use in the "&amp;"Alumina Aluminium "&amp;"technology"</f>
        <v>Natural Gas use in the Alumina Aluminium technology</v>
      </c>
      <c r="P153" s="43" t="s">
        <v>1801</v>
      </c>
      <c r="Q153" s="43" t="s">
        <v>1440</v>
      </c>
      <c r="S153" s="219" t="str">
        <f>Region.codes[Code]</f>
        <v>G</v>
      </c>
      <c r="T153" s="219" t="str">
        <f>Technology.codes[[#This Row],[Code]]</f>
        <v>Aluminium.Alumina.NaturalGas</v>
      </c>
      <c r="U153" s="219" t="str">
        <f>S153&amp;"."&amp;Regional.Technologies[[#This Row],[Technology]]</f>
        <v>G.Aluminium.Alumina.NaturalGas</v>
      </c>
      <c r="V153" s="219" t="str">
        <f>INDEX(Region.codes[Description],MATCH(S153,Region.codes[Code],0))&amp;" "&amp;INDEX(Technology.codes[Description],MATCH(Regional.Technologies[[#This Row],[Technology]],Technology.codes[Code],0))</f>
        <v>Global Natural Gas use in the Alumina Aluminium technology</v>
      </c>
      <c r="Y153" s="40"/>
    </row>
    <row r="154" spans="14:25">
      <c r="N154" s="62" t="s">
        <v>1811</v>
      </c>
      <c r="O154" s="43" t="str">
        <f>Technology.codes[[#This Row],[Energy service]]&amp;" use in the "&amp;"Alumina Aluminium "&amp;"technology"</f>
        <v>Solid Hydrocarbons use in the Alumina Aluminium technology</v>
      </c>
      <c r="P154" s="43" t="s">
        <v>1378</v>
      </c>
      <c r="Q154" s="43" t="s">
        <v>1440</v>
      </c>
      <c r="S154" s="219" t="str">
        <f>Region.codes[Code]</f>
        <v>G</v>
      </c>
      <c r="T154" s="219" t="str">
        <f>Technology.codes[[#This Row],[Code]]</f>
        <v>Aluminium.Alumina.SolidHydrocarbons</v>
      </c>
      <c r="U154" s="219" t="str">
        <f>S154&amp;"."&amp;Regional.Technologies[[#This Row],[Technology]]</f>
        <v>G.Aluminium.Alumina.SolidHydrocarbons</v>
      </c>
      <c r="V154" s="219" t="str">
        <f>INDEX(Region.codes[Description],MATCH(S154,Region.codes[Code],0))&amp;" "&amp;INDEX(Technology.codes[Description],MATCH(Regional.Technologies[[#This Row],[Technology]],Technology.codes[Code],0))</f>
        <v>Global Solid Hydrocarbons use in the Alumina Aluminium technology</v>
      </c>
      <c r="Y154" s="40"/>
    </row>
    <row r="155" spans="14:25">
      <c r="N155" s="62" t="s">
        <v>1812</v>
      </c>
      <c r="O155" s="43" t="str">
        <f>Technology.codes[[#This Row],[Energy service]]&amp;" use in the "&amp;"Alumina Aluminium "&amp;"technology"</f>
        <v>Heat use in the Alumina Aluminium technology</v>
      </c>
      <c r="P155" s="43" t="s">
        <v>323</v>
      </c>
      <c r="Q155" s="43" t="s">
        <v>1440</v>
      </c>
      <c r="S155" s="219" t="str">
        <f>Region.codes[Code]</f>
        <v>G</v>
      </c>
      <c r="T155" s="219" t="str">
        <f>Technology.codes[[#This Row],[Code]]</f>
        <v>Aluminium.Alumina.Heat</v>
      </c>
      <c r="U155" s="219" t="str">
        <f>S155&amp;"."&amp;Regional.Technologies[[#This Row],[Technology]]</f>
        <v>G.Aluminium.Alumina.Heat</v>
      </c>
      <c r="V155" s="219" t="str">
        <f>INDEX(Region.codes[Description],MATCH(S155,Region.codes[Code],0))&amp;" "&amp;INDEX(Technology.codes[Description],MATCH(Regional.Technologies[[#This Row],[Technology]],Technology.codes[Code],0))</f>
        <v>Global Heat use in the Alumina Aluminium technology</v>
      </c>
    </row>
    <row r="156" spans="14:25">
      <c r="N156" s="62" t="s">
        <v>1639</v>
      </c>
      <c r="O156" s="43" t="str">
        <f>Technology.codes[[#This Row],[Energy service]]&amp;" use in the "&amp;"Primary Aluminium "&amp;"technology"</f>
        <v>Electricity use in the Primary Aluminium technology</v>
      </c>
      <c r="P156" s="43" t="s">
        <v>24</v>
      </c>
      <c r="Q156" s="43" t="s">
        <v>1440</v>
      </c>
      <c r="S156" s="219" t="str">
        <f>Region.codes[Code]</f>
        <v>G</v>
      </c>
      <c r="T156" s="219" t="str">
        <f>Technology.codes[[#This Row],[Code]]</f>
        <v>Aluminium.Primary.Electricity</v>
      </c>
      <c r="U156" s="219" t="str">
        <f>S156&amp;"."&amp;Regional.Technologies[[#This Row],[Technology]]</f>
        <v>G.Aluminium.Primary.Electricity</v>
      </c>
      <c r="V156" s="219" t="str">
        <f>INDEX(Region.codes[Description],MATCH(S156,Region.codes[Code],0))&amp;" "&amp;INDEX(Technology.codes[Description],MATCH(Regional.Technologies[[#This Row],[Technology]],Technology.codes[Code],0))</f>
        <v>Global Electricity use in the Primary Aluminium technology</v>
      </c>
    </row>
    <row r="157" spans="14:25">
      <c r="N157" s="62" t="s">
        <v>1813</v>
      </c>
      <c r="O157" s="43" t="str">
        <f>Technology.codes[[#This Row],[Energy service]]&amp;" use in the "&amp;"Primary Aluminium "&amp;"technology"</f>
        <v>Coal use in the Primary Aluminium technology</v>
      </c>
      <c r="P157" s="43" t="s">
        <v>888</v>
      </c>
      <c r="Q157" s="43" t="s">
        <v>1440</v>
      </c>
      <c r="S157" s="219" t="str">
        <f>Region.codes[Code]</f>
        <v>G</v>
      </c>
      <c r="T157" s="219" t="str">
        <f>Technology.codes[[#This Row],[Code]]</f>
        <v>Aluminium.Primary.Coal</v>
      </c>
      <c r="U157" s="219" t="str">
        <f>S157&amp;"."&amp;Regional.Technologies[[#This Row],[Technology]]</f>
        <v>G.Aluminium.Primary.Coal</v>
      </c>
      <c r="V157" s="219" t="str">
        <f>INDEX(Region.codes[Description],MATCH(S157,Region.codes[Code],0))&amp;" "&amp;INDEX(Technology.codes[Description],MATCH(Regional.Technologies[[#This Row],[Technology]],Technology.codes[Code],0))</f>
        <v>Global Coal use in the Primary Aluminium technology</v>
      </c>
    </row>
    <row r="158" spans="14:25">
      <c r="N158" s="62" t="s">
        <v>1814</v>
      </c>
      <c r="O158" s="43" t="str">
        <f>Technology.codes[[#This Row],[Energy service]]&amp;" use in the "&amp;"Primary Aluminium "&amp;"technology"</f>
        <v>Oil use in the Primary Aluminium technology</v>
      </c>
      <c r="P158" s="43" t="s">
        <v>316</v>
      </c>
      <c r="Q158" s="43" t="s">
        <v>1440</v>
      </c>
      <c r="S158" s="219" t="str">
        <f>Region.codes[Code]</f>
        <v>G</v>
      </c>
      <c r="T158" s="219" t="str">
        <f>Technology.codes[[#This Row],[Code]]</f>
        <v>Aluminium.Primary.Oil</v>
      </c>
      <c r="U158" s="219" t="str">
        <f>S158&amp;"."&amp;Regional.Technologies[[#This Row],[Technology]]</f>
        <v>G.Aluminium.Primary.Oil</v>
      </c>
      <c r="V158" s="219" t="str">
        <f>INDEX(Region.codes[Description],MATCH(S158,Region.codes[Code],0))&amp;" "&amp;INDEX(Technology.codes[Description],MATCH(Regional.Technologies[[#This Row],[Technology]],Technology.codes[Code],0))</f>
        <v>Global Oil use in the Primary Aluminium technology</v>
      </c>
    </row>
    <row r="159" spans="14:25">
      <c r="N159" s="62" t="s">
        <v>1815</v>
      </c>
      <c r="O159" s="43" t="str">
        <f>Technology.codes[[#This Row],[Energy service]]&amp;" use in the "&amp;"Primary Aluminium "&amp;"technology"</f>
        <v>Natural Gas use in the Primary Aluminium technology</v>
      </c>
      <c r="P159" s="43" t="s">
        <v>1801</v>
      </c>
      <c r="Q159" s="43" t="s">
        <v>1440</v>
      </c>
      <c r="S159" s="219" t="str">
        <f>Region.codes[Code]</f>
        <v>G</v>
      </c>
      <c r="T159" s="219" t="str">
        <f>Technology.codes[[#This Row],[Code]]</f>
        <v>Aluminium.Primary.NaturalGas</v>
      </c>
      <c r="U159" s="219" t="str">
        <f>S159&amp;"."&amp;Regional.Technologies[[#This Row],[Technology]]</f>
        <v>G.Aluminium.Primary.NaturalGas</v>
      </c>
      <c r="V159" s="219" t="str">
        <f>INDEX(Region.codes[Description],MATCH(S159,Region.codes[Code],0))&amp;" "&amp;INDEX(Technology.codes[Description],MATCH(Regional.Technologies[[#This Row],[Technology]],Technology.codes[Code],0))</f>
        <v>Global Natural Gas use in the Primary Aluminium technology</v>
      </c>
    </row>
    <row r="160" spans="14:25">
      <c r="N160" s="62" t="s">
        <v>1816</v>
      </c>
      <c r="O160" s="43" t="str">
        <f>Technology.codes[[#This Row],[Energy service]]&amp;" use in the "&amp;"Primary Aluminium "&amp;"technology"</f>
        <v>Solid Hydrocarbons use in the Primary Aluminium technology</v>
      </c>
      <c r="P160" s="43" t="s">
        <v>1378</v>
      </c>
      <c r="Q160" s="43" t="s">
        <v>1440</v>
      </c>
      <c r="S160" s="219" t="str">
        <f>Region.codes[Code]</f>
        <v>G</v>
      </c>
      <c r="T160" s="219" t="str">
        <f>Technology.codes[[#This Row],[Code]]</f>
        <v>Aluminium.Primary.SolidHydrocarbons</v>
      </c>
      <c r="U160" s="219" t="str">
        <f>S160&amp;"."&amp;Regional.Technologies[[#This Row],[Technology]]</f>
        <v>G.Aluminium.Primary.SolidHydrocarbons</v>
      </c>
      <c r="V160" s="219" t="str">
        <f>INDEX(Region.codes[Description],MATCH(S160,Region.codes[Code],0))&amp;" "&amp;INDEX(Technology.codes[Description],MATCH(Regional.Technologies[[#This Row],[Technology]],Technology.codes[Code],0))</f>
        <v>Global Solid Hydrocarbons use in the Primary Aluminium technology</v>
      </c>
    </row>
    <row r="161" spans="14:22">
      <c r="N161" s="62" t="s">
        <v>1640</v>
      </c>
      <c r="O161" s="43" t="str">
        <f>Technology.codes[[#This Row],[Energy service]]&amp;" use in the "&amp;"Primary Aluminium "&amp;"technology"</f>
        <v>Heat use in the Primary Aluminium technology</v>
      </c>
      <c r="P161" s="43" t="s">
        <v>323</v>
      </c>
      <c r="Q161" s="43" t="s">
        <v>1440</v>
      </c>
      <c r="S161" s="219" t="str">
        <f>Region.codes[Code]</f>
        <v>G</v>
      </c>
      <c r="T161" s="219" t="str">
        <f>Technology.codes[[#This Row],[Code]]</f>
        <v>Aluminium.Primary.Heat</v>
      </c>
      <c r="U161" s="219" t="str">
        <f>S161&amp;"."&amp;Regional.Technologies[[#This Row],[Technology]]</f>
        <v>G.Aluminium.Primary.Heat</v>
      </c>
      <c r="V161" s="219" t="str">
        <f>INDEX(Region.codes[Description],MATCH(S161,Region.codes[Code],0))&amp;" "&amp;INDEX(Technology.codes[Description],MATCH(Regional.Technologies[[#This Row],[Technology]],Technology.codes[Code],0))</f>
        <v>Global Heat use in the Primary Aluminium technology</v>
      </c>
    </row>
    <row r="162" spans="14:22">
      <c r="N162" s="62" t="s">
        <v>1641</v>
      </c>
      <c r="O162" s="43" t="str">
        <f>Technology.codes[[#This Row],[Energy service]]&amp;" use in the "&amp;"Secondary Aluminium "&amp;"technology"</f>
        <v>Electricity use in the Secondary Aluminium technology</v>
      </c>
      <c r="P162" s="43" t="s">
        <v>24</v>
      </c>
      <c r="Q162" s="43" t="s">
        <v>1440</v>
      </c>
      <c r="S162" s="219" t="str">
        <f>Region.codes[Code]</f>
        <v>G</v>
      </c>
      <c r="T162" s="219" t="str">
        <f>Technology.codes[[#This Row],[Code]]</f>
        <v>Aluminium.Secondary.Electricity</v>
      </c>
      <c r="U162" s="219" t="str">
        <f>S162&amp;"."&amp;Regional.Technologies[[#This Row],[Technology]]</f>
        <v>G.Aluminium.Secondary.Electricity</v>
      </c>
      <c r="V162" s="219" t="str">
        <f>INDEX(Region.codes[Description],MATCH(S162,Region.codes[Code],0))&amp;" "&amp;INDEX(Technology.codes[Description],MATCH(Regional.Technologies[[#This Row],[Technology]],Technology.codes[Code],0))</f>
        <v>Global Electricity use in the Secondary Aluminium technology</v>
      </c>
    </row>
    <row r="163" spans="14:22">
      <c r="N163" s="62" t="s">
        <v>1817</v>
      </c>
      <c r="O163" s="43" t="str">
        <f>Technology.codes[[#This Row],[Energy service]]&amp;" use in the "&amp;"Secondary Aluminium "&amp;"technology"</f>
        <v>Coal use in the Secondary Aluminium technology</v>
      </c>
      <c r="P163" s="43" t="s">
        <v>888</v>
      </c>
      <c r="Q163" s="43" t="s">
        <v>1440</v>
      </c>
      <c r="S163" s="219" t="str">
        <f>Region.codes[Code]</f>
        <v>G</v>
      </c>
      <c r="T163" s="219" t="str">
        <f>Technology.codes[[#This Row],[Code]]</f>
        <v>Aluminium.Secondary.Coal</v>
      </c>
      <c r="U163" s="219" t="str">
        <f>S163&amp;"."&amp;Regional.Technologies[[#This Row],[Technology]]</f>
        <v>G.Aluminium.Secondary.Coal</v>
      </c>
      <c r="V163" s="219" t="str">
        <f>INDEX(Region.codes[Description],MATCH(S163,Region.codes[Code],0))&amp;" "&amp;INDEX(Technology.codes[Description],MATCH(Regional.Technologies[[#This Row],[Technology]],Technology.codes[Code],0))</f>
        <v>Global Coal use in the Secondary Aluminium technology</v>
      </c>
    </row>
    <row r="164" spans="14:22">
      <c r="N164" s="62" t="s">
        <v>1818</v>
      </c>
      <c r="O164" s="43" t="str">
        <f>Technology.codes[[#This Row],[Energy service]]&amp;" use in the "&amp;"Secondary Aluminium "&amp;"technology"</f>
        <v>Oil use in the Secondary Aluminium technology</v>
      </c>
      <c r="P164" s="43" t="s">
        <v>316</v>
      </c>
      <c r="Q164" s="43" t="s">
        <v>1440</v>
      </c>
      <c r="S164" s="219" t="str">
        <f>Region.codes[Code]</f>
        <v>G</v>
      </c>
      <c r="T164" s="219" t="str">
        <f>Technology.codes[[#This Row],[Code]]</f>
        <v>Aluminium.Secondary.Oil</v>
      </c>
      <c r="U164" s="219" t="str">
        <f>S164&amp;"."&amp;Regional.Technologies[[#This Row],[Technology]]</f>
        <v>G.Aluminium.Secondary.Oil</v>
      </c>
      <c r="V164" s="219" t="str">
        <f>INDEX(Region.codes[Description],MATCH(S164,Region.codes[Code],0))&amp;" "&amp;INDEX(Technology.codes[Description],MATCH(Regional.Technologies[[#This Row],[Technology]],Technology.codes[Code],0))</f>
        <v>Global Oil use in the Secondary Aluminium technology</v>
      </c>
    </row>
    <row r="165" spans="14:22">
      <c r="N165" s="62" t="s">
        <v>1819</v>
      </c>
      <c r="O165" s="43" t="str">
        <f>Technology.codes[[#This Row],[Energy service]]&amp;" use in the "&amp;"Secondary Aluminium "&amp;"technology"</f>
        <v>Natural Gas use in the Secondary Aluminium technology</v>
      </c>
      <c r="P165" s="43" t="s">
        <v>1801</v>
      </c>
      <c r="Q165" s="43" t="s">
        <v>1440</v>
      </c>
      <c r="S165" s="219" t="str">
        <f>Region.codes[Code]</f>
        <v>G</v>
      </c>
      <c r="T165" s="219" t="str">
        <f>Technology.codes[[#This Row],[Code]]</f>
        <v>Aluminium.Secondary.NaturalGas</v>
      </c>
      <c r="U165" s="219" t="str">
        <f>S165&amp;"."&amp;Regional.Technologies[[#This Row],[Technology]]</f>
        <v>G.Aluminium.Secondary.NaturalGas</v>
      </c>
      <c r="V165" s="219" t="str">
        <f>INDEX(Region.codes[Description],MATCH(S165,Region.codes[Code],0))&amp;" "&amp;INDEX(Technology.codes[Description],MATCH(Regional.Technologies[[#This Row],[Technology]],Technology.codes[Code],0))</f>
        <v>Global Natural Gas use in the Secondary Aluminium technology</v>
      </c>
    </row>
    <row r="166" spans="14:22">
      <c r="N166" s="62" t="s">
        <v>1820</v>
      </c>
      <c r="O166" s="43" t="str">
        <f>Technology.codes[[#This Row],[Energy service]]&amp;" use in the "&amp;"Secondary Aluminium "&amp;"technology"</f>
        <v>Solid Hydrocarbons use in the Secondary Aluminium technology</v>
      </c>
      <c r="P166" s="43" t="s">
        <v>1378</v>
      </c>
      <c r="Q166" s="43" t="s">
        <v>1440</v>
      </c>
      <c r="S166" s="219" t="str">
        <f>Region.codes[Code]</f>
        <v>G</v>
      </c>
      <c r="T166" s="219" t="str">
        <f>Technology.codes[[#This Row],[Code]]</f>
        <v>Aluminium.Secondary.SolidHydrocarbons</v>
      </c>
      <c r="U166" s="219" t="str">
        <f>S166&amp;"."&amp;Regional.Technologies[[#This Row],[Technology]]</f>
        <v>G.Aluminium.Secondary.SolidHydrocarbons</v>
      </c>
      <c r="V166" s="219" t="str">
        <f>INDEX(Region.codes[Description],MATCH(S166,Region.codes[Code],0))&amp;" "&amp;INDEX(Technology.codes[Description],MATCH(Regional.Technologies[[#This Row],[Technology]],Technology.codes[Code],0))</f>
        <v>Global Solid Hydrocarbons use in the Secondary Aluminium technology</v>
      </c>
    </row>
    <row r="167" spans="14:22">
      <c r="N167" s="62" t="s">
        <v>1642</v>
      </c>
      <c r="O167" s="43" t="str">
        <f>Technology.codes[[#This Row],[Energy service]]&amp;" use in the "&amp;"Secondary Aluminium "&amp;"technology"</f>
        <v>Heat use in the Secondary Aluminium technology</v>
      </c>
      <c r="P167" s="43" t="s">
        <v>323</v>
      </c>
      <c r="Q167" s="43" t="s">
        <v>1440</v>
      </c>
      <c r="S167" s="219" t="str">
        <f>Region.codes[Code]</f>
        <v>G</v>
      </c>
      <c r="T167" s="219" t="str">
        <f>Technology.codes[[#This Row],[Code]]</f>
        <v>Aluminium.Secondary.Heat</v>
      </c>
      <c r="U167" s="219" t="str">
        <f>S167&amp;"."&amp;Regional.Technologies[[#This Row],[Technology]]</f>
        <v>G.Aluminium.Secondary.Heat</v>
      </c>
      <c r="V167" s="219" t="str">
        <f>INDEX(Region.codes[Description],MATCH(S167,Region.codes[Code],0))&amp;" "&amp;INDEX(Technology.codes[Description],MATCH(Regional.Technologies[[#This Row],[Technology]],Technology.codes[Code],0))</f>
        <v>Global Heat use in the Secondary Aluminium technology</v>
      </c>
    </row>
    <row r="168" spans="14:22">
      <c r="N168" s="62" t="s">
        <v>1821</v>
      </c>
      <c r="O168" s="62" t="str">
        <f>Technology.codes[[#This Row],[Energy service]]&amp;" use in the "&amp;"Chemicals: High Value Chemicals  "&amp;"technology"</f>
        <v>Electricity use in the Chemicals: High Value Chemicals  technology</v>
      </c>
      <c r="P168" s="43" t="s">
        <v>24</v>
      </c>
      <c r="Q168" s="43" t="s">
        <v>1440</v>
      </c>
      <c r="S168" s="219" t="str">
        <f>Region.codes[Code]</f>
        <v>G</v>
      </c>
      <c r="T168" s="219" t="str">
        <f>Technology.codes[[#This Row],[Code]]</f>
        <v>Chemicals &amp; petrochemicals.HighValueChemicals.Electricity</v>
      </c>
      <c r="U168" s="219" t="str">
        <f>S168&amp;"."&amp;Regional.Technologies[[#This Row],[Technology]]</f>
        <v>G.Chemicals &amp; petrochemicals.HighValueChemicals.Electricity</v>
      </c>
      <c r="V168" s="219" t="str">
        <f>INDEX(Region.codes[Description],MATCH(S168,Region.codes[Code],0))&amp;" "&amp;INDEX(Technology.codes[Description],MATCH(Regional.Technologies[[#This Row],[Technology]],Technology.codes[Code],0))</f>
        <v>Global Electricity use in the Chemicals: High Value Chemicals  technology</v>
      </c>
    </row>
    <row r="169" spans="14:22">
      <c r="N169" s="62" t="s">
        <v>1822</v>
      </c>
      <c r="O169" s="62" t="str">
        <f>Technology.codes[[#This Row],[Energy service]]&amp;" use in the "&amp;"Chemicals: High Value Chemicals  "&amp;"technology"</f>
        <v>Coal use in the Chemicals: High Value Chemicals  technology</v>
      </c>
      <c r="P169" s="43" t="s">
        <v>888</v>
      </c>
      <c r="Q169" s="43" t="s">
        <v>1440</v>
      </c>
      <c r="S169" s="219" t="str">
        <f>Region.codes[Code]</f>
        <v>G</v>
      </c>
      <c r="T169" s="219" t="str">
        <f>Technology.codes[[#This Row],[Code]]</f>
        <v>Chemicals &amp; petrochemicals.HighValueChemicals.Coal</v>
      </c>
      <c r="U169" s="219" t="str">
        <f>S169&amp;"."&amp;Regional.Technologies[[#This Row],[Technology]]</f>
        <v>G.Chemicals &amp; petrochemicals.HighValueChemicals.Coal</v>
      </c>
      <c r="V169" s="219" t="str">
        <f>INDEX(Region.codes[Description],MATCH(S169,Region.codes[Code],0))&amp;" "&amp;INDEX(Technology.codes[Description],MATCH(Regional.Technologies[[#This Row],[Technology]],Technology.codes[Code],0))</f>
        <v>Global Coal use in the Chemicals: High Value Chemicals  technology</v>
      </c>
    </row>
    <row r="170" spans="14:22">
      <c r="N170" s="62" t="s">
        <v>1823</v>
      </c>
      <c r="O170" s="62" t="str">
        <f>Technology.codes[[#This Row],[Energy service]]&amp;" use in the "&amp;"Chemicals: High Value Chemicals  "&amp;"technology"</f>
        <v>Oil use in the Chemicals: High Value Chemicals  technology</v>
      </c>
      <c r="P170" s="43" t="s">
        <v>316</v>
      </c>
      <c r="Q170" s="43" t="s">
        <v>1440</v>
      </c>
      <c r="S170" s="219" t="str">
        <f>Region.codes[Code]</f>
        <v>G</v>
      </c>
      <c r="T170" s="219" t="str">
        <f>Technology.codes[[#This Row],[Code]]</f>
        <v>Chemicals &amp; petrochemicals.HighValueChemicals.Oil</v>
      </c>
      <c r="U170" s="219" t="str">
        <f>S170&amp;"."&amp;Regional.Technologies[[#This Row],[Technology]]</f>
        <v>G.Chemicals &amp; petrochemicals.HighValueChemicals.Oil</v>
      </c>
      <c r="V170" s="219" t="str">
        <f>INDEX(Region.codes[Description],MATCH(S170,Region.codes[Code],0))&amp;" "&amp;INDEX(Technology.codes[Description],MATCH(Regional.Technologies[[#This Row],[Technology]],Technology.codes[Code],0))</f>
        <v>Global Oil use in the Chemicals: High Value Chemicals  technology</v>
      </c>
    </row>
    <row r="171" spans="14:22">
      <c r="N171" s="62" t="s">
        <v>1824</v>
      </c>
      <c r="O171" s="62" t="str">
        <f>Technology.codes[[#This Row],[Energy service]]&amp;" use in the "&amp;"Chemicals: High Value Chemicals  "&amp;"technology"</f>
        <v>Natural Gas use in the Chemicals: High Value Chemicals  technology</v>
      </c>
      <c r="P171" s="43" t="s">
        <v>1801</v>
      </c>
      <c r="Q171" s="43" t="s">
        <v>1440</v>
      </c>
      <c r="S171" s="219" t="str">
        <f>Region.codes[Code]</f>
        <v>G</v>
      </c>
      <c r="T171" s="219" t="str">
        <f>Technology.codes[[#This Row],[Code]]</f>
        <v>Chemicals &amp; petrochemicals.HighValueChemicals.NaturalGas</v>
      </c>
      <c r="U171" s="219" t="str">
        <f>S171&amp;"."&amp;Regional.Technologies[[#This Row],[Technology]]</f>
        <v>G.Chemicals &amp; petrochemicals.HighValueChemicals.NaturalGas</v>
      </c>
      <c r="V171" s="219" t="str">
        <f>INDEX(Region.codes[Description],MATCH(S171,Region.codes[Code],0))&amp;" "&amp;INDEX(Technology.codes[Description],MATCH(Regional.Technologies[[#This Row],[Technology]],Technology.codes[Code],0))</f>
        <v>Global Natural Gas use in the Chemicals: High Value Chemicals  technology</v>
      </c>
    </row>
    <row r="172" spans="14:22">
      <c r="N172" s="62" t="s">
        <v>1825</v>
      </c>
      <c r="O172" s="62" t="str">
        <f>Technology.codes[[#This Row],[Energy service]]&amp;" use in the "&amp;"Chemicals: High Value Chemicals  "&amp;"technology"</f>
        <v>Solid Hydrocarbons use in the Chemicals: High Value Chemicals  technology</v>
      </c>
      <c r="P172" s="43" t="s">
        <v>1378</v>
      </c>
      <c r="Q172" s="43" t="s">
        <v>1440</v>
      </c>
      <c r="S172" s="219" t="str">
        <f>Region.codes[Code]</f>
        <v>G</v>
      </c>
      <c r="T172" s="219" t="str">
        <f>Technology.codes[[#This Row],[Code]]</f>
        <v>Chemicals &amp; petrochemicals.HighValueChemicals.SolidHydrocarbons</v>
      </c>
      <c r="U172" s="219" t="str">
        <f>S172&amp;"."&amp;Regional.Technologies[[#This Row],[Technology]]</f>
        <v>G.Chemicals &amp; petrochemicals.HighValueChemicals.SolidHydrocarbons</v>
      </c>
      <c r="V172" s="219" t="str">
        <f>INDEX(Region.codes[Description],MATCH(S172,Region.codes[Code],0))&amp;" "&amp;INDEX(Technology.codes[Description],MATCH(Regional.Technologies[[#This Row],[Technology]],Technology.codes[Code],0))</f>
        <v>Global Solid Hydrocarbons use in the Chemicals: High Value Chemicals  technology</v>
      </c>
    </row>
    <row r="173" spans="14:22">
      <c r="N173" s="62" t="s">
        <v>1826</v>
      </c>
      <c r="O173" s="62" t="str">
        <f>Technology.codes[[#This Row],[Energy service]]&amp;" use in the "&amp;"Chemicals: High Value Chemicals  "&amp;"technology"</f>
        <v>Heat use in the Chemicals: High Value Chemicals  technology</v>
      </c>
      <c r="P173" s="43" t="s">
        <v>323</v>
      </c>
      <c r="Q173" s="43" t="s">
        <v>1440</v>
      </c>
      <c r="S173" s="219" t="str">
        <f>Region.codes[Code]</f>
        <v>G</v>
      </c>
      <c r="T173" s="219" t="str">
        <f>Technology.codes[[#This Row],[Code]]</f>
        <v>Chemicals &amp; petrochemicals.HighValueChemicals.Heat</v>
      </c>
      <c r="U173" s="219" t="str">
        <f>S173&amp;"."&amp;Regional.Technologies[[#This Row],[Technology]]</f>
        <v>G.Chemicals &amp; petrochemicals.HighValueChemicals.Heat</v>
      </c>
      <c r="V173" s="219" t="str">
        <f>INDEX(Region.codes[Description],MATCH(S173,Region.codes[Code],0))&amp;" "&amp;INDEX(Technology.codes[Description],MATCH(Regional.Technologies[[#This Row],[Technology]],Technology.codes[Code],0))</f>
        <v>Global Heat use in the Chemicals: High Value Chemicals  technology</v>
      </c>
    </row>
    <row r="174" spans="14:22">
      <c r="N174" s="62" t="s">
        <v>1827</v>
      </c>
      <c r="O174" s="62" t="str">
        <f>Technology.codes[[#This Row],[Energy service]]&amp;" use in the "&amp;"Chemicals: Ammonia "&amp;"technology"</f>
        <v>Electricity use in the Chemicals: Ammonia technology</v>
      </c>
      <c r="P174" s="43" t="s">
        <v>24</v>
      </c>
      <c r="Q174" s="43" t="s">
        <v>1440</v>
      </c>
      <c r="S174" s="219" t="str">
        <f>Region.codes[Code]</f>
        <v>G</v>
      </c>
      <c r="T174" s="219" t="str">
        <f>Technology.codes[[#This Row],[Code]]</f>
        <v>Chemicals &amp; petrochemicals.Ammonia.Electricity</v>
      </c>
      <c r="U174" s="219" t="str">
        <f>S174&amp;"."&amp;Regional.Technologies[[#This Row],[Technology]]</f>
        <v>G.Chemicals &amp; petrochemicals.Ammonia.Electricity</v>
      </c>
      <c r="V174" s="219" t="str">
        <f>INDEX(Region.codes[Description],MATCH(S174,Region.codes[Code],0))&amp;" "&amp;INDEX(Technology.codes[Description],MATCH(Regional.Technologies[[#This Row],[Technology]],Technology.codes[Code],0))</f>
        <v>Global Electricity use in the Chemicals: Ammonia technology</v>
      </c>
    </row>
    <row r="175" spans="14:22">
      <c r="N175" s="62" t="s">
        <v>1828</v>
      </c>
      <c r="O175" s="62" t="str">
        <f>Technology.codes[[#This Row],[Energy service]]&amp;" use in the "&amp;"Chemicals: Ammonia "&amp;"technology"</f>
        <v>Coal use in the Chemicals: Ammonia technology</v>
      </c>
      <c r="P175" s="43" t="s">
        <v>888</v>
      </c>
      <c r="Q175" s="43" t="s">
        <v>1440</v>
      </c>
      <c r="S175" s="219" t="str">
        <f>Region.codes[Code]</f>
        <v>G</v>
      </c>
      <c r="T175" s="219" t="str">
        <f>Technology.codes[[#This Row],[Code]]</f>
        <v>Chemicals &amp; petrochemicals.Ammonia.Coal</v>
      </c>
      <c r="U175" s="219" t="str">
        <f>S175&amp;"."&amp;Regional.Technologies[[#This Row],[Technology]]</f>
        <v>G.Chemicals &amp; petrochemicals.Ammonia.Coal</v>
      </c>
      <c r="V175" s="219" t="str">
        <f>INDEX(Region.codes[Description],MATCH(S175,Region.codes[Code],0))&amp;" "&amp;INDEX(Technology.codes[Description],MATCH(Regional.Technologies[[#This Row],[Technology]],Technology.codes[Code],0))</f>
        <v>Global Coal use in the Chemicals: Ammonia technology</v>
      </c>
    </row>
    <row r="176" spans="14:22">
      <c r="N176" s="62" t="s">
        <v>1829</v>
      </c>
      <c r="O176" s="62" t="str">
        <f>Technology.codes[[#This Row],[Energy service]]&amp;" use in the "&amp;"Chemicals: Ammonia "&amp;"technology"</f>
        <v>Oil use in the Chemicals: Ammonia technology</v>
      </c>
      <c r="P176" s="43" t="s">
        <v>316</v>
      </c>
      <c r="Q176" s="43" t="s">
        <v>1440</v>
      </c>
      <c r="S176" s="219" t="str">
        <f>Region.codes[Code]</f>
        <v>G</v>
      </c>
      <c r="T176" s="219" t="str">
        <f>Technology.codes[[#This Row],[Code]]</f>
        <v>Chemicals &amp; petrochemicals.Ammonia.Oil</v>
      </c>
      <c r="U176" s="219" t="str">
        <f>S176&amp;"."&amp;Regional.Technologies[[#This Row],[Technology]]</f>
        <v>G.Chemicals &amp; petrochemicals.Ammonia.Oil</v>
      </c>
      <c r="V176" s="219" t="str">
        <f>INDEX(Region.codes[Description],MATCH(S176,Region.codes[Code],0))&amp;" "&amp;INDEX(Technology.codes[Description],MATCH(Regional.Technologies[[#This Row],[Technology]],Technology.codes[Code],0))</f>
        <v>Global Oil use in the Chemicals: Ammonia technology</v>
      </c>
    </row>
    <row r="177" spans="14:22">
      <c r="N177" s="62" t="s">
        <v>1830</v>
      </c>
      <c r="O177" s="62" t="str">
        <f>Technology.codes[[#This Row],[Energy service]]&amp;" use in the "&amp;"Chemicals: Ammonia "&amp;"technology"</f>
        <v>Natural Gas use in the Chemicals: Ammonia technology</v>
      </c>
      <c r="P177" s="43" t="s">
        <v>1801</v>
      </c>
      <c r="Q177" s="43" t="s">
        <v>1440</v>
      </c>
      <c r="S177" s="219" t="str">
        <f>Region.codes[Code]</f>
        <v>G</v>
      </c>
      <c r="T177" s="219" t="str">
        <f>Technology.codes[[#This Row],[Code]]</f>
        <v>Chemicals &amp; petrochemicals.Ammonia.NaturalGas</v>
      </c>
      <c r="U177" s="219" t="str">
        <f>S177&amp;"."&amp;Regional.Technologies[[#This Row],[Technology]]</f>
        <v>G.Chemicals &amp; petrochemicals.Ammonia.NaturalGas</v>
      </c>
      <c r="V177" s="219" t="str">
        <f>INDEX(Region.codes[Description],MATCH(S177,Region.codes[Code],0))&amp;" "&amp;INDEX(Technology.codes[Description],MATCH(Regional.Technologies[[#This Row],[Technology]],Technology.codes[Code],0))</f>
        <v>Global Natural Gas use in the Chemicals: Ammonia technology</v>
      </c>
    </row>
    <row r="178" spans="14:22">
      <c r="N178" s="62" t="s">
        <v>1831</v>
      </c>
      <c r="O178" s="62" t="str">
        <f>Technology.codes[[#This Row],[Energy service]]&amp;" use in the "&amp;"Chemicals: Ammonia "&amp;"technology"</f>
        <v>Solid Hydrocarbons use in the Chemicals: Ammonia technology</v>
      </c>
      <c r="P178" s="43" t="s">
        <v>1378</v>
      </c>
      <c r="Q178" s="43" t="s">
        <v>1440</v>
      </c>
      <c r="S178" s="219" t="str">
        <f>Region.codes[Code]</f>
        <v>G</v>
      </c>
      <c r="T178" s="219" t="str">
        <f>Technology.codes[[#This Row],[Code]]</f>
        <v>Chemicals &amp; petrochemicals.Ammonia.SolidHydrocarbons</v>
      </c>
      <c r="U178" s="219" t="str">
        <f>S178&amp;"."&amp;Regional.Technologies[[#This Row],[Technology]]</f>
        <v>G.Chemicals &amp; petrochemicals.Ammonia.SolidHydrocarbons</v>
      </c>
      <c r="V178" s="219" t="str">
        <f>INDEX(Region.codes[Description],MATCH(S178,Region.codes[Code],0))&amp;" "&amp;INDEX(Technology.codes[Description],MATCH(Regional.Technologies[[#This Row],[Technology]],Technology.codes[Code],0))</f>
        <v>Global Solid Hydrocarbons use in the Chemicals: Ammonia technology</v>
      </c>
    </row>
    <row r="179" spans="14:22">
      <c r="N179" s="62" t="s">
        <v>1832</v>
      </c>
      <c r="O179" s="62" t="str">
        <f>Technology.codes[[#This Row],[Energy service]]&amp;" use in the "&amp;"Chemicals: Ammonia "&amp;"technology"</f>
        <v>Heat use in the Chemicals: Ammonia technology</v>
      </c>
      <c r="P179" s="43" t="s">
        <v>323</v>
      </c>
      <c r="Q179" s="43" t="s">
        <v>1440</v>
      </c>
      <c r="S179" s="219" t="str">
        <f>Region.codes[Code]</f>
        <v>G</v>
      </c>
      <c r="T179" s="219" t="str">
        <f>Technology.codes[[#This Row],[Code]]</f>
        <v>Chemicals &amp; petrochemicals.Ammonia.Heat</v>
      </c>
      <c r="U179" s="219" t="str">
        <f>S179&amp;"."&amp;Regional.Technologies[[#This Row],[Technology]]</f>
        <v>G.Chemicals &amp; petrochemicals.Ammonia.Heat</v>
      </c>
      <c r="V179" s="219" t="str">
        <f>INDEX(Region.codes[Description],MATCH(S179,Region.codes[Code],0))&amp;" "&amp;INDEX(Technology.codes[Description],MATCH(Regional.Technologies[[#This Row],[Technology]],Technology.codes[Code],0))</f>
        <v>Global Heat use in the Chemicals: Ammonia technology</v>
      </c>
    </row>
    <row r="180" spans="14:22">
      <c r="N180" s="62" t="s">
        <v>1833</v>
      </c>
      <c r="O180" s="62" t="str">
        <f>Technology.codes[[#This Row],[Energy service]]&amp;" use in the "&amp;"Chemicals: Methanol "&amp;"technology"</f>
        <v>Electricity use in the Chemicals: Methanol technology</v>
      </c>
      <c r="P180" s="43" t="s">
        <v>24</v>
      </c>
      <c r="Q180" s="43" t="s">
        <v>1440</v>
      </c>
      <c r="S180" s="219" t="str">
        <f>Region.codes[Code]</f>
        <v>G</v>
      </c>
      <c r="T180" s="219" t="str">
        <f>Technology.codes[[#This Row],[Code]]</f>
        <v>Chemicals &amp; petrochemicals.Methanol.Electricity</v>
      </c>
      <c r="U180" s="219" t="str">
        <f>S180&amp;"."&amp;Regional.Technologies[[#This Row],[Technology]]</f>
        <v>G.Chemicals &amp; petrochemicals.Methanol.Electricity</v>
      </c>
      <c r="V180" s="219" t="str">
        <f>INDEX(Region.codes[Description],MATCH(S180,Region.codes[Code],0))&amp;" "&amp;INDEX(Technology.codes[Description],MATCH(Regional.Technologies[[#This Row],[Technology]],Technology.codes[Code],0))</f>
        <v>Global Electricity use in the Chemicals: Methanol technology</v>
      </c>
    </row>
    <row r="181" spans="14:22">
      <c r="N181" s="62" t="s">
        <v>1834</v>
      </c>
      <c r="O181" s="62" t="str">
        <f>Technology.codes[[#This Row],[Energy service]]&amp;" use in the "&amp;"Chemicals: Methanol "&amp;"technology"</f>
        <v>Coal use in the Chemicals: Methanol technology</v>
      </c>
      <c r="P181" s="43" t="s">
        <v>888</v>
      </c>
      <c r="Q181" s="43" t="s">
        <v>1440</v>
      </c>
      <c r="S181" s="219" t="str">
        <f>Region.codes[Code]</f>
        <v>G</v>
      </c>
      <c r="T181" s="219" t="str">
        <f>Technology.codes[[#This Row],[Code]]</f>
        <v>Chemicals &amp; petrochemicals.Methanol.Coal</v>
      </c>
      <c r="U181" s="219" t="str">
        <f>S181&amp;"."&amp;Regional.Technologies[[#This Row],[Technology]]</f>
        <v>G.Chemicals &amp; petrochemicals.Methanol.Coal</v>
      </c>
      <c r="V181" s="219" t="str">
        <f>INDEX(Region.codes[Description],MATCH(S181,Region.codes[Code],0))&amp;" "&amp;INDEX(Technology.codes[Description],MATCH(Regional.Technologies[[#This Row],[Technology]],Technology.codes[Code],0))</f>
        <v>Global Coal use in the Chemicals: Methanol technology</v>
      </c>
    </row>
    <row r="182" spans="14:22">
      <c r="N182" s="62" t="s">
        <v>1835</v>
      </c>
      <c r="O182" s="62" t="str">
        <f>Technology.codes[[#This Row],[Energy service]]&amp;" use in the "&amp;"Chemicals: Methanol "&amp;"technology"</f>
        <v>Oil use in the Chemicals: Methanol technology</v>
      </c>
      <c r="P182" s="43" t="s">
        <v>316</v>
      </c>
      <c r="Q182" s="43" t="s">
        <v>1440</v>
      </c>
      <c r="S182" s="219" t="str">
        <f>Region.codes[Code]</f>
        <v>G</v>
      </c>
      <c r="T182" s="219" t="str">
        <f>Technology.codes[[#This Row],[Code]]</f>
        <v>Chemicals &amp; petrochemicals.Methanol.Oil</v>
      </c>
      <c r="U182" s="219" t="str">
        <f>S182&amp;"."&amp;Regional.Technologies[[#This Row],[Technology]]</f>
        <v>G.Chemicals &amp; petrochemicals.Methanol.Oil</v>
      </c>
      <c r="V182" s="219" t="str">
        <f>INDEX(Region.codes[Description],MATCH(S182,Region.codes[Code],0))&amp;" "&amp;INDEX(Technology.codes[Description],MATCH(Regional.Technologies[[#This Row],[Technology]],Technology.codes[Code],0))</f>
        <v>Global Oil use in the Chemicals: Methanol technology</v>
      </c>
    </row>
    <row r="183" spans="14:22">
      <c r="N183" s="62" t="s">
        <v>1836</v>
      </c>
      <c r="O183" s="62" t="str">
        <f>Technology.codes[[#This Row],[Energy service]]&amp;" use in the "&amp;"Chemicals: Methanol "&amp;"technology"</f>
        <v>Natural Gas use in the Chemicals: Methanol technology</v>
      </c>
      <c r="P183" s="43" t="s">
        <v>1801</v>
      </c>
      <c r="Q183" s="43" t="s">
        <v>1440</v>
      </c>
      <c r="S183" s="219" t="str">
        <f>Region.codes[Code]</f>
        <v>G</v>
      </c>
      <c r="T183" s="219" t="str">
        <f>Technology.codes[[#This Row],[Code]]</f>
        <v>Chemicals &amp; petrochemicals.Methanol.NaturalGas</v>
      </c>
      <c r="U183" s="219" t="str">
        <f>S183&amp;"."&amp;Regional.Technologies[[#This Row],[Technology]]</f>
        <v>G.Chemicals &amp; petrochemicals.Methanol.NaturalGas</v>
      </c>
      <c r="V183" s="219" t="str">
        <f>INDEX(Region.codes[Description],MATCH(S183,Region.codes[Code],0))&amp;" "&amp;INDEX(Technology.codes[Description],MATCH(Regional.Technologies[[#This Row],[Technology]],Technology.codes[Code],0))</f>
        <v>Global Natural Gas use in the Chemicals: Methanol technology</v>
      </c>
    </row>
    <row r="184" spans="14:22">
      <c r="N184" s="62" t="s">
        <v>1837</v>
      </c>
      <c r="O184" s="62" t="str">
        <f>Technology.codes[[#This Row],[Energy service]]&amp;" use in the "&amp;"Chemicals: Methanol "&amp;"technology"</f>
        <v>Solid Hydrocarbons use in the Chemicals: Methanol technology</v>
      </c>
      <c r="P184" s="43" t="s">
        <v>1378</v>
      </c>
      <c r="Q184" s="43" t="s">
        <v>1440</v>
      </c>
      <c r="S184" s="219" t="str">
        <f>Region.codes[Code]</f>
        <v>G</v>
      </c>
      <c r="T184" s="219" t="str">
        <f>Technology.codes[[#This Row],[Code]]</f>
        <v>Chemicals &amp; petrochemicals.Methanol.SolidHydrocarbons</v>
      </c>
      <c r="U184" s="219" t="str">
        <f>S184&amp;"."&amp;Regional.Technologies[[#This Row],[Technology]]</f>
        <v>G.Chemicals &amp; petrochemicals.Methanol.SolidHydrocarbons</v>
      </c>
      <c r="V184" s="219" t="str">
        <f>INDEX(Region.codes[Description],MATCH(S184,Region.codes[Code],0))&amp;" "&amp;INDEX(Technology.codes[Description],MATCH(Regional.Technologies[[#This Row],[Technology]],Technology.codes[Code],0))</f>
        <v>Global Solid Hydrocarbons use in the Chemicals: Methanol technology</v>
      </c>
    </row>
    <row r="185" spans="14:22">
      <c r="N185" s="62" t="s">
        <v>1838</v>
      </c>
      <c r="O185" s="62" t="str">
        <f>Technology.codes[[#This Row],[Energy service]]&amp;" use in the "&amp;"Chemicals: Methanol "&amp;"technology"</f>
        <v>Heat use in the Chemicals: Methanol technology</v>
      </c>
      <c r="P185" s="219" t="s">
        <v>323</v>
      </c>
      <c r="Q185" s="43" t="s">
        <v>1440</v>
      </c>
      <c r="S185" s="219" t="str">
        <f>Region.codes[Code]</f>
        <v>G</v>
      </c>
      <c r="T185" s="219" t="str">
        <f>Technology.codes[[#This Row],[Code]]</f>
        <v>Chemicals &amp; petrochemicals.Methanol.Heat</v>
      </c>
      <c r="U185" s="219" t="str">
        <f>S185&amp;"."&amp;Regional.Technologies[[#This Row],[Technology]]</f>
        <v>G.Chemicals &amp; petrochemicals.Methanol.Heat</v>
      </c>
      <c r="V185" s="219" t="str">
        <f>INDEX(Region.codes[Description],MATCH(S185,Region.codes[Code],0))&amp;" "&amp;INDEX(Technology.codes[Description],MATCH(Regional.Technologies[[#This Row],[Technology]],Technology.codes[Code],0))</f>
        <v>Global Heat use in the Chemicals: Methanol technology</v>
      </c>
    </row>
    <row r="186" spans="14:22">
      <c r="N186" s="62" t="s">
        <v>1839</v>
      </c>
      <c r="O186" s="62" t="str">
        <f>Technology.codes[[#This Row],[Energy service]]&amp;" use in the "&amp;"Chemicals: Others "&amp;"technology"</f>
        <v>Electricity use in the Chemicals: Others technology</v>
      </c>
      <c r="P186" s="43" t="s">
        <v>24</v>
      </c>
      <c r="Q186" s="43" t="s">
        <v>1440</v>
      </c>
      <c r="S186" s="219" t="str">
        <f>Region.codes[Code]</f>
        <v>G</v>
      </c>
      <c r="T186" s="219" t="str">
        <f>Technology.codes[[#This Row],[Code]]</f>
        <v>Chemicals &amp; petrochemicals.Others.Electricity</v>
      </c>
      <c r="U186" s="219" t="str">
        <f>S186&amp;"."&amp;Regional.Technologies[[#This Row],[Technology]]</f>
        <v>G.Chemicals &amp; petrochemicals.Others.Electricity</v>
      </c>
      <c r="V186" s="219" t="str">
        <f>INDEX(Region.codes[Description],MATCH(S186,Region.codes[Code],0))&amp;" "&amp;INDEX(Technology.codes[Description],MATCH(Regional.Technologies[[#This Row],[Technology]],Technology.codes[Code],0))</f>
        <v>Global Electricity use in the Chemicals: Others technology</v>
      </c>
    </row>
    <row r="187" spans="14:22">
      <c r="N187" s="62" t="s">
        <v>1840</v>
      </c>
      <c r="O187" s="62" t="str">
        <f>Technology.codes[[#This Row],[Energy service]]&amp;" use in the "&amp;"Chemicals: Others "&amp;"technology"</f>
        <v>Coal use in the Chemicals: Others technology</v>
      </c>
      <c r="P187" s="43" t="s">
        <v>888</v>
      </c>
      <c r="Q187" s="43" t="s">
        <v>1440</v>
      </c>
      <c r="S187" s="219" t="str">
        <f>Region.codes[Code]</f>
        <v>G</v>
      </c>
      <c r="T187" s="219" t="str">
        <f>Technology.codes[[#This Row],[Code]]</f>
        <v>Chemicals &amp; petrochemicals.Others.Coal</v>
      </c>
      <c r="U187" s="219" t="str">
        <f>S187&amp;"."&amp;Regional.Technologies[[#This Row],[Technology]]</f>
        <v>G.Chemicals &amp; petrochemicals.Others.Coal</v>
      </c>
      <c r="V187" s="219" t="str">
        <f>INDEX(Region.codes[Description],MATCH(S187,Region.codes[Code],0))&amp;" "&amp;INDEX(Technology.codes[Description],MATCH(Regional.Technologies[[#This Row],[Technology]],Technology.codes[Code],0))</f>
        <v>Global Coal use in the Chemicals: Others technology</v>
      </c>
    </row>
    <row r="188" spans="14:22">
      <c r="N188" s="62" t="s">
        <v>1841</v>
      </c>
      <c r="O188" s="62" t="str">
        <f>Technology.codes[[#This Row],[Energy service]]&amp;" use in the "&amp;"Chemicals: Others "&amp;"technology"</f>
        <v>Oil use in the Chemicals: Others technology</v>
      </c>
      <c r="P188" s="43" t="s">
        <v>316</v>
      </c>
      <c r="Q188" s="43" t="s">
        <v>1440</v>
      </c>
      <c r="S188" s="219" t="str">
        <f>Region.codes[Code]</f>
        <v>G</v>
      </c>
      <c r="T188" s="219" t="str">
        <f>Technology.codes[[#This Row],[Code]]</f>
        <v>Chemicals &amp; petrochemicals.Others.Oil</v>
      </c>
      <c r="U188" s="219" t="str">
        <f>S188&amp;"."&amp;Regional.Technologies[[#This Row],[Technology]]</f>
        <v>G.Chemicals &amp; petrochemicals.Others.Oil</v>
      </c>
      <c r="V188" s="219" t="str">
        <f>INDEX(Region.codes[Description],MATCH(S188,Region.codes[Code],0))&amp;" "&amp;INDEX(Technology.codes[Description],MATCH(Regional.Technologies[[#This Row],[Technology]],Technology.codes[Code],0))</f>
        <v>Global Oil use in the Chemicals: Others technology</v>
      </c>
    </row>
    <row r="189" spans="14:22">
      <c r="N189" s="62" t="s">
        <v>1842</v>
      </c>
      <c r="O189" s="62" t="str">
        <f>Technology.codes[[#This Row],[Energy service]]&amp;" use in the "&amp;"Chemicals: Others "&amp;"technology"</f>
        <v>Natural Gas use in the Chemicals: Others technology</v>
      </c>
      <c r="P189" s="43" t="s">
        <v>1801</v>
      </c>
      <c r="Q189" s="43" t="s">
        <v>1440</v>
      </c>
      <c r="S189" s="219" t="str">
        <f>Region.codes[Code]</f>
        <v>G</v>
      </c>
      <c r="T189" s="219" t="str">
        <f>Technology.codes[[#This Row],[Code]]</f>
        <v>Chemicals &amp; petrochemicals.Others.NaturalGas</v>
      </c>
      <c r="U189" s="219" t="str">
        <f>S189&amp;"."&amp;Regional.Technologies[[#This Row],[Technology]]</f>
        <v>G.Chemicals &amp; petrochemicals.Others.NaturalGas</v>
      </c>
      <c r="V189" s="219" t="str">
        <f>INDEX(Region.codes[Description],MATCH(S189,Region.codes[Code],0))&amp;" "&amp;INDEX(Technology.codes[Description],MATCH(Regional.Technologies[[#This Row],[Technology]],Technology.codes[Code],0))</f>
        <v>Global Natural Gas use in the Chemicals: Others technology</v>
      </c>
    </row>
    <row r="190" spans="14:22">
      <c r="N190" s="62" t="s">
        <v>1843</v>
      </c>
      <c r="O190" s="62" t="str">
        <f>Technology.codes[[#This Row],[Energy service]]&amp;" use in the "&amp;"Chemicals: Others "&amp;"technology"</f>
        <v>Solid Hydrocarbons use in the Chemicals: Others technology</v>
      </c>
      <c r="P190" s="43" t="s">
        <v>1378</v>
      </c>
      <c r="Q190" s="43" t="s">
        <v>1440</v>
      </c>
      <c r="S190" s="219" t="str">
        <f>Region.codes[Code]</f>
        <v>G</v>
      </c>
      <c r="T190" s="219" t="str">
        <f>Technology.codes[[#This Row],[Code]]</f>
        <v>Chemicals &amp; petrochemicals.Others.SolidHydrocarbons</v>
      </c>
      <c r="U190" s="219" t="str">
        <f>S190&amp;"."&amp;Regional.Technologies[[#This Row],[Technology]]</f>
        <v>G.Chemicals &amp; petrochemicals.Others.SolidHydrocarbons</v>
      </c>
      <c r="V190" s="219" t="str">
        <f>INDEX(Region.codes[Description],MATCH(S190,Region.codes[Code],0))&amp;" "&amp;INDEX(Technology.codes[Description],MATCH(Regional.Technologies[[#This Row],[Technology]],Technology.codes[Code],0))</f>
        <v>Global Solid Hydrocarbons use in the Chemicals: Others technology</v>
      </c>
    </row>
    <row r="191" spans="14:22">
      <c r="N191" s="62" t="s">
        <v>1844</v>
      </c>
      <c r="O191" s="62" t="str">
        <f>Technology.codes[[#This Row],[Energy service]]&amp;" use in the "&amp;"Chemicals: Others "&amp;"technology"</f>
        <v>Heat use in the Chemicals: Others technology</v>
      </c>
      <c r="P191" s="219" t="s">
        <v>323</v>
      </c>
      <c r="Q191" s="43" t="s">
        <v>1440</v>
      </c>
      <c r="S191" s="219" t="str">
        <f>Region.codes[Code]</f>
        <v>G</v>
      </c>
      <c r="T191" s="219" t="str">
        <f>Technology.codes[[#This Row],[Code]]</f>
        <v>Chemicals &amp; petrochemicals.Others.Heat</v>
      </c>
      <c r="U191" s="219" t="str">
        <f>S191&amp;"."&amp;Regional.Technologies[[#This Row],[Technology]]</f>
        <v>G.Chemicals &amp; petrochemicals.Others.Heat</v>
      </c>
      <c r="V191" s="219" t="str">
        <f>INDEX(Region.codes[Description],MATCH(S191,Region.codes[Code],0))&amp;" "&amp;INDEX(Technology.codes[Description],MATCH(Regional.Technologies[[#This Row],[Technology]],Technology.codes[Code],0))</f>
        <v>Global Heat use in the Chemicals: Others technology</v>
      </c>
    </row>
    <row r="192" spans="14:22">
      <c r="N192" s="62" t="s">
        <v>1845</v>
      </c>
      <c r="O192" s="62" t="str">
        <f>Technology.codes[[#This Row],[Energy service]]&amp;" use in the "&amp;"Pulp &amp; paper: Pulp "&amp;"technology"</f>
        <v>Electricity use in the Pulp &amp; paper: Pulp technology</v>
      </c>
      <c r="P192" s="43" t="s">
        <v>24</v>
      </c>
      <c r="Q192" s="43" t="s">
        <v>1440</v>
      </c>
      <c r="S192" s="219" t="str">
        <f>Region.codes[Code]</f>
        <v>G</v>
      </c>
      <c r="T192" s="219" t="str">
        <f>Technology.codes[[#This Row],[Code]]</f>
        <v>Pulp &amp; paper.Pulp.Electricity</v>
      </c>
      <c r="U192" s="219" t="str">
        <f>S192&amp;"."&amp;Regional.Technologies[[#This Row],[Technology]]</f>
        <v>G.Pulp &amp; paper.Pulp.Electricity</v>
      </c>
      <c r="V192" s="219" t="str">
        <f>INDEX(Region.codes[Description],MATCH(S192,Region.codes[Code],0))&amp;" "&amp;INDEX(Technology.codes[Description],MATCH(Regional.Technologies[[#This Row],[Technology]],Technology.codes[Code],0))</f>
        <v>Global Electricity use in the Pulp &amp; paper: Pulp technology</v>
      </c>
    </row>
    <row r="193" spans="14:22">
      <c r="N193" s="62" t="s">
        <v>1846</v>
      </c>
      <c r="O193" s="62" t="str">
        <f>Technology.codes[[#This Row],[Energy service]]&amp;" use in the "&amp;"Pulp &amp; paper: Pulp "&amp;"technology"</f>
        <v>Coal use in the Pulp &amp; paper: Pulp technology</v>
      </c>
      <c r="P193" s="43" t="s">
        <v>888</v>
      </c>
      <c r="Q193" s="43" t="s">
        <v>1440</v>
      </c>
      <c r="S193" s="219" t="str">
        <f>Region.codes[Code]</f>
        <v>G</v>
      </c>
      <c r="T193" s="219" t="str">
        <f>Technology.codes[[#This Row],[Code]]</f>
        <v>Pulp &amp; paper.Pulp.Coal</v>
      </c>
      <c r="U193" s="219" t="str">
        <f>S193&amp;"."&amp;Regional.Technologies[[#This Row],[Technology]]</f>
        <v>G.Pulp &amp; paper.Pulp.Coal</v>
      </c>
      <c r="V193" s="219" t="str">
        <f>INDEX(Region.codes[Description],MATCH(S193,Region.codes[Code],0))&amp;" "&amp;INDEX(Technology.codes[Description],MATCH(Regional.Technologies[[#This Row],[Technology]],Technology.codes[Code],0))</f>
        <v>Global Coal use in the Pulp &amp; paper: Pulp technology</v>
      </c>
    </row>
    <row r="194" spans="14:22">
      <c r="N194" s="62" t="s">
        <v>1847</v>
      </c>
      <c r="O194" s="62" t="str">
        <f>Technology.codes[[#This Row],[Energy service]]&amp;" use in the "&amp;"Pulp &amp; paper: Pulp "&amp;"technology"</f>
        <v>Oil use in the Pulp &amp; paper: Pulp technology</v>
      </c>
      <c r="P194" s="43" t="s">
        <v>316</v>
      </c>
      <c r="Q194" s="43" t="s">
        <v>1440</v>
      </c>
      <c r="S194" s="219" t="str">
        <f>Region.codes[Code]</f>
        <v>G</v>
      </c>
      <c r="T194" s="219" t="str">
        <f>Technology.codes[[#This Row],[Code]]</f>
        <v>Pulp &amp; paper.Pulp.Oil</v>
      </c>
      <c r="U194" s="219" t="str">
        <f>S194&amp;"."&amp;Regional.Technologies[[#This Row],[Technology]]</f>
        <v>G.Pulp &amp; paper.Pulp.Oil</v>
      </c>
      <c r="V194" s="219" t="str">
        <f>INDEX(Region.codes[Description],MATCH(S194,Region.codes[Code],0))&amp;" "&amp;INDEX(Technology.codes[Description],MATCH(Regional.Technologies[[#This Row],[Technology]],Technology.codes[Code],0))</f>
        <v>Global Oil use in the Pulp &amp; paper: Pulp technology</v>
      </c>
    </row>
    <row r="195" spans="14:22">
      <c r="N195" s="62" t="s">
        <v>1848</v>
      </c>
      <c r="O195" s="62" t="str">
        <f>Technology.codes[[#This Row],[Energy service]]&amp;" use in the "&amp;"Pulp &amp; paper: Pulp "&amp;"technology"</f>
        <v>Natural Gas use in the Pulp &amp; paper: Pulp technology</v>
      </c>
      <c r="P195" s="43" t="s">
        <v>1801</v>
      </c>
      <c r="Q195" s="43" t="s">
        <v>1440</v>
      </c>
      <c r="S195" s="219" t="str">
        <f>Region.codes[Code]</f>
        <v>G</v>
      </c>
      <c r="T195" s="219" t="str">
        <f>Technology.codes[[#This Row],[Code]]</f>
        <v>Pulp &amp; paper.Pulp.NaturalGas</v>
      </c>
      <c r="U195" s="219" t="str">
        <f>S195&amp;"."&amp;Regional.Technologies[[#This Row],[Technology]]</f>
        <v>G.Pulp &amp; paper.Pulp.NaturalGas</v>
      </c>
      <c r="V195" s="219" t="str">
        <f>INDEX(Region.codes[Description],MATCH(S195,Region.codes[Code],0))&amp;" "&amp;INDEX(Technology.codes[Description],MATCH(Regional.Technologies[[#This Row],[Technology]],Technology.codes[Code],0))</f>
        <v>Global Natural Gas use in the Pulp &amp; paper: Pulp technology</v>
      </c>
    </row>
    <row r="196" spans="14:22">
      <c r="N196" s="62" t="s">
        <v>1849</v>
      </c>
      <c r="O196" s="62" t="str">
        <f>Technology.codes[[#This Row],[Energy service]]&amp;" use in the "&amp;"Pulp &amp; paper: Pulp "&amp;"technology"</f>
        <v>Solid Hydrocarbons use in the Pulp &amp; paper: Pulp technology</v>
      </c>
      <c r="P196" s="43" t="s">
        <v>1378</v>
      </c>
      <c r="Q196" s="43" t="s">
        <v>1440</v>
      </c>
      <c r="S196" s="219" t="str">
        <f>Region.codes[Code]</f>
        <v>G</v>
      </c>
      <c r="T196" s="219" t="str">
        <f>Technology.codes[[#This Row],[Code]]</f>
        <v>Pulp &amp; paper.Pulp.SolidHydrocarbons</v>
      </c>
      <c r="U196" s="219" t="str">
        <f>S196&amp;"."&amp;Regional.Technologies[[#This Row],[Technology]]</f>
        <v>G.Pulp &amp; paper.Pulp.SolidHydrocarbons</v>
      </c>
      <c r="V196" s="219" t="str">
        <f>INDEX(Region.codes[Description],MATCH(S196,Region.codes[Code],0))&amp;" "&amp;INDEX(Technology.codes[Description],MATCH(Regional.Technologies[[#This Row],[Technology]],Technology.codes[Code],0))</f>
        <v>Global Solid Hydrocarbons use in the Pulp &amp; paper: Pulp technology</v>
      </c>
    </row>
    <row r="197" spans="14:22">
      <c r="N197" s="62" t="s">
        <v>1850</v>
      </c>
      <c r="O197" s="62" t="str">
        <f>Technology.codes[[#This Row],[Energy service]]&amp;" use in the "&amp;"Pulp &amp; paper: Pulp "&amp;"technology"</f>
        <v>Heat use in the Pulp &amp; paper: Pulp technology</v>
      </c>
      <c r="P197" s="43" t="s">
        <v>323</v>
      </c>
      <c r="Q197" s="43" t="s">
        <v>1440</v>
      </c>
      <c r="S197" s="219" t="str">
        <f>Region.codes[Code]</f>
        <v>G</v>
      </c>
      <c r="T197" s="219" t="str">
        <f>Technology.codes[[#This Row],[Code]]</f>
        <v>Pulp &amp; paper.Pulp.Heat</v>
      </c>
      <c r="U197" s="219" t="str">
        <f>S197&amp;"."&amp;Regional.Technologies[[#This Row],[Technology]]</f>
        <v>G.Pulp &amp; paper.Pulp.Heat</v>
      </c>
      <c r="V197" s="219" t="str">
        <f>INDEX(Region.codes[Description],MATCH(S197,Region.codes[Code],0))&amp;" "&amp;INDEX(Technology.codes[Description],MATCH(Regional.Technologies[[#This Row],[Technology]],Technology.codes[Code],0))</f>
        <v>Global Heat use in the Pulp &amp; paper: Pulp technology</v>
      </c>
    </row>
    <row r="198" spans="14:22">
      <c r="N198" s="62" t="s">
        <v>1631</v>
      </c>
      <c r="O198" s="62" t="str">
        <f>Technology.codes[[#This Row],[Energy service]]&amp;" use in the "&amp;"Pulp &amp; paper: Virgin "&amp;"technology"</f>
        <v>Electricity use in the Pulp &amp; paper: Virgin technology</v>
      </c>
      <c r="P198" s="43" t="s">
        <v>24</v>
      </c>
      <c r="Q198" s="43" t="s">
        <v>1440</v>
      </c>
      <c r="S198" s="219" t="str">
        <f>Region.codes[Code]</f>
        <v>G</v>
      </c>
      <c r="T198" s="219" t="str">
        <f>Technology.codes[[#This Row],[Code]]</f>
        <v>Pulp &amp; paper.Virgin.Electricity</v>
      </c>
      <c r="U198" s="219" t="str">
        <f>S198&amp;"."&amp;Regional.Technologies[[#This Row],[Technology]]</f>
        <v>G.Pulp &amp; paper.Virgin.Electricity</v>
      </c>
      <c r="V198" s="219" t="str">
        <f>INDEX(Region.codes[Description],MATCH(S198,Region.codes[Code],0))&amp;" "&amp;INDEX(Technology.codes[Description],MATCH(Regional.Technologies[[#This Row],[Technology]],Technology.codes[Code],0))</f>
        <v>Global Electricity use in the Pulp &amp; paper: Virgin technology</v>
      </c>
    </row>
    <row r="199" spans="14:22">
      <c r="N199" s="62" t="s">
        <v>1851</v>
      </c>
      <c r="O199" s="62" t="str">
        <f>Technology.codes[[#This Row],[Energy service]]&amp;" use in the "&amp;"Pulp &amp; paper: Virgin "&amp;"technology"</f>
        <v>Coal use in the Pulp &amp; paper: Virgin technology</v>
      </c>
      <c r="P199" s="43" t="s">
        <v>888</v>
      </c>
      <c r="Q199" s="43" t="s">
        <v>1440</v>
      </c>
      <c r="S199" s="219" t="str">
        <f>Region.codes[Code]</f>
        <v>G</v>
      </c>
      <c r="T199" s="219" t="str">
        <f>Technology.codes[[#This Row],[Code]]</f>
        <v>Pulp &amp; paper.Virgin.Coal</v>
      </c>
      <c r="U199" s="219" t="str">
        <f>S199&amp;"."&amp;Regional.Technologies[[#This Row],[Technology]]</f>
        <v>G.Pulp &amp; paper.Virgin.Coal</v>
      </c>
      <c r="V199" s="219" t="str">
        <f>INDEX(Region.codes[Description],MATCH(S199,Region.codes[Code],0))&amp;" "&amp;INDEX(Technology.codes[Description],MATCH(Regional.Technologies[[#This Row],[Technology]],Technology.codes[Code],0))</f>
        <v>Global Coal use in the Pulp &amp; paper: Virgin technology</v>
      </c>
    </row>
    <row r="200" spans="14:22">
      <c r="N200" s="62" t="s">
        <v>1852</v>
      </c>
      <c r="O200" s="62" t="str">
        <f>Technology.codes[[#This Row],[Energy service]]&amp;" use in the "&amp;"Pulp &amp; paper: Virgin "&amp;"technology"</f>
        <v>Oil use in the Pulp &amp; paper: Virgin technology</v>
      </c>
      <c r="P200" s="43" t="s">
        <v>316</v>
      </c>
      <c r="Q200" s="43" t="s">
        <v>1440</v>
      </c>
      <c r="S200" s="219" t="str">
        <f>Region.codes[Code]</f>
        <v>G</v>
      </c>
      <c r="T200" s="219" t="str">
        <f>Technology.codes[[#This Row],[Code]]</f>
        <v>Pulp &amp; paper.Virgin.Oil</v>
      </c>
      <c r="U200" s="219" t="str">
        <f>S200&amp;"."&amp;Regional.Technologies[[#This Row],[Technology]]</f>
        <v>G.Pulp &amp; paper.Virgin.Oil</v>
      </c>
      <c r="V200" s="219" t="str">
        <f>INDEX(Region.codes[Description],MATCH(S200,Region.codes[Code],0))&amp;" "&amp;INDEX(Technology.codes[Description],MATCH(Regional.Technologies[[#This Row],[Technology]],Technology.codes[Code],0))</f>
        <v>Global Oil use in the Pulp &amp; paper: Virgin technology</v>
      </c>
    </row>
    <row r="201" spans="14:22">
      <c r="N201" s="62" t="s">
        <v>1853</v>
      </c>
      <c r="O201" s="62" t="str">
        <f>Technology.codes[[#This Row],[Energy service]]&amp;" use in the "&amp;"Pulp &amp; paper: Virgin "&amp;"technology"</f>
        <v>Natural Gas use in the Pulp &amp; paper: Virgin technology</v>
      </c>
      <c r="P201" s="43" t="s">
        <v>1801</v>
      </c>
      <c r="Q201" s="43" t="s">
        <v>1440</v>
      </c>
      <c r="S201" s="219" t="str">
        <f>Region.codes[Code]</f>
        <v>G</v>
      </c>
      <c r="T201" s="219" t="str">
        <f>Technology.codes[[#This Row],[Code]]</f>
        <v>Pulp &amp; paper.Virgin.NaturalGas</v>
      </c>
      <c r="U201" s="219" t="str">
        <f>S201&amp;"."&amp;Regional.Technologies[[#This Row],[Technology]]</f>
        <v>G.Pulp &amp; paper.Virgin.NaturalGas</v>
      </c>
      <c r="V201" s="219" t="str">
        <f>INDEX(Region.codes[Description],MATCH(S201,Region.codes[Code],0))&amp;" "&amp;INDEX(Technology.codes[Description],MATCH(Regional.Technologies[[#This Row],[Technology]],Technology.codes[Code],0))</f>
        <v>Global Natural Gas use in the Pulp &amp; paper: Virgin technology</v>
      </c>
    </row>
    <row r="202" spans="14:22">
      <c r="N202" s="62" t="s">
        <v>1854</v>
      </c>
      <c r="O202" s="62" t="str">
        <f>Technology.codes[[#This Row],[Energy service]]&amp;" use in the "&amp;"Pulp &amp; paper: Virgin "&amp;"technology"</f>
        <v>Solid Hydrocarbons use in the Pulp &amp; paper: Virgin technology</v>
      </c>
      <c r="P202" s="43" t="s">
        <v>1378</v>
      </c>
      <c r="Q202" s="43" t="s">
        <v>1440</v>
      </c>
      <c r="S202" s="219" t="str">
        <f>Region.codes[Code]</f>
        <v>G</v>
      </c>
      <c r="T202" s="219" t="str">
        <f>Technology.codes[[#This Row],[Code]]</f>
        <v>Pulp &amp; paper.Virgin.SolidHydrocarbons</v>
      </c>
      <c r="U202" s="219" t="str">
        <f>S202&amp;"."&amp;Regional.Technologies[[#This Row],[Technology]]</f>
        <v>G.Pulp &amp; paper.Virgin.SolidHydrocarbons</v>
      </c>
      <c r="V202" s="219" t="str">
        <f>INDEX(Region.codes[Description],MATCH(S202,Region.codes[Code],0))&amp;" "&amp;INDEX(Technology.codes[Description],MATCH(Regional.Technologies[[#This Row],[Technology]],Technology.codes[Code],0))</f>
        <v>Global Solid Hydrocarbons use in the Pulp &amp; paper: Virgin technology</v>
      </c>
    </row>
    <row r="203" spans="14:22">
      <c r="N203" s="62" t="s">
        <v>1855</v>
      </c>
      <c r="O203" s="62" t="str">
        <f>Technology.codes[[#This Row],[Energy service]]&amp;" use in the "&amp;"Pulp &amp; paper: Virgin "&amp;"technology"</f>
        <v>Heat use in the Pulp &amp; paper: Virgin technology</v>
      </c>
      <c r="P203" s="43" t="s">
        <v>323</v>
      </c>
      <c r="Q203" s="43" t="s">
        <v>1440</v>
      </c>
      <c r="S203" s="219" t="str">
        <f>Region.codes[Code]</f>
        <v>G</v>
      </c>
      <c r="T203" s="219" t="str">
        <f>Technology.codes[[#This Row],[Code]]</f>
        <v>Pulp &amp; paper.Virgin.Heat</v>
      </c>
      <c r="U203" s="219" t="str">
        <f>S203&amp;"."&amp;Regional.Technologies[[#This Row],[Technology]]</f>
        <v>G.Pulp &amp; paper.Virgin.Heat</v>
      </c>
      <c r="V203" s="219" t="str">
        <f>INDEX(Region.codes[Description],MATCH(S203,Region.codes[Code],0))&amp;" "&amp;INDEX(Technology.codes[Description],MATCH(Regional.Technologies[[#This Row],[Technology]],Technology.codes[Code],0))</f>
        <v>Global Heat use in the Pulp &amp; paper: Virgin technology</v>
      </c>
    </row>
    <row r="204" spans="14:22">
      <c r="N204" s="62" t="s">
        <v>1632</v>
      </c>
      <c r="O204" s="62" t="str">
        <f>Technology.codes[[#This Row],[Energy service]]&amp;" use in the "&amp;"Pulp &amp; paper: Recycled "&amp;"technology"</f>
        <v>Electricity use in the Pulp &amp; paper: Recycled technology</v>
      </c>
      <c r="P204" s="43" t="s">
        <v>24</v>
      </c>
      <c r="Q204" s="43" t="s">
        <v>1440</v>
      </c>
      <c r="S204" s="219" t="str">
        <f>Region.codes[Code]</f>
        <v>G</v>
      </c>
      <c r="T204" s="219" t="str">
        <f>Technology.codes[[#This Row],[Code]]</f>
        <v>Pulp &amp; paper.Recycled.Electricity</v>
      </c>
      <c r="U204" s="219" t="str">
        <f>S204&amp;"."&amp;Regional.Technologies[[#This Row],[Technology]]</f>
        <v>G.Pulp &amp; paper.Recycled.Electricity</v>
      </c>
      <c r="V204" s="219" t="str">
        <f>INDEX(Region.codes[Description],MATCH(S204,Region.codes[Code],0))&amp;" "&amp;INDEX(Technology.codes[Description],MATCH(Regional.Technologies[[#This Row],[Technology]],Technology.codes[Code],0))</f>
        <v>Global Electricity use in the Pulp &amp; paper: Recycled technology</v>
      </c>
    </row>
    <row r="205" spans="14:22">
      <c r="N205" s="62" t="s">
        <v>1856</v>
      </c>
      <c r="O205" s="62" t="str">
        <f>Technology.codes[[#This Row],[Energy service]]&amp;" use in the "&amp;"Pulp &amp; paper: Recycled "&amp;"technology"</f>
        <v>Coal use in the Pulp &amp; paper: Recycled technology</v>
      </c>
      <c r="P205" s="43" t="s">
        <v>888</v>
      </c>
      <c r="Q205" s="43" t="s">
        <v>1440</v>
      </c>
      <c r="S205" s="219" t="str">
        <f>Region.codes[Code]</f>
        <v>G</v>
      </c>
      <c r="T205" s="219" t="str">
        <f>Technology.codes[[#This Row],[Code]]</f>
        <v>Pulp &amp; paper.Recycled.Coal</v>
      </c>
      <c r="U205" s="219" t="str">
        <f>S205&amp;"."&amp;Regional.Technologies[[#This Row],[Technology]]</f>
        <v>G.Pulp &amp; paper.Recycled.Coal</v>
      </c>
      <c r="V205" s="219" t="str">
        <f>INDEX(Region.codes[Description],MATCH(S205,Region.codes[Code],0))&amp;" "&amp;INDEX(Technology.codes[Description],MATCH(Regional.Technologies[[#This Row],[Technology]],Technology.codes[Code],0))</f>
        <v>Global Coal use in the Pulp &amp; paper: Recycled technology</v>
      </c>
    </row>
    <row r="206" spans="14:22">
      <c r="N206" s="62" t="s">
        <v>1857</v>
      </c>
      <c r="O206" s="62" t="str">
        <f>Technology.codes[[#This Row],[Energy service]]&amp;" use in the "&amp;"Pulp &amp; paper: Recycled "&amp;"technology"</f>
        <v>Oil use in the Pulp &amp; paper: Recycled technology</v>
      </c>
      <c r="P206" s="43" t="s">
        <v>316</v>
      </c>
      <c r="Q206" s="43" t="s">
        <v>1440</v>
      </c>
      <c r="S206" s="219" t="str">
        <f>Region.codes[Code]</f>
        <v>G</v>
      </c>
      <c r="T206" s="219" t="str">
        <f>Technology.codes[[#This Row],[Code]]</f>
        <v>Pulp &amp; paper.Recycled.Oil</v>
      </c>
      <c r="U206" s="219" t="str">
        <f>S206&amp;"."&amp;Regional.Technologies[[#This Row],[Technology]]</f>
        <v>G.Pulp &amp; paper.Recycled.Oil</v>
      </c>
      <c r="V206" s="219" t="str">
        <f>INDEX(Region.codes[Description],MATCH(S206,Region.codes[Code],0))&amp;" "&amp;INDEX(Technology.codes[Description],MATCH(Regional.Technologies[[#This Row],[Technology]],Technology.codes[Code],0))</f>
        <v>Global Oil use in the Pulp &amp; paper: Recycled technology</v>
      </c>
    </row>
    <row r="207" spans="14:22">
      <c r="N207" s="62" t="s">
        <v>1858</v>
      </c>
      <c r="O207" s="62" t="str">
        <f>Technology.codes[[#This Row],[Energy service]]&amp;" use in the "&amp;"Pulp &amp; paper: Recycled "&amp;"technology"</f>
        <v>Natural Gas use in the Pulp &amp; paper: Recycled technology</v>
      </c>
      <c r="P207" s="43" t="s">
        <v>1801</v>
      </c>
      <c r="Q207" s="43" t="s">
        <v>1440</v>
      </c>
      <c r="S207" s="219" t="str">
        <f>Region.codes[Code]</f>
        <v>G</v>
      </c>
      <c r="T207" s="219" t="str">
        <f>Technology.codes[[#This Row],[Code]]</f>
        <v>Pulp &amp; paper.Recycled.NaturalGas</v>
      </c>
      <c r="U207" s="219" t="str">
        <f>S207&amp;"."&amp;Regional.Technologies[[#This Row],[Technology]]</f>
        <v>G.Pulp &amp; paper.Recycled.NaturalGas</v>
      </c>
      <c r="V207" s="219" t="str">
        <f>INDEX(Region.codes[Description],MATCH(S207,Region.codes[Code],0))&amp;" "&amp;INDEX(Technology.codes[Description],MATCH(Regional.Technologies[[#This Row],[Technology]],Technology.codes[Code],0))</f>
        <v>Global Natural Gas use in the Pulp &amp; paper: Recycled technology</v>
      </c>
    </row>
    <row r="208" spans="14:22">
      <c r="N208" s="254" t="s">
        <v>1859</v>
      </c>
      <c r="O208" s="62" t="str">
        <f>Technology.codes[[#This Row],[Energy service]]&amp;" use in the "&amp;"Pulp &amp; paper: Recycled "&amp;"technology"</f>
        <v>Solid Hydrocarbons use in the Pulp &amp; paper: Recycled technology</v>
      </c>
      <c r="P208" s="43" t="s">
        <v>1378</v>
      </c>
      <c r="Q208" s="43" t="s">
        <v>1440</v>
      </c>
      <c r="S208" s="219" t="str">
        <f>Region.codes[Code]</f>
        <v>G</v>
      </c>
      <c r="T208" s="219" t="str">
        <f>Technology.codes[[#This Row],[Code]]</f>
        <v>Pulp &amp; paper.Recycled.SolidHydrocarbons</v>
      </c>
      <c r="U208" s="219" t="str">
        <f>S208&amp;"."&amp;Regional.Technologies[[#This Row],[Technology]]</f>
        <v>G.Pulp &amp; paper.Recycled.SolidHydrocarbons</v>
      </c>
      <c r="V208" s="219" t="str">
        <f>INDEX(Region.codes[Description],MATCH(S208,Region.codes[Code],0))&amp;" "&amp;INDEX(Technology.codes[Description],MATCH(Regional.Technologies[[#This Row],[Technology]],Technology.codes[Code],0))</f>
        <v>Global Solid Hydrocarbons use in the Pulp &amp; paper: Recycled technology</v>
      </c>
    </row>
    <row r="209" spans="14:22">
      <c r="N209" s="254" t="s">
        <v>1860</v>
      </c>
      <c r="O209" s="62" t="str">
        <f>Technology.codes[[#This Row],[Energy service]]&amp;" use in the "&amp;"Pulp &amp; paper: Recycled "&amp;"technology"</f>
        <v>Heat use in the Pulp &amp; paper: Recycled technology</v>
      </c>
      <c r="P209" s="219" t="s">
        <v>323</v>
      </c>
      <c r="Q209" s="43" t="s">
        <v>1440</v>
      </c>
      <c r="S209" s="219" t="str">
        <f>Region.codes[Code]</f>
        <v>G</v>
      </c>
      <c r="T209" s="219" t="str">
        <f>Technology.codes[[#This Row],[Code]]</f>
        <v>Pulp &amp; paper.Recycled.Heat</v>
      </c>
      <c r="U209" s="219" t="str">
        <f>S209&amp;"."&amp;Regional.Technologies[[#This Row],[Technology]]</f>
        <v>G.Pulp &amp; paper.Recycled.Heat</v>
      </c>
      <c r="V209" s="219" t="str">
        <f>INDEX(Region.codes[Description],MATCH(S209,Region.codes[Code],0))&amp;" "&amp;INDEX(Technology.codes[Description],MATCH(Regional.Technologies[[#This Row],[Technology]],Technology.codes[Code],0))</f>
        <v>Global Heat use in the Pulp &amp; paper: Recycled technology</v>
      </c>
    </row>
    <row r="210" spans="14:22">
      <c r="N210" s="253" t="s">
        <v>1633</v>
      </c>
      <c r="O210" s="253" t="str">
        <f>Technology.codes[[#This Row],[Energy service]]&amp;" use in the "&amp;"Cement "&amp;"technology"</f>
        <v>Electricity use in the Cement technology</v>
      </c>
      <c r="P210" s="43" t="s">
        <v>24</v>
      </c>
      <c r="Q210" s="43" t="s">
        <v>1440</v>
      </c>
      <c r="S210" s="219" t="str">
        <f>Region.codes[Code]</f>
        <v>G</v>
      </c>
      <c r="T210" s="219" t="str">
        <f>Technology.codes[[#This Row],[Code]]</f>
        <v>Cement.Electricity</v>
      </c>
      <c r="U210" s="219" t="str">
        <f>S210&amp;"."&amp;Regional.Technologies[[#This Row],[Technology]]</f>
        <v>G.Cement.Electricity</v>
      </c>
      <c r="V210" s="219" t="str">
        <f>INDEX(Region.codes[Description],MATCH(S210,Region.codes[Code],0))&amp;" "&amp;INDEX(Technology.codes[Description],MATCH(Regional.Technologies[[#This Row],[Technology]],Technology.codes[Code],0))</f>
        <v>Global Electricity use in the Cement technology</v>
      </c>
    </row>
    <row r="211" spans="14:22">
      <c r="N211" s="253" t="s">
        <v>1861</v>
      </c>
      <c r="O211" s="253" t="str">
        <f>Technology.codes[[#This Row],[Energy service]]&amp;" use in the "&amp;"Cement "&amp;"technology"</f>
        <v>Coal use in the Cement technology</v>
      </c>
      <c r="P211" s="43" t="s">
        <v>888</v>
      </c>
      <c r="Q211" s="43" t="s">
        <v>1440</v>
      </c>
      <c r="S211" s="219" t="str">
        <f>Region.codes[Code]</f>
        <v>G</v>
      </c>
      <c r="T211" s="219" t="str">
        <f>Technology.codes[[#This Row],[Code]]</f>
        <v>Cement.Coal</v>
      </c>
      <c r="U211" s="219" t="str">
        <f>S211&amp;"."&amp;Regional.Technologies[[#This Row],[Technology]]</f>
        <v>G.Cement.Coal</v>
      </c>
      <c r="V211" s="219" t="str">
        <f>INDEX(Region.codes[Description],MATCH(S211,Region.codes[Code],0))&amp;" "&amp;INDEX(Technology.codes[Description],MATCH(Regional.Technologies[[#This Row],[Technology]],Technology.codes[Code],0))</f>
        <v>Global Coal use in the Cement technology</v>
      </c>
    </row>
    <row r="212" spans="14:22">
      <c r="N212" s="253" t="s">
        <v>1862</v>
      </c>
      <c r="O212" s="253" t="str">
        <f>Technology.codes[[#This Row],[Energy service]]&amp;" use in the "&amp;"Cement "&amp;"technology"</f>
        <v>Oil use in the Cement technology</v>
      </c>
      <c r="P212" s="43" t="s">
        <v>316</v>
      </c>
      <c r="Q212" s="43" t="s">
        <v>1440</v>
      </c>
      <c r="S212" s="219" t="str">
        <f>Region.codes[Code]</f>
        <v>G</v>
      </c>
      <c r="T212" s="219" t="str">
        <f>Technology.codes[[#This Row],[Code]]</f>
        <v>Cement.Oil</v>
      </c>
      <c r="U212" s="219" t="str">
        <f>S212&amp;"."&amp;Regional.Technologies[[#This Row],[Technology]]</f>
        <v>G.Cement.Oil</v>
      </c>
      <c r="V212" s="219" t="str">
        <f>INDEX(Region.codes[Description],MATCH(S212,Region.codes[Code],0))&amp;" "&amp;INDEX(Technology.codes[Description],MATCH(Regional.Technologies[[#This Row],[Technology]],Technology.codes[Code],0))</f>
        <v>Global Oil use in the Cement technology</v>
      </c>
    </row>
    <row r="213" spans="14:22">
      <c r="N213" s="253" t="s">
        <v>1863</v>
      </c>
      <c r="O213" s="253" t="str">
        <f>Technology.codes[[#This Row],[Energy service]]&amp;" use in the "&amp;"Cement "&amp;"technology"</f>
        <v>Natural Gas use in the Cement technology</v>
      </c>
      <c r="P213" s="43" t="s">
        <v>1801</v>
      </c>
      <c r="Q213" s="43" t="s">
        <v>1440</v>
      </c>
      <c r="S213" s="219" t="str">
        <f>Region.codes[Code]</f>
        <v>G</v>
      </c>
      <c r="T213" s="219" t="str">
        <f>Technology.codes[[#This Row],[Code]]</f>
        <v>Cement.NaturalGas</v>
      </c>
      <c r="U213" s="219" t="str">
        <f>S213&amp;"."&amp;Regional.Technologies[[#This Row],[Technology]]</f>
        <v>G.Cement.NaturalGas</v>
      </c>
      <c r="V213" s="219" t="str">
        <f>INDEX(Region.codes[Description],MATCH(S213,Region.codes[Code],0))&amp;" "&amp;INDEX(Technology.codes[Description],MATCH(Regional.Technologies[[#This Row],[Technology]],Technology.codes[Code],0))</f>
        <v>Global Natural Gas use in the Cement technology</v>
      </c>
    </row>
    <row r="214" spans="14:22">
      <c r="N214" s="253" t="s">
        <v>1864</v>
      </c>
      <c r="O214" s="253" t="str">
        <f>Technology.codes[[#This Row],[Energy service]]&amp;" use in the "&amp;"Cement "&amp;"technology"</f>
        <v>Solid Hydrocarbons use in the Cement technology</v>
      </c>
      <c r="P214" s="43" t="s">
        <v>1378</v>
      </c>
      <c r="Q214" s="43" t="s">
        <v>1440</v>
      </c>
      <c r="S214" s="219" t="str">
        <f>Region.codes[Code]</f>
        <v>G</v>
      </c>
      <c r="T214" s="219" t="str">
        <f>Technology.codes[[#This Row],[Code]]</f>
        <v>Cement.SolidHydrocarbons</v>
      </c>
      <c r="U214" s="219" t="str">
        <f>S214&amp;"."&amp;Regional.Technologies[[#This Row],[Technology]]</f>
        <v>G.Cement.SolidHydrocarbons</v>
      </c>
      <c r="V214" s="219" t="str">
        <f>INDEX(Region.codes[Description],MATCH(S214,Region.codes[Code],0))&amp;" "&amp;INDEX(Technology.codes[Description],MATCH(Regional.Technologies[[#This Row],[Technology]],Technology.codes[Code],0))</f>
        <v>Global Solid Hydrocarbons use in the Cement technology</v>
      </c>
    </row>
    <row r="215" spans="14:22">
      <c r="N215" s="253" t="s">
        <v>1638</v>
      </c>
      <c r="O215" s="253" t="str">
        <f>Technology.codes[[#This Row],[Energy service]]&amp;" use in the "&amp;"Cement "&amp;"technology"</f>
        <v>Heat use in the Cement technology</v>
      </c>
      <c r="P215" s="43" t="s">
        <v>323</v>
      </c>
      <c r="Q215" s="43" t="s">
        <v>1440</v>
      </c>
      <c r="S215" s="219" t="str">
        <f>Region.codes[Code]</f>
        <v>G</v>
      </c>
      <c r="T215" s="219" t="str">
        <f>Technology.codes[[#This Row],[Code]]</f>
        <v>Cement.Heat</v>
      </c>
      <c r="U215" s="219" t="str">
        <f>S215&amp;"."&amp;Regional.Technologies[[#This Row],[Technology]]</f>
        <v>G.Cement.Heat</v>
      </c>
      <c r="V215" s="219" t="str">
        <f>INDEX(Region.codes[Description],MATCH(S215,Region.codes[Code],0))&amp;" "&amp;INDEX(Technology.codes[Description],MATCH(Regional.Technologies[[#This Row],[Technology]],Technology.codes[Code],0))</f>
        <v>Global Heat use in the Cement technology</v>
      </c>
    </row>
    <row r="216" spans="14:22">
      <c r="N216" s="253" t="s">
        <v>1634</v>
      </c>
      <c r="O216" s="253" t="str">
        <f>Technology.codes[[#This Row],[Energy service]]&amp;" use in the "&amp;"Other industries "&amp;"technology"</f>
        <v>Electricity use in the Other industries technology</v>
      </c>
      <c r="P216" s="43" t="s">
        <v>24</v>
      </c>
      <c r="Q216" s="43" t="s">
        <v>1440</v>
      </c>
      <c r="S216" s="219" t="str">
        <f>Region.codes[Code]</f>
        <v>G</v>
      </c>
      <c r="T216" s="219" t="str">
        <f>Technology.codes[[#This Row],[Code]]</f>
        <v>Other industries.Electricity</v>
      </c>
      <c r="U216" s="219" t="str">
        <f>S216&amp;"."&amp;Regional.Technologies[[#This Row],[Technology]]</f>
        <v>G.Other industries.Electricity</v>
      </c>
      <c r="V216" s="219" t="str">
        <f>INDEX(Region.codes[Description],MATCH(S216,Region.codes[Code],0))&amp;" "&amp;INDEX(Technology.codes[Description],MATCH(Regional.Technologies[[#This Row],[Technology]],Technology.codes[Code],0))</f>
        <v>Global Electricity use in the Other industries technology</v>
      </c>
    </row>
    <row r="217" spans="14:22">
      <c r="N217" s="253" t="s">
        <v>1865</v>
      </c>
      <c r="O217" s="253" t="str">
        <f>Technology.codes[[#This Row],[Energy service]]&amp;" use in the "&amp;"Other industries "&amp;"technology"</f>
        <v>Coal use in the Other industries technology</v>
      </c>
      <c r="P217" s="43" t="s">
        <v>888</v>
      </c>
      <c r="Q217" s="43" t="s">
        <v>1440</v>
      </c>
      <c r="S217" s="219" t="str">
        <f>Region.codes[Code]</f>
        <v>G</v>
      </c>
      <c r="T217" s="219" t="str">
        <f>Technology.codes[[#This Row],[Code]]</f>
        <v>Other industries.Coal</v>
      </c>
      <c r="U217" s="219" t="str">
        <f>S217&amp;"."&amp;Regional.Technologies[[#This Row],[Technology]]</f>
        <v>G.Other industries.Coal</v>
      </c>
      <c r="V217" s="219" t="str">
        <f>INDEX(Region.codes[Description],MATCH(S217,Region.codes[Code],0))&amp;" "&amp;INDEX(Technology.codes[Description],MATCH(Regional.Technologies[[#This Row],[Technology]],Technology.codes[Code],0))</f>
        <v>Global Coal use in the Other industries technology</v>
      </c>
    </row>
    <row r="218" spans="14:22">
      <c r="N218" s="253" t="s">
        <v>1866</v>
      </c>
      <c r="O218" s="253" t="str">
        <f>Technology.codes[[#This Row],[Energy service]]&amp;" use in the "&amp;"Other industries "&amp;"technology"</f>
        <v>Oil use in the Other industries technology</v>
      </c>
      <c r="P218" s="43" t="s">
        <v>316</v>
      </c>
      <c r="Q218" s="43" t="s">
        <v>1440</v>
      </c>
      <c r="S218" s="219" t="str">
        <f>Region.codes[Code]</f>
        <v>G</v>
      </c>
      <c r="T218" s="219" t="str">
        <f>Technology.codes[[#This Row],[Code]]</f>
        <v>Other industries.Oil</v>
      </c>
      <c r="U218" s="219" t="str">
        <f>S218&amp;"."&amp;Regional.Technologies[[#This Row],[Technology]]</f>
        <v>G.Other industries.Oil</v>
      </c>
      <c r="V218" s="219" t="str">
        <f>INDEX(Region.codes[Description],MATCH(S218,Region.codes[Code],0))&amp;" "&amp;INDEX(Technology.codes[Description],MATCH(Regional.Technologies[[#This Row],[Technology]],Technology.codes[Code],0))</f>
        <v>Global Oil use in the Other industries technology</v>
      </c>
    </row>
    <row r="219" spans="14:22">
      <c r="N219" s="253" t="s">
        <v>1867</v>
      </c>
      <c r="O219" s="253" t="str">
        <f>Technology.codes[[#This Row],[Energy service]]&amp;" use in the "&amp;"Other industries "&amp;"technology"</f>
        <v>Natural Gas use in the Other industries technology</v>
      </c>
      <c r="P219" s="43" t="s">
        <v>1801</v>
      </c>
      <c r="Q219" s="43" t="s">
        <v>1440</v>
      </c>
      <c r="S219" s="219" t="str">
        <f>Region.codes[Code]</f>
        <v>G</v>
      </c>
      <c r="T219" s="219" t="str">
        <f>Technology.codes[[#This Row],[Code]]</f>
        <v>Other industries.NaturalGas</v>
      </c>
      <c r="U219" s="219" t="str">
        <f>S219&amp;"."&amp;Regional.Technologies[[#This Row],[Technology]]</f>
        <v>G.Other industries.NaturalGas</v>
      </c>
      <c r="V219" s="219" t="str">
        <f>INDEX(Region.codes[Description],MATCH(S219,Region.codes[Code],0))&amp;" "&amp;INDEX(Technology.codes[Description],MATCH(Regional.Technologies[[#This Row],[Technology]],Technology.codes[Code],0))</f>
        <v>Global Natural Gas use in the Other industries technology</v>
      </c>
    </row>
    <row r="220" spans="14:22">
      <c r="N220" s="253" t="s">
        <v>1868</v>
      </c>
      <c r="O220" s="253" t="str">
        <f>Technology.codes[[#This Row],[Energy service]]&amp;" use in the "&amp;"Other industries "&amp;"technology"</f>
        <v>Solid Hydrocarbons use in the Other industries technology</v>
      </c>
      <c r="P220" s="43" t="s">
        <v>1378</v>
      </c>
      <c r="Q220" s="43" t="s">
        <v>1440</v>
      </c>
      <c r="S220" s="219" t="str">
        <f>Region.codes[Code]</f>
        <v>G</v>
      </c>
      <c r="T220" s="219" t="str">
        <f>Technology.codes[[#This Row],[Code]]</f>
        <v>Other industries.SolidHydrocarbons</v>
      </c>
      <c r="U220" s="219" t="str">
        <f>S220&amp;"."&amp;Regional.Technologies[[#This Row],[Technology]]</f>
        <v>G.Other industries.SolidHydrocarbons</v>
      </c>
      <c r="V220" s="219" t="str">
        <f>INDEX(Region.codes[Description],MATCH(S220,Region.codes[Code],0))&amp;" "&amp;INDEX(Technology.codes[Description],MATCH(Regional.Technologies[[#This Row],[Technology]],Technology.codes[Code],0))</f>
        <v>Global Solid Hydrocarbons use in the Other industries technology</v>
      </c>
    </row>
    <row r="221" spans="14:22">
      <c r="N221" s="253" t="s">
        <v>1869</v>
      </c>
      <c r="O221" s="253" t="str">
        <f>Technology.codes[[#This Row],[Energy service]]&amp;" use in the "&amp;"Other industries "&amp;"technology"</f>
        <v>Heat use in the Other industries technology</v>
      </c>
      <c r="P221" s="219" t="s">
        <v>323</v>
      </c>
      <c r="Q221" s="43" t="s">
        <v>1440</v>
      </c>
      <c r="S221" s="219" t="str">
        <f>Region.codes[Code]</f>
        <v>G</v>
      </c>
      <c r="T221" s="219" t="str">
        <f>Technology.codes[[#This Row],[Code]]</f>
        <v>Other industries.Heat</v>
      </c>
      <c r="U221" s="219" t="str">
        <f>S221&amp;"."&amp;Regional.Technologies[[#This Row],[Technology]]</f>
        <v>G.Other industries.Heat</v>
      </c>
      <c r="V221" s="219" t="str">
        <f>INDEX(Region.codes[Description],MATCH(S221,Region.codes[Code],0))&amp;" "&amp;INDEX(Technology.codes[Description],MATCH(Regional.Technologies[[#This Row],[Technology]],Technology.codes[Code],0))</f>
        <v>Global Heat use in the Other industries technology</v>
      </c>
    </row>
    <row r="222" spans="14:22">
      <c r="N222" s="253" t="s">
        <v>2292</v>
      </c>
      <c r="O222" s="219" t="s">
        <v>2293</v>
      </c>
      <c r="P222" s="219" t="s">
        <v>2294</v>
      </c>
      <c r="Q222" s="43" t="s">
        <v>1440</v>
      </c>
      <c r="S222" s="219" t="str">
        <f>Region.codes[Code]</f>
        <v>G</v>
      </c>
      <c r="T222" s="219" t="str">
        <f>Technology.codes[[#This Row],[Code]]</f>
        <v>Oil.Prod</v>
      </c>
      <c r="U222" s="219" t="str">
        <f>S222&amp;"."&amp;Regional.Technologies[[#This Row],[Technology]]</f>
        <v>G.Oil.Prod</v>
      </c>
      <c r="V222" s="219" t="str">
        <f>INDEX(Region.codes[Description],MATCH(S222,Region.codes[Code],0))&amp;" "&amp;INDEX(Technology.codes[Description],MATCH(Regional.Technologies[[#This Row],[Technology]],Technology.codes[Code],0))</f>
        <v xml:space="preserve">Global Oil production </v>
      </c>
    </row>
    <row r="223" spans="14:22">
      <c r="N223" s="253" t="s">
        <v>2295</v>
      </c>
      <c r="O223" s="219" t="s">
        <v>2296</v>
      </c>
      <c r="P223" s="219" t="s">
        <v>2297</v>
      </c>
      <c r="Q223" s="43" t="s">
        <v>1440</v>
      </c>
      <c r="S223" s="219" t="str">
        <f>Region.codes[Code]</f>
        <v>G</v>
      </c>
      <c r="T223" s="219" t="str">
        <f>Technology.codes[[#This Row],[Code]]</f>
        <v>Coal.Prod</v>
      </c>
      <c r="U223" s="219" t="str">
        <f>S223&amp;"."&amp;Regional.Technologies[[#This Row],[Technology]]</f>
        <v>G.Coal.Prod</v>
      </c>
      <c r="V223" s="219" t="str">
        <f>INDEX(Region.codes[Description],MATCH(S223,Region.codes[Code],0))&amp;" "&amp;INDEX(Technology.codes[Description],MATCH(Regional.Technologies[[#This Row],[Technology]],Technology.codes[Code],0))</f>
        <v>Global Coal production</v>
      </c>
    </row>
    <row r="224" spans="14:22">
      <c r="N224" s="253" t="s">
        <v>2298</v>
      </c>
      <c r="O224" s="219" t="s">
        <v>2299</v>
      </c>
      <c r="P224" s="219" t="s">
        <v>2300</v>
      </c>
      <c r="Q224" s="43" t="s">
        <v>1440</v>
      </c>
      <c r="S224" s="219" t="str">
        <f>Region.codes[Code]</f>
        <v>G</v>
      </c>
      <c r="T224" s="219" t="str">
        <f>Technology.codes[[#This Row],[Code]]</f>
        <v>Gas.Prod</v>
      </c>
      <c r="U224" s="219" t="str">
        <f>S224&amp;"."&amp;Regional.Technologies[[#This Row],[Technology]]</f>
        <v>G.Gas.Prod</v>
      </c>
      <c r="V224" s="219" t="str">
        <f>INDEX(Region.codes[Description],MATCH(S224,Region.codes[Code],0))&amp;" "&amp;INDEX(Technology.codes[Description],MATCH(Regional.Technologies[[#This Row],[Technology]],Technology.codes[Code],0))</f>
        <v>Global Gas production</v>
      </c>
    </row>
    <row r="225" spans="14:22">
      <c r="N225" s="253" t="s">
        <v>2399</v>
      </c>
      <c r="O225" s="219" t="s">
        <v>2400</v>
      </c>
      <c r="P225" s="219"/>
      <c r="Q225" s="43"/>
      <c r="S225" s="219" t="str">
        <f>Region.codes[Code]</f>
        <v>G</v>
      </c>
      <c r="T225" s="219" t="str">
        <f>Technology.codes[[#This Row],[Code]]</f>
        <v>gas.nework</v>
      </c>
      <c r="U225" s="219" t="str">
        <f>S225&amp;"."&amp;Regional.Technologies[[#This Row],[Technology]]</f>
        <v>G.gas.nework</v>
      </c>
      <c r="V225" s="219" t="str">
        <f>INDEX(Region.codes[Description],MATCH(S225,Region.codes[Code],0))&amp;" "&amp;INDEX(Technology.codes[Description],MATCH(Regional.Technologies[[#This Row],[Technology]],Technology.codes[Code],0))</f>
        <v>Global Gas distribution network</v>
      </c>
    </row>
    <row r="226" spans="14:22">
      <c r="N226" s="253" t="s">
        <v>2401</v>
      </c>
      <c r="O226" s="219" t="s">
        <v>2402</v>
      </c>
      <c r="P226" s="219"/>
      <c r="Q226" s="43"/>
      <c r="S226" s="219" t="str">
        <f>Region.codes[Code]</f>
        <v>G</v>
      </c>
      <c r="T226" s="219" t="str">
        <f>Technology.codes[[#This Row],[Code]]</f>
        <v>coal.network</v>
      </c>
      <c r="U226" s="219" t="str">
        <f>S226&amp;"."&amp;Regional.Technologies[[#This Row],[Technology]]</f>
        <v>G.coal.network</v>
      </c>
      <c r="V226" s="219" t="str">
        <f>INDEX(Region.codes[Description],MATCH(S226,Region.codes[Code],0))&amp;" "&amp;INDEX(Technology.codes[Description],MATCH(Regional.Technologies[[#This Row],[Technology]],Technology.codes[Code],0))</f>
        <v>Global Coal distribution network</v>
      </c>
    </row>
    <row r="227" spans="14:22">
      <c r="N227" s="253" t="s">
        <v>2403</v>
      </c>
      <c r="O227" s="219" t="s">
        <v>2404</v>
      </c>
      <c r="P227" s="219"/>
      <c r="Q227" s="43"/>
      <c r="S227" s="219" t="str">
        <f>Region.codes[Code]</f>
        <v>G</v>
      </c>
      <c r="T227" s="219" t="str">
        <f>Technology.codes[[#This Row],[Code]]</f>
        <v>oil.network</v>
      </c>
      <c r="U227" s="219" t="str">
        <f>S227&amp;"."&amp;Regional.Technologies[[#This Row],[Technology]]</f>
        <v>G.oil.network</v>
      </c>
      <c r="V227" s="219" t="str">
        <f>INDEX(Region.codes[Description],MATCH(S227,Region.codes[Code],0))&amp;" "&amp;INDEX(Technology.codes[Description],MATCH(Regional.Technologies[[#This Row],[Technology]],Technology.codes[Code],0))</f>
        <v>Global Oil distribution network</v>
      </c>
    </row>
    <row r="228" spans="14:22">
      <c r="N228" s="253" t="s">
        <v>2405</v>
      </c>
      <c r="O228" s="219" t="s">
        <v>2406</v>
      </c>
      <c r="P228" s="219"/>
      <c r="Q228" s="43"/>
      <c r="S228" s="219" t="str">
        <f>Region.codes[Code]</f>
        <v>G</v>
      </c>
      <c r="T228" s="219" t="str">
        <f>Technology.codes[[#This Row],[Code]]</f>
        <v>electricity.network</v>
      </c>
      <c r="U228" s="219" t="str">
        <f>S228&amp;"."&amp;Regional.Technologies[[#This Row],[Technology]]</f>
        <v>G.electricity.network</v>
      </c>
      <c r="V228" s="219" t="str">
        <f>INDEX(Region.codes[Description],MATCH(S228,Region.codes[Code],0))&amp;" "&amp;INDEX(Technology.codes[Description],MATCH(Regional.Technologies[[#This Row],[Technology]],Technology.codes[Code],0))</f>
        <v>Global Electricity distribution network</v>
      </c>
    </row>
  </sheetData>
  <phoneticPr fontId="79" type="noConversion"/>
  <hyperlinks>
    <hyperlink ref="G2" location="Contents!A1" display="Click here to go to the &quot;contents&quot; page"/>
    <hyperlink ref="AI23" r:id="rId1"/>
  </hyperlinks>
  <pageMargins left="0.7" right="0.7" top="0.75" bottom="0.75" header="0.3" footer="0.3"/>
  <pageSetup paperSize="9" orientation="portrait"/>
  <tableParts count="12">
    <tablePart r:id="rId2"/>
    <tablePart r:id="rId3"/>
    <tablePart r:id="rId4"/>
    <tablePart r:id="rId5"/>
    <tablePart r:id="rId6"/>
    <tablePart r:id="rId7"/>
    <tablePart r:id="rId8"/>
    <tablePart r:id="rId9"/>
    <tablePart r:id="rId10"/>
    <tablePart r:id="rId11"/>
    <tablePart r:id="rId12"/>
    <tablePart r:id="rId13"/>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499984740745262"/>
  </sheetPr>
  <dimension ref="A1:AM92"/>
  <sheetViews>
    <sheetView showGridLines="0" zoomScale="85" zoomScaleNormal="85" zoomScalePageLayoutView="85" workbookViewId="0">
      <selection activeCell="C16" sqref="C16"/>
    </sheetView>
  </sheetViews>
  <sheetFormatPr baseColWidth="10" defaultColWidth="8.83203125" defaultRowHeight="14" x14ac:dyDescent="0"/>
  <cols>
    <col min="1" max="1" width="3" customWidth="1"/>
    <col min="2" max="2" width="32.6640625" customWidth="1"/>
    <col min="3" max="3" width="18.1640625" customWidth="1"/>
    <col min="4" max="4" width="10.33203125" style="39" customWidth="1"/>
    <col min="5" max="5" width="18.83203125" style="39" bestFit="1" customWidth="1"/>
    <col min="6" max="6" width="4" customWidth="1"/>
    <col min="7" max="7" width="10" style="165" customWidth="1"/>
    <col min="8" max="8" width="29" style="165" bestFit="1" customWidth="1"/>
    <col min="9" max="9" width="10" style="165" customWidth="1"/>
    <col min="10" max="10" width="13.5" style="165" customWidth="1"/>
    <col min="11" max="11" width="4.1640625" style="39" customWidth="1"/>
    <col min="12" max="12" width="18" customWidth="1"/>
    <col min="13" max="13" width="9.5" customWidth="1"/>
    <col min="14" max="14" width="10.83203125" customWidth="1"/>
    <col min="15" max="15" width="11.1640625" customWidth="1"/>
    <col min="16" max="16" width="6.5" style="39" customWidth="1"/>
    <col min="17" max="17" width="9.33203125" style="39" customWidth="1"/>
    <col min="18" max="18" width="32.1640625" customWidth="1"/>
    <col min="19" max="19" width="8.5" customWidth="1"/>
    <col min="22" max="22" width="12.5" customWidth="1"/>
    <col min="23" max="23" width="10.5" customWidth="1"/>
    <col min="24" max="24" width="51.1640625" customWidth="1"/>
    <col min="25" max="25" width="21.33203125" customWidth="1"/>
    <col min="26" max="26" width="9.83203125" customWidth="1"/>
    <col min="27" max="27" width="3.6640625" customWidth="1"/>
    <col min="28" max="28" width="9.6640625" customWidth="1"/>
    <col min="29" max="29" width="40.5" customWidth="1"/>
    <col min="30" max="30" width="46" customWidth="1"/>
    <col min="31" max="31" width="12.5" customWidth="1"/>
  </cols>
  <sheetData>
    <row r="1" spans="1:39" s="23" customFormat="1" ht="8.25" customHeight="1">
      <c r="D1" s="39"/>
      <c r="E1" s="39"/>
      <c r="G1" s="165"/>
      <c r="H1" s="165"/>
      <c r="I1" s="165"/>
      <c r="J1" s="165"/>
      <c r="K1" s="39"/>
      <c r="P1" s="39"/>
      <c r="Q1" s="39"/>
    </row>
    <row r="2" spans="1:39" ht="20">
      <c r="A2" s="219"/>
      <c r="B2" s="9" t="s">
        <v>341</v>
      </c>
      <c r="D2" s="99" t="s">
        <v>350</v>
      </c>
      <c r="L2" s="30"/>
    </row>
    <row r="3" spans="1:39" s="23" customFormat="1" ht="20">
      <c r="B3" s="9"/>
      <c r="D3" s="39"/>
      <c r="E3" s="39"/>
      <c r="G3" s="165"/>
      <c r="H3" s="165"/>
      <c r="I3" s="165"/>
      <c r="J3" s="165"/>
      <c r="K3" s="39"/>
      <c r="P3" s="39"/>
      <c r="Q3" s="39"/>
    </row>
    <row r="4" spans="1:39" ht="15">
      <c r="B4" s="15" t="s">
        <v>1102</v>
      </c>
      <c r="G4" s="15" t="s">
        <v>1103</v>
      </c>
      <c r="L4" s="15" t="str">
        <f>"Combustion emissions factors per "&amp;Preferences.energy</f>
        <v>Combustion emissions factors per EJ</v>
      </c>
      <c r="O4" s="15"/>
      <c r="Q4" s="15" t="str">
        <f>"Assumed combustion emissions factors for each energy vector ("&amp;Preferences.weight&amp;" per "&amp;Preferences.energy&amp;")"</f>
        <v>Assumed combustion emissions factors for each energy vector (Gt per EJ)</v>
      </c>
      <c r="R4" s="165"/>
      <c r="S4" s="165"/>
      <c r="T4" s="165"/>
      <c r="V4" s="165"/>
      <c r="W4" s="165"/>
      <c r="X4" s="15" t="s">
        <v>1659</v>
      </c>
      <c r="AF4" s="15" t="s">
        <v>2393</v>
      </c>
    </row>
    <row r="5" spans="1:39" ht="15" thickBot="1">
      <c r="B5" s="16"/>
      <c r="L5" s="16"/>
      <c r="Q5" s="165"/>
      <c r="R5" s="165"/>
      <c r="S5" s="165"/>
      <c r="T5" s="165"/>
      <c r="U5" s="165"/>
      <c r="V5" s="165"/>
      <c r="W5" s="165"/>
    </row>
    <row r="6" spans="1:39">
      <c r="B6" s="100" t="s">
        <v>218</v>
      </c>
      <c r="C6" s="100" t="str">
        <f>Preferences.energy&amp;" / "&amp;Preferences.weight</f>
        <v>EJ / Gt</v>
      </c>
      <c r="D6" s="100" t="s">
        <v>481</v>
      </c>
      <c r="E6" s="100" t="s">
        <v>274</v>
      </c>
      <c r="F6" s="165"/>
      <c r="G6" s="165" t="s">
        <v>240</v>
      </c>
      <c r="H6" s="165" t="s">
        <v>241</v>
      </c>
      <c r="I6" s="165" t="s">
        <v>1104</v>
      </c>
      <c r="J6" s="147" t="s">
        <v>1105</v>
      </c>
      <c r="K6" s="165"/>
      <c r="L6" s="100" t="s">
        <v>219</v>
      </c>
      <c r="M6" s="100" t="str">
        <f>"CO2 ("&amp;Preferences.weight&amp;")"</f>
        <v>CO2 (Gt)</v>
      </c>
      <c r="N6" s="100" t="str">
        <f>"CH4 ("&amp;Preferences.weight&amp;")"</f>
        <v>CH4 (Gt)</v>
      </c>
      <c r="O6" s="100" t="str">
        <f>"N2O ("&amp;Preferences.weight&amp;")"</f>
        <v>N2O (Gt)</v>
      </c>
      <c r="P6" s="165"/>
      <c r="Q6" s="165" t="s">
        <v>240</v>
      </c>
      <c r="R6" s="165" t="s">
        <v>241</v>
      </c>
      <c r="S6" s="165" t="s">
        <v>242</v>
      </c>
      <c r="T6" s="165" t="s">
        <v>243</v>
      </c>
      <c r="U6" s="165" t="s">
        <v>244</v>
      </c>
      <c r="V6" s="165" t="s">
        <v>625</v>
      </c>
      <c r="W6" s="165"/>
      <c r="X6" s="100" t="s">
        <v>341</v>
      </c>
      <c r="Y6" s="100" t="s">
        <v>1662</v>
      </c>
      <c r="Z6" s="100" t="s">
        <v>1240</v>
      </c>
      <c r="AA6" s="100"/>
      <c r="AB6" s="100"/>
      <c r="AC6" s="100" t="s">
        <v>481</v>
      </c>
      <c r="AD6" s="100" t="s">
        <v>274</v>
      </c>
      <c r="AF6" s="100" t="s">
        <v>374</v>
      </c>
      <c r="AG6" s="100"/>
      <c r="AH6" s="100"/>
      <c r="AI6" s="100"/>
      <c r="AJ6" s="100" t="s">
        <v>2394</v>
      </c>
      <c r="AK6" s="219"/>
      <c r="AL6" s="219"/>
      <c r="AM6" s="219"/>
    </row>
    <row r="7" spans="1:39" ht="15">
      <c r="A7" s="17"/>
      <c r="B7" s="188" t="s">
        <v>1031</v>
      </c>
      <c r="C7" s="197"/>
      <c r="D7" s="196"/>
      <c r="E7" s="196"/>
      <c r="F7" s="165"/>
      <c r="G7" s="165" t="s">
        <v>367</v>
      </c>
      <c r="H7" s="165" t="str">
        <f>INDEX(Regional.energy[Description],MATCH(G7,Regional.energy[Regional energy code],0))</f>
        <v xml:space="preserve">Global Coal reserves </v>
      </c>
      <c r="I7" s="165" t="str">
        <f>C6</f>
        <v>EJ / Gt</v>
      </c>
      <c r="J7" s="147">
        <f>C9</f>
        <v>26.1</v>
      </c>
      <c r="K7" s="165"/>
      <c r="L7" s="188" t="s">
        <v>2470</v>
      </c>
      <c r="M7" s="379">
        <f>94.6*unit.t/Unit.TJ</f>
        <v>9.4600000000000004E-2</v>
      </c>
      <c r="P7" s="165"/>
      <c r="Q7" s="165" t="s">
        <v>626</v>
      </c>
      <c r="R7" s="165" t="str">
        <f>INDEX(Regional.energy[Description],MATCH(EF[[#This Row],[Vector]],Regional.energy[Regional energy code],0))</f>
        <v>Global Coal and fossil waste</v>
      </c>
      <c r="S7" s="379">
        <f>M10</f>
        <v>9.4600000000000004E-2</v>
      </c>
      <c r="T7" s="379">
        <f>N10</f>
        <v>1.3233362562541911E-5</v>
      </c>
      <c r="U7" s="379">
        <f>O10</f>
        <v>2.7032753907257441E-6</v>
      </c>
      <c r="V7" s="165"/>
      <c r="W7" s="165"/>
      <c r="X7" t="s">
        <v>1663</v>
      </c>
      <c r="Y7">
        <v>288</v>
      </c>
      <c r="Z7" t="s">
        <v>1661</v>
      </c>
      <c r="AC7" s="269" t="s">
        <v>1672</v>
      </c>
      <c r="AD7" s="219" t="s">
        <v>1671</v>
      </c>
      <c r="AF7" s="219" t="s">
        <v>242</v>
      </c>
      <c r="AG7" s="219"/>
      <c r="AH7" s="219"/>
      <c r="AI7" s="219"/>
      <c r="AJ7" s="219">
        <v>1</v>
      </c>
      <c r="AK7" s="219"/>
      <c r="AL7" s="219"/>
      <c r="AM7" s="219"/>
    </row>
    <row r="8" spans="1:39" ht="15">
      <c r="A8" s="17"/>
      <c r="B8" s="188" t="s">
        <v>1032</v>
      </c>
      <c r="C8" s="197"/>
      <c r="D8" s="188"/>
      <c r="E8" s="188"/>
      <c r="F8" s="165"/>
      <c r="G8" s="165" t="s">
        <v>368</v>
      </c>
      <c r="H8" s="165" t="str">
        <f>INDEX(Regional.energy[Description],MATCH(G8,Regional.energy[Regional energy code],0))</f>
        <v xml:space="preserve">Global Oil reserves </v>
      </c>
      <c r="I8" s="165" t="str">
        <f>C15</f>
        <v>EJ / bbl</v>
      </c>
      <c r="J8" s="147">
        <f>C16</f>
        <v>6.1E-9</v>
      </c>
      <c r="K8" s="165"/>
      <c r="L8" s="188" t="s">
        <v>2471</v>
      </c>
      <c r="M8" s="379">
        <f>101.2*unit.t/Unit.TJ</f>
        <v>0.10120000000000001</v>
      </c>
      <c r="N8" s="379"/>
      <c r="O8" s="379"/>
      <c r="P8" s="165"/>
      <c r="Q8" s="165" t="s">
        <v>627</v>
      </c>
      <c r="R8" s="165" t="str">
        <f>INDEX(Regional.energy[Description],MATCH(EF[[#This Row],[Vector]],Regional.energy[Regional energy code],0))</f>
        <v>Global Oil and petroleum products</v>
      </c>
      <c r="S8" s="379">
        <f>M12</f>
        <v>6.9300000000000014E-2</v>
      </c>
      <c r="T8" s="379">
        <f>N12</f>
        <v>4.1084869724211502E-6</v>
      </c>
      <c r="U8" s="379">
        <f>O12</f>
        <v>4.0220935547767802E-6</v>
      </c>
      <c r="V8" s="165"/>
      <c r="W8" s="165"/>
      <c r="X8" t="s">
        <v>1674</v>
      </c>
      <c r="Y8">
        <f>(1/(clim.carbon.CO2*2.13))/unit.Gt</f>
        <v>0.12804097311139565</v>
      </c>
      <c r="Z8" t="s">
        <v>1661</v>
      </c>
      <c r="AA8" t="s">
        <v>1394</v>
      </c>
      <c r="AB8" t="str">
        <f>Preferences.weight</f>
        <v>Gt</v>
      </c>
      <c r="AC8" t="s">
        <v>2530</v>
      </c>
      <c r="AF8" s="219" t="s">
        <v>243</v>
      </c>
      <c r="AG8" s="219"/>
      <c r="AH8" s="219"/>
      <c r="AI8" s="219"/>
      <c r="AJ8" s="219">
        <v>21</v>
      </c>
      <c r="AK8" s="219"/>
      <c r="AL8" s="219"/>
      <c r="AM8" s="219"/>
    </row>
    <row r="9" spans="1:39" ht="15">
      <c r="A9" s="17"/>
      <c r="B9" s="165" t="s">
        <v>888</v>
      </c>
      <c r="C9" s="198">
        <f>26.1*Unit.GJ/unit.t</f>
        <v>26.1</v>
      </c>
      <c r="D9" s="165" t="s">
        <v>1090</v>
      </c>
      <c r="E9" s="165"/>
      <c r="F9" s="165"/>
      <c r="G9" s="165" t="s">
        <v>369</v>
      </c>
      <c r="H9" s="165" t="str">
        <f>INDEX(Regional.energy[Description],MATCH(G9,Regional.energy[Regional energy code],0))</f>
        <v xml:space="preserve">Global Gas reserves </v>
      </c>
      <c r="I9" s="165" t="str">
        <f>C23</f>
        <v>EJ / T.m3</v>
      </c>
      <c r="J9" s="147">
        <f>C24</f>
        <v>39.661056040492298</v>
      </c>
      <c r="K9" s="165"/>
      <c r="L9" s="188" t="s">
        <v>2472</v>
      </c>
      <c r="M9" s="379">
        <f>106*unit.t/Unit.TJ</f>
        <v>0.10600000000000001</v>
      </c>
      <c r="N9" s="379"/>
      <c r="O9" s="379"/>
      <c r="P9" s="165"/>
      <c r="Q9" s="165" t="s">
        <v>628</v>
      </c>
      <c r="R9" s="165" t="str">
        <f>INDEX(Regional.energy[Description],MATCH(EF[[#This Row],[Vector]],Regional.energy[Regional energy code],0))</f>
        <v>Global Natural gas</v>
      </c>
      <c r="S9" s="379">
        <f>M15</f>
        <v>5.6100000000000011E-2</v>
      </c>
      <c r="T9" s="379">
        <f>N15</f>
        <v>5.3548403922386828E-6</v>
      </c>
      <c r="U9" s="379">
        <f>O15</f>
        <v>3.9015230544544137E-7</v>
      </c>
      <c r="V9" s="165"/>
      <c r="W9" s="165"/>
      <c r="X9" t="s">
        <v>1664</v>
      </c>
      <c r="Y9">
        <f>3.71*Unit.W/Unit.m2</f>
        <v>3.7100000000000001E-5</v>
      </c>
      <c r="Z9" t="str">
        <f>Preferences.power</f>
        <v>GW</v>
      </c>
      <c r="AA9" t="s">
        <v>1394</v>
      </c>
      <c r="AB9" t="str">
        <f>Preferences.area</f>
        <v>ha</v>
      </c>
      <c r="AC9" t="s">
        <v>2531</v>
      </c>
      <c r="AD9" s="268"/>
      <c r="AF9" s="219" t="s">
        <v>244</v>
      </c>
      <c r="AG9" s="219"/>
      <c r="AH9" s="219"/>
      <c r="AI9" s="219"/>
      <c r="AJ9" s="219">
        <v>310</v>
      </c>
      <c r="AK9" s="219"/>
      <c r="AL9" s="219"/>
      <c r="AM9" s="219"/>
    </row>
    <row r="10" spans="1:39" ht="16" thickBot="1">
      <c r="A10" s="17"/>
      <c r="B10" s="165" t="s">
        <v>222</v>
      </c>
      <c r="C10" s="198"/>
      <c r="D10" s="165"/>
      <c r="E10" s="165"/>
      <c r="F10" s="165"/>
      <c r="K10" s="165"/>
      <c r="L10" s="188" t="s">
        <v>2473</v>
      </c>
      <c r="M10" s="379">
        <f>94.6*unit.t/Unit.TJ</f>
        <v>9.4600000000000004E-2</v>
      </c>
      <c r="N10" s="379">
        <f>(13.56 / 96935)*M10</f>
        <v>1.3233362562541911E-5</v>
      </c>
      <c r="O10" s="379">
        <f>(2.77 / 96935) *M10</f>
        <v>2.7032753907257441E-6</v>
      </c>
      <c r="P10" s="165"/>
      <c r="Q10" s="165" t="s">
        <v>370</v>
      </c>
      <c r="R10" s="165" t="str">
        <f>INDEX(Regional.energy[Description],MATCH(EF[[#This Row],[Vector]],Regional.energy[Regional energy code],0))</f>
        <v>Global Solid hydrocarbons</v>
      </c>
      <c r="S10" s="379">
        <f>S7</f>
        <v>9.4600000000000004E-2</v>
      </c>
      <c r="T10" s="379">
        <f>T7</f>
        <v>1.3233362562541911E-5</v>
      </c>
      <c r="U10" s="379">
        <f t="shared" ref="U10" si="0">U7</f>
        <v>2.7032753907257441E-6</v>
      </c>
      <c r="V10" s="165"/>
      <c r="W10" s="165"/>
      <c r="X10" t="s">
        <v>1665</v>
      </c>
      <c r="Y10">
        <f>4*Y11*(6371^2)*Unit.km2</f>
        <v>51006566466.239998</v>
      </c>
      <c r="Z10" t="str">
        <f>Preferences.area</f>
        <v>ha</v>
      </c>
      <c r="AD10" s="219" t="s">
        <v>1670</v>
      </c>
      <c r="AF10" s="115" t="s">
        <v>2227</v>
      </c>
      <c r="AG10" s="115"/>
      <c r="AH10" s="115"/>
      <c r="AI10" s="115"/>
      <c r="AJ10" s="380" t="s">
        <v>2395</v>
      </c>
      <c r="AK10" s="219"/>
      <c r="AL10" s="219"/>
      <c r="AM10" s="219"/>
    </row>
    <row r="11" spans="1:39" ht="15">
      <c r="A11" s="17"/>
      <c r="B11" s="165" t="s">
        <v>224</v>
      </c>
      <c r="C11" s="198"/>
      <c r="D11" s="165"/>
      <c r="E11" s="165"/>
      <c r="F11" s="165"/>
      <c r="K11" s="165"/>
      <c r="L11" s="188" t="s">
        <v>2474</v>
      </c>
      <c r="M11" s="379">
        <f>96.1*unit.t/Unit.TJ</f>
        <v>9.6100000000000005E-2</v>
      </c>
      <c r="N11" s="379"/>
      <c r="O11" s="379"/>
      <c r="P11" s="165"/>
      <c r="Q11" s="165" t="s">
        <v>371</v>
      </c>
      <c r="R11" s="165" t="str">
        <f>INDEX(Regional.energy[Description],MATCH(EF[[#This Row],[Vector]],Regional.energy[Regional energy code],0))</f>
        <v>Global Liquid hydrocarbons</v>
      </c>
      <c r="S11" s="379">
        <f t="shared" ref="S11:U12" si="1">S8</f>
        <v>6.9300000000000014E-2</v>
      </c>
      <c r="T11" s="379">
        <f t="shared" si="1"/>
        <v>4.1084869724211502E-6</v>
      </c>
      <c r="U11" s="379">
        <f t="shared" si="1"/>
        <v>4.0220935547767802E-6</v>
      </c>
      <c r="V11" s="165"/>
      <c r="W11" s="165"/>
      <c r="X11" t="s">
        <v>1666</v>
      </c>
      <c r="Y11" s="266">
        <v>3.1415999999999999</v>
      </c>
      <c r="Z11" t="s">
        <v>858</v>
      </c>
      <c r="AD11" s="219"/>
      <c r="AF11" s="219"/>
      <c r="AG11" s="219"/>
      <c r="AH11" s="219"/>
      <c r="AI11" s="219"/>
      <c r="AJ11" s="219"/>
      <c r="AK11" s="219"/>
      <c r="AL11" s="219"/>
      <c r="AM11" s="219"/>
    </row>
    <row r="12" spans="1:39" s="39" customFormat="1" ht="16" thickBot="1">
      <c r="A12" s="17"/>
      <c r="B12" s="115" t="s">
        <v>227</v>
      </c>
      <c r="C12" s="199"/>
      <c r="D12" s="115"/>
      <c r="E12" s="115"/>
      <c r="F12" s="165"/>
      <c r="G12" s="165"/>
      <c r="H12" s="165"/>
      <c r="I12" s="165"/>
      <c r="J12" s="165"/>
      <c r="K12" s="165"/>
      <c r="L12" s="188" t="s">
        <v>2475</v>
      </c>
      <c r="M12" s="379">
        <f>69.3*unit.t/Unit.TJ</f>
        <v>6.9300000000000014E-2</v>
      </c>
      <c r="N12" s="379">
        <f>(4.28 / 72193)*M12</f>
        <v>4.1084869724211502E-6</v>
      </c>
      <c r="O12" s="379">
        <f>(4.19 / 72193)*M12</f>
        <v>4.0220935547767802E-6</v>
      </c>
      <c r="P12" s="165"/>
      <c r="Q12" s="165" t="s">
        <v>372</v>
      </c>
      <c r="R12" s="165" t="str">
        <f>INDEX(Regional.energy[Description],MATCH(EF[[#This Row],[Vector]],Regional.energy[Regional energy code],0))</f>
        <v>Global Gaseous hydrocarbons</v>
      </c>
      <c r="S12" s="379">
        <f t="shared" si="1"/>
        <v>5.6100000000000011E-2</v>
      </c>
      <c r="T12" s="379">
        <f t="shared" si="1"/>
        <v>5.3548403922386828E-6</v>
      </c>
      <c r="U12" s="379">
        <f t="shared" si="1"/>
        <v>3.9015230544544137E-7</v>
      </c>
      <c r="V12" s="165"/>
      <c r="W12" s="165"/>
      <c r="X12" t="s">
        <v>1667</v>
      </c>
      <c r="Y12">
        <f>334000*Unit.J/unit.kg</f>
        <v>0.33400000000000007</v>
      </c>
      <c r="Z12" t="str">
        <f>Preferences.energy</f>
        <v>EJ</v>
      </c>
      <c r="AA12" t="s">
        <v>1394</v>
      </c>
      <c r="AB12" t="str">
        <f>Preferences.weight</f>
        <v>Gt</v>
      </c>
      <c r="AC12" s="219" t="s">
        <v>1701</v>
      </c>
      <c r="AF12" s="381" t="s">
        <v>2396</v>
      </c>
      <c r="AG12" s="219"/>
      <c r="AH12" s="219"/>
      <c r="AI12" s="219"/>
      <c r="AJ12" s="219"/>
      <c r="AK12" s="219"/>
      <c r="AL12" s="219"/>
      <c r="AM12" s="219"/>
    </row>
    <row r="13" spans="1:39" ht="15">
      <c r="A13" s="17"/>
      <c r="B13" s="186" t="s">
        <v>1089</v>
      </c>
      <c r="C13" s="198"/>
      <c r="D13" s="165"/>
      <c r="E13" s="165"/>
      <c r="F13" s="165"/>
      <c r="K13" s="165"/>
      <c r="L13" s="188" t="s">
        <v>2476</v>
      </c>
      <c r="M13" s="379">
        <f>74.1*unit.t/Unit.TJ</f>
        <v>7.4099999999999999E-2</v>
      </c>
      <c r="N13" s="379"/>
      <c r="O13" s="379"/>
      <c r="P13" s="219"/>
      <c r="Q13" s="219" t="s">
        <v>1351</v>
      </c>
      <c r="R13" s="219" t="str">
        <f>INDEX(Regional.energy[Description],MATCH(EF[[#This Row],[Vector]],Regional.energy[Regional energy code],0))</f>
        <v>Global Heat transport</v>
      </c>
      <c r="S13" s="379">
        <v>0</v>
      </c>
      <c r="T13" s="379">
        <v>0</v>
      </c>
      <c r="U13" s="379">
        <v>0</v>
      </c>
      <c r="V13" s="219"/>
      <c r="W13" s="165"/>
      <c r="X13" t="s">
        <v>1675</v>
      </c>
      <c r="Y13">
        <v>1E-4</v>
      </c>
      <c r="Z13" t="s">
        <v>156</v>
      </c>
      <c r="AA13" t="s">
        <v>1394</v>
      </c>
      <c r="AB13" t="s">
        <v>1678</v>
      </c>
      <c r="AC13" s="219" t="s">
        <v>1701</v>
      </c>
      <c r="AF13" s="219"/>
      <c r="AG13" s="219"/>
      <c r="AH13" s="219"/>
      <c r="AI13" s="219"/>
      <c r="AJ13" s="219"/>
      <c r="AK13" s="219"/>
      <c r="AL13" s="219"/>
      <c r="AM13" s="219"/>
    </row>
    <row r="14" spans="1:39" ht="16" thickBot="1">
      <c r="A14" s="17"/>
      <c r="B14" s="165"/>
      <c r="C14" s="198"/>
      <c r="D14" s="165"/>
      <c r="E14" s="165"/>
      <c r="F14" s="165"/>
      <c r="K14" s="165"/>
      <c r="L14" s="188" t="s">
        <v>2477</v>
      </c>
      <c r="M14" s="379">
        <f>63.1*unit.t/Unit.TJ</f>
        <v>6.3100000000000003E-2</v>
      </c>
      <c r="N14" s="379"/>
      <c r="O14" s="379"/>
      <c r="Q14" s="39" t="s">
        <v>2301</v>
      </c>
      <c r="R14" s="219" t="str">
        <f>INDEX(Regional.energy[Description],MATCH(EF[[#This Row],[Vector]],Regional.energy[Regional energy code],0))</f>
        <v>Global H2</v>
      </c>
      <c r="S14" s="379">
        <f>M16</f>
        <v>0</v>
      </c>
      <c r="T14" s="379">
        <f t="shared" ref="T14:U14" si="2">N16</f>
        <v>0</v>
      </c>
      <c r="U14" s="379">
        <f t="shared" si="2"/>
        <v>0</v>
      </c>
      <c r="V14" s="219"/>
      <c r="W14" s="165"/>
      <c r="X14" t="s">
        <v>1698</v>
      </c>
      <c r="Y14">
        <f>3990*Unit.J/unit.kg</f>
        <v>3.9900000000000005E-3</v>
      </c>
      <c r="Z14" t="s">
        <v>1700</v>
      </c>
      <c r="AA14" t="s">
        <v>1699</v>
      </c>
      <c r="AB14" t="s">
        <v>1678</v>
      </c>
      <c r="AC14" s="219" t="s">
        <v>1701</v>
      </c>
      <c r="AF14" s="219"/>
      <c r="AG14" s="219"/>
      <c r="AH14" s="219"/>
      <c r="AI14" s="219"/>
      <c r="AJ14" s="219"/>
      <c r="AK14" s="219"/>
      <c r="AL14" s="219"/>
      <c r="AM14" s="219"/>
    </row>
    <row r="15" spans="1:39" ht="15">
      <c r="A15" s="17"/>
      <c r="B15" s="100" t="s">
        <v>229</v>
      </c>
      <c r="C15" s="100" t="str">
        <f>Preferences.energy&amp;" / "&amp;preferences.volume.liquid</f>
        <v>EJ / bbl</v>
      </c>
      <c r="D15" s="100" t="s">
        <v>481</v>
      </c>
      <c r="E15" s="100" t="s">
        <v>274</v>
      </c>
      <c r="F15" s="165"/>
      <c r="K15" s="165"/>
      <c r="L15" s="188" t="s">
        <v>225</v>
      </c>
      <c r="M15" s="379">
        <f>56.1*unit.t/Unit.TJ</f>
        <v>5.6100000000000011E-2</v>
      </c>
      <c r="N15" s="379">
        <f>(5.49 / 57516) *M15</f>
        <v>5.3548403922386828E-6</v>
      </c>
      <c r="O15" s="379">
        <f>(0.4 / 57516) *M15</f>
        <v>3.9015230544544137E-7</v>
      </c>
      <c r="T15" s="165"/>
      <c r="U15" s="165"/>
      <c r="V15" s="165"/>
      <c r="W15" s="165"/>
      <c r="X15" t="s">
        <v>1676</v>
      </c>
      <c r="Y15">
        <f>1000*unit.kg/(unit.m3.liquid)</f>
        <v>1.5898729500000001E-10</v>
      </c>
      <c r="Z15" t="str">
        <f>Preferences.weight</f>
        <v>Gt</v>
      </c>
      <c r="AA15" t="s">
        <v>1394</v>
      </c>
      <c r="AB15" t="str">
        <f>preferences.volume.liquid</f>
        <v>bbl</v>
      </c>
      <c r="AD15" s="268"/>
      <c r="AF15" s="219"/>
      <c r="AG15" s="219"/>
      <c r="AH15" s="219"/>
      <c r="AI15" s="219"/>
      <c r="AJ15" s="219"/>
      <c r="AK15" s="219"/>
      <c r="AL15" s="219"/>
      <c r="AM15" s="219"/>
    </row>
    <row r="16" spans="1:39" ht="15">
      <c r="A16" s="17"/>
      <c r="B16" s="165" t="s">
        <v>230</v>
      </c>
      <c r="C16" s="442">
        <f>(6.1*10^9*Unit.J)/unit.bbl</f>
        <v>6.1E-9</v>
      </c>
      <c r="D16" s="165" t="s">
        <v>2532</v>
      </c>
      <c r="E16" s="165"/>
      <c r="F16" s="165"/>
      <c r="K16" s="165"/>
      <c r="L16" s="188" t="s">
        <v>326</v>
      </c>
      <c r="M16" s="379">
        <f>0*(unit.Mt)</f>
        <v>0</v>
      </c>
      <c r="N16" s="379">
        <v>0</v>
      </c>
      <c r="O16" s="379">
        <v>0</v>
      </c>
      <c r="S16" s="165"/>
      <c r="T16" s="165"/>
      <c r="U16" s="165"/>
      <c r="V16" s="165"/>
      <c r="W16" s="165"/>
      <c r="X16" t="s">
        <v>1677</v>
      </c>
      <c r="Y16">
        <f>1027*unit.kg/unit.m3.liquid</f>
        <v>1.63279951965E-10</v>
      </c>
      <c r="Z16" t="str">
        <f>Preferences.weight</f>
        <v>Gt</v>
      </c>
      <c r="AA16" t="s">
        <v>1394</v>
      </c>
      <c r="AB16" t="str">
        <f>preferences.volume.liquid</f>
        <v>bbl</v>
      </c>
      <c r="AD16" s="268"/>
      <c r="AF16" s="219"/>
      <c r="AG16" s="219"/>
      <c r="AH16" s="219"/>
      <c r="AI16" s="219"/>
      <c r="AJ16" s="219"/>
      <c r="AK16" s="219"/>
      <c r="AL16" s="219"/>
      <c r="AM16" s="219"/>
    </row>
    <row r="17" spans="1:30" ht="16" thickBot="1">
      <c r="A17" s="17"/>
      <c r="B17" s="165" t="s">
        <v>231</v>
      </c>
      <c r="C17" s="443"/>
      <c r="D17" s="165"/>
      <c r="E17" s="165"/>
      <c r="F17" s="165"/>
      <c r="K17" s="165"/>
      <c r="L17" s="115"/>
      <c r="M17" s="437"/>
      <c r="N17" s="437"/>
      <c r="O17" s="437"/>
      <c r="R17" s="39"/>
      <c r="S17" s="165"/>
      <c r="T17" s="165"/>
      <c r="U17" s="165"/>
      <c r="V17" s="165"/>
      <c r="W17" s="165"/>
      <c r="X17" t="s">
        <v>1673</v>
      </c>
      <c r="Y17">
        <f>13600000000000*Unit.m2</f>
        <v>1360000000</v>
      </c>
      <c r="Z17" t="str">
        <f>Preferences.area</f>
        <v>ha</v>
      </c>
      <c r="AC17" s="270" t="s">
        <v>1669</v>
      </c>
    </row>
    <row r="18" spans="1:30" ht="15">
      <c r="A18" s="17"/>
      <c r="B18" s="165" t="s">
        <v>232</v>
      </c>
      <c r="C18" s="198"/>
      <c r="D18" s="165"/>
      <c r="E18" s="165"/>
      <c r="F18" s="165"/>
      <c r="K18" s="165"/>
      <c r="L18" s="165"/>
      <c r="M18" s="165"/>
      <c r="N18" s="165"/>
      <c r="O18" s="165"/>
      <c r="S18" s="165"/>
      <c r="T18" s="165"/>
      <c r="U18" s="165"/>
      <c r="V18" s="165"/>
      <c r="W18" s="165"/>
      <c r="X18" s="219" t="s">
        <v>1668</v>
      </c>
      <c r="Y18" s="219">
        <f>360000000000000*Unit.m2</f>
        <v>36000000000</v>
      </c>
      <c r="Z18" s="219" t="str">
        <f>Preferences.area</f>
        <v>ha</v>
      </c>
      <c r="AA18" s="219"/>
      <c r="AB18" s="219"/>
      <c r="AC18" s="270" t="s">
        <v>1669</v>
      </c>
      <c r="AD18" s="219"/>
    </row>
    <row r="19" spans="1:30" s="39" customFormat="1" ht="16" thickBot="1">
      <c r="A19" s="17"/>
      <c r="B19" s="165" t="s">
        <v>233</v>
      </c>
      <c r="C19" s="198"/>
      <c r="D19" s="165"/>
      <c r="E19" s="165"/>
      <c r="F19" s="165"/>
      <c r="G19" s="165"/>
      <c r="H19" s="165"/>
      <c r="I19" s="165"/>
      <c r="J19" s="165"/>
      <c r="K19" s="165"/>
      <c r="L19" s="219" t="s">
        <v>2478</v>
      </c>
      <c r="M19" s="165"/>
      <c r="N19" s="165"/>
      <c r="O19" s="165"/>
      <c r="P19" s="165"/>
      <c r="R19"/>
      <c r="S19" s="165"/>
      <c r="T19" s="165"/>
      <c r="U19" s="165"/>
      <c r="V19" s="165"/>
      <c r="W19" s="165"/>
      <c r="X19" s="115" t="s">
        <v>2424</v>
      </c>
      <c r="Y19" s="115">
        <f>44/12</f>
        <v>3.6666666666666665</v>
      </c>
      <c r="Z19" s="115"/>
      <c r="AA19" s="115"/>
      <c r="AB19" s="115"/>
      <c r="AC19" s="115"/>
      <c r="AD19" s="115"/>
    </row>
    <row r="20" spans="1:30" ht="15" thickBot="1">
      <c r="B20" s="115" t="s">
        <v>234</v>
      </c>
      <c r="C20" s="199"/>
      <c r="D20" s="115"/>
      <c r="E20" s="115"/>
      <c r="F20" s="165"/>
      <c r="K20" s="165"/>
      <c r="L20" s="219" t="s">
        <v>2479</v>
      </c>
      <c r="S20" s="165"/>
      <c r="T20" s="165"/>
      <c r="U20" s="165"/>
      <c r="V20" s="165"/>
      <c r="W20" s="165"/>
      <c r="Y20" s="266"/>
    </row>
    <row r="21" spans="1:30" ht="15">
      <c r="A21" s="17"/>
      <c r="B21" s="186" t="s">
        <v>1089</v>
      </c>
      <c r="C21" s="198"/>
      <c r="D21" s="165"/>
      <c r="E21" s="165"/>
      <c r="F21" s="165"/>
      <c r="K21" s="165"/>
      <c r="L21" s="165" t="s">
        <v>1087</v>
      </c>
      <c r="S21" s="165"/>
      <c r="T21" s="165"/>
      <c r="U21" s="165"/>
      <c r="V21" s="165"/>
      <c r="W21" s="165"/>
    </row>
    <row r="22" spans="1:30" ht="16" thickBot="1">
      <c r="A22" s="17"/>
      <c r="B22" s="165"/>
      <c r="C22" s="198"/>
      <c r="D22" s="165"/>
      <c r="E22" s="165"/>
      <c r="F22" s="165"/>
      <c r="K22" s="165"/>
      <c r="L22" t="s">
        <v>1088</v>
      </c>
      <c r="S22" s="165"/>
      <c r="T22" s="165"/>
      <c r="U22" s="165"/>
      <c r="V22" s="165"/>
      <c r="W22" s="165"/>
    </row>
    <row r="23" spans="1:30" ht="15">
      <c r="A23" s="17"/>
      <c r="B23" s="100" t="s">
        <v>480</v>
      </c>
      <c r="C23" s="100" t="str">
        <f>Preferences.energy&amp;" / "&amp;preferences.volume.gas</f>
        <v>EJ / T.m3</v>
      </c>
      <c r="D23" s="100" t="s">
        <v>481</v>
      </c>
      <c r="E23" s="100" t="s">
        <v>274</v>
      </c>
      <c r="F23" s="165"/>
      <c r="K23" s="165"/>
      <c r="Q23" s="219"/>
      <c r="R23" s="219"/>
      <c r="S23" s="266"/>
      <c r="T23" s="165"/>
      <c r="U23" s="165"/>
      <c r="V23" s="165"/>
      <c r="W23" s="165"/>
    </row>
    <row r="24" spans="1:30" ht="15">
      <c r="A24" s="17"/>
      <c r="B24" s="165" t="s">
        <v>235</v>
      </c>
      <c r="C24" s="198">
        <f>39.6610560404923*Unit.MJ/unit.m3.gas</f>
        <v>39.661056040492298</v>
      </c>
      <c r="D24" s="165" t="s">
        <v>1090</v>
      </c>
      <c r="E24" s="165"/>
      <c r="F24" s="165"/>
      <c r="K24" s="165"/>
      <c r="S24" s="165"/>
      <c r="T24" s="165"/>
      <c r="U24" s="165"/>
      <c r="V24" s="165"/>
      <c r="W24" s="165"/>
    </row>
    <row r="25" spans="1:30" ht="15">
      <c r="A25" s="17"/>
      <c r="B25" s="165" t="s">
        <v>236</v>
      </c>
      <c r="C25" s="198"/>
      <c r="D25" s="165"/>
      <c r="E25" s="165"/>
      <c r="F25" s="165"/>
      <c r="K25" s="165"/>
      <c r="Q25" s="165"/>
      <c r="R25" s="165"/>
      <c r="S25" s="165"/>
      <c r="T25" s="165"/>
      <c r="U25" s="165"/>
      <c r="V25" s="165"/>
      <c r="W25" s="165"/>
    </row>
    <row r="26" spans="1:30" ht="15">
      <c r="A26" s="17"/>
      <c r="B26" s="165" t="s">
        <v>237</v>
      </c>
      <c r="C26" s="198"/>
      <c r="D26" s="165"/>
      <c r="E26" s="165"/>
      <c r="F26" s="165"/>
      <c r="K26" s="165"/>
      <c r="M26" s="39"/>
      <c r="N26" s="39"/>
      <c r="O26" s="39"/>
      <c r="R26" s="165"/>
      <c r="S26" s="165"/>
      <c r="T26" s="165"/>
      <c r="U26" s="165"/>
      <c r="V26" s="165"/>
      <c r="W26" s="165"/>
    </row>
    <row r="27" spans="1:30" ht="15">
      <c r="A27" s="17"/>
      <c r="B27" s="165" t="s">
        <v>228</v>
      </c>
      <c r="C27" s="198"/>
      <c r="D27" s="165"/>
      <c r="E27" s="165"/>
      <c r="F27" s="165"/>
      <c r="K27" s="165"/>
      <c r="R27" s="7"/>
      <c r="S27" s="7"/>
      <c r="T27" s="19"/>
      <c r="U27" s="19"/>
      <c r="V27" s="19"/>
      <c r="W27" s="165"/>
    </row>
    <row r="28" spans="1:30">
      <c r="B28" s="165" t="s">
        <v>238</v>
      </c>
      <c r="C28" s="198"/>
      <c r="D28" s="165"/>
      <c r="E28" s="165"/>
      <c r="F28" s="165"/>
      <c r="K28" s="165"/>
      <c r="R28" s="7"/>
      <c r="S28" s="7"/>
      <c r="T28" s="19"/>
      <c r="U28" s="19"/>
      <c r="V28" s="19"/>
      <c r="W28" s="165"/>
    </row>
    <row r="29" spans="1:30" ht="15" thickBot="1">
      <c r="B29" s="115" t="s">
        <v>239</v>
      </c>
      <c r="C29" s="199"/>
      <c r="D29" s="115"/>
      <c r="E29" s="115"/>
      <c r="F29" s="165"/>
      <c r="K29" s="165"/>
      <c r="R29" s="7"/>
      <c r="S29" s="7"/>
      <c r="T29" s="19"/>
      <c r="U29" s="19"/>
      <c r="V29" s="19"/>
      <c r="W29" s="7"/>
    </row>
    <row r="30" spans="1:30">
      <c r="B30" s="186" t="s">
        <v>1089</v>
      </c>
      <c r="C30" s="147"/>
      <c r="D30" s="165"/>
      <c r="E30" s="165"/>
      <c r="F30" s="165"/>
      <c r="K30" s="165"/>
      <c r="R30" s="7"/>
      <c r="S30" s="7"/>
      <c r="T30" s="19"/>
      <c r="U30" s="19"/>
      <c r="V30" s="19"/>
      <c r="W30" s="7"/>
    </row>
    <row r="31" spans="1:30">
      <c r="B31" s="187"/>
      <c r="C31" s="198"/>
      <c r="D31" s="165"/>
      <c r="E31" s="165"/>
      <c r="F31" s="165"/>
      <c r="K31" s="165"/>
      <c r="R31" s="7"/>
      <c r="S31" s="7"/>
      <c r="T31" s="19"/>
      <c r="U31" s="19"/>
      <c r="V31" s="19"/>
      <c r="W31" s="7"/>
    </row>
    <row r="32" spans="1:30">
      <c r="B32" s="197"/>
      <c r="C32" s="188"/>
      <c r="D32" s="165"/>
      <c r="E32" s="165"/>
      <c r="F32" s="165"/>
      <c r="K32" s="165"/>
      <c r="Q32" s="19"/>
      <c r="R32" s="7"/>
      <c r="S32" s="7"/>
      <c r="T32" s="19"/>
      <c r="U32" s="19"/>
      <c r="V32" s="19"/>
      <c r="W32" s="7"/>
    </row>
    <row r="33" spans="1:23">
      <c r="B33" s="187"/>
      <c r="C33" s="200"/>
      <c r="D33" s="165"/>
      <c r="E33" s="165"/>
      <c r="F33" s="165"/>
      <c r="K33" s="165"/>
      <c r="Q33" s="19"/>
      <c r="R33" s="7"/>
      <c r="S33" s="7"/>
      <c r="T33" s="19"/>
      <c r="U33" s="19"/>
      <c r="V33" s="19"/>
      <c r="W33" s="7"/>
    </row>
    <row r="34" spans="1:23">
      <c r="B34" s="165"/>
      <c r="C34" s="201"/>
      <c r="D34" s="165"/>
      <c r="E34" s="165"/>
      <c r="F34" s="165"/>
      <c r="K34" s="165"/>
      <c r="L34" s="165"/>
      <c r="M34" s="165"/>
      <c r="N34" s="165"/>
      <c r="O34" s="165"/>
      <c r="Q34" s="19"/>
      <c r="R34" s="7"/>
      <c r="S34" s="7"/>
      <c r="T34" s="19"/>
      <c r="U34" s="19"/>
      <c r="V34" s="19"/>
      <c r="W34" s="7"/>
    </row>
    <row r="35" spans="1:23" ht="15">
      <c r="A35" s="17"/>
      <c r="B35" s="165"/>
      <c r="C35" s="201"/>
      <c r="D35" s="165"/>
      <c r="E35" s="165"/>
      <c r="N35" s="102"/>
      <c r="O35" s="102"/>
      <c r="Q35" s="19"/>
      <c r="R35" s="7"/>
      <c r="S35" s="7"/>
      <c r="T35" s="19"/>
      <c r="U35" s="19"/>
      <c r="V35" s="19"/>
      <c r="W35" s="7"/>
    </row>
    <row r="36" spans="1:23" ht="15">
      <c r="A36" s="17"/>
      <c r="B36" s="165"/>
      <c r="C36" s="165"/>
      <c r="D36" s="165"/>
      <c r="E36" s="165"/>
      <c r="N36" s="102"/>
      <c r="O36" s="98"/>
      <c r="Q36" s="19"/>
      <c r="R36" s="7"/>
      <c r="S36" s="7"/>
      <c r="T36" s="19"/>
      <c r="U36" s="19"/>
      <c r="V36" s="19"/>
      <c r="W36" s="7"/>
    </row>
    <row r="37" spans="1:23" ht="15">
      <c r="A37" s="17"/>
      <c r="N37" s="102"/>
      <c r="O37" s="98"/>
      <c r="R37" s="7"/>
      <c r="S37" s="7"/>
      <c r="T37" s="19"/>
      <c r="U37" s="19"/>
      <c r="V37" s="19"/>
      <c r="W37" s="7"/>
    </row>
    <row r="38" spans="1:23" ht="15">
      <c r="A38" s="17"/>
      <c r="R38" s="7"/>
      <c r="S38" s="7"/>
      <c r="T38" s="19"/>
      <c r="U38" s="19"/>
      <c r="V38" s="19"/>
      <c r="W38" s="7"/>
    </row>
    <row r="39" spans="1:23" ht="15">
      <c r="A39" s="17"/>
      <c r="R39" s="7"/>
      <c r="S39" s="7"/>
      <c r="T39" s="19"/>
      <c r="U39" s="19"/>
      <c r="V39" s="19"/>
      <c r="W39" s="7"/>
    </row>
    <row r="40" spans="1:23">
      <c r="R40" s="7"/>
      <c r="S40" s="7"/>
      <c r="T40" s="19"/>
      <c r="U40" s="19"/>
      <c r="V40" s="19"/>
      <c r="W40" s="7"/>
    </row>
    <row r="41" spans="1:23">
      <c r="R41" s="7"/>
      <c r="S41" s="7"/>
      <c r="T41" s="19"/>
      <c r="U41" s="19"/>
      <c r="V41" s="19"/>
      <c r="W41" s="7"/>
    </row>
    <row r="42" spans="1:23">
      <c r="R42" s="7"/>
      <c r="S42" s="7"/>
      <c r="T42" s="19"/>
      <c r="U42" s="19"/>
      <c r="V42" s="19"/>
      <c r="W42" s="7"/>
    </row>
    <row r="43" spans="1:23">
      <c r="R43" s="7"/>
      <c r="S43" s="7"/>
      <c r="T43" s="19"/>
      <c r="U43" s="19"/>
      <c r="V43" s="19"/>
      <c r="W43" s="7"/>
    </row>
    <row r="44" spans="1:23">
      <c r="Q44" s="102"/>
      <c r="R44" s="219"/>
      <c r="S44" s="219"/>
      <c r="T44" s="219"/>
      <c r="U44" s="219"/>
      <c r="V44" s="219"/>
      <c r="W44" s="7"/>
    </row>
    <row r="45" spans="1:23">
      <c r="R45" s="7"/>
      <c r="S45" s="7"/>
      <c r="T45" s="7"/>
      <c r="U45" s="7"/>
      <c r="V45" s="7"/>
      <c r="W45" s="7"/>
    </row>
    <row r="46" spans="1:23" ht="18">
      <c r="A46" s="18"/>
      <c r="W46" s="7"/>
    </row>
    <row r="47" spans="1:23" ht="15">
      <c r="A47" s="17"/>
      <c r="W47" s="7"/>
    </row>
    <row r="48" spans="1:23" ht="15">
      <c r="A48" s="17"/>
    </row>
    <row r="49" spans="1:1" ht="15">
      <c r="A49" s="17"/>
    </row>
    <row r="50" spans="1:1" ht="15">
      <c r="A50" s="17"/>
    </row>
    <row r="51" spans="1:1" ht="15">
      <c r="A51" s="17"/>
    </row>
    <row r="52" spans="1:1" ht="15">
      <c r="A52" s="17"/>
    </row>
    <row r="53" spans="1:1" ht="15">
      <c r="A53" s="17"/>
    </row>
    <row r="54" spans="1:1" ht="15">
      <c r="A54" s="17"/>
    </row>
    <row r="55" spans="1:1" ht="15">
      <c r="A55" s="17"/>
    </row>
    <row r="56" spans="1:1" ht="15">
      <c r="A56" s="17"/>
    </row>
    <row r="57" spans="1:1" ht="15">
      <c r="A57" s="17"/>
    </row>
    <row r="58" spans="1:1" ht="15">
      <c r="A58" s="17"/>
    </row>
    <row r="59" spans="1:1" ht="15">
      <c r="A59" s="17"/>
    </row>
    <row r="60" spans="1:1" ht="15">
      <c r="A60" s="17"/>
    </row>
    <row r="61" spans="1:1" ht="15">
      <c r="A61" s="17"/>
    </row>
    <row r="62" spans="1:1" ht="15">
      <c r="A62" s="17"/>
    </row>
    <row r="63" spans="1:1" ht="15">
      <c r="A63" s="17"/>
    </row>
    <row r="64" spans="1:1" ht="15">
      <c r="A64" s="17"/>
    </row>
    <row r="65" spans="1:1" ht="15">
      <c r="A65" s="17"/>
    </row>
    <row r="66" spans="1:1" ht="15">
      <c r="A66" s="17"/>
    </row>
    <row r="67" spans="1:1" ht="15">
      <c r="A67" s="17"/>
    </row>
    <row r="68" spans="1:1" ht="15">
      <c r="A68" s="17"/>
    </row>
    <row r="69" spans="1:1" ht="15">
      <c r="A69" s="17"/>
    </row>
    <row r="70" spans="1:1" ht="15">
      <c r="A70" s="17"/>
    </row>
    <row r="71" spans="1:1" ht="15">
      <c r="A71" s="17"/>
    </row>
    <row r="72" spans="1:1" ht="15">
      <c r="A72" s="17"/>
    </row>
    <row r="73" spans="1:1" ht="15">
      <c r="A73" s="17"/>
    </row>
    <row r="74" spans="1:1" ht="15">
      <c r="A74" s="17"/>
    </row>
    <row r="75" spans="1:1" ht="15">
      <c r="A75" s="17"/>
    </row>
    <row r="76" spans="1:1" ht="15">
      <c r="A76" s="17"/>
    </row>
    <row r="77" spans="1:1" ht="15">
      <c r="A77" s="17"/>
    </row>
    <row r="78" spans="1:1" ht="15">
      <c r="A78" s="17"/>
    </row>
    <row r="79" spans="1:1" ht="15">
      <c r="A79" s="17"/>
    </row>
    <row r="80" spans="1:1" ht="15">
      <c r="A80" s="17"/>
    </row>
    <row r="81" spans="1:1" ht="15">
      <c r="A81" s="17"/>
    </row>
    <row r="82" spans="1:1" ht="15">
      <c r="A82" s="17"/>
    </row>
    <row r="83" spans="1:1" ht="15">
      <c r="A83" s="17"/>
    </row>
    <row r="84" spans="1:1" ht="15">
      <c r="A84" s="17"/>
    </row>
    <row r="85" spans="1:1" ht="15">
      <c r="A85" s="17"/>
    </row>
    <row r="86" spans="1:1" ht="15">
      <c r="A86" s="17"/>
    </row>
    <row r="87" spans="1:1" ht="15">
      <c r="A87" s="17"/>
    </row>
    <row r="88" spans="1:1" ht="15">
      <c r="A88" s="17"/>
    </row>
    <row r="89" spans="1:1" ht="15">
      <c r="A89" s="17"/>
    </row>
    <row r="90" spans="1:1" ht="15">
      <c r="A90" s="17"/>
    </row>
    <row r="91" spans="1:1" ht="15">
      <c r="A91" s="17"/>
    </row>
    <row r="92" spans="1:1" ht="15">
      <c r="A92" s="17"/>
    </row>
  </sheetData>
  <phoneticPr fontId="79" type="noConversion"/>
  <hyperlinks>
    <hyperlink ref="D2" location="Contents!A1" display="Click here to go to the &quot;contents&quot; page"/>
    <hyperlink ref="AC7" r:id="rId1"/>
  </hyperlinks>
  <pageMargins left="0.7" right="0.7" top="0.75" bottom="0.75" header="0.3" footer="0.3"/>
  <pageSetup paperSize="9" orientation="portrait"/>
  <tableParts count="2">
    <tablePart r:id="rId2"/>
    <tablePart r:id="rId3"/>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499984740745262"/>
  </sheetPr>
  <dimension ref="B1:H172"/>
  <sheetViews>
    <sheetView showGridLines="0" zoomScale="85" zoomScaleNormal="85" zoomScalePageLayoutView="85" workbookViewId="0">
      <selection activeCell="E33" sqref="E33"/>
    </sheetView>
  </sheetViews>
  <sheetFormatPr baseColWidth="10" defaultColWidth="9.1640625" defaultRowHeight="14" x14ac:dyDescent="0"/>
  <cols>
    <col min="1" max="1" width="2.33203125" style="165" customWidth="1"/>
    <col min="2" max="2" width="18.5" style="165" customWidth="1"/>
    <col min="3" max="3" width="38.33203125" style="165" customWidth="1"/>
    <col min="4" max="4" width="32" style="165" customWidth="1"/>
    <col min="5" max="5" width="23.1640625" style="165" customWidth="1"/>
    <col min="6" max="6" width="20.5" style="165" customWidth="1"/>
    <col min="7" max="7" width="13.5" style="165" bestFit="1" customWidth="1"/>
    <col min="8" max="8" width="21" style="165" customWidth="1"/>
    <col min="9" max="9" width="31.6640625" style="165" bestFit="1" customWidth="1"/>
    <col min="10" max="16384" width="9.1640625" style="165"/>
  </cols>
  <sheetData>
    <row r="1" spans="2:8" ht="8.25" customHeight="1"/>
    <row r="2" spans="2:8" ht="20">
      <c r="B2" s="9" t="str">
        <f>Translation!F47</f>
        <v>Conversions</v>
      </c>
      <c r="D2" s="177" t="s">
        <v>350</v>
      </c>
    </row>
    <row r="3" spans="2:8">
      <c r="B3" s="166"/>
    </row>
    <row r="4" spans="2:8" ht="15">
      <c r="B4" s="15" t="s">
        <v>193</v>
      </c>
    </row>
    <row r="5" spans="2:8" ht="15" thickBot="1"/>
    <row r="6" spans="2:8">
      <c r="B6" s="100" t="s">
        <v>69</v>
      </c>
      <c r="C6" s="100" t="s">
        <v>70</v>
      </c>
      <c r="D6" s="100" t="s">
        <v>71</v>
      </c>
      <c r="E6" s="100" t="s">
        <v>72</v>
      </c>
      <c r="F6" s="100" t="str">
        <f>Preferences.energy</f>
        <v>EJ</v>
      </c>
      <c r="H6" s="193"/>
    </row>
    <row r="7" spans="2:8" s="218" customFormat="1">
      <c r="B7" s="218" t="s">
        <v>1197</v>
      </c>
      <c r="C7" s="218" t="s">
        <v>1201</v>
      </c>
      <c r="D7" s="218" t="s">
        <v>1202</v>
      </c>
      <c r="E7" s="218">
        <f>10^18</f>
        <v>1E+18</v>
      </c>
      <c r="F7" s="218">
        <f t="shared" ref="F7:F27" si="0">$E7/INDEX(Energy.conversion.joules,MATCH($F$6,Energy.conversion.unit,0))</f>
        <v>1</v>
      </c>
      <c r="H7" s="193"/>
    </row>
    <row r="8" spans="2:8">
      <c r="B8" s="165" t="s">
        <v>73</v>
      </c>
      <c r="C8" s="165" t="s">
        <v>74</v>
      </c>
      <c r="D8" s="165" t="s">
        <v>75</v>
      </c>
      <c r="E8" s="165">
        <f>10^15</f>
        <v>1000000000000000</v>
      </c>
      <c r="F8" s="165">
        <f t="shared" si="0"/>
        <v>1E-3</v>
      </c>
    </row>
    <row r="9" spans="2:8">
      <c r="B9" s="165" t="s">
        <v>76</v>
      </c>
      <c r="C9" s="165" t="s">
        <v>77</v>
      </c>
      <c r="D9" s="165" t="s">
        <v>78</v>
      </c>
      <c r="E9" s="165">
        <f>10^12</f>
        <v>1000000000000</v>
      </c>
      <c r="F9" s="192">
        <f t="shared" si="0"/>
        <v>9.9999999999999995E-7</v>
      </c>
    </row>
    <row r="10" spans="2:8">
      <c r="B10" s="165" t="s">
        <v>79</v>
      </c>
      <c r="C10" s="165" t="s">
        <v>80</v>
      </c>
      <c r="D10" s="165" t="s">
        <v>81</v>
      </c>
      <c r="E10" s="165">
        <f>10^9</f>
        <v>1000000000</v>
      </c>
      <c r="F10" s="165">
        <f t="shared" si="0"/>
        <v>1.0000000000000001E-9</v>
      </c>
    </row>
    <row r="11" spans="2:8">
      <c r="B11" s="165" t="s">
        <v>84</v>
      </c>
      <c r="C11" s="165" t="s">
        <v>85</v>
      </c>
      <c r="D11" s="165" t="s">
        <v>86</v>
      </c>
      <c r="E11" s="165">
        <f>10^6</f>
        <v>1000000</v>
      </c>
      <c r="F11" s="165">
        <f>$E11/INDEX(Energy.conversion.joules,MATCH($F$6,Energy.conversion.unit,0))</f>
        <v>9.9999999999999998E-13</v>
      </c>
    </row>
    <row r="12" spans="2:8">
      <c r="B12" s="165" t="s">
        <v>82</v>
      </c>
      <c r="C12" s="165" t="s">
        <v>72</v>
      </c>
      <c r="D12" s="165" t="s">
        <v>83</v>
      </c>
      <c r="E12" s="165">
        <v>1</v>
      </c>
      <c r="F12" s="165">
        <f>$E12/INDEX(Energy.conversion.joules,MATCH($F$6,Energy.conversion.unit,0))</f>
        <v>1.0000000000000001E-18</v>
      </c>
    </row>
    <row r="13" spans="2:8">
      <c r="B13" s="165" t="s">
        <v>90</v>
      </c>
      <c r="C13" s="165" t="s">
        <v>91</v>
      </c>
      <c r="D13" s="165" t="s">
        <v>92</v>
      </c>
      <c r="E13" s="165">
        <f>10^12*seconds.per.hour</f>
        <v>3600000000000000</v>
      </c>
      <c r="F13" s="165">
        <f t="shared" si="0"/>
        <v>3.5999999999999999E-3</v>
      </c>
      <c r="G13" s="241"/>
    </row>
    <row r="14" spans="2:8">
      <c r="B14" s="165" t="s">
        <v>93</v>
      </c>
      <c r="C14" s="165" t="s">
        <v>94</v>
      </c>
      <c r="D14" s="165" t="s">
        <v>95</v>
      </c>
      <c r="E14" s="165">
        <f>10^9*seconds.per.hour</f>
        <v>3600000000000</v>
      </c>
      <c r="F14" s="165">
        <f t="shared" si="0"/>
        <v>3.5999999999999998E-6</v>
      </c>
    </row>
    <row r="15" spans="2:8">
      <c r="B15" s="165" t="s">
        <v>96</v>
      </c>
      <c r="C15" s="165" t="s">
        <v>97</v>
      </c>
      <c r="D15" s="165" t="s">
        <v>98</v>
      </c>
      <c r="E15" s="165">
        <f>10^6*seconds.per.hour</f>
        <v>3600000000</v>
      </c>
      <c r="F15" s="165">
        <f t="shared" si="0"/>
        <v>3.6E-9</v>
      </c>
    </row>
    <row r="16" spans="2:8">
      <c r="B16" s="165" t="s">
        <v>87</v>
      </c>
      <c r="C16" s="165" t="s">
        <v>88</v>
      </c>
      <c r="D16" s="165" t="s">
        <v>89</v>
      </c>
      <c r="E16" s="165">
        <f>10^3*seconds.per.hour</f>
        <v>3600000</v>
      </c>
      <c r="F16" s="165">
        <f>$E16/INDEX(Energy.conversion.joules,MATCH($F$6,Energy.conversion.unit,0))</f>
        <v>3.6E-12</v>
      </c>
    </row>
    <row r="17" spans="2:8">
      <c r="B17" s="165" t="s">
        <v>99</v>
      </c>
      <c r="C17" s="165" t="s">
        <v>100</v>
      </c>
      <c r="D17" s="165" t="s">
        <v>101</v>
      </c>
      <c r="E17" s="165">
        <f>5861520000000000/1000000</f>
        <v>5861520000</v>
      </c>
      <c r="F17" s="165">
        <f t="shared" si="0"/>
        <v>5.8615199999999998E-9</v>
      </c>
    </row>
    <row r="18" spans="2:8">
      <c r="B18" s="165" t="s">
        <v>102</v>
      </c>
      <c r="C18" s="165" t="s">
        <v>103</v>
      </c>
      <c r="D18" s="165" t="s">
        <v>104</v>
      </c>
      <c r="E18" s="165">
        <v>5861520000000000</v>
      </c>
      <c r="F18" s="165">
        <f t="shared" si="0"/>
        <v>5.8615200000000003E-3</v>
      </c>
    </row>
    <row r="19" spans="2:8">
      <c r="B19" s="165" t="s">
        <v>105</v>
      </c>
      <c r="C19" s="165" t="s">
        <v>106</v>
      </c>
      <c r="D19" s="165" t="s">
        <v>107</v>
      </c>
      <c r="E19" s="165">
        <f>41.868*10^9</f>
        <v>41868000000</v>
      </c>
      <c r="F19" s="165">
        <f t="shared" si="0"/>
        <v>4.1868000000000001E-8</v>
      </c>
    </row>
    <row r="20" spans="2:8">
      <c r="B20" s="165" t="s">
        <v>108</v>
      </c>
      <c r="C20" s="165" t="s">
        <v>109</v>
      </c>
      <c r="D20" s="165" t="s">
        <v>110</v>
      </c>
      <c r="E20" s="165">
        <f>E19*1000</f>
        <v>41868000000000</v>
      </c>
      <c r="F20" s="165">
        <f t="shared" si="0"/>
        <v>4.1868E-5</v>
      </c>
    </row>
    <row r="21" spans="2:8">
      <c r="B21" s="165" t="s">
        <v>111</v>
      </c>
      <c r="C21" s="165" t="s">
        <v>112</v>
      </c>
      <c r="D21" s="165" t="s">
        <v>113</v>
      </c>
      <c r="E21" s="165">
        <f>E19*1000000</f>
        <v>4.1868E+16</v>
      </c>
      <c r="F21" s="165">
        <f t="shared" si="0"/>
        <v>4.1868000000000002E-2</v>
      </c>
    </row>
    <row r="22" spans="2:8">
      <c r="B22" s="165" t="s">
        <v>1068</v>
      </c>
      <c r="C22" s="165" t="s">
        <v>1069</v>
      </c>
      <c r="D22" s="165" t="s">
        <v>1070</v>
      </c>
      <c r="E22" s="165">
        <f>0.7*E21</f>
        <v>2.93076E+16</v>
      </c>
      <c r="F22" s="165">
        <f t="shared" si="0"/>
        <v>2.93076E-2</v>
      </c>
      <c r="H22" s="174" t="s">
        <v>1071</v>
      </c>
    </row>
    <row r="23" spans="2:8">
      <c r="B23" s="165" t="s">
        <v>114</v>
      </c>
      <c r="C23" s="165" t="s">
        <v>115</v>
      </c>
      <c r="D23" s="165" t="s">
        <v>116</v>
      </c>
      <c r="E23" s="165">
        <f>41.868*10^9/396.83</f>
        <v>105506136.12882091</v>
      </c>
      <c r="F23" s="165">
        <f t="shared" si="0"/>
        <v>1.0550613612882091E-10</v>
      </c>
    </row>
    <row r="24" spans="2:8">
      <c r="B24" s="165" t="s">
        <v>117</v>
      </c>
      <c r="C24" s="165" t="s">
        <v>118</v>
      </c>
      <c r="D24" s="165" t="s">
        <v>119</v>
      </c>
      <c r="E24" s="165">
        <f>E23/100000</f>
        <v>1055.0613612882091</v>
      </c>
      <c r="F24" s="165">
        <f t="shared" si="0"/>
        <v>1.0550613612882091E-15</v>
      </c>
      <c r="G24" s="191"/>
    </row>
    <row r="25" spans="2:8">
      <c r="B25" s="165" t="s">
        <v>120</v>
      </c>
      <c r="C25" s="165" t="s">
        <v>121</v>
      </c>
      <c r="D25" s="165" t="s">
        <v>1236</v>
      </c>
      <c r="E25" s="165">
        <v>4.1840000000000002</v>
      </c>
      <c r="F25" s="165">
        <f t="shared" si="0"/>
        <v>4.1840000000000002E-18</v>
      </c>
    </row>
    <row r="26" spans="2:8">
      <c r="B26" s="219" t="s">
        <v>1234</v>
      </c>
      <c r="C26" s="219" t="s">
        <v>1235</v>
      </c>
      <c r="D26" s="219" t="s">
        <v>1237</v>
      </c>
      <c r="E26" s="219">
        <v>4184</v>
      </c>
      <c r="F26" s="219">
        <f t="shared" si="0"/>
        <v>4.1840000000000001E-15</v>
      </c>
    </row>
    <row r="27" spans="2:8">
      <c r="B27" s="165" t="s">
        <v>122</v>
      </c>
      <c r="C27" s="165" t="s">
        <v>123</v>
      </c>
      <c r="D27" s="165" t="s">
        <v>124</v>
      </c>
      <c r="E27" s="165">
        <f>10^9*seconds.per.year</f>
        <v>3.15576E+16</v>
      </c>
      <c r="F27" s="165">
        <f t="shared" si="0"/>
        <v>3.1557599999999998E-2</v>
      </c>
    </row>
    <row r="28" spans="2:8" ht="15" thickBot="1">
      <c r="B28" s="115" t="s">
        <v>125</v>
      </c>
      <c r="C28" s="115" t="s">
        <v>126</v>
      </c>
      <c r="D28" s="115" t="s">
        <v>1067</v>
      </c>
      <c r="E28" s="115">
        <f>Unit.bcm.energy/Unit.J</f>
        <v>9.0909090909090912E+16</v>
      </c>
      <c r="F28" s="115">
        <f>1/11</f>
        <v>9.0909090909090912E-2</v>
      </c>
    </row>
    <row r="30" spans="2:8" ht="15">
      <c r="B30" s="15" t="s">
        <v>127</v>
      </c>
    </row>
    <row r="31" spans="2:8" ht="15" thickBot="1"/>
    <row r="32" spans="2:8">
      <c r="B32" s="100" t="s">
        <v>69</v>
      </c>
      <c r="C32" s="100" t="s">
        <v>70</v>
      </c>
      <c r="D32" s="100" t="s">
        <v>71</v>
      </c>
      <c r="E32" s="100" t="s">
        <v>128</v>
      </c>
      <c r="F32" s="100" t="str">
        <f>Preferences.power</f>
        <v>GW</v>
      </c>
    </row>
    <row r="33" spans="2:6">
      <c r="B33" s="165" t="s">
        <v>129</v>
      </c>
      <c r="C33" s="165" t="s">
        <v>130</v>
      </c>
      <c r="D33" s="165" t="s">
        <v>131</v>
      </c>
      <c r="E33" s="165">
        <v>1000000000</v>
      </c>
      <c r="F33" s="165">
        <f t="shared" ref="F33:F38" si="1">$E33/INDEX(Power.conversions.watts,MATCH($F$32,Power.conversions.unit,0))</f>
        <v>1</v>
      </c>
    </row>
    <row r="34" spans="2:6">
      <c r="B34" s="165" t="s">
        <v>132</v>
      </c>
      <c r="C34" s="165" t="s">
        <v>133</v>
      </c>
      <c r="D34" s="165" t="s">
        <v>134</v>
      </c>
      <c r="E34" s="165">
        <v>1000000</v>
      </c>
      <c r="F34" s="165">
        <f t="shared" si="1"/>
        <v>1E-3</v>
      </c>
    </row>
    <row r="35" spans="2:6">
      <c r="B35" s="165" t="s">
        <v>135</v>
      </c>
      <c r="C35" s="165" t="s">
        <v>136</v>
      </c>
      <c r="D35" s="165" t="s">
        <v>137</v>
      </c>
      <c r="E35" s="165">
        <v>1000</v>
      </c>
      <c r="F35" s="165">
        <f t="shared" si="1"/>
        <v>9.9999999999999995E-7</v>
      </c>
    </row>
    <row r="36" spans="2:6">
      <c r="B36" s="165" t="s">
        <v>138</v>
      </c>
      <c r="C36" s="165" t="s">
        <v>128</v>
      </c>
      <c r="D36" s="165" t="s">
        <v>139</v>
      </c>
      <c r="E36" s="165">
        <v>1</v>
      </c>
      <c r="F36" s="165">
        <f t="shared" si="1"/>
        <v>1.0000000000000001E-9</v>
      </c>
    </row>
    <row r="37" spans="2:6">
      <c r="B37" s="165" t="s">
        <v>140</v>
      </c>
      <c r="C37" s="165" t="s">
        <v>141</v>
      </c>
      <c r="D37" s="165" t="s">
        <v>142</v>
      </c>
      <c r="E37" s="165">
        <f>(29000000*1000000)/seconds.per.day</f>
        <v>335648148.14814812</v>
      </c>
      <c r="F37" s="165">
        <f t="shared" si="1"/>
        <v>0.33564814814814814</v>
      </c>
    </row>
    <row r="38" spans="2:6" ht="15" thickBot="1">
      <c r="B38" s="115" t="s">
        <v>143</v>
      </c>
      <c r="C38" s="115" t="s">
        <v>144</v>
      </c>
      <c r="D38" s="115" t="s">
        <v>145</v>
      </c>
      <c r="E38" s="115">
        <f>E21/seconds.per.year</f>
        <v>1326716860.597764</v>
      </c>
      <c r="F38" s="115">
        <f t="shared" si="1"/>
        <v>1.3267168605977639</v>
      </c>
    </row>
    <row r="40" spans="2:6" ht="15">
      <c r="B40" s="15" t="s">
        <v>146</v>
      </c>
    </row>
    <row r="41" spans="2:6" ht="15" thickBot="1"/>
    <row r="42" spans="2:6">
      <c r="B42" s="100" t="s">
        <v>69</v>
      </c>
      <c r="C42" s="100" t="s">
        <v>70</v>
      </c>
      <c r="D42" s="100" t="s">
        <v>71</v>
      </c>
      <c r="E42" s="100" t="s">
        <v>194</v>
      </c>
      <c r="F42" s="100" t="str">
        <f>Preferences.time</f>
        <v>y</v>
      </c>
    </row>
    <row r="43" spans="2:6">
      <c r="B43" s="165" t="s">
        <v>147</v>
      </c>
      <c r="C43" s="165" t="s">
        <v>148</v>
      </c>
      <c r="D43" s="165" t="s">
        <v>149</v>
      </c>
      <c r="E43" s="165">
        <f>365.25*E44</f>
        <v>31557600</v>
      </c>
      <c r="F43" s="165">
        <f>$E43/INDEX(time.conversions.seconds,MATCH($F$42,time.conversions.unit,0))</f>
        <v>1</v>
      </c>
    </row>
    <row r="44" spans="2:6">
      <c r="B44" s="165" t="s">
        <v>150</v>
      </c>
      <c r="C44" s="165" t="s">
        <v>151</v>
      </c>
      <c r="D44" s="165" t="s">
        <v>152</v>
      </c>
      <c r="E44" s="165">
        <f>E45*24</f>
        <v>86400</v>
      </c>
      <c r="F44" s="165">
        <f>$E44/INDEX(time.conversions.seconds,MATCH($F$42,time.conversions.unit,0))</f>
        <v>2.7378507871321013E-3</v>
      </c>
    </row>
    <row r="45" spans="2:6">
      <c r="B45" s="165" t="s">
        <v>153</v>
      </c>
      <c r="C45" s="165" t="s">
        <v>154</v>
      </c>
      <c r="D45" s="165" t="s">
        <v>155</v>
      </c>
      <c r="E45" s="165">
        <f>E46*60</f>
        <v>3600</v>
      </c>
      <c r="F45" s="165">
        <f>$E45/INDEX(time.conversions.seconds,MATCH($F$42,time.conversions.unit,0))</f>
        <v>1.1407711613050422E-4</v>
      </c>
    </row>
    <row r="46" spans="2:6">
      <c r="B46" s="165" t="s">
        <v>156</v>
      </c>
      <c r="C46" s="165" t="s">
        <v>157</v>
      </c>
      <c r="D46" s="165" t="s">
        <v>158</v>
      </c>
      <c r="E46" s="165">
        <f>E47*60</f>
        <v>60</v>
      </c>
      <c r="F46" s="165">
        <f>$E46/INDEX(time.conversions.seconds,MATCH($F$42,time.conversions.unit,0))</f>
        <v>1.9012852688417369E-6</v>
      </c>
    </row>
    <row r="47" spans="2:6" ht="15" thickBot="1">
      <c r="B47" s="115" t="s">
        <v>902</v>
      </c>
      <c r="C47" s="115" t="s">
        <v>194</v>
      </c>
      <c r="D47" s="115" t="s">
        <v>903</v>
      </c>
      <c r="E47" s="115">
        <v>1</v>
      </c>
      <c r="F47" s="115">
        <f>$E47/INDEX(time.conversions.seconds,MATCH($F$42,time.conversions.unit,0))</f>
        <v>3.1688087814028947E-8</v>
      </c>
    </row>
    <row r="49" spans="2:6" ht="15">
      <c r="B49" s="15" t="s">
        <v>159</v>
      </c>
    </row>
    <row r="50" spans="2:6" ht="15" thickBot="1"/>
    <row r="51" spans="2:6">
      <c r="B51" s="100" t="s">
        <v>69</v>
      </c>
      <c r="C51" s="100" t="s">
        <v>70</v>
      </c>
      <c r="D51" s="100" t="s">
        <v>71</v>
      </c>
      <c r="E51" s="100" t="s">
        <v>160</v>
      </c>
      <c r="F51" s="100" t="str">
        <f>Preferences.area</f>
        <v>ha</v>
      </c>
    </row>
    <row r="52" spans="2:6">
      <c r="B52" s="165" t="s">
        <v>161</v>
      </c>
      <c r="C52" s="165" t="s">
        <v>162</v>
      </c>
      <c r="D52" s="165" t="s">
        <v>163</v>
      </c>
      <c r="E52" s="165">
        <f>100^2</f>
        <v>10000</v>
      </c>
      <c r="F52" s="165">
        <f t="shared" ref="F52:F61" si="2">$E52/INDEX(Area.conversion.squaremeters,MATCH($F$51,Area.conversion.unit,0))</f>
        <v>1</v>
      </c>
    </row>
    <row r="53" spans="2:6">
      <c r="B53" s="165" t="s">
        <v>164</v>
      </c>
      <c r="C53" s="165" t="s">
        <v>165</v>
      </c>
      <c r="D53" s="165" t="s">
        <v>166</v>
      </c>
      <c r="E53" s="165">
        <f>E52*1000000</f>
        <v>10000000000</v>
      </c>
      <c r="F53" s="165">
        <f t="shared" si="2"/>
        <v>1000000</v>
      </c>
    </row>
    <row r="54" spans="2:6">
      <c r="B54" s="165" t="s">
        <v>167</v>
      </c>
      <c r="C54" s="165" t="s">
        <v>168</v>
      </c>
      <c r="D54" s="165" t="s">
        <v>169</v>
      </c>
      <c r="E54" s="165">
        <v>4046.8564224000002</v>
      </c>
      <c r="F54" s="165">
        <f t="shared" si="2"/>
        <v>0.40468564224000003</v>
      </c>
    </row>
    <row r="55" spans="2:6">
      <c r="B55" s="165" t="s">
        <v>170</v>
      </c>
      <c r="C55" s="165" t="s">
        <v>171</v>
      </c>
      <c r="D55" s="165" t="s">
        <v>172</v>
      </c>
      <c r="E55" s="165">
        <f>1000^2</f>
        <v>1000000</v>
      </c>
      <c r="F55" s="165">
        <f t="shared" si="2"/>
        <v>100</v>
      </c>
    </row>
    <row r="56" spans="2:6">
      <c r="B56" s="165" t="s">
        <v>160</v>
      </c>
      <c r="C56" s="165" t="s">
        <v>173</v>
      </c>
      <c r="D56" s="165" t="s">
        <v>174</v>
      </c>
      <c r="E56" s="165">
        <v>1</v>
      </c>
      <c r="F56" s="165">
        <f t="shared" si="2"/>
        <v>1E-4</v>
      </c>
    </row>
    <row r="57" spans="2:6">
      <c r="B57" s="165" t="s">
        <v>196</v>
      </c>
      <c r="C57" s="165" t="s">
        <v>196</v>
      </c>
      <c r="D57" s="165" t="s">
        <v>195</v>
      </c>
      <c r="E57" s="165">
        <f>1000000*7686850</f>
        <v>7686850000000</v>
      </c>
      <c r="F57" s="165">
        <f t="shared" si="2"/>
        <v>768685000</v>
      </c>
    </row>
    <row r="58" spans="2:6">
      <c r="B58" s="165" t="s">
        <v>198</v>
      </c>
      <c r="C58" s="165" t="s">
        <v>198</v>
      </c>
      <c r="D58" s="165" t="s">
        <v>203</v>
      </c>
      <c r="E58" s="165">
        <f>1000000*3287263</f>
        <v>3287263000000</v>
      </c>
      <c r="F58" s="165">
        <f t="shared" si="2"/>
        <v>328726300</v>
      </c>
    </row>
    <row r="59" spans="2:6">
      <c r="B59" s="165" t="s">
        <v>199</v>
      </c>
      <c r="C59" s="165" t="s">
        <v>199</v>
      </c>
      <c r="D59" s="165" t="s">
        <v>202</v>
      </c>
      <c r="E59" s="165">
        <f>8515767*1000000</f>
        <v>8515767000000</v>
      </c>
      <c r="F59" s="165">
        <f t="shared" si="2"/>
        <v>851576700</v>
      </c>
    </row>
    <row r="60" spans="2:6">
      <c r="B60" s="165" t="s">
        <v>200</v>
      </c>
      <c r="C60" s="165" t="s">
        <v>200</v>
      </c>
      <c r="D60" s="165" t="s">
        <v>204</v>
      </c>
      <c r="E60" s="165">
        <f>1000000*9706961</f>
        <v>9706961000000</v>
      </c>
      <c r="F60" s="165">
        <f t="shared" si="2"/>
        <v>970696100</v>
      </c>
    </row>
    <row r="61" spans="2:6" ht="15" thickBot="1">
      <c r="B61" s="115" t="s">
        <v>201</v>
      </c>
      <c r="C61" s="115" t="s">
        <v>201</v>
      </c>
      <c r="D61" s="115" t="s">
        <v>205</v>
      </c>
      <c r="E61" s="115">
        <f>1000000*1221037</f>
        <v>1221037000000</v>
      </c>
      <c r="F61" s="115">
        <f t="shared" si="2"/>
        <v>122103700</v>
      </c>
    </row>
    <row r="63" spans="2:6" ht="15">
      <c r="B63" s="15" t="s">
        <v>175</v>
      </c>
    </row>
    <row r="64" spans="2:6" ht="15" thickBot="1"/>
    <row r="65" spans="2:8">
      <c r="B65" s="100" t="s">
        <v>176</v>
      </c>
      <c r="C65" s="100" t="s">
        <v>70</v>
      </c>
      <c r="D65" s="100" t="s">
        <v>71</v>
      </c>
      <c r="E65" s="100" t="s">
        <v>177</v>
      </c>
      <c r="F65" s="100" t="s">
        <v>197</v>
      </c>
    </row>
    <row r="66" spans="2:8">
      <c r="B66" s="165" t="str">
        <f>Preferences.energy</f>
        <v>EJ</v>
      </c>
      <c r="C66" s="165" t="s">
        <v>178</v>
      </c>
      <c r="D66" s="165" t="s">
        <v>179</v>
      </c>
      <c r="E66" s="439">
        <f>(1/Unit.J)*(1/seconds.per.year)*Unit.W</f>
        <v>31.688087814028943</v>
      </c>
      <c r="F66" s="165" t="str">
        <f>Preferences.power</f>
        <v>GW</v>
      </c>
    </row>
    <row r="67" spans="2:8">
      <c r="B67" s="165" t="str">
        <f>Preferences.power</f>
        <v>GW</v>
      </c>
      <c r="C67" s="165" t="s">
        <v>180</v>
      </c>
      <c r="D67" s="165" t="s">
        <v>181</v>
      </c>
      <c r="E67" s="440">
        <f>(1/Unit.W)*unit.y*Unit.J</f>
        <v>9.9999999999999986E-10</v>
      </c>
      <c r="F67" s="165" t="str">
        <f>Preferences.energy</f>
        <v>EJ</v>
      </c>
    </row>
    <row r="68" spans="2:8" ht="15" thickBot="1">
      <c r="B68" s="115" t="str">
        <f>Preferences.power</f>
        <v>GW</v>
      </c>
      <c r="C68" s="115" t="s">
        <v>182</v>
      </c>
      <c r="D68" s="115" t="s">
        <v>183</v>
      </c>
      <c r="E68" s="441">
        <f>Unit.J/Unit.W</f>
        <v>1.0000000000000001E-9</v>
      </c>
      <c r="F68" s="115" t="str">
        <f>Preferences.energy&amp;"/s"</f>
        <v>EJ/s</v>
      </c>
    </row>
    <row r="70" spans="2:8" ht="15">
      <c r="B70" s="15" t="s">
        <v>184</v>
      </c>
      <c r="C70" s="166"/>
    </row>
    <row r="71" spans="2:8" ht="15" thickBot="1"/>
    <row r="72" spans="2:8">
      <c r="B72" s="100" t="s">
        <v>69</v>
      </c>
      <c r="C72" s="100" t="s">
        <v>70</v>
      </c>
      <c r="D72" s="100" t="s">
        <v>71</v>
      </c>
      <c r="E72" s="100" t="s">
        <v>1149</v>
      </c>
      <c r="F72" s="100" t="str">
        <f>Preferences.money</f>
        <v>£</v>
      </c>
    </row>
    <row r="73" spans="2:8">
      <c r="B73" s="165" t="s">
        <v>185</v>
      </c>
      <c r="C73" s="165" t="s">
        <v>911</v>
      </c>
      <c r="D73" s="165" t="s">
        <v>186</v>
      </c>
      <c r="E73" s="165">
        <f>E74*1000</f>
        <v>1030927835051.5465</v>
      </c>
      <c r="F73" s="165">
        <f t="shared" ref="F73:F117" si="3">$E73/INDEX(Cost.conversions.dollars,MATCH($F$72,Cost.conversion.unit,0))</f>
        <v>1000000000000</v>
      </c>
    </row>
    <row r="74" spans="2:8">
      <c r="B74" s="165" t="s">
        <v>187</v>
      </c>
      <c r="C74" s="165" t="s">
        <v>912</v>
      </c>
      <c r="D74" s="165" t="s">
        <v>188</v>
      </c>
      <c r="E74" s="165">
        <f>E75*1000</f>
        <v>1030927835.0515465</v>
      </c>
      <c r="F74" s="165">
        <f t="shared" si="3"/>
        <v>1000000000</v>
      </c>
    </row>
    <row r="75" spans="2:8">
      <c r="B75" s="165" t="s">
        <v>189</v>
      </c>
      <c r="C75" s="165" t="s">
        <v>913</v>
      </c>
      <c r="D75" s="165" t="s">
        <v>190</v>
      </c>
      <c r="E75" s="165">
        <f>E76*1000</f>
        <v>1030927.8350515465</v>
      </c>
      <c r="F75" s="165">
        <f t="shared" si="3"/>
        <v>1000000</v>
      </c>
    </row>
    <row r="76" spans="2:8">
      <c r="B76" s="165" t="s">
        <v>191</v>
      </c>
      <c r="C76" s="165" t="s">
        <v>914</v>
      </c>
      <c r="D76" s="165" t="s">
        <v>192</v>
      </c>
      <c r="E76" s="165">
        <f>E77*1000</f>
        <v>1030.9278350515465</v>
      </c>
      <c r="F76" s="165">
        <f t="shared" si="3"/>
        <v>1000</v>
      </c>
      <c r="H76" s="174" t="s">
        <v>906</v>
      </c>
    </row>
    <row r="77" spans="2:8">
      <c r="B77" s="165" t="s">
        <v>382</v>
      </c>
      <c r="C77" s="165" t="s">
        <v>915</v>
      </c>
      <c r="D77" s="165" t="s">
        <v>383</v>
      </c>
      <c r="E77" s="190">
        <f>1/0.97</f>
        <v>1.0309278350515465</v>
      </c>
      <c r="F77" s="165">
        <f t="shared" si="3"/>
        <v>1</v>
      </c>
      <c r="H77" s="174"/>
    </row>
    <row r="78" spans="2:8">
      <c r="B78" s="165" t="s">
        <v>910</v>
      </c>
      <c r="C78" s="165" t="s">
        <v>920</v>
      </c>
      <c r="D78" s="165" t="s">
        <v>925</v>
      </c>
      <c r="E78" s="165">
        <f>E79*1000</f>
        <v>1000000000000</v>
      </c>
      <c r="F78" s="165">
        <f t="shared" si="3"/>
        <v>969999999999.99988</v>
      </c>
      <c r="H78" s="174"/>
    </row>
    <row r="79" spans="2:8">
      <c r="B79" s="165" t="s">
        <v>909</v>
      </c>
      <c r="C79" s="165" t="s">
        <v>919</v>
      </c>
      <c r="D79" s="165" t="s">
        <v>924</v>
      </c>
      <c r="E79" s="165">
        <f>E80*1000</f>
        <v>1000000000</v>
      </c>
      <c r="F79" s="165">
        <f t="shared" si="3"/>
        <v>969999999.99999988</v>
      </c>
      <c r="H79" s="174"/>
    </row>
    <row r="80" spans="2:8">
      <c r="B80" s="165" t="s">
        <v>908</v>
      </c>
      <c r="C80" s="165" t="s">
        <v>918</v>
      </c>
      <c r="D80" s="165" t="s">
        <v>923</v>
      </c>
      <c r="E80" s="165">
        <f>E81*1000</f>
        <v>1000000</v>
      </c>
      <c r="F80" s="165">
        <f t="shared" si="3"/>
        <v>969999.99999999988</v>
      </c>
      <c r="H80" s="174"/>
    </row>
    <row r="81" spans="2:8">
      <c r="B81" s="165" t="s">
        <v>907</v>
      </c>
      <c r="C81" s="165" t="s">
        <v>917</v>
      </c>
      <c r="D81" s="165" t="s">
        <v>922</v>
      </c>
      <c r="E81" s="165">
        <f>E82*1000</f>
        <v>1000</v>
      </c>
      <c r="F81" s="165">
        <f t="shared" si="3"/>
        <v>969.99999999999989</v>
      </c>
      <c r="H81" s="174" t="s">
        <v>906</v>
      </c>
    </row>
    <row r="82" spans="2:8">
      <c r="B82" s="165" t="s">
        <v>905</v>
      </c>
      <c r="C82" s="165" t="s">
        <v>916</v>
      </c>
      <c r="D82" s="165" t="s">
        <v>921</v>
      </c>
      <c r="E82" s="165">
        <v>1</v>
      </c>
      <c r="F82" s="165">
        <f t="shared" si="3"/>
        <v>0.96999999999999986</v>
      </c>
      <c r="H82" s="174"/>
    </row>
    <row r="83" spans="2:8">
      <c r="B83" s="165" t="s">
        <v>933</v>
      </c>
      <c r="C83" s="165" t="s">
        <v>962</v>
      </c>
      <c r="D83" s="165" t="s">
        <v>997</v>
      </c>
      <c r="E83" s="165">
        <f>E84*1000</f>
        <v>1010101010101.0103</v>
      </c>
      <c r="F83" s="165">
        <f t="shared" si="3"/>
        <v>979797979797.97986</v>
      </c>
      <c r="H83" s="174"/>
    </row>
    <row r="84" spans="2:8">
      <c r="B84" s="165" t="s">
        <v>934</v>
      </c>
      <c r="C84" s="165" t="s">
        <v>963</v>
      </c>
      <c r="D84" s="165" t="s">
        <v>998</v>
      </c>
      <c r="E84" s="165">
        <f>E85*1000</f>
        <v>1010101010.1010102</v>
      </c>
      <c r="F84" s="165">
        <f t="shared" si="3"/>
        <v>979797979.79797983</v>
      </c>
      <c r="H84" s="174"/>
    </row>
    <row r="85" spans="2:8">
      <c r="B85" s="165" t="s">
        <v>935</v>
      </c>
      <c r="C85" s="165" t="s">
        <v>964</v>
      </c>
      <c r="D85" s="165" t="s">
        <v>999</v>
      </c>
      <c r="E85" s="165">
        <f>E86*1000</f>
        <v>1010101.0101010102</v>
      </c>
      <c r="F85" s="165">
        <f t="shared" si="3"/>
        <v>979797.97979797982</v>
      </c>
      <c r="H85" s="174"/>
    </row>
    <row r="86" spans="2:8">
      <c r="B86" s="165" t="s">
        <v>936</v>
      </c>
      <c r="C86" s="165" t="s">
        <v>965</v>
      </c>
      <c r="D86" s="165" t="s">
        <v>1000</v>
      </c>
      <c r="E86" s="165">
        <f>E87*1000</f>
        <v>1010.1010101010102</v>
      </c>
      <c r="F86" s="165">
        <f t="shared" si="3"/>
        <v>979.79797979797979</v>
      </c>
      <c r="H86" s="174" t="s">
        <v>906</v>
      </c>
    </row>
    <row r="87" spans="2:8">
      <c r="B87" s="165" t="s">
        <v>932</v>
      </c>
      <c r="C87" s="165" t="s">
        <v>966</v>
      </c>
      <c r="D87" s="165" t="s">
        <v>996</v>
      </c>
      <c r="E87" s="165">
        <f>1/0.99</f>
        <v>1.0101010101010102</v>
      </c>
      <c r="F87" s="165">
        <f t="shared" si="3"/>
        <v>0.97979797979797978</v>
      </c>
      <c r="H87" s="174"/>
    </row>
    <row r="88" spans="2:8">
      <c r="B88" s="165" t="s">
        <v>937</v>
      </c>
      <c r="C88" s="165" t="s">
        <v>967</v>
      </c>
      <c r="D88" s="165" t="s">
        <v>1001</v>
      </c>
      <c r="E88" s="165">
        <f>E89*1000</f>
        <v>154559505409.5827</v>
      </c>
      <c r="F88" s="165">
        <f t="shared" si="3"/>
        <v>149922720247.2952</v>
      </c>
      <c r="H88" s="174"/>
    </row>
    <row r="89" spans="2:8">
      <c r="B89" s="165" t="s">
        <v>938</v>
      </c>
      <c r="C89" s="165" t="s">
        <v>968</v>
      </c>
      <c r="D89" s="165" t="s">
        <v>1002</v>
      </c>
      <c r="E89" s="165">
        <f>E90*1000</f>
        <v>154559505.4095827</v>
      </c>
      <c r="F89" s="165">
        <f t="shared" si="3"/>
        <v>149922720.2472952</v>
      </c>
      <c r="H89" s="174"/>
    </row>
    <row r="90" spans="2:8">
      <c r="B90" s="165" t="s">
        <v>939</v>
      </c>
      <c r="C90" s="165" t="s">
        <v>969</v>
      </c>
      <c r="D90" s="165" t="s">
        <v>1003</v>
      </c>
      <c r="E90" s="165">
        <f>E91*1000</f>
        <v>154559.50540958269</v>
      </c>
      <c r="F90" s="165">
        <f t="shared" si="3"/>
        <v>149922.72024729519</v>
      </c>
      <c r="H90" s="174"/>
    </row>
    <row r="91" spans="2:8">
      <c r="B91" s="165" t="s">
        <v>940</v>
      </c>
      <c r="C91" s="165" t="s">
        <v>970</v>
      </c>
      <c r="D91" s="165" t="s">
        <v>1004</v>
      </c>
      <c r="E91" s="165">
        <f>E92*1000</f>
        <v>154.5595054095827</v>
      </c>
      <c r="F91" s="165">
        <f t="shared" si="3"/>
        <v>149.92272024729519</v>
      </c>
      <c r="H91" s="174" t="s">
        <v>906</v>
      </c>
    </row>
    <row r="92" spans="2:8">
      <c r="B92" s="165" t="s">
        <v>926</v>
      </c>
      <c r="C92" s="165" t="s">
        <v>971</v>
      </c>
      <c r="D92" s="165" t="s">
        <v>1005</v>
      </c>
      <c r="E92" s="165">
        <f>1/6.47</f>
        <v>0.15455950540958269</v>
      </c>
      <c r="F92" s="165">
        <f t="shared" si="3"/>
        <v>0.14992272024729519</v>
      </c>
      <c r="H92" s="174"/>
    </row>
    <row r="93" spans="2:8">
      <c r="B93" s="165" t="s">
        <v>941</v>
      </c>
      <c r="C93" s="165" t="s">
        <v>972</v>
      </c>
      <c r="D93" s="165" t="s">
        <v>1006</v>
      </c>
      <c r="E93" s="165">
        <f>E94*1000</f>
        <v>1388888888888.8892</v>
      </c>
      <c r="F93" s="165">
        <f t="shared" si="3"/>
        <v>1347222222222.2224</v>
      </c>
      <c r="H93" s="174"/>
    </row>
    <row r="94" spans="2:8">
      <c r="B94" s="165" t="s">
        <v>942</v>
      </c>
      <c r="C94" s="165" t="s">
        <v>973</v>
      </c>
      <c r="D94" s="165" t="s">
        <v>1007</v>
      </c>
      <c r="E94" s="165">
        <f>E95*1000</f>
        <v>1388888888.8888891</v>
      </c>
      <c r="F94" s="165">
        <f t="shared" si="3"/>
        <v>1347222222.2222223</v>
      </c>
      <c r="H94" s="174"/>
    </row>
    <row r="95" spans="2:8">
      <c r="B95" s="165" t="s">
        <v>943</v>
      </c>
      <c r="C95" s="165" t="s">
        <v>974</v>
      </c>
      <c r="D95" s="165" t="s">
        <v>1008</v>
      </c>
      <c r="E95" s="165">
        <f>E96*1000</f>
        <v>1388888.888888889</v>
      </c>
      <c r="F95" s="165">
        <f t="shared" si="3"/>
        <v>1347222.2222222222</v>
      </c>
      <c r="H95" s="174"/>
    </row>
    <row r="96" spans="2:8">
      <c r="B96" s="165" t="s">
        <v>944</v>
      </c>
      <c r="C96" s="165" t="s">
        <v>975</v>
      </c>
      <c r="D96" s="165" t="s">
        <v>1009</v>
      </c>
      <c r="E96" s="165">
        <f>E97*1000</f>
        <v>1388.8888888888889</v>
      </c>
      <c r="F96" s="165">
        <f t="shared" si="3"/>
        <v>1347.2222222222222</v>
      </c>
      <c r="H96" s="174" t="s">
        <v>906</v>
      </c>
    </row>
    <row r="97" spans="2:8">
      <c r="B97" s="165" t="s">
        <v>927</v>
      </c>
      <c r="C97" s="165" t="s">
        <v>976</v>
      </c>
      <c r="D97" s="165" t="s">
        <v>1010</v>
      </c>
      <c r="E97" s="165">
        <f>1/0.72</f>
        <v>1.3888888888888888</v>
      </c>
      <c r="F97" s="165">
        <f t="shared" si="3"/>
        <v>1.3472222222222221</v>
      </c>
      <c r="H97" s="174"/>
    </row>
    <row r="98" spans="2:8">
      <c r="B98" s="165" t="s">
        <v>945</v>
      </c>
      <c r="C98" s="165" t="s">
        <v>977</v>
      </c>
      <c r="D98" s="165" t="s">
        <v>1011</v>
      </c>
      <c r="E98" s="165">
        <f>E99*1000</f>
        <v>21616947686.986595</v>
      </c>
      <c r="F98" s="165">
        <f t="shared" si="3"/>
        <v>20968439256.376995</v>
      </c>
      <c r="H98" s="174"/>
    </row>
    <row r="99" spans="2:8">
      <c r="B99" s="165" t="s">
        <v>946</v>
      </c>
      <c r="C99" s="165" t="s">
        <v>978</v>
      </c>
      <c r="D99" s="165" t="s">
        <v>1012</v>
      </c>
      <c r="E99" s="165">
        <f>E100*1000</f>
        <v>21616947.686986595</v>
      </c>
      <c r="F99" s="165">
        <f t="shared" si="3"/>
        <v>20968439.256376997</v>
      </c>
      <c r="H99" s="174"/>
    </row>
    <row r="100" spans="2:8">
      <c r="B100" s="165" t="s">
        <v>947</v>
      </c>
      <c r="C100" s="165" t="s">
        <v>979</v>
      </c>
      <c r="D100" s="165" t="s">
        <v>1013</v>
      </c>
      <c r="E100" s="165">
        <f>E101*1000</f>
        <v>21616.947686986594</v>
      </c>
      <c r="F100" s="165">
        <f t="shared" si="3"/>
        <v>20968.439256376994</v>
      </c>
      <c r="H100" s="174"/>
    </row>
    <row r="101" spans="2:8">
      <c r="B101" s="165" t="s">
        <v>948</v>
      </c>
      <c r="C101" s="165" t="s">
        <v>980</v>
      </c>
      <c r="D101" s="165" t="s">
        <v>1014</v>
      </c>
      <c r="E101" s="165">
        <f>E102*1000</f>
        <v>21.616947686986595</v>
      </c>
      <c r="F101" s="165">
        <f t="shared" si="3"/>
        <v>20.968439256376996</v>
      </c>
      <c r="H101" s="174" t="s">
        <v>906</v>
      </c>
    </row>
    <row r="102" spans="2:8">
      <c r="B102" s="165" t="s">
        <v>928</v>
      </c>
      <c r="C102" s="165" t="s">
        <v>981</v>
      </c>
      <c r="D102" s="165" t="s">
        <v>1015</v>
      </c>
      <c r="E102" s="165">
        <f>1/46.26</f>
        <v>2.1616947686986597E-2</v>
      </c>
      <c r="F102" s="165">
        <f t="shared" si="3"/>
        <v>2.0968439256376998E-2</v>
      </c>
      <c r="H102" s="174"/>
    </row>
    <row r="103" spans="2:8">
      <c r="B103" s="165" t="s">
        <v>949</v>
      </c>
      <c r="C103" s="165" t="s">
        <v>982</v>
      </c>
      <c r="D103" s="165" t="s">
        <v>1016</v>
      </c>
      <c r="E103" s="165">
        <f>E104*1000</f>
        <v>12525050100.200397</v>
      </c>
      <c r="F103" s="165">
        <f t="shared" si="3"/>
        <v>12149298597.194384</v>
      </c>
      <c r="H103" s="174"/>
    </row>
    <row r="104" spans="2:8">
      <c r="B104" s="165" t="s">
        <v>950</v>
      </c>
      <c r="C104" s="165" t="s">
        <v>983</v>
      </c>
      <c r="D104" s="165" t="s">
        <v>1017</v>
      </c>
      <c r="E104" s="165">
        <f>E105*1000</f>
        <v>12525050.100200398</v>
      </c>
      <c r="F104" s="165">
        <f t="shared" si="3"/>
        <v>12149298.597194385</v>
      </c>
      <c r="H104" s="174"/>
    </row>
    <row r="105" spans="2:8">
      <c r="B105" s="165" t="s">
        <v>951</v>
      </c>
      <c r="C105" s="165" t="s">
        <v>984</v>
      </c>
      <c r="D105" s="165" t="s">
        <v>1018</v>
      </c>
      <c r="E105" s="165">
        <f>E106*1000</f>
        <v>12525.050100200398</v>
      </c>
      <c r="F105" s="165">
        <f t="shared" si="3"/>
        <v>12149.298597194385</v>
      </c>
      <c r="H105" s="174"/>
    </row>
    <row r="106" spans="2:8">
      <c r="B106" s="165" t="s">
        <v>952</v>
      </c>
      <c r="C106" s="165" t="s">
        <v>985</v>
      </c>
      <c r="D106" s="165" t="s">
        <v>1019</v>
      </c>
      <c r="E106" s="165">
        <f>E107*1000</f>
        <v>12.525050100200399</v>
      </c>
      <c r="F106" s="165">
        <f t="shared" si="3"/>
        <v>12.149298597194386</v>
      </c>
      <c r="H106" s="174" t="s">
        <v>906</v>
      </c>
    </row>
    <row r="107" spans="2:8">
      <c r="B107" s="165" t="s">
        <v>929</v>
      </c>
      <c r="C107" s="165" t="s">
        <v>986</v>
      </c>
      <c r="D107" s="165" t="s">
        <v>1020</v>
      </c>
      <c r="E107" s="165">
        <f>1/79.84</f>
        <v>1.2525050100200399E-2</v>
      </c>
      <c r="F107" s="165">
        <f t="shared" si="3"/>
        <v>1.2149298597194385E-2</v>
      </c>
      <c r="H107" s="174"/>
    </row>
    <row r="108" spans="2:8">
      <c r="B108" s="165" t="s">
        <v>953</v>
      </c>
      <c r="C108" s="165" t="s">
        <v>987</v>
      </c>
      <c r="D108" s="165" t="s">
        <v>1021</v>
      </c>
      <c r="E108" s="165">
        <f>E109*1000</f>
        <v>902681867.82932103</v>
      </c>
      <c r="F108" s="165">
        <f t="shared" si="3"/>
        <v>875601411.79444134</v>
      </c>
      <c r="H108" s="174"/>
    </row>
    <row r="109" spans="2:8">
      <c r="B109" s="165" t="s">
        <v>954</v>
      </c>
      <c r="C109" s="165" t="s">
        <v>988</v>
      </c>
      <c r="D109" s="165" t="s">
        <v>1022</v>
      </c>
      <c r="E109" s="165">
        <f>E110*1000</f>
        <v>902681.86782932107</v>
      </c>
      <c r="F109" s="165">
        <f t="shared" si="3"/>
        <v>875601.41179444129</v>
      </c>
      <c r="H109" s="174"/>
    </row>
    <row r="110" spans="2:8">
      <c r="B110" s="165" t="s">
        <v>955</v>
      </c>
      <c r="C110" s="165" t="s">
        <v>989</v>
      </c>
      <c r="D110" s="165" t="s">
        <v>1023</v>
      </c>
      <c r="E110" s="165">
        <f>E111*1000</f>
        <v>902.68186782932105</v>
      </c>
      <c r="F110" s="165">
        <f t="shared" si="3"/>
        <v>875.60141179444133</v>
      </c>
      <c r="H110" s="174"/>
    </row>
    <row r="111" spans="2:8">
      <c r="B111" s="165" t="s">
        <v>956</v>
      </c>
      <c r="C111" s="165" t="s">
        <v>961</v>
      </c>
      <c r="D111" s="165" t="s">
        <v>1024</v>
      </c>
      <c r="E111" s="165">
        <f>E112*1000</f>
        <v>0.90268186782932103</v>
      </c>
      <c r="F111" s="165">
        <f t="shared" si="3"/>
        <v>0.87560141179444129</v>
      </c>
      <c r="H111" s="174" t="s">
        <v>906</v>
      </c>
    </row>
    <row r="112" spans="2:8">
      <c r="B112" s="165" t="s">
        <v>930</v>
      </c>
      <c r="C112" s="165" t="s">
        <v>990</v>
      </c>
      <c r="D112" s="165" t="s">
        <v>1025</v>
      </c>
      <c r="E112" s="165">
        <f>1/1107.81</f>
        <v>9.02681867829321E-4</v>
      </c>
      <c r="F112" s="165">
        <f t="shared" si="3"/>
        <v>8.7560141179444126E-4</v>
      </c>
      <c r="H112" s="174"/>
    </row>
    <row r="113" spans="2:8">
      <c r="B113" s="165" t="s">
        <v>957</v>
      </c>
      <c r="C113" s="165" t="s">
        <v>991</v>
      </c>
      <c r="D113" s="165" t="s">
        <v>1026</v>
      </c>
      <c r="E113" s="165">
        <f>E114*1000</f>
        <v>33990482664.85384</v>
      </c>
      <c r="F113" s="165">
        <f t="shared" si="3"/>
        <v>32970768184.908222</v>
      </c>
      <c r="H113" s="174"/>
    </row>
    <row r="114" spans="2:8">
      <c r="B114" s="165" t="s">
        <v>958</v>
      </c>
      <c r="C114" s="165" t="s">
        <v>992</v>
      </c>
      <c r="D114" s="165" t="s">
        <v>1027</v>
      </c>
      <c r="E114" s="165">
        <f>E115*1000</f>
        <v>33990482.664853841</v>
      </c>
      <c r="F114" s="165">
        <f t="shared" si="3"/>
        <v>32970768.184908222</v>
      </c>
      <c r="H114" s="174"/>
    </row>
    <row r="115" spans="2:8">
      <c r="B115" s="165" t="s">
        <v>959</v>
      </c>
      <c r="C115" s="165" t="s">
        <v>993</v>
      </c>
      <c r="D115" s="165" t="s">
        <v>1028</v>
      </c>
      <c r="E115" s="165">
        <f>E116*1000</f>
        <v>33990.482664853844</v>
      </c>
      <c r="F115" s="165">
        <f t="shared" si="3"/>
        <v>32970.768184908222</v>
      </c>
      <c r="H115" s="174"/>
    </row>
    <row r="116" spans="2:8">
      <c r="B116" s="165" t="s">
        <v>960</v>
      </c>
      <c r="C116" s="165" t="s">
        <v>994</v>
      </c>
      <c r="D116" s="165" t="s">
        <v>1029</v>
      </c>
      <c r="E116" s="165">
        <f>E117*1000</f>
        <v>33.990482664853843</v>
      </c>
      <c r="F116" s="165">
        <f t="shared" si="3"/>
        <v>32.970768184908223</v>
      </c>
      <c r="H116" s="174" t="s">
        <v>906</v>
      </c>
    </row>
    <row r="117" spans="2:8" ht="15" thickBot="1">
      <c r="B117" s="115" t="s">
        <v>931</v>
      </c>
      <c r="C117" s="115" t="s">
        <v>995</v>
      </c>
      <c r="D117" s="115" t="s">
        <v>1030</v>
      </c>
      <c r="E117" s="115">
        <f>1/29.42</f>
        <v>3.3990482664853841E-2</v>
      </c>
      <c r="F117" s="115">
        <f t="shared" si="3"/>
        <v>3.2970768184908225E-2</v>
      </c>
      <c r="H117" s="174"/>
    </row>
    <row r="119" spans="2:8" ht="15">
      <c r="B119" s="15" t="s">
        <v>395</v>
      </c>
    </row>
    <row r="120" spans="2:8" ht="15" thickBot="1"/>
    <row r="121" spans="2:8">
      <c r="B121" s="100" t="s">
        <v>69</v>
      </c>
      <c r="C121" s="100" t="s">
        <v>70</v>
      </c>
      <c r="D121" s="100" t="s">
        <v>396</v>
      </c>
      <c r="E121" s="100" t="s">
        <v>405</v>
      </c>
      <c r="F121" s="100" t="str">
        <f>preferences.other.numbers</f>
        <v>One</v>
      </c>
      <c r="H121" s="186" t="s">
        <v>1200</v>
      </c>
    </row>
    <row r="122" spans="2:8">
      <c r="B122" s="165" t="s">
        <v>400</v>
      </c>
      <c r="D122" s="165" t="s">
        <v>404</v>
      </c>
      <c r="E122" s="165">
        <f>E123*1000</f>
        <v>1000000000</v>
      </c>
      <c r="F122" s="165">
        <f>E122/INDEX(number.conversions.one,MATCH($F$121,number.conversions.unit,0))</f>
        <v>1000000000</v>
      </c>
    </row>
    <row r="123" spans="2:8">
      <c r="B123" s="165" t="s">
        <v>399</v>
      </c>
      <c r="D123" s="165" t="s">
        <v>403</v>
      </c>
      <c r="E123" s="165">
        <f>E124*1000</f>
        <v>1000000</v>
      </c>
      <c r="F123" s="165">
        <f>E123/INDEX(number.conversions.one,MATCH($F$121,number.conversions.unit,0))</f>
        <v>1000000</v>
      </c>
    </row>
    <row r="124" spans="2:8">
      <c r="B124" s="165" t="s">
        <v>398</v>
      </c>
      <c r="D124" s="165" t="s">
        <v>402</v>
      </c>
      <c r="E124" s="165">
        <f>E125*1000</f>
        <v>1000</v>
      </c>
      <c r="F124" s="165">
        <f>E124/INDEX(number.conversions.one,MATCH($F$121,number.conversions.unit,0))</f>
        <v>1000</v>
      </c>
    </row>
    <row r="125" spans="2:8" ht="15" thickBot="1">
      <c r="B125" s="115" t="s">
        <v>405</v>
      </c>
      <c r="C125" s="115"/>
      <c r="D125" s="115" t="s">
        <v>401</v>
      </c>
      <c r="E125" s="115">
        <f>1*1</f>
        <v>1</v>
      </c>
      <c r="F125" s="115">
        <f>E125/INDEX(number.conversions.one,MATCH($F$121,number.conversions.unit,0))</f>
        <v>1</v>
      </c>
    </row>
    <row r="127" spans="2:8" ht="15">
      <c r="B127" s="15" t="s">
        <v>1036</v>
      </c>
    </row>
    <row r="128" spans="2:8" ht="15" thickBot="1"/>
    <row r="129" spans="2:6">
      <c r="B129" s="100" t="s">
        <v>69</v>
      </c>
      <c r="C129" s="100" t="s">
        <v>70</v>
      </c>
      <c r="D129" s="100" t="s">
        <v>396</v>
      </c>
      <c r="E129" s="100" t="s">
        <v>1033</v>
      </c>
      <c r="F129" s="100" t="str">
        <f>Preferences.weight</f>
        <v>Gt</v>
      </c>
    </row>
    <row r="130" spans="2:6">
      <c r="B130" s="188" t="s">
        <v>1150</v>
      </c>
      <c r="C130" s="188" t="s">
        <v>1748</v>
      </c>
      <c r="D130" s="188" t="s">
        <v>1151</v>
      </c>
      <c r="E130" s="188">
        <v>2.68681E+18</v>
      </c>
      <c r="F130" s="188">
        <f t="shared" ref="F130:F135" si="4">$E130/INDEX(weight.conversions.kg,MATCH($F$129,weight.conversions.unit,0))</f>
        <v>2686810</v>
      </c>
    </row>
    <row r="131" spans="2:6">
      <c r="B131" s="188" t="s">
        <v>1035</v>
      </c>
      <c r="C131" s="188" t="s">
        <v>1037</v>
      </c>
      <c r="D131" s="188" t="s">
        <v>1038</v>
      </c>
      <c r="E131" s="188">
        <v>1</v>
      </c>
      <c r="F131" s="188">
        <f t="shared" si="4"/>
        <v>9.9999999999999998E-13</v>
      </c>
    </row>
    <row r="132" spans="2:6">
      <c r="B132" s="165" t="s">
        <v>1042</v>
      </c>
      <c r="C132" s="165" t="s">
        <v>1048</v>
      </c>
      <c r="D132" s="165" t="s">
        <v>1049</v>
      </c>
      <c r="E132" s="165">
        <f>E133*10^3</f>
        <v>1000000000000000</v>
      </c>
      <c r="F132" s="165">
        <f t="shared" si="4"/>
        <v>1000</v>
      </c>
    </row>
    <row r="133" spans="2:6">
      <c r="B133" s="165" t="s">
        <v>1041</v>
      </c>
      <c r="C133" s="165" t="s">
        <v>1047</v>
      </c>
      <c r="D133" s="165" t="s">
        <v>1050</v>
      </c>
      <c r="E133" s="165">
        <f t="shared" ref="E133:E134" si="5">E134*10^3</f>
        <v>1000000000000</v>
      </c>
      <c r="F133" s="165">
        <f t="shared" si="4"/>
        <v>1</v>
      </c>
    </row>
    <row r="134" spans="2:6">
      <c r="B134" s="165" t="s">
        <v>1040</v>
      </c>
      <c r="C134" s="165" t="s">
        <v>1046</v>
      </c>
      <c r="D134" s="165" t="s">
        <v>1051</v>
      </c>
      <c r="E134" s="165">
        <f t="shared" si="5"/>
        <v>1000000000</v>
      </c>
      <c r="F134" s="165">
        <f t="shared" si="4"/>
        <v>1E-3</v>
      </c>
    </row>
    <row r="135" spans="2:6">
      <c r="B135" s="165" t="s">
        <v>1039</v>
      </c>
      <c r="C135" s="165" t="s">
        <v>1045</v>
      </c>
      <c r="D135" s="165" t="s">
        <v>1052</v>
      </c>
      <c r="E135" s="165">
        <f>E136*10^3</f>
        <v>1000000</v>
      </c>
      <c r="F135" s="165">
        <f t="shared" si="4"/>
        <v>9.9999999999999995E-7</v>
      </c>
    </row>
    <row r="136" spans="2:6" s="219" customFormat="1">
      <c r="B136" s="219" t="s">
        <v>1043</v>
      </c>
      <c r="C136" s="219" t="s">
        <v>1044</v>
      </c>
      <c r="D136" s="219" t="s">
        <v>1053</v>
      </c>
      <c r="E136" s="219">
        <f>1000*E131</f>
        <v>1000</v>
      </c>
      <c r="F136" s="219">
        <f>$E136/INDEX(weight.conversions.kg,MATCH($F$129,weight.conversions.unit,0))</f>
        <v>1.0000000000000001E-9</v>
      </c>
    </row>
    <row r="137" spans="2:6" ht="15" thickBot="1">
      <c r="B137" s="115" t="s">
        <v>1753</v>
      </c>
      <c r="C137" s="115" t="s">
        <v>1754</v>
      </c>
      <c r="D137" s="115" t="s">
        <v>1755</v>
      </c>
      <c r="E137" s="115">
        <v>907.18499999999995</v>
      </c>
      <c r="F137" s="115">
        <f>$E137/INDEX(weight.conversions.kg,MATCH($F$129,weight.conversions.unit,0))</f>
        <v>9.071849999999999E-10</v>
      </c>
    </row>
    <row r="139" spans="2:6" ht="15">
      <c r="B139" s="15" t="s">
        <v>1063</v>
      </c>
    </row>
    <row r="140" spans="2:6" ht="15" thickBot="1"/>
    <row r="141" spans="2:6">
      <c r="B141" s="100" t="s">
        <v>69</v>
      </c>
      <c r="C141" s="100" t="s">
        <v>70</v>
      </c>
      <c r="D141" s="100" t="s">
        <v>396</v>
      </c>
      <c r="E141" s="100" t="s">
        <v>1091</v>
      </c>
      <c r="F141" s="100" t="str">
        <f>preferences.volume.gas</f>
        <v>T.m3</v>
      </c>
    </row>
    <row r="142" spans="2:6">
      <c r="B142" s="165" t="s">
        <v>1097</v>
      </c>
      <c r="C142" s="165" t="s">
        <v>1061</v>
      </c>
      <c r="D142" s="165" t="s">
        <v>1101</v>
      </c>
      <c r="E142" s="165">
        <f t="shared" ref="E142:E144" si="6">E143*10^3</f>
        <v>1000000000000</v>
      </c>
      <c r="F142" s="165">
        <f t="shared" ref="F142:F147" si="7">$E142/INDEX(gas.volume.conversions.cm,MATCH($F$141,gas.volume.conversions.unit,0))</f>
        <v>1</v>
      </c>
    </row>
    <row r="143" spans="2:6">
      <c r="B143" s="165" t="s">
        <v>1096</v>
      </c>
      <c r="C143" s="165" t="s">
        <v>1060</v>
      </c>
      <c r="D143" s="165" t="s">
        <v>1100</v>
      </c>
      <c r="E143" s="165">
        <f t="shared" si="6"/>
        <v>1000000000</v>
      </c>
      <c r="F143" s="165">
        <f t="shared" si="7"/>
        <v>1E-3</v>
      </c>
    </row>
    <row r="144" spans="2:6">
      <c r="B144" s="165" t="s">
        <v>1095</v>
      </c>
      <c r="C144" s="165" t="s">
        <v>1059</v>
      </c>
      <c r="D144" s="165" t="s">
        <v>1099</v>
      </c>
      <c r="E144" s="165">
        <f t="shared" si="6"/>
        <v>1000000</v>
      </c>
      <c r="F144" s="165">
        <f t="shared" si="7"/>
        <v>9.9999999999999995E-7</v>
      </c>
    </row>
    <row r="145" spans="2:8">
      <c r="B145" s="165" t="s">
        <v>1094</v>
      </c>
      <c r="C145" s="165" t="s">
        <v>1058</v>
      </c>
      <c r="D145" s="165" t="s">
        <v>1098</v>
      </c>
      <c r="E145" s="165">
        <f>E146*10^3</f>
        <v>1000</v>
      </c>
      <c r="F145" s="165">
        <f t="shared" si="7"/>
        <v>1.0000000000000001E-9</v>
      </c>
      <c r="H145" s="174" t="s">
        <v>1064</v>
      </c>
    </row>
    <row r="146" spans="2:8">
      <c r="B146" s="165" t="s">
        <v>1091</v>
      </c>
      <c r="C146" s="165" t="s">
        <v>1055</v>
      </c>
      <c r="D146" s="165" t="s">
        <v>1093</v>
      </c>
      <c r="E146" s="165">
        <f>1</f>
        <v>1</v>
      </c>
      <c r="F146" s="165">
        <f t="shared" si="7"/>
        <v>9.9999999999999998E-13</v>
      </c>
    </row>
    <row r="147" spans="2:8" ht="15" thickBot="1">
      <c r="B147" s="115" t="s">
        <v>1056</v>
      </c>
      <c r="C147" s="115" t="s">
        <v>1057</v>
      </c>
      <c r="D147" s="115" t="s">
        <v>1062</v>
      </c>
      <c r="E147" s="115">
        <f>E146/35.31</f>
        <v>2.8320589068252619E-2</v>
      </c>
      <c r="F147" s="115">
        <f t="shared" si="7"/>
        <v>2.8320589068252619E-14</v>
      </c>
    </row>
    <row r="149" spans="2:8" ht="15">
      <c r="B149" s="15" t="s">
        <v>1054</v>
      </c>
    </row>
    <row r="150" spans="2:8" ht="15" thickBot="1"/>
    <row r="151" spans="2:8">
      <c r="B151" s="100" t="s">
        <v>69</v>
      </c>
      <c r="C151" s="100" t="s">
        <v>70</v>
      </c>
      <c r="D151" s="100" t="s">
        <v>71</v>
      </c>
      <c r="E151" s="100" t="s">
        <v>1076</v>
      </c>
      <c r="F151" s="100" t="str">
        <f>preferences.volume.liquid</f>
        <v>bbl</v>
      </c>
    </row>
    <row r="152" spans="2:8">
      <c r="B152" s="188" t="s">
        <v>1077</v>
      </c>
      <c r="C152" s="188" t="s">
        <v>1076</v>
      </c>
      <c r="D152" s="188" t="s">
        <v>1080</v>
      </c>
      <c r="E152" s="188">
        <v>1</v>
      </c>
      <c r="F152" s="221">
        <f>E152/INDEX(gas.volume.conversions.litre,MATCH($F$151,liquid.volume.conversions.unit,0))</f>
        <v>6.2898107675836614E-3</v>
      </c>
      <c r="H152" s="268"/>
    </row>
    <row r="153" spans="2:8">
      <c r="B153" s="188" t="s">
        <v>1091</v>
      </c>
      <c r="C153" s="188" t="s">
        <v>1084</v>
      </c>
      <c r="D153" s="188" t="s">
        <v>1092</v>
      </c>
      <c r="E153" s="188">
        <f>E152*1000</f>
        <v>1000</v>
      </c>
      <c r="F153" s="221">
        <f>E153/INDEX(gas.volume.conversions.litre,MATCH($F$151,liquid.volume.conversions.unit,0))</f>
        <v>6.2898107675836616</v>
      </c>
    </row>
    <row r="154" spans="2:8">
      <c r="B154" s="188" t="s">
        <v>1081</v>
      </c>
      <c r="C154" s="188" t="s">
        <v>1082</v>
      </c>
      <c r="D154" s="188" t="s">
        <v>1083</v>
      </c>
      <c r="E154" s="188">
        <f>E152*158.987295</f>
        <v>158.98729499999999</v>
      </c>
      <c r="F154" s="221">
        <f>E154/INDEX(gas.volume.conversions.litre,MATCH($F$151,liquid.volume.conversions.unit,0))</f>
        <v>1</v>
      </c>
    </row>
    <row r="155" spans="2:8">
      <c r="B155" s="187" t="s">
        <v>1074</v>
      </c>
      <c r="C155" s="187" t="s">
        <v>1073</v>
      </c>
      <c r="D155" s="187" t="s">
        <v>1085</v>
      </c>
      <c r="E155" s="187">
        <f>E152*4.54609</f>
        <v>4.5460900000000004</v>
      </c>
      <c r="F155" s="221">
        <f>E155/INDEX(gas.volume.conversions.litre,MATCH($F$151,liquid.volume.conversions.unit,0))</f>
        <v>2.8594045832404411E-2</v>
      </c>
    </row>
    <row r="156" spans="2:8" ht="15" thickBot="1">
      <c r="B156" s="115" t="s">
        <v>1075</v>
      </c>
      <c r="C156" s="115" t="s">
        <v>1072</v>
      </c>
      <c r="D156" s="115" t="s">
        <v>1086</v>
      </c>
      <c r="E156" s="115">
        <f>E152*3.785411784</f>
        <v>3.7854117839999999</v>
      </c>
      <c r="F156" s="267">
        <f>E156/INDEX(gas.volume.conversions.litre,MATCH($F$151,liquid.volume.conversions.unit,0))</f>
        <v>2.3809523798741277E-2</v>
      </c>
    </row>
    <row r="172" spans="2:2">
      <c r="B172" s="186"/>
    </row>
  </sheetData>
  <phoneticPr fontId="79" type="noConversion"/>
  <hyperlinks>
    <hyperlink ref="D2" location="Contents!A1" display="Click here to go to the &quot;contents&quot; pag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499984740745262"/>
  </sheetPr>
  <dimension ref="B1:G50"/>
  <sheetViews>
    <sheetView showGridLines="0" zoomScale="85" zoomScaleNormal="85" zoomScalePageLayoutView="85" workbookViewId="0">
      <selection activeCell="A2" sqref="A2"/>
    </sheetView>
  </sheetViews>
  <sheetFormatPr baseColWidth="10" defaultColWidth="8.83203125" defaultRowHeight="14" x14ac:dyDescent="0"/>
  <cols>
    <col min="1" max="1" width="2.33203125" customWidth="1"/>
    <col min="2" max="2" width="112.5" style="4" customWidth="1"/>
    <col min="3" max="3" width="101" style="4" customWidth="1"/>
    <col min="4" max="4" width="22.6640625" style="4" customWidth="1"/>
    <col min="5" max="5" width="6" style="4" customWidth="1"/>
    <col min="6" max="6" width="144.6640625" customWidth="1"/>
  </cols>
  <sheetData>
    <row r="1" spans="2:7" s="23" customFormat="1" ht="8.25" customHeight="1">
      <c r="B1" s="4"/>
      <c r="C1" s="4"/>
      <c r="D1" s="4"/>
      <c r="E1" s="4"/>
    </row>
    <row r="2" spans="2:7" ht="20">
      <c r="B2" s="9" t="str">
        <f>F39</f>
        <v>Translation</v>
      </c>
      <c r="C2" s="99" t="s">
        <v>350</v>
      </c>
    </row>
    <row r="3" spans="2:7">
      <c r="B3" s="46" t="str">
        <f ca="1">INDEX(Language.translation[],MATCH("Chosen language is",Language.translation[English],0),MATCH($G$15,Language.translation[#Headers],0))&amp;" "&amp;OFFSET(B18,MATCH(G15,Language.translation[#Headers],0)-1,MATCH(G15,Language.translation[#Headers],0)-1)</f>
        <v>Chosen language is English</v>
      </c>
    </row>
    <row r="4" spans="2:7" s="111" customFormat="1">
      <c r="B4" s="3"/>
      <c r="C4" s="4"/>
      <c r="D4" s="4"/>
      <c r="E4" s="4"/>
    </row>
    <row r="5" spans="2:7">
      <c r="B5" s="57" t="s">
        <v>700</v>
      </c>
    </row>
    <row r="6" spans="2:7" s="111" customFormat="1">
      <c r="B6" s="57"/>
      <c r="C6" s="4"/>
      <c r="D6" s="4"/>
      <c r="E6" s="4"/>
    </row>
    <row r="7" spans="2:7">
      <c r="B7" s="10" t="str">
        <f>F40</f>
        <v>User instructions (adding another language to the workbook)</v>
      </c>
    </row>
    <row r="8" spans="2:7">
      <c r="B8" s="7" t="str">
        <f>F35</f>
        <v>To add a language, right click the column to the immediate right of the table, and click "insert"</v>
      </c>
    </row>
    <row r="9" spans="2:7">
      <c r="B9" s="7" t="str">
        <f t="shared" ref="B9:B11" si="0">F36</f>
        <v>Then, type the name of the language you are adding (the English version) into the row immediately to the bottom of the "English" column</v>
      </c>
    </row>
    <row r="10" spans="2:7">
      <c r="B10" s="7" t="str">
        <f t="shared" si="0"/>
        <v>Then, provide the translations of that language into the other languages.</v>
      </c>
    </row>
    <row r="11" spans="2:7">
      <c r="B11" s="7" t="str">
        <f t="shared" si="0"/>
        <v>Then, to the immediate right of the last language column, in that cell type "=" followed by the cell reference to the corresponding chosen translation of that word</v>
      </c>
    </row>
    <row r="14" spans="2:7" s="5" customFormat="1" ht="21" thickBot="1">
      <c r="B14" s="9" t="str">
        <f ca="1">INDEX(Language.translation[],MATCH(B$15,INDIRECT("Language.translation["&amp;$B$15&amp;"]"),0),MATCH($G$15,Language.translation[#Headers],0))</f>
        <v>English</v>
      </c>
      <c r="C14" s="9" t="str">
        <f ca="1">INDEX(Language.translation[],MATCH(C$15,INDIRECT("Language.translation["&amp;$B$15&amp;"]"),0),MATCH($G$15,Language.translation[#Headers],0))</f>
        <v>French</v>
      </c>
      <c r="D14" s="6" t="e">
        <f ca="1">INDEX(Language.translation[],MATCH(D$15,INDIRECT("Language.translation["&amp;$B$15&amp;"]"),0),MATCH($G$15,Language.translation[#Headers],0))</f>
        <v>#N/A</v>
      </c>
    </row>
    <row r="15" spans="2:7" ht="16" thickTop="1" thickBot="1">
      <c r="B15" s="13" t="s">
        <v>0</v>
      </c>
      <c r="C15" s="13" t="s">
        <v>1</v>
      </c>
      <c r="D15" s="13" t="s">
        <v>4</v>
      </c>
      <c r="F15" s="1" t="str">
        <f ca="1">OFFSET(B18,MATCH(G15,Language.translation[#Headers],0)-1,MATCH(G15,Language.translation[#Headers],0)-1)&amp;" /"</f>
        <v>English /</v>
      </c>
      <c r="G15" s="1" t="str">
        <f>Preferences.language</f>
        <v>English</v>
      </c>
    </row>
    <row r="16" spans="2:7" ht="15" thickTop="1">
      <c r="B16" s="7" t="s">
        <v>2</v>
      </c>
      <c r="C16" s="219" t="s">
        <v>1381</v>
      </c>
      <c r="D16" s="7"/>
      <c r="F16" t="str">
        <f>INDEX(Language.translation[#This Row],1,MATCH($G$15,Language.translation[#Headers],0))</f>
        <v>Chosen language is</v>
      </c>
    </row>
    <row r="17" spans="2:6">
      <c r="B17" s="7" t="s">
        <v>39</v>
      </c>
      <c r="C17" s="219" t="s">
        <v>40</v>
      </c>
      <c r="D17" s="7"/>
      <c r="F17" t="str">
        <f>INDEX(Language.translation[#This Row],1,MATCH($G$15,Language.translation[#Headers],0))</f>
        <v>Language</v>
      </c>
    </row>
    <row r="18" spans="2:6">
      <c r="B18" s="7" t="s">
        <v>0</v>
      </c>
      <c r="C18" s="219" t="s">
        <v>3</v>
      </c>
      <c r="D18" s="7"/>
      <c r="F18" t="str">
        <f>INDEX(Language.translation[#This Row],1,MATCH($G$15,Language.translation[#Headers],0))</f>
        <v>English</v>
      </c>
    </row>
    <row r="19" spans="2:6">
      <c r="B19" s="7" t="s">
        <v>1</v>
      </c>
      <c r="C19" s="219" t="s">
        <v>1382</v>
      </c>
      <c r="D19" s="7"/>
      <c r="F19" t="str">
        <f>INDEX(Language.translation[#This Row],1,MATCH($G$15,Language.translation[#Headers],0))</f>
        <v>French</v>
      </c>
    </row>
    <row r="20" spans="2:6">
      <c r="B20" s="7" t="s">
        <v>5</v>
      </c>
      <c r="C20" s="219" t="s">
        <v>8</v>
      </c>
      <c r="D20" s="7"/>
      <c r="F20" t="str">
        <f>INDEX(Language.translation[#This Row],1,MATCH($G$15,Language.translation[#Headers],0))</f>
        <v>Car</v>
      </c>
    </row>
    <row r="21" spans="2:6">
      <c r="B21" s="7" t="s">
        <v>6</v>
      </c>
      <c r="C21" s="219" t="s">
        <v>6</v>
      </c>
      <c r="D21" s="7"/>
      <c r="F21" t="str">
        <f>INDEX(Language.translation[#This Row],1,MATCH($G$15,Language.translation[#Headers],0))</f>
        <v>Bus</v>
      </c>
    </row>
    <row r="22" spans="2:6">
      <c r="B22" s="7" t="s">
        <v>7</v>
      </c>
      <c r="C22" s="219" t="s">
        <v>11</v>
      </c>
      <c r="D22" s="7"/>
      <c r="F22" t="str">
        <f>INDEX(Language.translation[#This Row],1,MATCH($G$15,Language.translation[#Headers],0))</f>
        <v>Walk</v>
      </c>
    </row>
    <row r="23" spans="2:6">
      <c r="B23" s="7" t="s">
        <v>9</v>
      </c>
      <c r="C23" s="219" t="s">
        <v>10</v>
      </c>
      <c r="D23" s="7"/>
      <c r="F23" t="str">
        <f>INDEX(Language.translation[#This Row],1,MATCH($G$15,Language.translation[#Headers],0))</f>
        <v>Distance travelled</v>
      </c>
    </row>
    <row r="24" spans="2:6">
      <c r="B24" s="7" t="s">
        <v>12</v>
      </c>
      <c r="C24" s="219" t="s">
        <v>12</v>
      </c>
      <c r="D24" s="7"/>
      <c r="F24" t="str">
        <f>INDEX(Language.translation[#This Row],1,MATCH($G$15,Language.translation[#Headers],0))</f>
        <v>Mode</v>
      </c>
    </row>
    <row r="25" spans="2:6">
      <c r="B25" s="7" t="s">
        <v>13</v>
      </c>
      <c r="C25" s="219" t="s">
        <v>14</v>
      </c>
      <c r="D25" s="7"/>
      <c r="F25" t="str">
        <f>INDEX(Language.translation[#This Row],1,MATCH($G$15,Language.translation[#Headers],0))</f>
        <v>Transport sector</v>
      </c>
    </row>
    <row r="26" spans="2:6">
      <c r="B26" s="7" t="s">
        <v>15</v>
      </c>
      <c r="C26" s="219" t="s">
        <v>1383</v>
      </c>
      <c r="D26" s="7"/>
      <c r="F26" t="str">
        <f>INDEX(Language.translation[#This Row],1,MATCH($G$15,Language.translation[#Headers],0))</f>
        <v>Kilometers</v>
      </c>
    </row>
    <row r="27" spans="2:6">
      <c r="B27" s="7" t="s">
        <v>16</v>
      </c>
      <c r="C27" s="219" t="s">
        <v>17</v>
      </c>
      <c r="D27" s="7"/>
      <c r="F27" t="str">
        <f>INDEX(Language.translation[#This Row],1,MATCH($G$15,Language.translation[#Headers],0))</f>
        <v>Number of vehicles</v>
      </c>
    </row>
    <row r="28" spans="2:6">
      <c r="B28" s="7" t="s">
        <v>19</v>
      </c>
      <c r="C28" s="219" t="s">
        <v>21</v>
      </c>
      <c r="D28" s="7"/>
      <c r="F28" t="str">
        <f>INDEX(Language.translation[#This Row],1,MATCH($G$15,Language.translation[#Headers],0))</f>
        <v>Assumptions</v>
      </c>
    </row>
    <row r="29" spans="2:6">
      <c r="B29" s="7" t="s">
        <v>18</v>
      </c>
      <c r="C29" s="219" t="s">
        <v>20</v>
      </c>
      <c r="D29" s="7"/>
      <c r="F29" t="str">
        <f>INDEX(Language.translation[#This Row],1,MATCH($G$15,Language.translation[#Headers],0))</f>
        <v>Outputs</v>
      </c>
    </row>
    <row r="30" spans="2:6">
      <c r="B30" s="7" t="s">
        <v>22</v>
      </c>
      <c r="C30" s="219" t="s">
        <v>23</v>
      </c>
      <c r="D30" s="7"/>
      <c r="F30" t="str">
        <f>INDEX(Language.translation[#This Row],1,MATCH($G$15,Language.translation[#Headers],0))</f>
        <v>Energy used</v>
      </c>
    </row>
    <row r="31" spans="2:6">
      <c r="B31" s="7" t="s">
        <v>24</v>
      </c>
      <c r="C31" s="219" t="s">
        <v>25</v>
      </c>
      <c r="D31" s="7"/>
      <c r="F31" t="str">
        <f>INDEX(Language.translation[#This Row],1,MATCH($G$15,Language.translation[#Headers],0))</f>
        <v>Electricity</v>
      </c>
    </row>
    <row r="32" spans="2:6">
      <c r="B32" s="7" t="s">
        <v>26</v>
      </c>
      <c r="C32" s="219" t="s">
        <v>1384</v>
      </c>
      <c r="D32" s="7"/>
      <c r="F32" t="str">
        <f>INDEX(Language.translation[#This Row],1,MATCH($G$15,Language.translation[#Headers],0))</f>
        <v>Solid hydrocarbons</v>
      </c>
    </row>
    <row r="33" spans="2:6">
      <c r="B33" s="7" t="s">
        <v>27</v>
      </c>
      <c r="C33" s="219" t="s">
        <v>1385</v>
      </c>
      <c r="D33" s="7"/>
      <c r="F33" t="str">
        <f>INDEX(Language.translation[#This Row],1,MATCH($G$15,Language.translation[#Headers],0))</f>
        <v>Liquid hydrocarbons</v>
      </c>
    </row>
    <row r="34" spans="2:6">
      <c r="B34" s="7" t="s">
        <v>28</v>
      </c>
      <c r="C34" s="219" t="s">
        <v>1386</v>
      </c>
      <c r="D34" s="7"/>
      <c r="F34" t="str">
        <f>INDEX(Language.translation[#This Row],1,MATCH($G$15,Language.translation[#Headers],0))</f>
        <v>Gaseous hydrocarbons</v>
      </c>
    </row>
    <row r="35" spans="2:6">
      <c r="B35" s="7" t="s">
        <v>29</v>
      </c>
      <c r="C35" s="219" t="s">
        <v>33</v>
      </c>
      <c r="D35" s="7"/>
      <c r="F35" t="str">
        <f>INDEX(Language.translation[#This Row],1,MATCH($G$15,Language.translation[#Headers],0))</f>
        <v>To add a language, right click the column to the immediate right of the table, and click "insert"</v>
      </c>
    </row>
    <row r="36" spans="2:6">
      <c r="B36" s="7" t="s">
        <v>30</v>
      </c>
      <c r="C36" s="219" t="s">
        <v>36</v>
      </c>
      <c r="D36" s="7"/>
      <c r="F36" t="str">
        <f>INDEX(Language.translation[#This Row],1,MATCH($G$15,Language.translation[#Headers],0))</f>
        <v>Then, type the name of the language you are adding (the English version) into the row immediately to the bottom of the "English" column</v>
      </c>
    </row>
    <row r="37" spans="2:6">
      <c r="B37" s="7" t="s">
        <v>31</v>
      </c>
      <c r="C37" s="219" t="s">
        <v>34</v>
      </c>
      <c r="D37" s="7"/>
      <c r="F37" t="str">
        <f>INDEX(Language.translation[#This Row],1,MATCH($G$15,Language.translation[#Headers],0))</f>
        <v>Then, provide the translations of that language into the other languages.</v>
      </c>
    </row>
    <row r="38" spans="2:6">
      <c r="B38" s="7" t="s">
        <v>32</v>
      </c>
      <c r="C38" s="219" t="s">
        <v>35</v>
      </c>
      <c r="D38" s="7"/>
      <c r="F38" t="str">
        <f>INDEX(Language.translation[#This Row],1,MATCH($G$15,Language.translation[#Headers],0))</f>
        <v>Then, to the immediate right of the last language column, in that cell type "=" followed by the cell reference to the corresponding chosen translation of that word</v>
      </c>
    </row>
    <row r="39" spans="2:6">
      <c r="B39" s="7" t="s">
        <v>352</v>
      </c>
      <c r="C39" s="219" t="s">
        <v>1387</v>
      </c>
      <c r="D39" s="7"/>
      <c r="F39" t="str">
        <f>INDEX(Language.translation[#This Row],1,MATCH($G$15,Language.translation[#Headers],0))</f>
        <v>Translation</v>
      </c>
    </row>
    <row r="40" spans="2:6">
      <c r="B40" s="7" t="s">
        <v>37</v>
      </c>
      <c r="C40" s="219" t="s">
        <v>38</v>
      </c>
      <c r="D40" s="7"/>
      <c r="F40" t="str">
        <f>INDEX(Language.translation[#This Row],1,MATCH($G$15,Language.translation[#Headers],0))</f>
        <v>User instructions (adding another language to the workbook)</v>
      </c>
    </row>
    <row r="41" spans="2:6">
      <c r="B41" s="7" t="s">
        <v>61</v>
      </c>
      <c r="C41" s="219" t="s">
        <v>65</v>
      </c>
      <c r="D41" s="7"/>
      <c r="F41" t="str">
        <f>INDEX(Language.translation[#This Row],1,MATCH($G$15,Language.translation[#Headers],0))</f>
        <v>Energy is measured in</v>
      </c>
    </row>
    <row r="42" spans="2:6">
      <c r="B42" s="7" t="s">
        <v>62</v>
      </c>
      <c r="C42" s="219" t="s">
        <v>66</v>
      </c>
      <c r="D42" s="7"/>
      <c r="F42" t="str">
        <f>INDEX(Language.translation[#This Row],1,MATCH($G$15,Language.translation[#Headers],0))</f>
        <v>Power is measured in</v>
      </c>
    </row>
    <row r="43" spans="2:6">
      <c r="B43" s="7" t="s">
        <v>63</v>
      </c>
      <c r="C43" s="219" t="s">
        <v>1388</v>
      </c>
      <c r="D43" s="7"/>
      <c r="F43" t="str">
        <f>INDEX(Language.translation[#This Row],1,MATCH($G$15,Language.translation[#Headers],0))</f>
        <v>Area is measured in</v>
      </c>
    </row>
    <row r="44" spans="2:6">
      <c r="B44" s="7" t="s">
        <v>64</v>
      </c>
      <c r="C44" s="219" t="s">
        <v>1389</v>
      </c>
      <c r="D44" s="7"/>
      <c r="F44" t="str">
        <f>INDEX(Language.translation[#This Row],1,MATCH($G$15,Language.translation[#Headers],0))</f>
        <v>Money is measured in</v>
      </c>
    </row>
    <row r="45" spans="2:6">
      <c r="B45" s="7" t="s">
        <v>601</v>
      </c>
      <c r="C45" s="219" t="s">
        <v>1391</v>
      </c>
      <c r="D45" s="7"/>
      <c r="F45" t="str">
        <f>INDEX(Language.translation[#This Row],1,MATCH($G$15,Language.translation[#Headers],0))</f>
        <v>Output preferences</v>
      </c>
    </row>
    <row r="46" spans="2:6">
      <c r="B46" s="7" t="s">
        <v>68</v>
      </c>
      <c r="C46" s="219" t="s">
        <v>1390</v>
      </c>
      <c r="D46" s="7"/>
      <c r="F46" t="str">
        <f>INDEX(Language.translation[#This Row],1,MATCH($G$15,Language.translation[#Headers],0))</f>
        <v>Version control</v>
      </c>
    </row>
    <row r="47" spans="2:6">
      <c r="B47" s="7" t="s">
        <v>67</v>
      </c>
      <c r="C47" s="219" t="s">
        <v>67</v>
      </c>
      <c r="D47" s="7"/>
      <c r="F47" t="str">
        <f>INDEX(Language.translation[#This Row],1,MATCH($G$15,Language.translation[#Headers],0))</f>
        <v>Conversions</v>
      </c>
    </row>
    <row r="48" spans="2:6">
      <c r="F48" t="e">
        <f>INDEX(Language.translation[#This Row],1,MATCH($G$15,Language.translation[#Headers],0))</f>
        <v>#VALUE!</v>
      </c>
    </row>
    <row r="49" spans="6:6">
      <c r="F49" t="e">
        <f>INDEX(Language.translation[#This Row],1,MATCH($G$15,Language.translation[#Headers],0))</f>
        <v>#VALUE!</v>
      </c>
    </row>
    <row r="50" spans="6:6">
      <c r="F50" t="e">
        <f>INDEX(Language.translation[#This Row],1,MATCH($G$15,Language.translation[#Headers],0))</f>
        <v>#VALUE!</v>
      </c>
    </row>
  </sheetData>
  <phoneticPr fontId="79" type="noConversion"/>
  <hyperlinks>
    <hyperlink ref="C2" location="Contents!A1" display="Click here to go to the &quot;contents&quot; page"/>
  </hyperlinks>
  <pageMargins left="0.7" right="0.7" top="0.75" bottom="0.75" header="0.3" footer="0.3"/>
  <pageSetup paperSize="9" orientation="portrait"/>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Y199"/>
  <sheetViews>
    <sheetView showGridLines="0" zoomScale="85" zoomScaleNormal="85" zoomScalePageLayoutView="85" workbookViewId="0">
      <selection activeCell="Q25" sqref="Q25"/>
    </sheetView>
  </sheetViews>
  <sheetFormatPr baseColWidth="10" defaultColWidth="9.1640625" defaultRowHeight="14" x14ac:dyDescent="0"/>
  <cols>
    <col min="1" max="1" width="3.6640625" style="158" customWidth="1"/>
    <col min="2" max="2" width="4.5" style="95" customWidth="1"/>
    <col min="3" max="3" width="29.6640625" style="95" customWidth="1"/>
    <col min="4" max="4" width="48.5" style="95" customWidth="1"/>
    <col min="5" max="6" width="13.5" style="95" customWidth="1"/>
    <col min="7" max="7" width="9.83203125" style="95" customWidth="1"/>
    <col min="8" max="8" width="13.33203125" style="95" customWidth="1"/>
    <col min="9" max="9" width="14.1640625" style="95" customWidth="1"/>
    <col min="10" max="10" width="18.33203125" style="95" customWidth="1"/>
    <col min="11" max="17" width="14.1640625" style="95" customWidth="1"/>
    <col min="18" max="18" width="2.5" style="95" customWidth="1"/>
    <col min="19" max="19" width="5.6640625" style="95" customWidth="1"/>
    <col min="20" max="21" width="36.1640625" style="95" customWidth="1"/>
    <col min="22" max="22" width="46.33203125" style="95" customWidth="1"/>
    <col min="23" max="24" width="36.1640625" style="95" customWidth="1"/>
    <col min="25" max="27" width="7.83203125" style="95" customWidth="1"/>
    <col min="28" max="28" width="1.83203125" style="95" customWidth="1"/>
    <col min="29" max="29" width="4.5" style="95" customWidth="1"/>
    <col min="30" max="16384" width="9.1640625" style="95"/>
  </cols>
  <sheetData>
    <row r="1" spans="1:25" s="98" customFormat="1">
      <c r="A1" s="118"/>
    </row>
    <row r="2" spans="1:25" s="111" customFormat="1" ht="20">
      <c r="A2" s="118"/>
      <c r="B2" s="9" t="s">
        <v>360</v>
      </c>
      <c r="C2" s="9" t="str">
        <f>INDEX(Region.codes[Description],MATCH(B2,Region.codes[Code],0))</f>
        <v>Global</v>
      </c>
      <c r="D2" s="57"/>
      <c r="E2" s="99" t="s">
        <v>350</v>
      </c>
      <c r="H2" s="190"/>
      <c r="I2" s="190"/>
      <c r="J2" s="190"/>
      <c r="P2" s="165" t="s">
        <v>879</v>
      </c>
    </row>
    <row r="3" spans="1:25" s="98" customFormat="1" ht="20">
      <c r="A3" s="118"/>
      <c r="B3" s="9">
        <v>0</v>
      </c>
      <c r="C3" s="9" t="s">
        <v>683</v>
      </c>
      <c r="G3" s="99"/>
    </row>
    <row r="4" spans="1:25" s="98" customFormat="1" ht="20">
      <c r="A4" s="118"/>
      <c r="B4" s="9"/>
      <c r="C4" s="9"/>
    </row>
    <row r="5" spans="1:25" s="39" customFormat="1" ht="15">
      <c r="A5" s="118"/>
      <c r="B5" s="41" t="s">
        <v>612</v>
      </c>
      <c r="C5" s="41"/>
      <c r="D5" s="41"/>
      <c r="E5" s="41"/>
      <c r="F5" s="41"/>
      <c r="G5" s="41"/>
      <c r="H5" s="41"/>
      <c r="I5" s="41"/>
      <c r="J5" s="41"/>
      <c r="K5" s="41"/>
      <c r="L5" s="41"/>
      <c r="M5" s="41"/>
      <c r="N5" s="41"/>
      <c r="O5" s="41"/>
      <c r="P5" s="41"/>
      <c r="Q5" s="41"/>
      <c r="R5" s="41"/>
      <c r="S5" s="165"/>
      <c r="T5" s="41" t="s">
        <v>872</v>
      </c>
      <c r="U5" s="41"/>
      <c r="V5" s="41"/>
      <c r="W5" s="41"/>
      <c r="X5" s="41"/>
      <c r="Y5" s="165"/>
    </row>
    <row r="6" spans="1:25">
      <c r="B6" s="159"/>
      <c r="C6" s="159"/>
      <c r="D6" s="159"/>
      <c r="E6" s="159"/>
      <c r="F6" s="159"/>
      <c r="G6" s="159"/>
      <c r="H6" s="159"/>
      <c r="I6" s="159"/>
      <c r="J6" s="159"/>
      <c r="K6" s="159"/>
      <c r="L6" s="159"/>
      <c r="M6" s="159"/>
      <c r="N6" s="159"/>
      <c r="O6" s="159"/>
      <c r="P6" s="159"/>
      <c r="Q6" s="159"/>
      <c r="R6" s="159"/>
      <c r="S6" s="39"/>
      <c r="T6" s="179" t="s">
        <v>481</v>
      </c>
      <c r="U6" s="179" t="s">
        <v>868</v>
      </c>
      <c r="V6" s="179" t="s">
        <v>873</v>
      </c>
      <c r="W6" s="179" t="s">
        <v>869</v>
      </c>
      <c r="X6" s="179" t="s">
        <v>870</v>
      </c>
      <c r="Y6" s="39"/>
    </row>
    <row r="7" spans="1:25" ht="15" thickBot="1">
      <c r="B7" s="159"/>
      <c r="C7" s="159"/>
      <c r="D7" s="159"/>
      <c r="E7" s="159"/>
      <c r="F7" s="159"/>
      <c r="G7" s="159"/>
      <c r="H7" s="159"/>
      <c r="I7" s="159"/>
      <c r="J7" s="159"/>
      <c r="K7" s="159"/>
      <c r="L7" s="159"/>
      <c r="M7" s="159"/>
      <c r="N7" s="159"/>
      <c r="O7" s="159"/>
      <c r="P7" s="159"/>
      <c r="Q7" s="159"/>
      <c r="R7" s="159"/>
      <c r="T7" s="20"/>
      <c r="U7" s="20"/>
      <c r="V7" s="20"/>
      <c r="W7" s="20"/>
      <c r="X7" s="20"/>
    </row>
    <row r="8" spans="1:25">
      <c r="B8" s="159"/>
      <c r="C8" s="42" t="s">
        <v>611</v>
      </c>
      <c r="D8" s="42" t="s">
        <v>496</v>
      </c>
      <c r="E8" s="42"/>
      <c r="F8" s="42"/>
      <c r="G8" s="42"/>
      <c r="H8" s="42" t="s">
        <v>207</v>
      </c>
      <c r="I8" s="159"/>
      <c r="J8" s="159"/>
      <c r="K8" s="159"/>
      <c r="L8" s="159"/>
      <c r="M8" s="159"/>
      <c r="N8" s="159"/>
      <c r="O8" s="159"/>
      <c r="P8" s="159"/>
      <c r="Q8" s="159"/>
      <c r="R8" s="159"/>
      <c r="T8" s="20"/>
      <c r="U8" s="20"/>
      <c r="V8" s="20"/>
      <c r="W8" s="20"/>
      <c r="X8" s="20"/>
    </row>
    <row r="9" spans="1:25">
      <c r="B9" s="159"/>
      <c r="C9" s="159">
        <v>1</v>
      </c>
      <c r="D9" s="159" t="str">
        <f ca="1">OFFSET(INDIRECT("user.choice."&amp;$B$3&amp;"."&amp;C9),0,-1)</f>
        <v>Global population</v>
      </c>
      <c r="E9" s="159"/>
      <c r="F9" s="159"/>
      <c r="G9" s="159"/>
      <c r="H9" s="159">
        <f ca="1">INDIRECT("user.choice."&amp;$B$3&amp;"."&amp;C9)</f>
        <v>2</v>
      </c>
      <c r="I9" s="159"/>
      <c r="J9" s="159"/>
      <c r="K9" s="159"/>
      <c r="L9" s="159"/>
      <c r="M9" s="159"/>
      <c r="N9" s="159"/>
      <c r="O9" s="159"/>
      <c r="P9" s="159"/>
      <c r="Q9" s="159"/>
      <c r="R9" s="159"/>
      <c r="T9" s="20"/>
      <c r="U9" s="20"/>
      <c r="V9" s="20"/>
      <c r="W9" s="20"/>
      <c r="X9" s="20"/>
    </row>
    <row r="10" spans="1:25" ht="15" thickBot="1">
      <c r="B10" s="159"/>
      <c r="C10" s="162">
        <v>2</v>
      </c>
      <c r="D10" s="162" t="str">
        <f ca="1">OFFSET(INDIRECT("user.choice."&amp;$B$3&amp;"."&amp;C10),0,-1)</f>
        <v>Urbanisation and access to electricity</v>
      </c>
      <c r="E10" s="162"/>
      <c r="F10" s="162"/>
      <c r="G10" s="162"/>
      <c r="H10" s="162">
        <f ca="1">INDIRECT("user.choice."&amp;$B$3&amp;"."&amp;C10)</f>
        <v>2</v>
      </c>
      <c r="I10" s="159"/>
      <c r="J10" s="159"/>
      <c r="K10" s="159"/>
      <c r="L10" s="159"/>
      <c r="M10" s="159"/>
      <c r="N10" s="159"/>
      <c r="O10" s="159"/>
      <c r="P10" s="159"/>
      <c r="Q10" s="159"/>
      <c r="R10" s="159"/>
      <c r="T10" s="20"/>
      <c r="U10" s="20"/>
      <c r="V10" s="20"/>
      <c r="W10" s="20"/>
      <c r="X10" s="20"/>
    </row>
    <row r="11" spans="1:25">
      <c r="B11" s="159"/>
      <c r="C11" s="159"/>
      <c r="D11" s="159"/>
      <c r="E11" s="159"/>
      <c r="F11" s="159"/>
      <c r="G11" s="159"/>
      <c r="H11" s="159"/>
      <c r="I11" s="159"/>
      <c r="J11" s="159"/>
      <c r="K11" s="159"/>
      <c r="L11" s="159"/>
      <c r="M11" s="159"/>
      <c r="N11" s="159"/>
      <c r="O11" s="159"/>
      <c r="P11" s="159"/>
      <c r="Q11" s="159"/>
      <c r="R11" s="159"/>
      <c r="T11" s="20"/>
      <c r="U11" s="20"/>
      <c r="V11" s="20"/>
      <c r="W11" s="20"/>
      <c r="X11" s="20"/>
    </row>
    <row r="12" spans="1:25">
      <c r="B12" s="159"/>
      <c r="C12" s="159"/>
      <c r="D12" s="159"/>
      <c r="E12" s="159"/>
      <c r="F12" s="159"/>
      <c r="G12" s="159"/>
      <c r="H12" s="159"/>
      <c r="I12" s="159"/>
      <c r="J12" s="159"/>
      <c r="K12" s="159"/>
      <c r="L12" s="159"/>
      <c r="M12" s="159"/>
      <c r="N12" s="159"/>
      <c r="O12" s="159"/>
      <c r="P12" s="159"/>
      <c r="Q12" s="159"/>
      <c r="R12" s="159"/>
      <c r="T12" s="20"/>
      <c r="U12" s="20"/>
      <c r="V12" s="20"/>
      <c r="W12" s="20"/>
      <c r="X12" s="20"/>
    </row>
    <row r="13" spans="1:25" ht="15">
      <c r="B13" s="41" t="s">
        <v>613</v>
      </c>
      <c r="C13" s="41"/>
      <c r="D13" s="41"/>
      <c r="E13" s="41"/>
      <c r="F13" s="41"/>
      <c r="G13" s="41"/>
      <c r="H13" s="41"/>
      <c r="I13" s="41"/>
      <c r="J13" s="41"/>
      <c r="K13" s="41"/>
      <c r="L13" s="41"/>
      <c r="M13" s="41"/>
      <c r="N13" s="41"/>
      <c r="O13" s="41"/>
      <c r="P13" s="41"/>
      <c r="Q13" s="41"/>
      <c r="R13" s="41"/>
      <c r="T13" s="20"/>
      <c r="U13" s="20"/>
      <c r="V13" s="20"/>
      <c r="W13" s="20"/>
      <c r="X13" s="20"/>
    </row>
    <row r="14" spans="1:25">
      <c r="B14" s="159"/>
      <c r="C14" s="159"/>
      <c r="D14" s="159"/>
      <c r="E14" s="159"/>
      <c r="F14" s="159"/>
      <c r="G14" s="159"/>
      <c r="H14" s="159"/>
      <c r="I14" s="159"/>
      <c r="J14" s="159"/>
      <c r="K14" s="159"/>
      <c r="L14" s="159"/>
      <c r="M14" s="159"/>
      <c r="N14" s="159"/>
      <c r="O14" s="159"/>
      <c r="P14" s="159"/>
      <c r="Q14" s="159"/>
      <c r="R14" s="159"/>
      <c r="T14" s="20"/>
      <c r="U14" s="20"/>
      <c r="V14" s="20"/>
      <c r="W14" s="20"/>
      <c r="X14" s="20"/>
    </row>
    <row r="15" spans="1:25">
      <c r="B15" s="159"/>
      <c r="C15" s="163" t="s">
        <v>602</v>
      </c>
      <c r="D15" s="159"/>
      <c r="E15" s="159"/>
      <c r="F15" s="159"/>
      <c r="G15" s="159"/>
      <c r="H15" s="159"/>
      <c r="I15" s="159"/>
      <c r="J15" s="159"/>
      <c r="K15" s="159"/>
      <c r="L15" s="159"/>
      <c r="M15" s="159"/>
      <c r="N15" s="159"/>
      <c r="O15" s="159"/>
      <c r="P15" s="159"/>
      <c r="Q15" s="163" t="s">
        <v>511</v>
      </c>
      <c r="R15" s="159"/>
      <c r="T15" s="20"/>
      <c r="U15" s="20"/>
      <c r="V15" s="20"/>
      <c r="W15" s="20"/>
      <c r="X15" s="20"/>
    </row>
    <row r="16" spans="1:25" ht="15" thickBot="1">
      <c r="B16" s="159"/>
      <c r="C16" s="159"/>
      <c r="D16" s="159"/>
      <c r="E16" s="159"/>
      <c r="F16" s="159"/>
      <c r="G16" s="159"/>
      <c r="H16" s="159"/>
      <c r="I16" s="159"/>
      <c r="J16" s="159"/>
      <c r="K16" s="159"/>
      <c r="L16" s="159"/>
      <c r="M16" s="159"/>
      <c r="N16" s="159"/>
      <c r="O16" s="159"/>
      <c r="P16" s="159"/>
      <c r="Q16" s="159"/>
      <c r="R16" s="159"/>
      <c r="T16" s="20"/>
      <c r="U16" s="20"/>
      <c r="V16" s="20"/>
      <c r="W16" s="20"/>
      <c r="X16" s="20"/>
    </row>
    <row r="17" spans="1:24">
      <c r="B17" s="159"/>
      <c r="C17" s="42"/>
      <c r="D17" s="42"/>
      <c r="E17" s="42"/>
      <c r="F17" s="42"/>
      <c r="G17" s="42"/>
      <c r="H17" s="149" t="s">
        <v>209</v>
      </c>
      <c r="I17" s="42">
        <v>2011</v>
      </c>
      <c r="J17" s="42" t="s">
        <v>210</v>
      </c>
      <c r="K17" s="42" t="s">
        <v>211</v>
      </c>
      <c r="L17" s="42" t="s">
        <v>212</v>
      </c>
      <c r="M17" s="42" t="s">
        <v>213</v>
      </c>
      <c r="N17" s="42" t="s">
        <v>214</v>
      </c>
      <c r="O17" s="42" t="s">
        <v>215</v>
      </c>
      <c r="P17" s="42" t="s">
        <v>216</v>
      </c>
      <c r="Q17" s="42" t="s">
        <v>217</v>
      </c>
      <c r="R17" s="159"/>
      <c r="T17" s="20"/>
      <c r="U17" s="20"/>
      <c r="V17" s="20"/>
      <c r="W17" s="20"/>
      <c r="X17" s="20"/>
    </row>
    <row r="18" spans="1:24">
      <c r="B18" s="159"/>
      <c r="C18" s="159" t="s">
        <v>893</v>
      </c>
      <c r="D18" s="159">
        <v>1</v>
      </c>
      <c r="E18" s="159" t="s">
        <v>895</v>
      </c>
      <c r="F18" s="159"/>
      <c r="G18" s="159"/>
      <c r="H18" s="371">
        <f>H19</f>
        <v>0.51600000000000001</v>
      </c>
      <c r="I18" s="370">
        <f>(J18-H18)*(($I$24-$H$24)/($J$24-$H$24))+H18</f>
        <v>0.52014000000000005</v>
      </c>
      <c r="J18" s="370">
        <f t="shared" ref="J18:Q18" si="0">((J19-$H$18)*90%)+$H$18</f>
        <v>0.53670000000000007</v>
      </c>
      <c r="K18" s="370">
        <f t="shared" si="0"/>
        <v>0.55560000000000009</v>
      </c>
      <c r="L18" s="370">
        <f t="shared" si="0"/>
        <v>0.5736</v>
      </c>
      <c r="M18" s="370">
        <f t="shared" si="0"/>
        <v>0.5907</v>
      </c>
      <c r="N18" s="370">
        <f t="shared" si="0"/>
        <v>0.6069</v>
      </c>
      <c r="O18" s="370">
        <f t="shared" si="0"/>
        <v>0.62309999999999999</v>
      </c>
      <c r="P18" s="370">
        <f t="shared" si="0"/>
        <v>0.63929999999999998</v>
      </c>
      <c r="Q18" s="370">
        <f t="shared" si="0"/>
        <v>0.65640000000000009</v>
      </c>
      <c r="R18" s="159"/>
      <c r="T18" s="20"/>
      <c r="U18" s="20"/>
      <c r="V18" s="213"/>
      <c r="W18" s="214" t="s">
        <v>1138</v>
      </c>
      <c r="X18" s="20"/>
    </row>
    <row r="19" spans="1:24">
      <c r="B19" s="159"/>
      <c r="C19" s="159" t="s">
        <v>893</v>
      </c>
      <c r="D19" s="159">
        <v>2</v>
      </c>
      <c r="E19" s="159" t="s">
        <v>894</v>
      </c>
      <c r="F19" s="159"/>
      <c r="G19" s="159"/>
      <c r="H19" s="371">
        <v>0.51600000000000001</v>
      </c>
      <c r="I19" s="370">
        <f>(J19-H19)*(($I$24-$H$24)/($J$24-$H$24))+H19</f>
        <v>0.52060000000000006</v>
      </c>
      <c r="J19" s="370">
        <v>0.53900000000000003</v>
      </c>
      <c r="K19" s="370">
        <v>0.56000000000000005</v>
      </c>
      <c r="L19" s="370">
        <v>0.57999999999999996</v>
      </c>
      <c r="M19" s="370">
        <v>0.59899999999999998</v>
      </c>
      <c r="N19" s="370">
        <v>0.61699999999999999</v>
      </c>
      <c r="O19" s="370">
        <v>0.63500000000000001</v>
      </c>
      <c r="P19" s="370">
        <v>0.65300000000000002</v>
      </c>
      <c r="Q19" s="370">
        <v>0.67200000000000004</v>
      </c>
      <c r="R19" s="159"/>
      <c r="T19" s="20" t="s">
        <v>899</v>
      </c>
      <c r="U19" s="20" t="s">
        <v>898</v>
      </c>
      <c r="V19" s="20"/>
      <c r="W19" s="20"/>
      <c r="X19" s="20"/>
    </row>
    <row r="20" spans="1:24" ht="15" thickBot="1">
      <c r="B20" s="159"/>
      <c r="C20" s="162" t="s">
        <v>893</v>
      </c>
      <c r="D20" s="162">
        <v>3</v>
      </c>
      <c r="E20" s="162" t="s">
        <v>896</v>
      </c>
      <c r="F20" s="162"/>
      <c r="G20" s="162"/>
      <c r="H20" s="434">
        <f>H19</f>
        <v>0.51600000000000001</v>
      </c>
      <c r="I20" s="185">
        <f>(J20-H20)*(($I$24-$H$24)/($J$24-$H$24))+H20</f>
        <v>0.52105999999999997</v>
      </c>
      <c r="J20" s="185">
        <f t="shared" ref="J20:Q20" si="1">((J19-$H$20)*110%)+$H$20</f>
        <v>0.5413</v>
      </c>
      <c r="K20" s="185">
        <f t="shared" si="1"/>
        <v>0.56440000000000001</v>
      </c>
      <c r="L20" s="185">
        <f t="shared" si="1"/>
        <v>0.58639999999999992</v>
      </c>
      <c r="M20" s="185">
        <f t="shared" si="1"/>
        <v>0.60729999999999995</v>
      </c>
      <c r="N20" s="185">
        <f t="shared" si="1"/>
        <v>0.62709999999999999</v>
      </c>
      <c r="O20" s="185">
        <f t="shared" si="1"/>
        <v>0.64690000000000003</v>
      </c>
      <c r="P20" s="185">
        <f t="shared" si="1"/>
        <v>0.66670000000000007</v>
      </c>
      <c r="Q20" s="185">
        <f t="shared" si="1"/>
        <v>0.68759999999999999</v>
      </c>
      <c r="R20" s="159"/>
      <c r="T20" s="20"/>
      <c r="U20" s="20"/>
      <c r="V20" s="213"/>
      <c r="W20" s="214" t="s">
        <v>1138</v>
      </c>
      <c r="X20" s="20"/>
    </row>
    <row r="21" spans="1:24">
      <c r="B21" s="159"/>
      <c r="C21" s="159"/>
      <c r="D21" s="159"/>
      <c r="E21" s="159"/>
      <c r="F21" s="159"/>
      <c r="G21" s="159"/>
      <c r="H21" s="159"/>
      <c r="I21" s="159"/>
      <c r="J21" s="159"/>
      <c r="K21" s="159"/>
      <c r="L21" s="159"/>
      <c r="M21" s="159"/>
      <c r="N21" s="159"/>
      <c r="O21" s="159"/>
      <c r="P21" s="159"/>
      <c r="Q21" s="159"/>
      <c r="R21" s="159"/>
      <c r="T21" s="20"/>
      <c r="U21" s="20"/>
      <c r="V21" s="20"/>
      <c r="W21" s="20"/>
      <c r="X21" s="20"/>
    </row>
    <row r="22" spans="1:24">
      <c r="B22" s="159"/>
      <c r="C22" s="163" t="s">
        <v>206</v>
      </c>
      <c r="D22" s="159"/>
      <c r="E22" s="159"/>
      <c r="F22" s="159"/>
      <c r="G22" s="159"/>
      <c r="H22" s="159"/>
      <c r="I22" s="159"/>
      <c r="J22" s="159"/>
      <c r="K22" s="159"/>
      <c r="L22" s="159"/>
      <c r="M22" s="159"/>
      <c r="N22" s="159"/>
      <c r="O22" s="159"/>
      <c r="P22" s="159"/>
      <c r="Q22" s="163"/>
      <c r="R22" s="159"/>
      <c r="T22" s="20"/>
      <c r="U22" s="20"/>
      <c r="V22" s="20"/>
      <c r="W22" s="20"/>
      <c r="X22" s="20"/>
    </row>
    <row r="23" spans="1:24" ht="15" thickBot="1">
      <c r="B23" s="159"/>
      <c r="C23" s="159"/>
      <c r="D23" s="159"/>
      <c r="E23" s="159"/>
      <c r="F23" s="159"/>
      <c r="G23" s="159"/>
      <c r="H23" s="159"/>
      <c r="I23" s="159"/>
      <c r="J23" s="159"/>
      <c r="K23" s="159"/>
      <c r="L23" s="159"/>
      <c r="M23" s="159"/>
      <c r="N23" s="159"/>
      <c r="O23" s="159"/>
      <c r="P23" s="159"/>
      <c r="Q23" s="159"/>
      <c r="R23" s="159"/>
      <c r="T23" s="20"/>
      <c r="U23" s="20"/>
      <c r="V23" s="20"/>
      <c r="W23" s="20"/>
      <c r="X23" s="20"/>
    </row>
    <row r="24" spans="1:24">
      <c r="B24" s="159"/>
      <c r="C24" s="42"/>
      <c r="D24" s="42" t="s">
        <v>207</v>
      </c>
      <c r="E24" s="42"/>
      <c r="F24" s="42"/>
      <c r="G24" s="42"/>
      <c r="H24" s="149" t="s">
        <v>209</v>
      </c>
      <c r="I24" s="42">
        <v>2011</v>
      </c>
      <c r="J24" s="42" t="s">
        <v>210</v>
      </c>
      <c r="K24" s="42" t="s">
        <v>211</v>
      </c>
      <c r="L24" s="42" t="s">
        <v>212</v>
      </c>
      <c r="M24" s="42" t="s">
        <v>213</v>
      </c>
      <c r="N24" s="42" t="s">
        <v>214</v>
      </c>
      <c r="O24" s="42" t="s">
        <v>215</v>
      </c>
      <c r="P24" s="42" t="s">
        <v>216</v>
      </c>
      <c r="Q24" s="42" t="s">
        <v>217</v>
      </c>
      <c r="R24" s="159"/>
      <c r="T24" s="20"/>
      <c r="U24" s="20"/>
      <c r="V24" s="20"/>
      <c r="W24" s="20"/>
      <c r="X24" s="20"/>
    </row>
    <row r="25" spans="1:24">
      <c r="B25" s="159"/>
      <c r="C25" s="159" t="s">
        <v>59</v>
      </c>
      <c r="D25" s="159">
        <v>1</v>
      </c>
      <c r="E25" s="159" t="s">
        <v>878</v>
      </c>
      <c r="F25" s="159"/>
      <c r="G25" s="159"/>
      <c r="H25" s="202">
        <f>6916183*(1000)</f>
        <v>6916183000</v>
      </c>
      <c r="I25" s="159">
        <f>(J25-H25)*(($I$24-$H$24)/($J$24-$H$24))+H25</f>
        <v>7011393000</v>
      </c>
      <c r="J25" s="159">
        <f>7392233*(1000)</f>
        <v>7392233000</v>
      </c>
      <c r="K25" s="159">
        <f>7893904*(1000)</f>
        <v>7893904000</v>
      </c>
      <c r="L25" s="159">
        <f>8398226*(1000)</f>
        <v>8398226000</v>
      </c>
      <c r="M25" s="159">
        <f>8881519*(1000)</f>
        <v>8881519000</v>
      </c>
      <c r="N25" s="159">
        <f>9359400*(1000)</f>
        <v>9359400000</v>
      </c>
      <c r="O25" s="159">
        <f>9847909*(1000)</f>
        <v>9847909000</v>
      </c>
      <c r="P25" s="159">
        <f>10352435*(1000)</f>
        <v>10352435000</v>
      </c>
      <c r="Q25" s="159">
        <f>10868444*(1000)</f>
        <v>10868444000</v>
      </c>
      <c r="R25" s="159"/>
      <c r="S25" s="189"/>
      <c r="T25" s="20" t="s">
        <v>899</v>
      </c>
      <c r="U25" s="20" t="s">
        <v>875</v>
      </c>
      <c r="V25" s="180" t="s">
        <v>876</v>
      </c>
      <c r="W25" s="20" t="s">
        <v>1106</v>
      </c>
      <c r="X25" s="20" t="s">
        <v>871</v>
      </c>
    </row>
    <row r="26" spans="1:24">
      <c r="B26" s="159"/>
      <c r="C26" s="159" t="s">
        <v>59</v>
      </c>
      <c r="D26" s="159">
        <v>2</v>
      </c>
      <c r="E26" s="159" t="s">
        <v>874</v>
      </c>
      <c r="F26" s="159"/>
      <c r="G26" s="159"/>
      <c r="H26" s="202">
        <f>6916183*(1000)</f>
        <v>6916183000</v>
      </c>
      <c r="I26" s="159">
        <f t="shared" ref="I26:I27" si="2">(J26-H26)*(($I$24-$H$24)/($J$24-$H$24))+H26</f>
        <v>6997902800</v>
      </c>
      <c r="J26" s="159">
        <f>7324782*(1000)</f>
        <v>7324782000</v>
      </c>
      <c r="K26" s="159">
        <f>7716749*(1000)</f>
        <v>7716749000</v>
      </c>
      <c r="L26" s="159">
        <f>8083413*(1000)</f>
        <v>8083413000</v>
      </c>
      <c r="M26" s="159">
        <f>8424937*(1000)</f>
        <v>8424937000</v>
      </c>
      <c r="N26" s="159">
        <f>8743447*(1000)</f>
        <v>8743447000</v>
      </c>
      <c r="O26" s="159">
        <f>9038687*(1000)</f>
        <v>9038687000</v>
      </c>
      <c r="P26" s="159">
        <f>9308438*(1000)</f>
        <v>9308438000</v>
      </c>
      <c r="Q26" s="159">
        <f>9550945*(1000)</f>
        <v>9550945000</v>
      </c>
      <c r="R26" s="159"/>
      <c r="T26" s="20" t="s">
        <v>899</v>
      </c>
      <c r="U26" s="20" t="s">
        <v>875</v>
      </c>
      <c r="V26" s="180" t="s">
        <v>876</v>
      </c>
      <c r="W26" s="20" t="s">
        <v>1106</v>
      </c>
      <c r="X26" s="20" t="s">
        <v>871</v>
      </c>
    </row>
    <row r="27" spans="1:24" ht="15" thickBot="1">
      <c r="B27" s="159"/>
      <c r="C27" s="162" t="s">
        <v>59</v>
      </c>
      <c r="D27" s="162">
        <v>3</v>
      </c>
      <c r="E27" s="162" t="s">
        <v>877</v>
      </c>
      <c r="F27" s="162"/>
      <c r="G27" s="162"/>
      <c r="H27" s="203">
        <f>6916183*(1000)</f>
        <v>6916183000</v>
      </c>
      <c r="I27" s="162">
        <f t="shared" si="2"/>
        <v>6984331400</v>
      </c>
      <c r="J27" s="162">
        <f>7256925*(1000)</f>
        <v>7256925000</v>
      </c>
      <c r="K27" s="162">
        <f>7539163*(1000)</f>
        <v>7539163000</v>
      </c>
      <c r="L27" s="162">
        <f>7768450*(1000)</f>
        <v>7768450000</v>
      </c>
      <c r="M27" s="162">
        <f>7969407*(1000)</f>
        <v>7969407000</v>
      </c>
      <c r="N27" s="162">
        <f>8135087*(1000)</f>
        <v>8135087000</v>
      </c>
      <c r="O27" s="162">
        <f>8255351*(1000)</f>
        <v>8255351000</v>
      </c>
      <c r="P27" s="162">
        <f>8323978*(1000)</f>
        <v>8323978000</v>
      </c>
      <c r="Q27" s="162">
        <f>8341706*(1000)</f>
        <v>8341706000</v>
      </c>
      <c r="R27" s="159"/>
      <c r="T27" s="20" t="s">
        <v>899</v>
      </c>
      <c r="U27" s="20" t="s">
        <v>875</v>
      </c>
      <c r="V27" s="180" t="s">
        <v>876</v>
      </c>
      <c r="W27" s="20" t="s">
        <v>1106</v>
      </c>
      <c r="X27" s="20" t="s">
        <v>871</v>
      </c>
    </row>
    <row r="28" spans="1:24">
      <c r="B28" s="159"/>
      <c r="C28" s="159"/>
      <c r="D28" s="159"/>
      <c r="E28" s="159"/>
      <c r="F28" s="159"/>
      <c r="G28" s="159"/>
      <c r="H28" s="159"/>
      <c r="I28" s="121"/>
      <c r="J28" s="159"/>
      <c r="K28" s="159"/>
      <c r="L28" s="159"/>
      <c r="M28" s="159"/>
      <c r="N28" s="159"/>
      <c r="O28" s="159"/>
      <c r="P28" s="159"/>
      <c r="Q28" s="159"/>
      <c r="R28" s="159"/>
      <c r="T28" s="20"/>
      <c r="U28" s="20"/>
      <c r="V28" s="20"/>
      <c r="W28" s="20"/>
      <c r="X28" s="20"/>
    </row>
    <row r="29" spans="1:24">
      <c r="B29" s="159"/>
      <c r="C29" s="159"/>
      <c r="D29" s="159"/>
      <c r="E29" s="159"/>
      <c r="F29" s="159"/>
      <c r="G29" s="159"/>
      <c r="H29" s="159"/>
      <c r="I29" s="159"/>
      <c r="J29" s="159"/>
      <c r="K29" s="159"/>
      <c r="L29" s="159"/>
      <c r="M29" s="159"/>
      <c r="N29" s="159"/>
      <c r="O29" s="159"/>
      <c r="P29" s="159"/>
      <c r="Q29" s="159"/>
      <c r="R29" s="159"/>
      <c r="T29" s="20"/>
      <c r="U29" s="20"/>
      <c r="V29" s="20"/>
      <c r="W29" s="20"/>
      <c r="X29" s="20"/>
    </row>
    <row r="30" spans="1:24" ht="15">
      <c r="B30" s="41" t="s">
        <v>591</v>
      </c>
      <c r="C30" s="41"/>
      <c r="D30" s="41"/>
      <c r="E30" s="41"/>
      <c r="F30" s="41"/>
      <c r="G30" s="41"/>
      <c r="H30" s="41"/>
      <c r="I30" s="41"/>
      <c r="J30" s="41"/>
      <c r="K30" s="41"/>
      <c r="L30" s="41"/>
      <c r="M30" s="41"/>
      <c r="N30" s="41"/>
      <c r="O30" s="41"/>
      <c r="P30" s="41"/>
      <c r="Q30" s="41"/>
      <c r="R30" s="41"/>
      <c r="T30" s="20"/>
      <c r="U30" s="20"/>
      <c r="V30" s="20"/>
      <c r="W30" s="20"/>
      <c r="X30" s="20"/>
    </row>
    <row r="31" spans="1:24">
      <c r="B31" s="159"/>
      <c r="C31" s="159"/>
      <c r="D31" s="159"/>
      <c r="E31" s="159"/>
      <c r="F31" s="159"/>
      <c r="G31" s="159"/>
      <c r="H31" s="159"/>
      <c r="I31" s="159"/>
      <c r="J31" s="159"/>
      <c r="K31" s="159"/>
      <c r="L31" s="159"/>
      <c r="M31" s="159"/>
      <c r="N31" s="159"/>
      <c r="O31" s="159"/>
      <c r="P31" s="159"/>
      <c r="Q31" s="159"/>
      <c r="R31" s="159"/>
      <c r="T31" s="20"/>
      <c r="U31" s="20"/>
      <c r="V31" s="20"/>
      <c r="W31" s="20"/>
      <c r="X31" s="20"/>
    </row>
    <row r="32" spans="1:24" s="168" customFormat="1">
      <c r="A32" s="158"/>
      <c r="B32" s="159"/>
      <c r="C32" s="163" t="s">
        <v>602</v>
      </c>
      <c r="D32" s="159"/>
      <c r="E32" s="159"/>
      <c r="F32" s="159"/>
      <c r="G32" s="159"/>
      <c r="H32" s="159"/>
      <c r="I32" s="159"/>
      <c r="J32" s="159"/>
      <c r="K32" s="159"/>
      <c r="L32" s="159"/>
      <c r="M32" s="159"/>
      <c r="N32" s="159"/>
      <c r="O32" s="159"/>
      <c r="P32" s="159"/>
      <c r="Q32" s="163" t="s">
        <v>511</v>
      </c>
      <c r="R32" s="159"/>
      <c r="T32" s="20"/>
      <c r="U32" s="20"/>
      <c r="V32" s="20"/>
      <c r="W32" s="20"/>
      <c r="X32" s="20"/>
    </row>
    <row r="33" spans="1:24" s="168" customFormat="1" ht="15" thickBot="1">
      <c r="A33" s="158"/>
      <c r="B33" s="159"/>
      <c r="C33" s="159"/>
      <c r="D33" s="159"/>
      <c r="E33" s="159"/>
      <c r="F33" s="159"/>
      <c r="G33" s="159"/>
      <c r="H33" s="159"/>
      <c r="I33" s="159"/>
      <c r="J33" s="159"/>
      <c r="K33" s="159"/>
      <c r="L33" s="159"/>
      <c r="M33" s="159"/>
      <c r="N33" s="159"/>
      <c r="O33" s="159"/>
      <c r="P33" s="159"/>
      <c r="Q33" s="159"/>
      <c r="R33" s="159"/>
      <c r="T33" s="20"/>
      <c r="U33" s="20"/>
      <c r="V33" s="20"/>
      <c r="W33" s="20"/>
      <c r="X33" s="20"/>
    </row>
    <row r="34" spans="1:24" s="168" customFormat="1">
      <c r="A34" s="158"/>
      <c r="B34" s="159"/>
      <c r="C34" s="42"/>
      <c r="D34" s="42"/>
      <c r="E34" s="184" t="s">
        <v>598</v>
      </c>
      <c r="F34" s="42"/>
      <c r="G34" s="42"/>
      <c r="H34" s="42"/>
      <c r="I34" s="42">
        <v>2011</v>
      </c>
      <c r="J34" s="42" t="s">
        <v>210</v>
      </c>
      <c r="K34" s="42" t="s">
        <v>211</v>
      </c>
      <c r="L34" s="42" t="s">
        <v>212</v>
      </c>
      <c r="M34" s="42" t="s">
        <v>213</v>
      </c>
      <c r="N34" s="42" t="s">
        <v>214</v>
      </c>
      <c r="O34" s="42" t="s">
        <v>215</v>
      </c>
      <c r="P34" s="42" t="s">
        <v>216</v>
      </c>
      <c r="Q34" s="42" t="s">
        <v>217</v>
      </c>
      <c r="R34" s="159"/>
      <c r="T34" s="20"/>
      <c r="U34" s="20"/>
      <c r="V34" s="20"/>
      <c r="W34" s="20"/>
      <c r="X34" s="20"/>
    </row>
    <row r="35" spans="1:24" s="168" customFormat="1" ht="15" thickBot="1">
      <c r="A35" s="158"/>
      <c r="B35" s="159"/>
      <c r="C35" s="162" t="s">
        <v>897</v>
      </c>
      <c r="D35" s="162"/>
      <c r="E35" s="162">
        <f ca="1">H10</f>
        <v>2</v>
      </c>
      <c r="F35" s="162"/>
      <c r="G35" s="162"/>
      <c r="H35" s="162"/>
      <c r="I35" s="185">
        <f ca="1">(INDEX(I$18:I$20,ROUNDDOWN($E$35,0))*MOD($E$35,1))+(INDEX(I$18:I$20,ROUNDUP($E$35,0))*(1-MOD($E$35,1)))</f>
        <v>0.52060000000000006</v>
      </c>
      <c r="J35" s="185">
        <f t="shared" ref="J35:Q35" ca="1" si="3">(INDEX(J$18:J$20,ROUNDDOWN($E$35,0))*MOD($E$35,1))+(INDEX(J$18:J$20,ROUNDUP($E$35,0))*(1-MOD($E$35,1)))</f>
        <v>0.53900000000000003</v>
      </c>
      <c r="K35" s="185">
        <f t="shared" ca="1" si="3"/>
        <v>0.56000000000000005</v>
      </c>
      <c r="L35" s="185">
        <f t="shared" ca="1" si="3"/>
        <v>0.57999999999999996</v>
      </c>
      <c r="M35" s="185">
        <f t="shared" ca="1" si="3"/>
        <v>0.59899999999999998</v>
      </c>
      <c r="N35" s="185">
        <f t="shared" ca="1" si="3"/>
        <v>0.61699999999999999</v>
      </c>
      <c r="O35" s="185">
        <f t="shared" ca="1" si="3"/>
        <v>0.63500000000000001</v>
      </c>
      <c r="P35" s="185">
        <f t="shared" ca="1" si="3"/>
        <v>0.65300000000000002</v>
      </c>
      <c r="Q35" s="185">
        <f t="shared" ca="1" si="3"/>
        <v>0.67200000000000004</v>
      </c>
      <c r="R35" s="159"/>
      <c r="T35" s="20"/>
      <c r="U35" s="20"/>
      <c r="V35" s="20"/>
      <c r="W35" s="20"/>
      <c r="X35" s="20"/>
    </row>
    <row r="36" spans="1:24" s="168" customFormat="1">
      <c r="A36" s="158"/>
      <c r="B36" s="159"/>
      <c r="C36" s="159"/>
      <c r="D36" s="159"/>
      <c r="E36" s="159"/>
      <c r="F36" s="159"/>
      <c r="G36" s="159"/>
      <c r="H36" s="159"/>
      <c r="I36" s="159"/>
      <c r="J36" s="159"/>
      <c r="K36" s="159"/>
      <c r="L36" s="159"/>
      <c r="M36" s="159"/>
      <c r="N36" s="159"/>
      <c r="O36" s="159"/>
      <c r="P36" s="159"/>
      <c r="Q36" s="159"/>
      <c r="R36" s="159"/>
      <c r="T36" s="20"/>
      <c r="U36" s="20"/>
      <c r="V36" s="20"/>
      <c r="W36" s="20"/>
      <c r="X36" s="20"/>
    </row>
    <row r="37" spans="1:24" s="168" customFormat="1">
      <c r="A37" s="158"/>
      <c r="B37" s="159"/>
      <c r="C37" s="163" t="s">
        <v>206</v>
      </c>
      <c r="D37" s="159"/>
      <c r="E37" s="159"/>
      <c r="F37" s="159"/>
      <c r="G37" s="159"/>
      <c r="H37" s="159"/>
      <c r="I37" s="159"/>
      <c r="J37" s="159"/>
      <c r="K37" s="159"/>
      <c r="L37" s="159"/>
      <c r="M37" s="159"/>
      <c r="N37" s="159"/>
      <c r="O37" s="159"/>
      <c r="P37" s="159"/>
      <c r="Q37" s="163"/>
      <c r="R37" s="159"/>
      <c r="T37" s="20"/>
      <c r="U37" s="20"/>
      <c r="V37" s="20"/>
      <c r="W37" s="20"/>
      <c r="X37" s="20"/>
    </row>
    <row r="38" spans="1:24" s="168" customFormat="1">
      <c r="A38" s="158"/>
      <c r="B38" s="159"/>
      <c r="C38" s="159"/>
      <c r="D38" s="159"/>
      <c r="E38" s="159"/>
      <c r="F38" s="159"/>
      <c r="G38" s="159"/>
      <c r="H38" s="159"/>
      <c r="I38" s="159"/>
      <c r="J38" s="159"/>
      <c r="K38" s="159"/>
      <c r="L38" s="159"/>
      <c r="M38" s="159"/>
      <c r="N38" s="159"/>
      <c r="O38" s="159"/>
      <c r="P38" s="159"/>
      <c r="Q38" s="159"/>
      <c r="R38" s="159"/>
      <c r="T38" s="20"/>
      <c r="U38" s="20"/>
      <c r="V38" s="20"/>
      <c r="W38" s="20"/>
      <c r="X38" s="20"/>
    </row>
    <row r="39" spans="1:24" s="168" customFormat="1">
      <c r="A39" s="158"/>
      <c r="B39" s="159"/>
      <c r="C39" s="183" t="s">
        <v>394</v>
      </c>
      <c r="D39" s="183" t="s">
        <v>643</v>
      </c>
      <c r="E39" s="183" t="s">
        <v>598</v>
      </c>
      <c r="F39" s="183" t="s">
        <v>509</v>
      </c>
      <c r="G39" s="183" t="s">
        <v>510</v>
      </c>
      <c r="H39" s="183" t="s">
        <v>353</v>
      </c>
      <c r="I39" s="183" t="s">
        <v>1107</v>
      </c>
      <c r="J39" s="183" t="s">
        <v>210</v>
      </c>
      <c r="K39" s="183" t="s">
        <v>211</v>
      </c>
      <c r="L39" s="183" t="s">
        <v>212</v>
      </c>
      <c r="M39" s="183" t="s">
        <v>213</v>
      </c>
      <c r="N39" s="183" t="s">
        <v>214</v>
      </c>
      <c r="O39" s="183" t="s">
        <v>215</v>
      </c>
      <c r="P39" s="183" t="s">
        <v>216</v>
      </c>
      <c r="Q39" s="183" t="s">
        <v>217</v>
      </c>
      <c r="R39" s="159"/>
      <c r="T39" s="20"/>
      <c r="U39" s="20"/>
      <c r="V39" s="20"/>
      <c r="W39" s="20"/>
      <c r="X39" s="20"/>
    </row>
    <row r="40" spans="1:24" s="168" customFormat="1">
      <c r="A40" s="158"/>
      <c r="B40" s="159"/>
      <c r="C40" s="121" t="s">
        <v>59</v>
      </c>
      <c r="D40" s="121"/>
      <c r="E40" s="121">
        <f ca="1">H9</f>
        <v>2</v>
      </c>
      <c r="F40" s="121"/>
      <c r="G40" s="121"/>
      <c r="H40" s="121"/>
      <c r="I40" s="121">
        <f ca="1">(INDEX(I$25:I$27,ROUNDDOWN($E$40,0))*MOD($E$40,1))+(INDEX(I$25:I$27,ROUNDUP($E$40,0))*(1-MOD($E$40,1)))</f>
        <v>6997902800</v>
      </c>
      <c r="J40" s="121">
        <f t="shared" ref="J40:Q40" ca="1" si="4">(INDEX(J$25:J$27,ROUNDDOWN($E$40,0))*MOD($E$40,1))+(INDEX(J$25:J$27,ROUNDUP($E$40,0))*(1-MOD($E$40,1)))</f>
        <v>7324782000</v>
      </c>
      <c r="K40" s="121">
        <f t="shared" ca="1" si="4"/>
        <v>7716749000</v>
      </c>
      <c r="L40" s="121">
        <f t="shared" ca="1" si="4"/>
        <v>8083413000</v>
      </c>
      <c r="M40" s="121">
        <f t="shared" ca="1" si="4"/>
        <v>8424937000</v>
      </c>
      <c r="N40" s="121">
        <f t="shared" ca="1" si="4"/>
        <v>8743447000</v>
      </c>
      <c r="O40" s="121">
        <f t="shared" ca="1" si="4"/>
        <v>9038687000</v>
      </c>
      <c r="P40" s="121">
        <f t="shared" ca="1" si="4"/>
        <v>9308438000</v>
      </c>
      <c r="Q40" s="121">
        <f t="shared" ca="1" si="4"/>
        <v>9550945000</v>
      </c>
      <c r="R40" s="159"/>
      <c r="T40" s="20"/>
      <c r="U40" s="20"/>
      <c r="V40" s="20"/>
      <c r="W40" s="20"/>
      <c r="X40" s="20"/>
    </row>
    <row r="41" spans="1:24" s="168" customFormat="1">
      <c r="A41" s="158"/>
      <c r="B41" s="159"/>
      <c r="C41" s="169" t="s">
        <v>1143</v>
      </c>
      <c r="D41" s="121"/>
      <c r="E41" s="121"/>
      <c r="F41" s="121"/>
      <c r="G41" s="121"/>
      <c r="H41" s="121"/>
      <c r="I41" s="121">
        <f ca="1">I40*I35</f>
        <v>3643108197.6800003</v>
      </c>
      <c r="J41" s="121">
        <f t="shared" ref="J41:Q41" ca="1" si="5">J40*J35</f>
        <v>3948057498.0000005</v>
      </c>
      <c r="K41" s="121">
        <f t="shared" ca="1" si="5"/>
        <v>4321379440</v>
      </c>
      <c r="L41" s="121">
        <f t="shared" ca="1" si="5"/>
        <v>4688379540</v>
      </c>
      <c r="M41" s="121">
        <f t="shared" ca="1" si="5"/>
        <v>5046537263</v>
      </c>
      <c r="N41" s="121">
        <f t="shared" ca="1" si="5"/>
        <v>5394706799</v>
      </c>
      <c r="O41" s="121">
        <f t="shared" ca="1" si="5"/>
        <v>5739566245</v>
      </c>
      <c r="P41" s="121">
        <f t="shared" ca="1" si="5"/>
        <v>6078410014</v>
      </c>
      <c r="Q41" s="121">
        <f t="shared" ca="1" si="5"/>
        <v>6418235040</v>
      </c>
      <c r="R41" s="159"/>
      <c r="T41" s="20"/>
      <c r="U41" s="20"/>
      <c r="V41" s="20"/>
      <c r="W41" s="20"/>
      <c r="X41" s="20"/>
    </row>
    <row r="42" spans="1:24" s="168" customFormat="1">
      <c r="A42" s="158"/>
      <c r="B42" s="159"/>
      <c r="C42" s="169" t="s">
        <v>1144</v>
      </c>
      <c r="D42" s="121"/>
      <c r="E42" s="121"/>
      <c r="F42" s="121"/>
      <c r="G42" s="121"/>
      <c r="H42" s="121"/>
      <c r="I42" s="121">
        <f ca="1">I40-I41</f>
        <v>3354794602.3199997</v>
      </c>
      <c r="J42" s="121">
        <f t="shared" ref="J42:Q42" ca="1" si="6">J40-J41</f>
        <v>3376724501.9999995</v>
      </c>
      <c r="K42" s="121">
        <f t="shared" ca="1" si="6"/>
        <v>3395369560</v>
      </c>
      <c r="L42" s="121">
        <f t="shared" ca="1" si="6"/>
        <v>3395033460</v>
      </c>
      <c r="M42" s="121">
        <f t="shared" ca="1" si="6"/>
        <v>3378399737</v>
      </c>
      <c r="N42" s="121">
        <f t="shared" ca="1" si="6"/>
        <v>3348740201</v>
      </c>
      <c r="O42" s="121">
        <f t="shared" ca="1" si="6"/>
        <v>3299120755</v>
      </c>
      <c r="P42" s="121">
        <f t="shared" ca="1" si="6"/>
        <v>3230027986</v>
      </c>
      <c r="Q42" s="121">
        <f t="shared" ca="1" si="6"/>
        <v>3132709960</v>
      </c>
      <c r="R42" s="159"/>
      <c r="T42" s="20"/>
      <c r="U42" s="20"/>
      <c r="V42" s="20"/>
      <c r="W42" s="20"/>
      <c r="X42" s="20"/>
    </row>
    <row r="43" spans="1:24" s="168" customFormat="1">
      <c r="A43" s="158"/>
      <c r="B43" s="159"/>
      <c r="C43" s="159"/>
      <c r="D43" s="159"/>
      <c r="E43" s="159"/>
      <c r="F43" s="159"/>
      <c r="G43" s="159"/>
      <c r="H43" s="159"/>
      <c r="I43" s="159"/>
      <c r="J43" s="159"/>
      <c r="K43" s="159"/>
      <c r="L43" s="159"/>
      <c r="M43" s="159"/>
      <c r="N43" s="159"/>
      <c r="O43" s="159"/>
      <c r="P43" s="159"/>
      <c r="Q43" s="159"/>
      <c r="R43" s="159"/>
      <c r="T43" s="20"/>
      <c r="U43" s="20"/>
      <c r="V43" s="20"/>
      <c r="W43" s="20"/>
      <c r="X43" s="20"/>
    </row>
    <row r="44" spans="1:24" s="168" customFormat="1">
      <c r="A44" s="158"/>
      <c r="B44" s="159"/>
      <c r="C44" s="159"/>
      <c r="D44" s="159"/>
      <c r="E44" s="159"/>
      <c r="F44" s="159"/>
      <c r="G44" s="159"/>
      <c r="H44" s="159"/>
      <c r="I44" s="159"/>
      <c r="J44" s="159"/>
      <c r="K44" s="159"/>
      <c r="L44" s="159"/>
      <c r="M44" s="159"/>
      <c r="N44" s="159"/>
      <c r="O44" s="159"/>
      <c r="P44" s="159"/>
      <c r="Q44" s="159"/>
      <c r="R44" s="159"/>
      <c r="T44" s="20"/>
      <c r="U44" s="20"/>
      <c r="V44" s="20"/>
      <c r="W44" s="20"/>
      <c r="X44" s="20"/>
    </row>
    <row r="45" spans="1:24" s="168" customFormat="1">
      <c r="A45" s="158"/>
      <c r="B45" s="159"/>
      <c r="C45" s="159"/>
      <c r="D45" s="159"/>
      <c r="E45" s="159"/>
      <c r="F45" s="159"/>
      <c r="G45" s="159"/>
      <c r="H45" s="159"/>
      <c r="I45" s="159"/>
      <c r="J45" s="159"/>
      <c r="K45" s="159"/>
      <c r="L45" s="159"/>
      <c r="M45" s="159"/>
      <c r="N45" s="159"/>
      <c r="O45" s="159"/>
      <c r="P45" s="159"/>
      <c r="Q45" s="159"/>
      <c r="R45" s="159"/>
      <c r="T45" s="20"/>
      <c r="U45" s="20"/>
      <c r="V45" s="20"/>
      <c r="W45" s="20"/>
      <c r="X45" s="20"/>
    </row>
    <row r="46" spans="1:24">
      <c r="B46" s="159"/>
      <c r="C46" s="163" t="s">
        <v>1108</v>
      </c>
      <c r="D46" s="163">
        <v>2011</v>
      </c>
      <c r="E46" s="159" t="s">
        <v>2339</v>
      </c>
      <c r="F46" s="159"/>
      <c r="G46" s="159"/>
      <c r="H46" s="163"/>
      <c r="I46" s="159"/>
      <c r="J46" s="163"/>
      <c r="K46" s="159"/>
      <c r="L46" s="159"/>
      <c r="M46" s="159"/>
      <c r="N46" s="159"/>
      <c r="O46" s="159"/>
      <c r="P46" s="159"/>
      <c r="Q46" s="159"/>
      <c r="R46" s="159"/>
      <c r="T46" s="20"/>
      <c r="U46" s="20"/>
      <c r="V46" s="20"/>
      <c r="W46" s="20"/>
      <c r="X46" s="20"/>
    </row>
    <row r="47" spans="1:24" ht="15" thickBot="1">
      <c r="B47" s="159"/>
      <c r="C47" s="159"/>
      <c r="D47" s="159"/>
      <c r="E47" s="159"/>
      <c r="F47" s="159"/>
      <c r="G47" s="163"/>
      <c r="H47" s="163"/>
      <c r="I47" s="163"/>
      <c r="J47" s="163"/>
      <c r="K47" s="163"/>
      <c r="L47" s="163"/>
      <c r="M47" s="159"/>
      <c r="N47" s="159"/>
      <c r="O47" s="159"/>
      <c r="P47" s="159"/>
      <c r="Q47" s="159"/>
      <c r="R47" s="159"/>
      <c r="T47" s="20"/>
      <c r="U47" s="20"/>
      <c r="V47" s="20"/>
      <c r="W47" s="20"/>
      <c r="X47" s="20"/>
    </row>
    <row r="48" spans="1:24" ht="18" customHeight="1">
      <c r="B48" s="159"/>
      <c r="C48" s="42" t="s">
        <v>454</v>
      </c>
      <c r="D48" s="42" t="s">
        <v>241</v>
      </c>
      <c r="E48" s="42" t="s">
        <v>2232</v>
      </c>
      <c r="F48" s="42" t="s">
        <v>1116</v>
      </c>
      <c r="G48" s="42" t="s">
        <v>1117</v>
      </c>
      <c r="H48" s="149" t="s">
        <v>1114</v>
      </c>
      <c r="I48" s="42" t="s">
        <v>904</v>
      </c>
      <c r="J48" s="149" t="s">
        <v>1113</v>
      </c>
      <c r="K48" s="42" t="s">
        <v>1110</v>
      </c>
      <c r="L48" s="42" t="s">
        <v>1115</v>
      </c>
      <c r="M48" s="42" t="s">
        <v>2233</v>
      </c>
      <c r="N48" s="149" t="s">
        <v>394</v>
      </c>
      <c r="O48" s="42" t="s">
        <v>1118</v>
      </c>
      <c r="P48" s="159"/>
      <c r="Q48" s="159"/>
      <c r="R48" s="159"/>
      <c r="S48" s="168"/>
      <c r="T48" s="20"/>
      <c r="U48" s="20"/>
      <c r="V48" s="20"/>
      <c r="W48" s="20"/>
      <c r="X48" s="20"/>
    </row>
    <row r="49" spans="1:24" s="161" customFormat="1">
      <c r="A49" s="160"/>
      <c r="B49" s="159"/>
      <c r="C49" s="159" t="s">
        <v>46</v>
      </c>
      <c r="D49" s="159" t="s">
        <v>597</v>
      </c>
      <c r="E49" s="121">
        <f t="shared" ref="E49:E65" si="7">1*Unit.GW</f>
        <v>1</v>
      </c>
      <c r="F49" s="121">
        <f>assumptions.technology.baseyear[[#This Row],[Unit capacity]]*90%</f>
        <v>0.9</v>
      </c>
      <c r="G49" s="121">
        <f>assumptions.technology.baseyear[[#This Row],[Unit capacity]]*10%</f>
        <v>0.1</v>
      </c>
      <c r="H49" s="121" t="str">
        <f t="shared" ref="H49:H74" si="8">Preferences.power</f>
        <v>GW</v>
      </c>
      <c r="I49" s="370"/>
      <c r="J49" s="202"/>
      <c r="K49" s="370">
        <v>0</v>
      </c>
      <c r="L49" s="370">
        <v>0</v>
      </c>
      <c r="M49" s="121">
        <f t="shared" ref="M49" si="9">0*(unit.y)</f>
        <v>0</v>
      </c>
      <c r="N49" s="202"/>
      <c r="O49" s="370"/>
      <c r="P49" s="159"/>
      <c r="Q49" s="159"/>
      <c r="R49" s="159"/>
      <c r="S49" s="168"/>
      <c r="T49" s="374"/>
      <c r="U49" s="374"/>
      <c r="V49" s="374"/>
      <c r="W49" s="374"/>
      <c r="X49" s="374"/>
    </row>
    <row r="50" spans="1:24" s="161" customFormat="1">
      <c r="A50" s="160"/>
      <c r="B50" s="159"/>
      <c r="C50" s="169" t="s">
        <v>1163</v>
      </c>
      <c r="D50" s="169" t="str">
        <f>INDEX(Regional.Technologies[Description],MATCH($B$2&amp;"."&amp;assumptions.technology.baseyear[[#This Row],[Technology code]],Regional.Technologies[Code],0))</f>
        <v>Global Carbon capture solid-fuel ultrasupercritical power plant</v>
      </c>
      <c r="E50" s="121">
        <f t="shared" si="7"/>
        <v>1</v>
      </c>
      <c r="F50" s="121">
        <f>assumptions.technology.baseyear[[#This Row],[Unit capacity]]*90%</f>
        <v>0.9</v>
      </c>
      <c r="G50" s="121">
        <f>assumptions.technology.baseyear[[#This Row],[Unit capacity]]*10%</f>
        <v>0.1</v>
      </c>
      <c r="H50" s="121" t="str">
        <f t="shared" ref="H50:H55" si="10">Preferences.power</f>
        <v>GW</v>
      </c>
      <c r="I50" s="370">
        <f>I58</f>
        <v>0.41339999999999999</v>
      </c>
      <c r="J50" s="148"/>
      <c r="K50" s="370">
        <v>0</v>
      </c>
      <c r="L50" s="370">
        <f>L58*2</f>
        <v>0.18</v>
      </c>
      <c r="M50" s="121">
        <f>M58</f>
        <v>30</v>
      </c>
      <c r="N50" s="202"/>
      <c r="O50" s="370">
        <v>0.87</v>
      </c>
      <c r="P50" s="159"/>
      <c r="Q50" s="159"/>
      <c r="R50" s="159"/>
      <c r="S50" s="168"/>
      <c r="T50" s="214" t="s">
        <v>2240</v>
      </c>
      <c r="U50" s="214" t="s">
        <v>2241</v>
      </c>
      <c r="V50" s="20"/>
      <c r="W50" s="277" t="s">
        <v>2242</v>
      </c>
      <c r="X50" s="20"/>
    </row>
    <row r="51" spans="1:24" s="161" customFormat="1">
      <c r="A51" s="160"/>
      <c r="B51" s="159"/>
      <c r="C51" s="169" t="s">
        <v>1164</v>
      </c>
      <c r="D51" s="169" t="str">
        <f>INDEX(Regional.Technologies[Description],MATCH($B$2&amp;"."&amp;assumptions.technology.baseyear[[#This Row],[Technology code]],Regional.Technologies[Code],0))</f>
        <v>Global Carbon capture solid-fuel supercritical power plant</v>
      </c>
      <c r="E51" s="121">
        <f t="shared" si="7"/>
        <v>1</v>
      </c>
      <c r="F51" s="121">
        <f>assumptions.technology.baseyear[[#This Row],[Unit capacity]]*90%</f>
        <v>0.9</v>
      </c>
      <c r="G51" s="121">
        <f>assumptions.technology.baseyear[[#This Row],[Unit capacity]]*10%</f>
        <v>0.1</v>
      </c>
      <c r="H51" s="121" t="str">
        <f t="shared" si="10"/>
        <v>GW</v>
      </c>
      <c r="I51" s="370">
        <f t="shared" ref="I51:I56" si="11">I59</f>
        <v>0.37559999999999999</v>
      </c>
      <c r="J51" s="148"/>
      <c r="K51" s="370">
        <v>0</v>
      </c>
      <c r="L51" s="370">
        <f t="shared" ref="L51:L56" si="12">L59*2</f>
        <v>0.18</v>
      </c>
      <c r="M51" s="121">
        <f t="shared" ref="M51:M56" si="13">M59</f>
        <v>30</v>
      </c>
      <c r="N51" s="202"/>
      <c r="O51" s="370">
        <v>0.86</v>
      </c>
      <c r="P51" s="159"/>
      <c r="Q51" s="159"/>
      <c r="R51" s="159"/>
      <c r="S51" s="168"/>
      <c r="T51" s="214" t="s">
        <v>1740</v>
      </c>
      <c r="U51" s="214" t="s">
        <v>2243</v>
      </c>
      <c r="V51" s="20"/>
      <c r="W51" s="277" t="s">
        <v>2244</v>
      </c>
      <c r="X51" s="20"/>
    </row>
    <row r="52" spans="1:24" s="161" customFormat="1">
      <c r="A52" s="160"/>
      <c r="B52" s="159"/>
      <c r="C52" s="169" t="s">
        <v>1165</v>
      </c>
      <c r="D52" s="169" t="str">
        <f>INDEX(Regional.Technologies[Description],MATCH($B$2&amp;"."&amp;assumptions.technology.baseyear[[#This Row],[Technology code]],Regional.Technologies[Code],0))</f>
        <v>Global Carbon capture solid-fuel subcritical power plant</v>
      </c>
      <c r="E52" s="121">
        <f t="shared" si="7"/>
        <v>1</v>
      </c>
      <c r="F52" s="121">
        <f>assumptions.technology.baseyear[[#This Row],[Unit capacity]]*90%</f>
        <v>0.9</v>
      </c>
      <c r="G52" s="121">
        <f>assumptions.technology.baseyear[[#This Row],[Unit capacity]]*10%</f>
        <v>0.1</v>
      </c>
      <c r="H52" s="121" t="str">
        <f t="shared" si="10"/>
        <v>GW</v>
      </c>
      <c r="I52" s="370">
        <f t="shared" si="11"/>
        <v>0.34899999999999998</v>
      </c>
      <c r="J52" s="148"/>
      <c r="K52" s="370">
        <v>0</v>
      </c>
      <c r="L52" s="370">
        <f t="shared" si="12"/>
        <v>0.18</v>
      </c>
      <c r="M52" s="121">
        <f t="shared" si="13"/>
        <v>30</v>
      </c>
      <c r="N52" s="202"/>
      <c r="O52" s="370">
        <v>0.78</v>
      </c>
      <c r="P52" s="159"/>
      <c r="Q52" s="159"/>
      <c r="R52" s="159"/>
      <c r="S52" s="168"/>
      <c r="T52" s="214" t="s">
        <v>2245</v>
      </c>
      <c r="U52" s="214" t="s">
        <v>2246</v>
      </c>
      <c r="V52" s="20"/>
      <c r="W52" s="277" t="s">
        <v>2247</v>
      </c>
      <c r="X52" s="20"/>
    </row>
    <row r="53" spans="1:24" s="161" customFormat="1">
      <c r="A53" s="160"/>
      <c r="B53" s="159"/>
      <c r="C53" s="169" t="s">
        <v>1166</v>
      </c>
      <c r="D53" s="169" t="str">
        <f>INDEX(Regional.Technologies[Description],MATCH($B$2&amp;"."&amp;assumptions.technology.baseyear[[#This Row],[Technology code]],Regional.Technologies[Code],0))</f>
        <v>Global Carbon capture liquid-fuel efficient power plant</v>
      </c>
      <c r="E53" s="121">
        <f t="shared" si="7"/>
        <v>1</v>
      </c>
      <c r="F53" s="121">
        <f>assumptions.technology.baseyear[[#This Row],[Unit capacity]]*90%</f>
        <v>0.9</v>
      </c>
      <c r="G53" s="121">
        <f>assumptions.technology.baseyear[[#This Row],[Unit capacity]]*10%</f>
        <v>0.1</v>
      </c>
      <c r="H53" s="121" t="str">
        <f t="shared" si="10"/>
        <v>GW</v>
      </c>
      <c r="I53" s="370">
        <f t="shared" si="11"/>
        <v>0.4</v>
      </c>
      <c r="J53" s="148"/>
      <c r="K53" s="370">
        <v>0</v>
      </c>
      <c r="L53" s="370">
        <f t="shared" si="12"/>
        <v>0.1</v>
      </c>
      <c r="M53" s="121">
        <f t="shared" si="13"/>
        <v>25</v>
      </c>
      <c r="N53" s="202"/>
      <c r="O53" s="370">
        <v>0.9</v>
      </c>
      <c r="P53" s="159"/>
      <c r="Q53" s="159"/>
      <c r="R53" s="159"/>
      <c r="S53" s="168"/>
      <c r="T53" s="214" t="s">
        <v>2248</v>
      </c>
      <c r="U53" s="20" t="s">
        <v>2249</v>
      </c>
      <c r="V53" s="20"/>
      <c r="W53" s="277" t="s">
        <v>2250</v>
      </c>
      <c r="X53" s="20"/>
    </row>
    <row r="54" spans="1:24" s="161" customFormat="1">
      <c r="A54" s="160"/>
      <c r="B54" s="159"/>
      <c r="C54" s="169" t="s">
        <v>1167</v>
      </c>
      <c r="D54" s="169" t="str">
        <f>INDEX(Regional.Technologies[Description],MATCH($B$2&amp;"."&amp;assumptions.technology.baseyear[[#This Row],[Technology code]],Regional.Technologies[Code],0))</f>
        <v>Global Carbon capture liquid-fuel inefficient power plant</v>
      </c>
      <c r="E54" s="121">
        <f t="shared" si="7"/>
        <v>1</v>
      </c>
      <c r="F54" s="121">
        <f>assumptions.technology.baseyear[[#This Row],[Unit capacity]]*90%</f>
        <v>0.9</v>
      </c>
      <c r="G54" s="121">
        <f>assumptions.technology.baseyear[[#This Row],[Unit capacity]]*10%</f>
        <v>0.1</v>
      </c>
      <c r="H54" s="121" t="str">
        <f t="shared" si="10"/>
        <v>GW</v>
      </c>
      <c r="I54" s="370">
        <f t="shared" si="11"/>
        <v>0.32</v>
      </c>
      <c r="J54" s="148"/>
      <c r="K54" s="370">
        <v>0</v>
      </c>
      <c r="L54" s="370">
        <f t="shared" si="12"/>
        <v>0.1</v>
      </c>
      <c r="M54" s="121">
        <f t="shared" si="13"/>
        <v>25</v>
      </c>
      <c r="N54" s="202"/>
      <c r="O54" s="370">
        <v>0.9</v>
      </c>
      <c r="P54" s="159"/>
      <c r="Q54" s="159"/>
      <c r="R54" s="159"/>
      <c r="S54" s="168"/>
      <c r="T54" s="214" t="s">
        <v>2251</v>
      </c>
      <c r="U54" s="214" t="s">
        <v>2252</v>
      </c>
      <c r="V54" s="20"/>
      <c r="W54" s="277" t="s">
        <v>2253</v>
      </c>
      <c r="X54" s="20"/>
    </row>
    <row r="55" spans="1:24" s="161" customFormat="1">
      <c r="A55" s="160"/>
      <c r="B55" s="159"/>
      <c r="C55" s="169" t="s">
        <v>1168</v>
      </c>
      <c r="D55" s="169" t="str">
        <f>INDEX(Regional.Technologies[Description],MATCH($B$2&amp;"."&amp;assumptions.technology.baseyear[[#This Row],[Technology code]],Regional.Technologies[Code],0))</f>
        <v>Global Carbon capture open-cycle gas turbine power plant</v>
      </c>
      <c r="E55" s="121">
        <f t="shared" si="7"/>
        <v>1</v>
      </c>
      <c r="F55" s="121">
        <f>assumptions.technology.baseyear[[#This Row],[Unit capacity]]*90%</f>
        <v>0.9</v>
      </c>
      <c r="G55" s="121">
        <f>assumptions.technology.baseyear[[#This Row],[Unit capacity]]*10%</f>
        <v>0.1</v>
      </c>
      <c r="H55" s="121" t="str">
        <f t="shared" si="10"/>
        <v>GW</v>
      </c>
      <c r="I55" s="370">
        <f t="shared" si="11"/>
        <v>0.38219999999999998</v>
      </c>
      <c r="J55" s="148"/>
      <c r="K55" s="370">
        <v>0</v>
      </c>
      <c r="L55" s="370">
        <f t="shared" si="12"/>
        <v>0.02</v>
      </c>
      <c r="M55" s="121">
        <f t="shared" si="13"/>
        <v>25</v>
      </c>
      <c r="N55" s="202"/>
      <c r="O55" s="370">
        <v>0.9</v>
      </c>
      <c r="P55" s="159"/>
      <c r="Q55" s="159"/>
      <c r="R55" s="159"/>
      <c r="S55" s="168"/>
      <c r="T55" s="214" t="s">
        <v>1740</v>
      </c>
      <c r="U55" s="214" t="s">
        <v>2254</v>
      </c>
      <c r="V55" s="20"/>
      <c r="W55" s="277" t="s">
        <v>2255</v>
      </c>
      <c r="X55" s="20"/>
    </row>
    <row r="56" spans="1:24" s="161" customFormat="1">
      <c r="A56" s="160"/>
      <c r="B56" s="159"/>
      <c r="C56" s="169" t="s">
        <v>1169</v>
      </c>
      <c r="D56" s="169" t="str">
        <f>INDEX(Regional.Technologies[Description],MATCH($B$2&amp;"."&amp;assumptions.technology.baseyear[[#This Row],[Technology code]],Regional.Technologies[Code],0))</f>
        <v>Global Carbon capture combined cycle gas turbine power plant</v>
      </c>
      <c r="E56" s="121">
        <f t="shared" si="7"/>
        <v>1</v>
      </c>
      <c r="F56" s="121">
        <f>assumptions.technology.baseyear[[#This Row],[Unit capacity]]*90%</f>
        <v>0.9</v>
      </c>
      <c r="G56" s="121">
        <f>assumptions.technology.baseyear[[#This Row],[Unit capacity]]*10%</f>
        <v>0.1</v>
      </c>
      <c r="H56" s="121" t="str">
        <f t="shared" si="8"/>
        <v>GW</v>
      </c>
      <c r="I56" s="370">
        <f t="shared" si="11"/>
        <v>0.4894</v>
      </c>
      <c r="J56" s="148" t="s">
        <v>1111</v>
      </c>
      <c r="K56" s="370">
        <v>0</v>
      </c>
      <c r="L56" s="370">
        <f t="shared" si="12"/>
        <v>0.06</v>
      </c>
      <c r="M56" s="121">
        <f t="shared" si="13"/>
        <v>25</v>
      </c>
      <c r="N56" s="202"/>
      <c r="O56" s="370">
        <v>0.9</v>
      </c>
      <c r="P56" s="159"/>
      <c r="Q56" s="159"/>
      <c r="R56" s="159"/>
      <c r="S56" s="168"/>
      <c r="T56" s="374"/>
      <c r="U56" s="374"/>
      <c r="V56" s="374"/>
      <c r="W56" s="374"/>
      <c r="X56" s="374"/>
    </row>
    <row r="57" spans="1:24" s="161" customFormat="1">
      <c r="A57" s="160"/>
      <c r="B57" s="159"/>
      <c r="C57" s="159" t="s">
        <v>46</v>
      </c>
      <c r="D57" s="159" t="s">
        <v>640</v>
      </c>
      <c r="E57" s="121">
        <f t="shared" si="7"/>
        <v>1</v>
      </c>
      <c r="F57" s="121">
        <f>assumptions.technology.baseyear[[#This Row],[Unit capacity]]*90%</f>
        <v>0.9</v>
      </c>
      <c r="G57" s="121">
        <f>assumptions.technology.baseyear[[#This Row],[Unit capacity]]*10%</f>
        <v>0.1</v>
      </c>
      <c r="H57" s="121" t="str">
        <f t="shared" si="8"/>
        <v>GW</v>
      </c>
      <c r="I57" s="370">
        <v>0.39</v>
      </c>
      <c r="J57" s="148" t="s">
        <v>1111</v>
      </c>
      <c r="K57" s="370">
        <v>0.71</v>
      </c>
      <c r="L57" s="370">
        <v>0.06</v>
      </c>
      <c r="M57" s="121">
        <v>27</v>
      </c>
      <c r="N57" s="202"/>
      <c r="O57" s="370"/>
      <c r="P57" s="159"/>
      <c r="Q57" s="159"/>
      <c r="R57" s="159"/>
      <c r="S57" s="168"/>
      <c r="T57" s="20"/>
      <c r="U57" s="20"/>
      <c r="V57" s="20"/>
      <c r="W57" s="20"/>
      <c r="X57" s="20"/>
    </row>
    <row r="58" spans="1:24" s="161" customFormat="1">
      <c r="A58" s="160"/>
      <c r="B58" s="159"/>
      <c r="C58" s="169" t="s">
        <v>1153</v>
      </c>
      <c r="D58" s="169" t="str">
        <f>INDEX(Regional.Technologies[Description],MATCH($B$2&amp;"."&amp;assumptions.technology.baseyear[[#This Row],[Technology code]],Regional.Technologies[Code],0))</f>
        <v>Global Unabated solid-fuel ultrasupercritical power plant</v>
      </c>
      <c r="E58" s="121">
        <f t="shared" si="7"/>
        <v>1</v>
      </c>
      <c r="F58" s="121">
        <f>assumptions.technology.baseyear[[#This Row],[Unit capacity]]*90%</f>
        <v>0.9</v>
      </c>
      <c r="G58" s="121">
        <f>assumptions.technology.baseyear[[#This Row],[Unit capacity]]*10%</f>
        <v>0.1</v>
      </c>
      <c r="H58" s="121" t="str">
        <f>Preferences.power</f>
        <v>GW</v>
      </c>
      <c r="I58" s="370">
        <v>0.41339999999999999</v>
      </c>
      <c r="J58" s="148" t="s">
        <v>1111</v>
      </c>
      <c r="K58" s="370">
        <v>0.75</v>
      </c>
      <c r="L58" s="370">
        <v>0.09</v>
      </c>
      <c r="M58" s="121">
        <f>30*(unit.y)</f>
        <v>30</v>
      </c>
      <c r="N58" s="202"/>
      <c r="O58" s="370"/>
      <c r="P58" s="159"/>
      <c r="Q58" s="159"/>
      <c r="R58" s="159"/>
      <c r="S58" s="168"/>
      <c r="T58" s="20"/>
      <c r="U58" s="20"/>
      <c r="V58" s="20"/>
      <c r="W58" s="20"/>
      <c r="X58" s="20"/>
    </row>
    <row r="59" spans="1:24">
      <c r="B59" s="159"/>
      <c r="C59" s="169" t="s">
        <v>1155</v>
      </c>
      <c r="D59" s="169" t="str">
        <f>INDEX(Regional.Technologies[Description],MATCH($B$2&amp;"."&amp;assumptions.technology.baseyear[[#This Row],[Technology code]],Regional.Technologies[Code],0))</f>
        <v>Global Unabated solid-fuel supercritical power plant</v>
      </c>
      <c r="E59" s="121">
        <f t="shared" si="7"/>
        <v>1</v>
      </c>
      <c r="F59" s="121">
        <f>assumptions.technology.baseyear[[#This Row],[Unit capacity]]*90%</f>
        <v>0.9</v>
      </c>
      <c r="G59" s="121">
        <f>assumptions.technology.baseyear[[#This Row],[Unit capacity]]*10%</f>
        <v>0.1</v>
      </c>
      <c r="H59" s="121" t="str">
        <f t="shared" si="8"/>
        <v>GW</v>
      </c>
      <c r="I59" s="370">
        <v>0.37559999999999999</v>
      </c>
      <c r="J59" s="148" t="s">
        <v>1111</v>
      </c>
      <c r="K59" s="370">
        <v>0.85</v>
      </c>
      <c r="L59" s="370">
        <v>0.09</v>
      </c>
      <c r="M59" s="121">
        <f>30*(unit.y)</f>
        <v>30</v>
      </c>
      <c r="N59" s="202"/>
      <c r="O59" s="370"/>
      <c r="P59" s="159"/>
      <c r="Q59" s="159"/>
      <c r="R59" s="159"/>
      <c r="S59" s="168"/>
      <c r="T59" s="20"/>
      <c r="U59" s="20"/>
      <c r="V59" s="20"/>
      <c r="W59" s="20"/>
      <c r="X59" s="20"/>
    </row>
    <row r="60" spans="1:24" s="161" customFormat="1">
      <c r="A60" s="160"/>
      <c r="B60" s="159"/>
      <c r="C60" s="169" t="s">
        <v>1156</v>
      </c>
      <c r="D60" s="169" t="str">
        <f>INDEX(Regional.Technologies[Description],MATCH($B$2&amp;"."&amp;assumptions.technology.baseyear[[#This Row],[Technology code]],Regional.Technologies[Code],0))</f>
        <v>Global Unabated solid-fuel subcritical power plant</v>
      </c>
      <c r="E60" s="121">
        <f t="shared" si="7"/>
        <v>1</v>
      </c>
      <c r="F60" s="121">
        <f>assumptions.technology.baseyear[[#This Row],[Unit capacity]]*90%</f>
        <v>0.9</v>
      </c>
      <c r="G60" s="121">
        <f>assumptions.technology.baseyear[[#This Row],[Unit capacity]]*10%</f>
        <v>0.1</v>
      </c>
      <c r="H60" s="121" t="str">
        <f t="shared" si="8"/>
        <v>GW</v>
      </c>
      <c r="I60" s="370">
        <v>0.34899999999999998</v>
      </c>
      <c r="J60" s="148" t="s">
        <v>1111</v>
      </c>
      <c r="K60" s="370">
        <v>0.85</v>
      </c>
      <c r="L60" s="370">
        <v>0.09</v>
      </c>
      <c r="M60" s="121">
        <f>30*(unit.y)</f>
        <v>30</v>
      </c>
      <c r="N60" s="202"/>
      <c r="O60" s="370"/>
      <c r="P60" s="159"/>
      <c r="Q60" s="159"/>
      <c r="R60" s="159"/>
      <c r="S60" s="168"/>
      <c r="T60" s="20"/>
      <c r="U60" s="20"/>
      <c r="V60" s="20"/>
      <c r="W60" s="20"/>
      <c r="X60" s="20"/>
    </row>
    <row r="61" spans="1:24" s="161" customFormat="1">
      <c r="A61" s="160"/>
      <c r="B61" s="159"/>
      <c r="C61" s="169" t="s">
        <v>1158</v>
      </c>
      <c r="D61" s="169" t="str">
        <f>INDEX(Regional.Technologies[Description],MATCH($B$2&amp;"."&amp;assumptions.technology.baseyear[[#This Row],[Technology code]],Regional.Technologies[Code],0))</f>
        <v>Global Unabated liquid-fuel efficient power plant</v>
      </c>
      <c r="E61" s="121">
        <f t="shared" si="7"/>
        <v>1</v>
      </c>
      <c r="F61" s="121">
        <f>assumptions.technology.baseyear[[#This Row],[Unit capacity]]*90%</f>
        <v>0.9</v>
      </c>
      <c r="G61" s="121">
        <f>assumptions.technology.baseyear[[#This Row],[Unit capacity]]*10%</f>
        <v>0.1</v>
      </c>
      <c r="H61" s="121" t="str">
        <f t="shared" si="8"/>
        <v>GW</v>
      </c>
      <c r="I61" s="370">
        <v>0.4</v>
      </c>
      <c r="J61" s="148" t="s">
        <v>1111</v>
      </c>
      <c r="K61" s="370">
        <v>0.8</v>
      </c>
      <c r="L61" s="370">
        <v>0.05</v>
      </c>
      <c r="M61" s="121">
        <f>25*(unit.y)</f>
        <v>25</v>
      </c>
      <c r="N61" s="202"/>
      <c r="O61" s="370"/>
      <c r="P61" s="159"/>
      <c r="Q61" s="159"/>
      <c r="R61" s="159"/>
      <c r="S61" s="168"/>
      <c r="T61" s="20"/>
      <c r="U61" s="20"/>
      <c r="V61" s="20"/>
      <c r="W61" s="20"/>
      <c r="X61" s="20"/>
    </row>
    <row r="62" spans="1:24" s="161" customFormat="1">
      <c r="A62" s="160"/>
      <c r="B62" s="159"/>
      <c r="C62" s="169" t="s">
        <v>1157</v>
      </c>
      <c r="D62" s="169" t="str">
        <f>INDEX(Regional.Technologies[Description],MATCH($B$2&amp;"."&amp;assumptions.technology.baseyear[[#This Row],[Technology code]],Regional.Technologies[Code],0))</f>
        <v>Global Unabated liquid-fuel inefficient power plant</v>
      </c>
      <c r="E62" s="121">
        <f t="shared" si="7"/>
        <v>1</v>
      </c>
      <c r="F62" s="121">
        <f>assumptions.technology.baseyear[[#This Row],[Unit capacity]]*90%</f>
        <v>0.9</v>
      </c>
      <c r="G62" s="121">
        <f>assumptions.technology.baseyear[[#This Row],[Unit capacity]]*10%</f>
        <v>0.1</v>
      </c>
      <c r="H62" s="121" t="str">
        <f t="shared" si="8"/>
        <v>GW</v>
      </c>
      <c r="I62" s="370">
        <v>0.32</v>
      </c>
      <c r="J62" s="148" t="s">
        <v>1111</v>
      </c>
      <c r="K62" s="370">
        <v>0.57999999999999996</v>
      </c>
      <c r="L62" s="370">
        <v>0.05</v>
      </c>
      <c r="M62" s="121">
        <f>25*(unit.y)</f>
        <v>25</v>
      </c>
      <c r="N62" s="202"/>
      <c r="O62" s="370"/>
      <c r="P62" s="159"/>
      <c r="Q62" s="159"/>
      <c r="R62" s="159"/>
      <c r="S62" s="168"/>
      <c r="T62" s="20"/>
      <c r="U62" s="20"/>
      <c r="V62" s="20"/>
      <c r="W62" s="20"/>
      <c r="X62" s="20"/>
    </row>
    <row r="63" spans="1:24" s="161" customFormat="1">
      <c r="A63" s="160"/>
      <c r="B63" s="159"/>
      <c r="C63" s="169" t="s">
        <v>1160</v>
      </c>
      <c r="D63" s="169" t="str">
        <f>INDEX(Regional.Technologies[Description],MATCH($B$2&amp;"."&amp;assumptions.technology.baseyear[[#This Row],[Technology code]],Regional.Technologies[Code],0))</f>
        <v>Global Unabated open-cycle gas turbine power plant</v>
      </c>
      <c r="E63" s="121">
        <f t="shared" si="7"/>
        <v>1</v>
      </c>
      <c r="F63" s="121">
        <f>assumptions.technology.baseyear[[#This Row],[Unit capacity]]*90%</f>
        <v>0.9</v>
      </c>
      <c r="G63" s="121">
        <f>assumptions.technology.baseyear[[#This Row],[Unit capacity]]*10%</f>
        <v>0.1</v>
      </c>
      <c r="H63" s="121" t="str">
        <f t="shared" si="8"/>
        <v>GW</v>
      </c>
      <c r="I63" s="370">
        <v>0.38219999999999998</v>
      </c>
      <c r="J63" s="148" t="s">
        <v>1111</v>
      </c>
      <c r="K63" s="370">
        <v>0.7</v>
      </c>
      <c r="L63" s="370">
        <v>0.01</v>
      </c>
      <c r="M63" s="121">
        <f>25*(unit.y)</f>
        <v>25</v>
      </c>
      <c r="N63" s="202"/>
      <c r="O63" s="370"/>
      <c r="P63" s="159"/>
      <c r="Q63" s="159"/>
      <c r="R63" s="159"/>
      <c r="S63" s="168"/>
      <c r="T63" s="20"/>
      <c r="U63" s="20"/>
      <c r="V63" s="20"/>
      <c r="W63" s="20"/>
      <c r="X63" s="20"/>
    </row>
    <row r="64" spans="1:24" s="161" customFormat="1">
      <c r="A64" s="160"/>
      <c r="B64" s="159"/>
      <c r="C64" s="169" t="s">
        <v>1159</v>
      </c>
      <c r="D64" s="169" t="str">
        <f>INDEX(Regional.Technologies[Description],MATCH($B$2&amp;"."&amp;assumptions.technology.baseyear[[#This Row],[Technology code]],Regional.Technologies[Code],0))</f>
        <v>Global Unabated combined cycle gas turbine power plant</v>
      </c>
      <c r="E64" s="121">
        <f t="shared" si="7"/>
        <v>1</v>
      </c>
      <c r="F64" s="121">
        <f>assumptions.technology.baseyear[[#This Row],[Unit capacity]]*90%</f>
        <v>0.9</v>
      </c>
      <c r="G64" s="121">
        <f>assumptions.technology.baseyear[[#This Row],[Unit capacity]]*10%</f>
        <v>0.1</v>
      </c>
      <c r="H64" s="121" t="str">
        <f t="shared" si="8"/>
        <v>GW</v>
      </c>
      <c r="I64" s="370">
        <v>0.4894</v>
      </c>
      <c r="J64" s="148" t="s">
        <v>1111</v>
      </c>
      <c r="K64" s="370">
        <v>0.42</v>
      </c>
      <c r="L64" s="370">
        <v>0.03</v>
      </c>
      <c r="M64" s="121">
        <f>25*(unit.y)</f>
        <v>25</v>
      </c>
      <c r="N64" s="202"/>
      <c r="O64" s="370"/>
      <c r="P64" s="159"/>
      <c r="Q64" s="159"/>
      <c r="R64" s="159"/>
      <c r="S64" s="168"/>
      <c r="T64" s="20"/>
      <c r="U64" s="20"/>
      <c r="V64" s="20"/>
      <c r="W64" s="20"/>
      <c r="X64" s="20"/>
    </row>
    <row r="65" spans="1:24" s="161" customFormat="1">
      <c r="A65" s="160"/>
      <c r="B65" s="159"/>
      <c r="C65" s="159" t="s">
        <v>737</v>
      </c>
      <c r="D65" s="159" t="str">
        <f>INDEX(Regional.Technologies[Description],MATCH($B$2&amp;"."&amp;assumptions.technology.baseyear[[#This Row],[Technology code]],Regional.Technologies[Code],0))</f>
        <v>Global Nuclear power stations</v>
      </c>
      <c r="E65" s="121">
        <f t="shared" si="7"/>
        <v>1</v>
      </c>
      <c r="F65" s="121">
        <f>assumptions.technology.baseyear[[#This Row],[Unit capacity]]*90%</f>
        <v>0.9</v>
      </c>
      <c r="G65" s="121">
        <f>assumptions.technology.baseyear[[#This Row],[Unit capacity]]*10%</f>
        <v>0.1</v>
      </c>
      <c r="H65" s="121" t="str">
        <f t="shared" si="8"/>
        <v>GW</v>
      </c>
      <c r="I65" s="370">
        <v>0.32990000000000003</v>
      </c>
      <c r="J65" s="202" t="s">
        <v>1112</v>
      </c>
      <c r="K65" s="370">
        <v>0.8</v>
      </c>
      <c r="L65" s="370">
        <v>0.04</v>
      </c>
      <c r="M65" s="121">
        <f>40*unit.y</f>
        <v>40</v>
      </c>
      <c r="N65" s="202"/>
      <c r="O65" s="370"/>
      <c r="P65" s="159"/>
      <c r="Q65" s="159"/>
      <c r="R65" s="159"/>
      <c r="S65" s="168"/>
      <c r="T65" s="20"/>
      <c r="U65" s="20"/>
      <c r="V65" s="20"/>
      <c r="W65" s="20"/>
      <c r="X65" s="20"/>
    </row>
    <row r="66" spans="1:24" s="161" customFormat="1">
      <c r="A66" s="160"/>
      <c r="B66" s="159"/>
      <c r="C66" s="159" t="s">
        <v>738</v>
      </c>
      <c r="D66" s="159" t="str">
        <f>INDEX(Regional.Technologies[Description],MATCH($B$2&amp;"."&amp;assumptions.technology.baseyear[[#This Row],[Technology code]],Regional.Technologies[Code],0))</f>
        <v>Global On shore wind turbines</v>
      </c>
      <c r="E66" s="121">
        <f>100*(Unit.MW)</f>
        <v>0.1</v>
      </c>
      <c r="F66" s="121">
        <f>assumptions.technology.baseyear[[#This Row],[Unit capacity]]*90%</f>
        <v>9.0000000000000011E-2</v>
      </c>
      <c r="G66" s="121">
        <f>assumptions.technology.baseyear[[#This Row],[Unit capacity]]*10%</f>
        <v>1.0000000000000002E-2</v>
      </c>
      <c r="H66" s="121" t="str">
        <f t="shared" si="8"/>
        <v>GW</v>
      </c>
      <c r="I66" s="159"/>
      <c r="J66" s="202"/>
      <c r="K66" s="370">
        <v>0.21</v>
      </c>
      <c r="L66" s="370"/>
      <c r="M66" s="121">
        <f>25*unit.y</f>
        <v>25</v>
      </c>
      <c r="N66" s="202"/>
      <c r="O66" s="370"/>
      <c r="P66" s="159"/>
      <c r="Q66" s="159"/>
      <c r="R66" s="159"/>
      <c r="S66" s="168"/>
      <c r="T66" s="20"/>
      <c r="U66" s="20"/>
      <c r="V66" s="20"/>
      <c r="W66" s="20"/>
      <c r="X66" s="20"/>
    </row>
    <row r="67" spans="1:24">
      <c r="B67" s="159"/>
      <c r="C67" s="159" t="s">
        <v>739</v>
      </c>
      <c r="D67" s="159" t="str">
        <f>INDEX(Regional.Technologies[Description],MATCH($B$2&amp;"."&amp;assumptions.technology.baseyear[[#This Row],[Technology code]],Regional.Technologies[Code],0))</f>
        <v>Global Off shore wind turbines</v>
      </c>
      <c r="E67" s="121">
        <f>100*(Unit.MW)</f>
        <v>0.1</v>
      </c>
      <c r="F67" s="121">
        <f>assumptions.technology.baseyear[[#This Row],[Unit capacity]]*90%</f>
        <v>9.0000000000000011E-2</v>
      </c>
      <c r="G67" s="121">
        <f>assumptions.technology.baseyear[[#This Row],[Unit capacity]]*10%</f>
        <v>1.0000000000000002E-2</v>
      </c>
      <c r="H67" s="121" t="str">
        <f t="shared" si="8"/>
        <v>GW</v>
      </c>
      <c r="I67" s="159"/>
      <c r="J67" s="202"/>
      <c r="K67" s="370">
        <v>0.4</v>
      </c>
      <c r="L67" s="370"/>
      <c r="M67" s="121">
        <f t="shared" ref="M67:M74" si="14">20*unit.y</f>
        <v>20</v>
      </c>
      <c r="N67" s="202"/>
      <c r="O67" s="370"/>
      <c r="P67" s="159"/>
      <c r="Q67" s="159"/>
      <c r="R67" s="159"/>
      <c r="S67" s="168"/>
      <c r="T67" s="20"/>
      <c r="U67" s="20"/>
      <c r="V67" s="20"/>
      <c r="W67" s="20"/>
      <c r="X67" s="20"/>
    </row>
    <row r="68" spans="1:24">
      <c r="B68" s="159"/>
      <c r="C68" s="159" t="s">
        <v>740</v>
      </c>
      <c r="D68" s="159" t="str">
        <f>INDEX(Regional.Technologies[Description],MATCH($B$2&amp;"."&amp;assumptions.technology.baseyear[[#This Row],[Technology code]],Regional.Technologies[Code],0))</f>
        <v>Global Hydroelectric dam</v>
      </c>
      <c r="E68" s="121">
        <f>1*(Unit.GW)</f>
        <v>1</v>
      </c>
      <c r="F68" s="121">
        <f>assumptions.technology.baseyear[[#This Row],[Unit capacity]]*90%</f>
        <v>0.9</v>
      </c>
      <c r="G68" s="121">
        <f>assumptions.technology.baseyear[[#This Row],[Unit capacity]]*10%</f>
        <v>0.1</v>
      </c>
      <c r="H68" s="121" t="str">
        <f t="shared" si="8"/>
        <v>GW</v>
      </c>
      <c r="I68" s="159"/>
      <c r="J68" s="202"/>
      <c r="K68" s="370">
        <v>0.45</v>
      </c>
      <c r="L68" s="370"/>
      <c r="M68" s="121">
        <f>25*unit.y</f>
        <v>25</v>
      </c>
      <c r="N68" s="202"/>
      <c r="O68" s="370"/>
      <c r="P68" s="159"/>
      <c r="Q68" s="159"/>
      <c r="R68" s="159"/>
      <c r="S68" s="168"/>
      <c r="T68" s="20"/>
      <c r="U68" s="20"/>
      <c r="V68" s="20"/>
      <c r="W68" s="20"/>
      <c r="X68" s="20"/>
    </row>
    <row r="69" spans="1:24">
      <c r="B69" s="159"/>
      <c r="C69" s="159" t="s">
        <v>741</v>
      </c>
      <c r="D69" s="159" t="str">
        <f>INDEX(Regional.Technologies[Description],MATCH($B$2&amp;"."&amp;assumptions.technology.baseyear[[#This Row],[Technology code]],Regional.Technologies[Code],0))</f>
        <v>Global Tidal</v>
      </c>
      <c r="E69" s="121">
        <f>10*(Unit.MW)</f>
        <v>0.01</v>
      </c>
      <c r="F69" s="121">
        <f>assumptions.technology.baseyear[[#This Row],[Unit capacity]]*90%</f>
        <v>9.0000000000000011E-3</v>
      </c>
      <c r="G69" s="121">
        <f>assumptions.technology.baseyear[[#This Row],[Unit capacity]]*10%</f>
        <v>1E-3</v>
      </c>
      <c r="H69" s="121" t="str">
        <f t="shared" si="8"/>
        <v>GW</v>
      </c>
      <c r="I69" s="159"/>
      <c r="J69" s="202"/>
      <c r="K69" s="370">
        <v>0.25</v>
      </c>
      <c r="L69" s="370"/>
      <c r="M69" s="121">
        <f>25*unit.y</f>
        <v>25</v>
      </c>
      <c r="N69" s="202"/>
      <c r="O69" s="370"/>
      <c r="P69" s="159"/>
      <c r="Q69" s="159"/>
      <c r="R69" s="159"/>
      <c r="S69" s="168"/>
      <c r="T69" s="20"/>
      <c r="U69" s="20"/>
      <c r="V69" s="20"/>
      <c r="W69" s="20"/>
      <c r="X69" s="20"/>
    </row>
    <row r="70" spans="1:24">
      <c r="B70" s="159"/>
      <c r="C70" s="159" t="s">
        <v>742</v>
      </c>
      <c r="D70" s="159" t="str">
        <f>INDEX(Regional.Technologies[Description],MATCH($B$2&amp;"."&amp;assumptions.technology.baseyear[[#This Row],[Technology code]],Regional.Technologies[Code],0))</f>
        <v>Global Wave</v>
      </c>
      <c r="E70" s="121">
        <f>10*(Unit.MW)</f>
        <v>0.01</v>
      </c>
      <c r="F70" s="121">
        <f>assumptions.technology.baseyear[[#This Row],[Unit capacity]]*90%</f>
        <v>9.0000000000000011E-3</v>
      </c>
      <c r="G70" s="121">
        <f>assumptions.technology.baseyear[[#This Row],[Unit capacity]]*10%</f>
        <v>1E-3</v>
      </c>
      <c r="H70" s="121" t="str">
        <f t="shared" si="8"/>
        <v>GW</v>
      </c>
      <c r="I70" s="159"/>
      <c r="J70" s="202"/>
      <c r="K70" s="370">
        <v>0.3</v>
      </c>
      <c r="L70" s="370"/>
      <c r="M70" s="121">
        <f t="shared" si="14"/>
        <v>20</v>
      </c>
      <c r="N70" s="202"/>
      <c r="O70" s="370"/>
      <c r="P70" s="159"/>
      <c r="Q70" s="159"/>
      <c r="R70" s="159"/>
      <c r="S70" s="168"/>
      <c r="T70" s="20"/>
      <c r="U70" s="20"/>
      <c r="V70" s="20"/>
      <c r="W70" s="20"/>
      <c r="X70" s="20"/>
    </row>
    <row r="71" spans="1:24">
      <c r="B71" s="159"/>
      <c r="C71" s="159" t="s">
        <v>743</v>
      </c>
      <c r="D71" s="159" t="str">
        <f>INDEX(Regional.Technologies[Description],MATCH($B$2&amp;"."&amp;assumptions.technology.baseyear[[#This Row],[Technology code]],Regional.Technologies[Code],0))</f>
        <v>Global Solar photovoltaic</v>
      </c>
      <c r="E71" s="121">
        <f>10*(Unit.MW)</f>
        <v>0.01</v>
      </c>
      <c r="F71" s="121">
        <f>assumptions.technology.baseyear[[#This Row],[Unit capacity]]*90%</f>
        <v>9.0000000000000011E-3</v>
      </c>
      <c r="G71" s="121">
        <f>assumptions.technology.baseyear[[#This Row],[Unit capacity]]*10%</f>
        <v>1E-3</v>
      </c>
      <c r="H71" s="121" t="str">
        <f t="shared" si="8"/>
        <v>GW</v>
      </c>
      <c r="I71" s="159"/>
      <c r="J71" s="202"/>
      <c r="K71" s="370">
        <v>0.2</v>
      </c>
      <c r="L71" s="370"/>
      <c r="M71" s="121">
        <f t="shared" si="14"/>
        <v>20</v>
      </c>
      <c r="N71" s="202"/>
      <c r="O71" s="370"/>
      <c r="P71" s="159"/>
      <c r="Q71" s="159"/>
      <c r="R71" s="159"/>
      <c r="S71" s="168"/>
      <c r="T71" s="20"/>
      <c r="U71" s="20"/>
      <c r="V71" s="20"/>
      <c r="W71" s="20"/>
      <c r="X71" s="20"/>
    </row>
    <row r="72" spans="1:24">
      <c r="B72" s="159"/>
      <c r="C72" s="159" t="s">
        <v>744</v>
      </c>
      <c r="D72" s="159" t="str">
        <f>INDEX(Regional.Technologies[Description],MATCH($B$2&amp;"."&amp;assumptions.technology.baseyear[[#This Row],[Technology code]],Regional.Technologies[Code],0))</f>
        <v>Global Concentrated solar</v>
      </c>
      <c r="E72" s="121">
        <f>1*(Unit.GW)</f>
        <v>1</v>
      </c>
      <c r="F72" s="121">
        <f>assumptions.technology.baseyear[[#This Row],[Unit capacity]]*90%</f>
        <v>0.9</v>
      </c>
      <c r="G72" s="121">
        <f>assumptions.technology.baseyear[[#This Row],[Unit capacity]]*10%</f>
        <v>0.1</v>
      </c>
      <c r="H72" s="121" t="str">
        <f t="shared" si="8"/>
        <v>GW</v>
      </c>
      <c r="I72" s="370">
        <v>0.27</v>
      </c>
      <c r="J72" s="202"/>
      <c r="K72" s="370">
        <v>0.3</v>
      </c>
      <c r="L72" s="370"/>
      <c r="M72" s="121">
        <f>25*unit.y</f>
        <v>25</v>
      </c>
      <c r="N72" s="202"/>
      <c r="O72" s="370"/>
      <c r="P72" s="159"/>
      <c r="Q72" s="159"/>
      <c r="R72" s="159"/>
      <c r="S72" s="168"/>
      <c r="T72" s="20"/>
      <c r="U72" s="20"/>
      <c r="V72" s="20"/>
      <c r="W72" s="20"/>
      <c r="X72" s="20"/>
    </row>
    <row r="73" spans="1:24">
      <c r="B73" s="159"/>
      <c r="C73" s="159" t="s">
        <v>745</v>
      </c>
      <c r="D73" s="159" t="str">
        <f>INDEX(Regional.Technologies[Description],MATCH($B$2&amp;"."&amp;assumptions.technology.baseyear[[#This Row],[Technology code]],Regional.Technologies[Code],0))</f>
        <v>Global Geothermal</v>
      </c>
      <c r="E73" s="121">
        <f>10*(Unit.MW)</f>
        <v>0.01</v>
      </c>
      <c r="F73" s="121">
        <f>assumptions.technology.baseyear[[#This Row],[Unit capacity]]*90%</f>
        <v>9.0000000000000011E-3</v>
      </c>
      <c r="G73" s="121">
        <f>assumptions.technology.baseyear[[#This Row],[Unit capacity]]*10%</f>
        <v>1E-3</v>
      </c>
      <c r="H73" s="121" t="str">
        <f t="shared" si="8"/>
        <v>GW</v>
      </c>
      <c r="I73" s="370">
        <v>0.1</v>
      </c>
      <c r="J73" s="202"/>
      <c r="K73" s="370">
        <v>0.8</v>
      </c>
      <c r="L73" s="370"/>
      <c r="M73" s="121">
        <f>30*unit.y</f>
        <v>30</v>
      </c>
      <c r="N73" s="202"/>
      <c r="O73" s="370"/>
      <c r="P73" s="159"/>
      <c r="Q73" s="159"/>
      <c r="R73" s="159"/>
      <c r="S73" s="168"/>
      <c r="T73" s="20"/>
      <c r="U73" s="20"/>
      <c r="V73" s="20"/>
      <c r="W73" s="20"/>
      <c r="X73" s="20"/>
    </row>
    <row r="74" spans="1:24" ht="15" thickBot="1">
      <c r="B74" s="159"/>
      <c r="C74" s="162" t="s">
        <v>746</v>
      </c>
      <c r="D74" s="162" t="str">
        <f>INDEX(Regional.Technologies[Description],MATCH($B$2&amp;"."&amp;assumptions.technology.baseyear[[#This Row],[Technology code]],Regional.Technologies[Code],0))</f>
        <v>Global Storage unit</v>
      </c>
      <c r="E74" s="162">
        <f>1*(Unit.GW)</f>
        <v>1</v>
      </c>
      <c r="F74" s="162">
        <f>assumptions.technology.baseyear[[#This Row],[Unit capacity]]*90%</f>
        <v>0.9</v>
      </c>
      <c r="G74" s="162">
        <f>assumptions.technology.baseyear[[#This Row],[Unit capacity]]*10%</f>
        <v>0.1</v>
      </c>
      <c r="H74" s="162" t="str">
        <f t="shared" si="8"/>
        <v>GW</v>
      </c>
      <c r="I74" s="185">
        <v>0.63</v>
      </c>
      <c r="J74" s="162"/>
      <c r="K74" s="185">
        <v>0.8</v>
      </c>
      <c r="L74" s="185"/>
      <c r="M74" s="162">
        <f t="shared" si="14"/>
        <v>20</v>
      </c>
      <c r="N74" s="203"/>
      <c r="O74" s="185"/>
      <c r="P74" s="159"/>
      <c r="Q74" s="159"/>
      <c r="R74" s="159"/>
      <c r="S74" s="168"/>
      <c r="T74" s="20"/>
      <c r="U74" s="20"/>
      <c r="V74" s="20"/>
      <c r="W74" s="20"/>
      <c r="X74" s="20"/>
    </row>
    <row r="75" spans="1:24">
      <c r="B75" s="159"/>
      <c r="C75" s="159"/>
      <c r="D75" s="159"/>
      <c r="E75" s="159"/>
      <c r="F75" s="159"/>
      <c r="G75" s="159"/>
      <c r="H75" s="159"/>
      <c r="I75" s="159"/>
      <c r="J75" s="159"/>
      <c r="K75" s="159"/>
      <c r="L75" s="159"/>
      <c r="M75" s="159"/>
      <c r="N75" s="159"/>
      <c r="O75" s="159"/>
      <c r="P75" s="159"/>
      <c r="Q75" s="159"/>
      <c r="R75" s="159"/>
      <c r="S75" s="168"/>
      <c r="T75" s="20"/>
      <c r="U75" s="20"/>
      <c r="V75" s="20"/>
      <c r="W75" s="20"/>
      <c r="X75" s="20"/>
    </row>
    <row r="76" spans="1:24">
      <c r="B76" s="159"/>
      <c r="C76" s="163" t="s">
        <v>867</v>
      </c>
      <c r="D76" s="159"/>
      <c r="E76" s="159"/>
      <c r="F76" s="159"/>
      <c r="G76" s="159"/>
      <c r="H76" s="159"/>
      <c r="I76" s="159"/>
      <c r="J76" s="159"/>
      <c r="K76" s="159"/>
      <c r="L76" s="159"/>
      <c r="M76" s="159"/>
      <c r="N76" s="159"/>
      <c r="O76" s="159"/>
      <c r="P76" s="159"/>
      <c r="Q76" s="163" t="str">
        <f>Preferences.money&amp;" / "&amp;Preferences.power</f>
        <v>£ / GW</v>
      </c>
      <c r="R76" s="159"/>
      <c r="T76" s="20"/>
      <c r="U76" s="20"/>
      <c r="V76" s="20"/>
      <c r="W76" s="20"/>
      <c r="X76" s="20"/>
    </row>
    <row r="77" spans="1:24" ht="15" thickBot="1">
      <c r="B77" s="159"/>
      <c r="C77" s="159"/>
      <c r="D77" s="159"/>
      <c r="E77" s="159"/>
      <c r="F77" s="159"/>
      <c r="G77" s="159"/>
      <c r="H77" s="159"/>
      <c r="I77" s="159"/>
      <c r="J77" s="159"/>
      <c r="K77" s="159"/>
      <c r="L77" s="159"/>
      <c r="M77" s="159"/>
      <c r="N77" s="159"/>
      <c r="O77" s="159"/>
      <c r="P77" s="159"/>
      <c r="Q77" s="159"/>
      <c r="R77" s="159"/>
      <c r="T77" s="20"/>
      <c r="U77" s="20"/>
      <c r="V77" s="20"/>
      <c r="W77" s="20"/>
      <c r="X77" s="20"/>
    </row>
    <row r="78" spans="1:24">
      <c r="B78" s="159"/>
      <c r="C78" s="42" t="s">
        <v>454</v>
      </c>
      <c r="D78" s="42" t="s">
        <v>588</v>
      </c>
      <c r="E78" s="42" t="s">
        <v>576</v>
      </c>
      <c r="F78" s="42" t="s">
        <v>587</v>
      </c>
      <c r="G78" s="42" t="s">
        <v>509</v>
      </c>
      <c r="H78" s="42" t="s">
        <v>510</v>
      </c>
      <c r="I78" s="42" t="s">
        <v>1107</v>
      </c>
      <c r="J78" s="42" t="s">
        <v>210</v>
      </c>
      <c r="K78" s="42" t="s">
        <v>211</v>
      </c>
      <c r="L78" s="42" t="s">
        <v>212</v>
      </c>
      <c r="M78" s="42" t="s">
        <v>213</v>
      </c>
      <c r="N78" s="42" t="s">
        <v>214</v>
      </c>
      <c r="O78" s="42" t="s">
        <v>215</v>
      </c>
      <c r="P78" s="42" t="s">
        <v>216</v>
      </c>
      <c r="Q78" s="42" t="s">
        <v>217</v>
      </c>
      <c r="R78" s="159"/>
      <c r="T78" s="20"/>
      <c r="U78" s="20"/>
      <c r="V78" s="20"/>
      <c r="W78" s="20"/>
      <c r="X78" s="20"/>
    </row>
    <row r="79" spans="1:24">
      <c r="B79" s="159"/>
      <c r="C79" s="159" t="s">
        <v>728</v>
      </c>
      <c r="D79" s="159" t="e">
        <f>INDEX(Regional.Technologies[Description],MATCH($B$2&amp;"."&amp;assumptions.costs[[#This Row],[Technology code]],Regional.Technologies[Code],0))</f>
        <v>#N/A</v>
      </c>
      <c r="E79" s="159" t="s">
        <v>578</v>
      </c>
      <c r="F79" s="159" t="e">
        <f>INDEX(Region.codes[Description],MATCH(#REF!,Region.codes[Code],0))&amp;" "&amp;INDEX(Cost.vectors[Description],MATCH(E79,Cost.vectors[Code],0))</f>
        <v>#REF!</v>
      </c>
      <c r="G79" s="159"/>
      <c r="H79" s="159"/>
      <c r="I79" s="159" t="e">
        <f>(5)*MGBP/Unit.GW*INDEX(assumptions.technology.baseyear[[Unit capacity]:[Unit capacity]],MATCH($D79,assumptions.technology.baseyear[[Description]:[Description]],0))*Unit.GW</f>
        <v>#N/A</v>
      </c>
      <c r="J79" s="159" t="e">
        <f>(5)*MGBP/Unit.GW*INDEX(assumptions.technology.baseyear[[Unit capacity]:[Unit capacity]],MATCH($D79,assumptions.technology.baseyear[[Description]:[Description]],0))*Unit.GW</f>
        <v>#N/A</v>
      </c>
      <c r="K79" s="159" t="e">
        <f>(5)*MGBP/Unit.GW*INDEX(assumptions.technology.baseyear[[Unit capacity]:[Unit capacity]],MATCH($D79,assumptions.technology.baseyear[[Description]:[Description]],0))*Unit.GW</f>
        <v>#N/A</v>
      </c>
      <c r="L79" s="159" t="e">
        <f>(5)*MGBP/Unit.GW*INDEX(assumptions.technology.baseyear[[Unit capacity]:[Unit capacity]],MATCH($D79,assumptions.technology.baseyear[[Description]:[Description]],0))*Unit.GW</f>
        <v>#N/A</v>
      </c>
      <c r="M79" s="159" t="e">
        <f>(5)*MGBP/Unit.GW*INDEX(assumptions.technology.baseyear[[Unit capacity]:[Unit capacity]],MATCH($D79,assumptions.technology.baseyear[[Description]:[Description]],0))*Unit.GW</f>
        <v>#N/A</v>
      </c>
      <c r="N79" s="159" t="e">
        <f>(5)*MGBP/Unit.GW*INDEX(assumptions.technology.baseyear[[Unit capacity]:[Unit capacity]],MATCH($D79,assumptions.technology.baseyear[[Description]:[Description]],0))*Unit.GW</f>
        <v>#N/A</v>
      </c>
      <c r="O79" s="159" t="e">
        <f>(5)*MGBP/Unit.GW*INDEX(assumptions.technology.baseyear[[Unit capacity]:[Unit capacity]],MATCH($D79,assumptions.technology.baseyear[[Description]:[Description]],0))*Unit.GW</f>
        <v>#N/A</v>
      </c>
      <c r="P79" s="159" t="e">
        <f>(5)*MGBP/Unit.GW*INDEX(assumptions.technology.baseyear[[Unit capacity]:[Unit capacity]],MATCH($D79,assumptions.technology.baseyear[[Description]:[Description]],0))*Unit.GW</f>
        <v>#N/A</v>
      </c>
      <c r="Q79" s="159" t="e">
        <f>(5)*MGBP/Unit.GW*INDEX(assumptions.technology.baseyear[[Unit capacity]:[Unit capacity]],MATCH($D79,assumptions.technology.baseyear[[Description]:[Description]],0))*Unit.GW</f>
        <v>#N/A</v>
      </c>
      <c r="R79" s="159"/>
      <c r="T79" s="20"/>
      <c r="U79" s="20"/>
      <c r="V79" s="20"/>
      <c r="W79" s="20"/>
      <c r="X79" s="20"/>
    </row>
    <row r="80" spans="1:24">
      <c r="B80" s="159"/>
      <c r="C80" s="159" t="s">
        <v>728</v>
      </c>
      <c r="D80" s="159" t="e">
        <f>INDEX(Regional.Technologies[Description],MATCH($B$2&amp;"."&amp;assumptions.costs[[#This Row],[Technology code]],Regional.Technologies[Code],0))</f>
        <v>#N/A</v>
      </c>
      <c r="E80" s="159" t="s">
        <v>579</v>
      </c>
      <c r="F80" s="159" t="e">
        <f>INDEX(Region.codes[Description],MATCH(#REF!,Region.codes[Code],0))&amp;" "&amp;INDEX(Cost.vectors[Description],MATCH(E80,Cost.vectors[Code],0))</f>
        <v>#REF!</v>
      </c>
      <c r="G80" s="159"/>
      <c r="H80" s="159"/>
      <c r="I80" s="159" t="e">
        <f>(5)*MGBP/Unit.GW*INDEX(assumptions.technology.baseyear[[Unit capacity]:[Unit capacity]],MATCH($D80,assumptions.technology.baseyear[[Description]:[Description]],0))*Unit.GW</f>
        <v>#N/A</v>
      </c>
      <c r="J80" s="159" t="e">
        <f>(5)*MGBP/Unit.GW*INDEX(assumptions.technology.baseyear[[Unit capacity]:[Unit capacity]],MATCH($D80,assumptions.technology.baseyear[[Description]:[Description]],0))*Unit.GW</f>
        <v>#N/A</v>
      </c>
      <c r="K80" s="159" t="e">
        <f>(5)*MGBP/Unit.GW*INDEX(assumptions.technology.baseyear[[Unit capacity]:[Unit capacity]],MATCH($D80,assumptions.technology.baseyear[[Description]:[Description]],0))*Unit.GW</f>
        <v>#N/A</v>
      </c>
      <c r="L80" s="159" t="e">
        <f>(5)*MGBP/Unit.GW*INDEX(assumptions.technology.baseyear[[Unit capacity]:[Unit capacity]],MATCH($D80,assumptions.technology.baseyear[[Description]:[Description]],0))*Unit.GW</f>
        <v>#N/A</v>
      </c>
      <c r="M80" s="159" t="e">
        <f>(5)*MGBP/Unit.GW*INDEX(assumptions.technology.baseyear[[Unit capacity]:[Unit capacity]],MATCH($D80,assumptions.technology.baseyear[[Description]:[Description]],0))*Unit.GW</f>
        <v>#N/A</v>
      </c>
      <c r="N80" s="159" t="e">
        <f>(5)*MGBP/Unit.GW*INDEX(assumptions.technology.baseyear[[Unit capacity]:[Unit capacity]],MATCH($D80,assumptions.technology.baseyear[[Description]:[Description]],0))*Unit.GW</f>
        <v>#N/A</v>
      </c>
      <c r="O80" s="159" t="e">
        <f>(5)*MGBP/Unit.GW*INDEX(assumptions.technology.baseyear[[Unit capacity]:[Unit capacity]],MATCH($D80,assumptions.technology.baseyear[[Description]:[Description]],0))*Unit.GW</f>
        <v>#N/A</v>
      </c>
      <c r="P80" s="159" t="e">
        <f>(5)*MGBP/Unit.GW*INDEX(assumptions.technology.baseyear[[Unit capacity]:[Unit capacity]],MATCH($D80,assumptions.technology.baseyear[[Description]:[Description]],0))*Unit.GW</f>
        <v>#N/A</v>
      </c>
      <c r="Q80" s="159" t="e">
        <f>(5)*MGBP/Unit.GW*INDEX(assumptions.technology.baseyear[[Unit capacity]:[Unit capacity]],MATCH($D80,assumptions.technology.baseyear[[Description]:[Description]],0))*Unit.GW</f>
        <v>#N/A</v>
      </c>
      <c r="R80" s="159"/>
      <c r="T80" s="20"/>
      <c r="U80" s="20"/>
      <c r="V80" s="20"/>
      <c r="W80" s="20"/>
      <c r="X80" s="20"/>
    </row>
    <row r="81" spans="2:24">
      <c r="B81" s="159"/>
      <c r="C81" s="159" t="s">
        <v>728</v>
      </c>
      <c r="D81" s="159" t="e">
        <f>INDEX(Regional.Technologies[Description],MATCH($B$2&amp;"."&amp;assumptions.costs[[#This Row],[Technology code]],Regional.Technologies[Code],0))</f>
        <v>#N/A</v>
      </c>
      <c r="E81" s="159" t="s">
        <v>580</v>
      </c>
      <c r="F81" s="159" t="e">
        <f>INDEX(Region.codes[Description],MATCH(#REF!,Region.codes[Code],0))&amp;" "&amp;INDEX(Cost.vectors[Description],MATCH(E81,Cost.vectors[Code],0))</f>
        <v>#REF!</v>
      </c>
      <c r="G81" s="159"/>
      <c r="H81" s="159"/>
      <c r="I81" s="159" t="e">
        <f>(5)*MGBP/Unit.GW*INDEX(assumptions.technology.baseyear[[Unit capacity]:[Unit capacity]],MATCH($D81,assumptions.technology.baseyear[[Description]:[Description]],0))*Unit.GW</f>
        <v>#N/A</v>
      </c>
      <c r="J81" s="159" t="e">
        <f>(5)*MGBP/Unit.GW*INDEX(assumptions.technology.baseyear[[Unit capacity]:[Unit capacity]],MATCH($D81,assumptions.technology.baseyear[[Description]:[Description]],0))*Unit.GW</f>
        <v>#N/A</v>
      </c>
      <c r="K81" s="159" t="e">
        <f>(5)*MGBP/Unit.GW*INDEX(assumptions.technology.baseyear[[Unit capacity]:[Unit capacity]],MATCH($D81,assumptions.technology.baseyear[[Description]:[Description]],0))*Unit.GW</f>
        <v>#N/A</v>
      </c>
      <c r="L81" s="159" t="e">
        <f>(5)*MGBP/Unit.GW*INDEX(assumptions.technology.baseyear[[Unit capacity]:[Unit capacity]],MATCH($D81,assumptions.technology.baseyear[[Description]:[Description]],0))*Unit.GW</f>
        <v>#N/A</v>
      </c>
      <c r="M81" s="159" t="e">
        <f>(5)*MGBP/Unit.GW*INDEX(assumptions.technology.baseyear[[Unit capacity]:[Unit capacity]],MATCH($D81,assumptions.technology.baseyear[[Description]:[Description]],0))*Unit.GW</f>
        <v>#N/A</v>
      </c>
      <c r="N81" s="159" t="e">
        <f>(5)*MGBP/Unit.GW*INDEX(assumptions.technology.baseyear[[Unit capacity]:[Unit capacity]],MATCH($D81,assumptions.technology.baseyear[[Description]:[Description]],0))*Unit.GW</f>
        <v>#N/A</v>
      </c>
      <c r="O81" s="159" t="e">
        <f>(5)*MGBP/Unit.GW*INDEX(assumptions.technology.baseyear[[Unit capacity]:[Unit capacity]],MATCH($D81,assumptions.technology.baseyear[[Description]:[Description]],0))*Unit.GW</f>
        <v>#N/A</v>
      </c>
      <c r="P81" s="159" t="e">
        <f>(5)*MGBP/Unit.GW*INDEX(assumptions.technology.baseyear[[Unit capacity]:[Unit capacity]],MATCH($D81,assumptions.technology.baseyear[[Description]:[Description]],0))*Unit.GW</f>
        <v>#N/A</v>
      </c>
      <c r="Q81" s="159" t="e">
        <f>(5)*MGBP/Unit.GW*INDEX(assumptions.technology.baseyear[[Unit capacity]:[Unit capacity]],MATCH($D81,assumptions.technology.baseyear[[Description]:[Description]],0))*Unit.GW</f>
        <v>#N/A</v>
      </c>
      <c r="R81" s="159"/>
      <c r="T81" s="20"/>
      <c r="U81" s="20"/>
      <c r="V81" s="20"/>
      <c r="W81" s="20"/>
      <c r="X81" s="20"/>
    </row>
    <row r="82" spans="2:24">
      <c r="B82" s="159"/>
      <c r="C82" s="159" t="s">
        <v>728</v>
      </c>
      <c r="D82" s="159" t="e">
        <f>INDEX(Regional.Technologies[Description],MATCH($B$2&amp;"."&amp;assumptions.costs[[#This Row],[Technology code]],Regional.Technologies[Code],0))</f>
        <v>#N/A</v>
      </c>
      <c r="E82" s="159" t="s">
        <v>581</v>
      </c>
      <c r="F82" s="159" t="e">
        <f>INDEX(Region.codes[Description],MATCH(#REF!,Region.codes[Code],0))&amp;" "&amp;INDEX(Cost.vectors[Description],MATCH(E82,Cost.vectors[Code],0))</f>
        <v>#REF!</v>
      </c>
      <c r="G82" s="159"/>
      <c r="H82" s="159"/>
      <c r="I82" s="159" t="e">
        <f>(5)*MGBP/Unit.GW*INDEX(assumptions.technology.baseyear[[Unit capacity]:[Unit capacity]],MATCH($D82,assumptions.technology.baseyear[[Description]:[Description]],0))*Unit.GW</f>
        <v>#N/A</v>
      </c>
      <c r="J82" s="159" t="e">
        <f>(5)*MGBP/Unit.GW*INDEX(assumptions.technology.baseyear[[Unit capacity]:[Unit capacity]],MATCH($D82,assumptions.technology.baseyear[[Description]:[Description]],0))*Unit.GW</f>
        <v>#N/A</v>
      </c>
      <c r="K82" s="159" t="e">
        <f>(5)*MGBP/Unit.GW*INDEX(assumptions.technology.baseyear[[Unit capacity]:[Unit capacity]],MATCH($D82,assumptions.technology.baseyear[[Description]:[Description]],0))*Unit.GW</f>
        <v>#N/A</v>
      </c>
      <c r="L82" s="159" t="e">
        <f>(5)*MGBP/Unit.GW*INDEX(assumptions.technology.baseyear[[Unit capacity]:[Unit capacity]],MATCH($D82,assumptions.technology.baseyear[[Description]:[Description]],0))*Unit.GW</f>
        <v>#N/A</v>
      </c>
      <c r="M82" s="159" t="e">
        <f>(5)*MGBP/Unit.GW*INDEX(assumptions.technology.baseyear[[Unit capacity]:[Unit capacity]],MATCH($D82,assumptions.technology.baseyear[[Description]:[Description]],0))*Unit.GW</f>
        <v>#N/A</v>
      </c>
      <c r="N82" s="159" t="e">
        <f>(5)*MGBP/Unit.GW*INDEX(assumptions.technology.baseyear[[Unit capacity]:[Unit capacity]],MATCH($D82,assumptions.technology.baseyear[[Description]:[Description]],0))*Unit.GW</f>
        <v>#N/A</v>
      </c>
      <c r="O82" s="159" t="e">
        <f>(5)*MGBP/Unit.GW*INDEX(assumptions.technology.baseyear[[Unit capacity]:[Unit capacity]],MATCH($D82,assumptions.technology.baseyear[[Description]:[Description]],0))*Unit.GW</f>
        <v>#N/A</v>
      </c>
      <c r="P82" s="159" t="e">
        <f>(5)*MGBP/Unit.GW*INDEX(assumptions.technology.baseyear[[Unit capacity]:[Unit capacity]],MATCH($D82,assumptions.technology.baseyear[[Description]:[Description]],0))*Unit.GW</f>
        <v>#N/A</v>
      </c>
      <c r="Q82" s="159" t="e">
        <f>(5)*MGBP/Unit.GW*INDEX(assumptions.technology.baseyear[[Unit capacity]:[Unit capacity]],MATCH($D82,assumptions.technology.baseyear[[Description]:[Description]],0))*Unit.GW</f>
        <v>#N/A</v>
      </c>
      <c r="R82" s="159"/>
      <c r="T82" s="20"/>
      <c r="U82" s="20"/>
      <c r="V82" s="20"/>
      <c r="W82" s="20"/>
      <c r="X82" s="20"/>
    </row>
    <row r="83" spans="2:24">
      <c r="B83" s="159"/>
      <c r="C83" s="159" t="s">
        <v>728</v>
      </c>
      <c r="D83" s="159" t="e">
        <f>INDEX(Regional.Technologies[Description],MATCH($B$2&amp;"."&amp;assumptions.costs[[#This Row],[Technology code]],Regional.Technologies[Code],0))</f>
        <v>#N/A</v>
      </c>
      <c r="E83" s="159" t="s">
        <v>582</v>
      </c>
      <c r="F83" s="159" t="e">
        <f>INDEX(Region.codes[Description],MATCH(#REF!,Region.codes[Code],0))&amp;" "&amp;INDEX(Cost.vectors[Description],MATCH(E83,Cost.vectors[Code],0))</f>
        <v>#REF!</v>
      </c>
      <c r="G83" s="159"/>
      <c r="H83" s="159"/>
      <c r="I83" s="159" t="e">
        <f>(5)*MGBP/Unit.GW*INDEX(assumptions.technology.baseyear[[Unit capacity]:[Unit capacity]],MATCH($D83,assumptions.technology.baseyear[[Description]:[Description]],0))*Unit.GW</f>
        <v>#N/A</v>
      </c>
      <c r="J83" s="159" t="e">
        <f>(5)*MGBP/Unit.GW*INDEX(assumptions.technology.baseyear[[Unit capacity]:[Unit capacity]],MATCH($D83,assumptions.technology.baseyear[[Description]:[Description]],0))*Unit.GW</f>
        <v>#N/A</v>
      </c>
      <c r="K83" s="159" t="e">
        <f>(5)*MGBP/Unit.GW*INDEX(assumptions.technology.baseyear[[Unit capacity]:[Unit capacity]],MATCH($D83,assumptions.technology.baseyear[[Description]:[Description]],0))*Unit.GW</f>
        <v>#N/A</v>
      </c>
      <c r="L83" s="159" t="e">
        <f>(5)*MGBP/Unit.GW*INDEX(assumptions.technology.baseyear[[Unit capacity]:[Unit capacity]],MATCH($D83,assumptions.technology.baseyear[[Description]:[Description]],0))*Unit.GW</f>
        <v>#N/A</v>
      </c>
      <c r="M83" s="159" t="e">
        <f>(5)*MGBP/Unit.GW*INDEX(assumptions.technology.baseyear[[Unit capacity]:[Unit capacity]],MATCH($D83,assumptions.technology.baseyear[[Description]:[Description]],0))*Unit.GW</f>
        <v>#N/A</v>
      </c>
      <c r="N83" s="159" t="e">
        <f>(5)*MGBP/Unit.GW*INDEX(assumptions.technology.baseyear[[Unit capacity]:[Unit capacity]],MATCH($D83,assumptions.technology.baseyear[[Description]:[Description]],0))*Unit.GW</f>
        <v>#N/A</v>
      </c>
      <c r="O83" s="159" t="e">
        <f>(5)*MGBP/Unit.GW*INDEX(assumptions.technology.baseyear[[Unit capacity]:[Unit capacity]],MATCH($D83,assumptions.technology.baseyear[[Description]:[Description]],0))*Unit.GW</f>
        <v>#N/A</v>
      </c>
      <c r="P83" s="159" t="e">
        <f>(5)*MGBP/Unit.GW*INDEX(assumptions.technology.baseyear[[Unit capacity]:[Unit capacity]],MATCH($D83,assumptions.technology.baseyear[[Description]:[Description]],0))*Unit.GW</f>
        <v>#N/A</v>
      </c>
      <c r="Q83" s="159" t="e">
        <f>(5)*MGBP/Unit.GW*INDEX(assumptions.technology.baseyear[[Unit capacity]:[Unit capacity]],MATCH($D83,assumptions.technology.baseyear[[Description]:[Description]],0))*Unit.GW</f>
        <v>#N/A</v>
      </c>
      <c r="R83" s="159"/>
      <c r="T83" s="20"/>
      <c r="U83" s="20"/>
      <c r="V83" s="20"/>
      <c r="W83" s="20"/>
      <c r="X83" s="20"/>
    </row>
    <row r="84" spans="2:24">
      <c r="B84" s="159"/>
      <c r="C84" s="159" t="s">
        <v>728</v>
      </c>
      <c r="D84" s="159" t="e">
        <f>INDEX(Regional.Technologies[Description],MATCH($B$2&amp;"."&amp;assumptions.costs[[#This Row],[Technology code]],Regional.Technologies[Code],0))</f>
        <v>#N/A</v>
      </c>
      <c r="E84" s="159" t="s">
        <v>583</v>
      </c>
      <c r="F84" s="159" t="e">
        <f>INDEX(Region.codes[Description],MATCH(#REF!,Region.codes[Code],0))&amp;" "&amp;INDEX(Cost.vectors[Description],MATCH(E84,Cost.vectors[Code],0))</f>
        <v>#REF!</v>
      </c>
      <c r="G84" s="159"/>
      <c r="H84" s="159"/>
      <c r="I84" s="159" t="e">
        <f>(5)*MGBP/Unit.GW*INDEX(assumptions.technology.baseyear[[Unit capacity]:[Unit capacity]],MATCH($D84,assumptions.technology.baseyear[[Description]:[Description]],0))*Unit.GW</f>
        <v>#N/A</v>
      </c>
      <c r="J84" s="159" t="e">
        <f>(5)*MGBP/Unit.GW*INDEX(assumptions.technology.baseyear[[Unit capacity]:[Unit capacity]],MATCH($D84,assumptions.technology.baseyear[[Description]:[Description]],0))*Unit.GW</f>
        <v>#N/A</v>
      </c>
      <c r="K84" s="159" t="e">
        <f>(5)*MGBP/Unit.GW*INDEX(assumptions.technology.baseyear[[Unit capacity]:[Unit capacity]],MATCH($D84,assumptions.technology.baseyear[[Description]:[Description]],0))*Unit.GW</f>
        <v>#N/A</v>
      </c>
      <c r="L84" s="159" t="e">
        <f>(5)*MGBP/Unit.GW*INDEX(assumptions.technology.baseyear[[Unit capacity]:[Unit capacity]],MATCH($D84,assumptions.technology.baseyear[[Description]:[Description]],0))*Unit.GW</f>
        <v>#N/A</v>
      </c>
      <c r="M84" s="159" t="e">
        <f>(5)*MGBP/Unit.GW*INDEX(assumptions.technology.baseyear[[Unit capacity]:[Unit capacity]],MATCH($D84,assumptions.technology.baseyear[[Description]:[Description]],0))*Unit.GW</f>
        <v>#N/A</v>
      </c>
      <c r="N84" s="159" t="e">
        <f>(5)*MGBP/Unit.GW*INDEX(assumptions.technology.baseyear[[Unit capacity]:[Unit capacity]],MATCH($D84,assumptions.technology.baseyear[[Description]:[Description]],0))*Unit.GW</f>
        <v>#N/A</v>
      </c>
      <c r="O84" s="159" t="e">
        <f>(5)*MGBP/Unit.GW*INDEX(assumptions.technology.baseyear[[Unit capacity]:[Unit capacity]],MATCH($D84,assumptions.technology.baseyear[[Description]:[Description]],0))*Unit.GW</f>
        <v>#N/A</v>
      </c>
      <c r="P84" s="159" t="e">
        <f>(5)*MGBP/Unit.GW*INDEX(assumptions.technology.baseyear[[Unit capacity]:[Unit capacity]],MATCH($D84,assumptions.technology.baseyear[[Description]:[Description]],0))*Unit.GW</f>
        <v>#N/A</v>
      </c>
      <c r="Q84" s="159" t="e">
        <f>(5)*MGBP/Unit.GW*INDEX(assumptions.technology.baseyear[[Unit capacity]:[Unit capacity]],MATCH($D84,assumptions.technology.baseyear[[Description]:[Description]],0))*Unit.GW</f>
        <v>#N/A</v>
      </c>
      <c r="R84" s="159"/>
      <c r="T84" s="20"/>
      <c r="U84" s="20"/>
      <c r="V84" s="20"/>
      <c r="W84" s="20"/>
      <c r="X84" s="20"/>
    </row>
    <row r="85" spans="2:24">
      <c r="B85" s="159"/>
      <c r="C85" s="159" t="s">
        <v>729</v>
      </c>
      <c r="D85" s="159" t="e">
        <f>INDEX(Regional.Technologies[Description],MATCH($B$2&amp;"."&amp;assumptions.costs[[#This Row],[Technology code]],Regional.Technologies[Code],0))</f>
        <v>#N/A</v>
      </c>
      <c r="E85" s="159" t="s">
        <v>578</v>
      </c>
      <c r="F85" s="159" t="e">
        <f>INDEX(Region.codes[Description],MATCH(#REF!,Region.codes[Code],0))&amp;" "&amp;INDEX(Cost.vectors[Description],MATCH(E85,Cost.vectors[Code],0))</f>
        <v>#REF!</v>
      </c>
      <c r="G85" s="159"/>
      <c r="H85" s="159"/>
      <c r="I85" s="159" t="e">
        <f>(5)*MGBP/Unit.GW*INDEX(assumptions.technology.baseyear[[Unit capacity]:[Unit capacity]],MATCH($D85,assumptions.technology.baseyear[[Description]:[Description]],0))*Unit.GW</f>
        <v>#N/A</v>
      </c>
      <c r="J85" s="159" t="e">
        <f>(5)*MGBP/Unit.GW*INDEX(assumptions.technology.baseyear[[Unit capacity]:[Unit capacity]],MATCH($D85,assumptions.technology.baseyear[[Description]:[Description]],0))*Unit.GW</f>
        <v>#N/A</v>
      </c>
      <c r="K85" s="159" t="e">
        <f>(5)*MGBP/Unit.GW*INDEX(assumptions.technology.baseyear[[Unit capacity]:[Unit capacity]],MATCH($D85,assumptions.technology.baseyear[[Description]:[Description]],0))*Unit.GW</f>
        <v>#N/A</v>
      </c>
      <c r="L85" s="159" t="e">
        <f>(5)*MGBP/Unit.GW*INDEX(assumptions.technology.baseyear[[Unit capacity]:[Unit capacity]],MATCH($D85,assumptions.technology.baseyear[[Description]:[Description]],0))*Unit.GW</f>
        <v>#N/A</v>
      </c>
      <c r="M85" s="159" t="e">
        <f>(5)*MGBP/Unit.GW*INDEX(assumptions.technology.baseyear[[Unit capacity]:[Unit capacity]],MATCH($D85,assumptions.technology.baseyear[[Description]:[Description]],0))*Unit.GW</f>
        <v>#N/A</v>
      </c>
      <c r="N85" s="159" t="e">
        <f>(5)*MGBP/Unit.GW*INDEX(assumptions.technology.baseyear[[Unit capacity]:[Unit capacity]],MATCH($D85,assumptions.technology.baseyear[[Description]:[Description]],0))*Unit.GW</f>
        <v>#N/A</v>
      </c>
      <c r="O85" s="159" t="e">
        <f>(5)*MGBP/Unit.GW*INDEX(assumptions.technology.baseyear[[Unit capacity]:[Unit capacity]],MATCH($D85,assumptions.technology.baseyear[[Description]:[Description]],0))*Unit.GW</f>
        <v>#N/A</v>
      </c>
      <c r="P85" s="159" t="e">
        <f>(5)*MGBP/Unit.GW*INDEX(assumptions.technology.baseyear[[Unit capacity]:[Unit capacity]],MATCH($D85,assumptions.technology.baseyear[[Description]:[Description]],0))*Unit.GW</f>
        <v>#N/A</v>
      </c>
      <c r="Q85" s="159" t="e">
        <f>(5)*MGBP/Unit.GW*INDEX(assumptions.technology.baseyear[[Unit capacity]:[Unit capacity]],MATCH($D85,assumptions.technology.baseyear[[Description]:[Description]],0))*Unit.GW</f>
        <v>#N/A</v>
      </c>
      <c r="R85" s="159"/>
      <c r="T85" s="20"/>
      <c r="U85" s="20"/>
      <c r="V85" s="20"/>
      <c r="W85" s="20"/>
      <c r="X85" s="20"/>
    </row>
    <row r="86" spans="2:24">
      <c r="B86" s="159"/>
      <c r="C86" s="159" t="s">
        <v>729</v>
      </c>
      <c r="D86" s="159" t="e">
        <f>INDEX(Regional.Technologies[Description],MATCH($B$2&amp;"."&amp;assumptions.costs[[#This Row],[Technology code]],Regional.Technologies[Code],0))</f>
        <v>#N/A</v>
      </c>
      <c r="E86" s="159" t="s">
        <v>579</v>
      </c>
      <c r="F86" s="159" t="e">
        <f>INDEX(Region.codes[Description],MATCH(#REF!,Region.codes[Code],0))&amp;" "&amp;INDEX(Cost.vectors[Description],MATCH(E86,Cost.vectors[Code],0))</f>
        <v>#REF!</v>
      </c>
      <c r="G86" s="159"/>
      <c r="H86" s="159"/>
      <c r="I86" s="159" t="e">
        <f>(5)*MGBP/Unit.GW*INDEX(assumptions.technology.baseyear[[Unit capacity]:[Unit capacity]],MATCH($D86,assumptions.technology.baseyear[[Description]:[Description]],0))*Unit.GW</f>
        <v>#N/A</v>
      </c>
      <c r="J86" s="159" t="e">
        <f>(5)*MGBP/Unit.GW*INDEX(assumptions.technology.baseyear[[Unit capacity]:[Unit capacity]],MATCH($D86,assumptions.technology.baseyear[[Description]:[Description]],0))*Unit.GW</f>
        <v>#N/A</v>
      </c>
      <c r="K86" s="159" t="e">
        <f>(5)*MGBP/Unit.GW*INDEX(assumptions.technology.baseyear[[Unit capacity]:[Unit capacity]],MATCH($D86,assumptions.technology.baseyear[[Description]:[Description]],0))*Unit.GW</f>
        <v>#N/A</v>
      </c>
      <c r="L86" s="159" t="e">
        <f>(5)*MGBP/Unit.GW*INDEX(assumptions.technology.baseyear[[Unit capacity]:[Unit capacity]],MATCH($D86,assumptions.technology.baseyear[[Description]:[Description]],0))*Unit.GW</f>
        <v>#N/A</v>
      </c>
      <c r="M86" s="159" t="e">
        <f>(5)*MGBP/Unit.GW*INDEX(assumptions.technology.baseyear[[Unit capacity]:[Unit capacity]],MATCH($D86,assumptions.technology.baseyear[[Description]:[Description]],0))*Unit.GW</f>
        <v>#N/A</v>
      </c>
      <c r="N86" s="159" t="e">
        <f>(5)*MGBP/Unit.GW*INDEX(assumptions.technology.baseyear[[Unit capacity]:[Unit capacity]],MATCH($D86,assumptions.technology.baseyear[[Description]:[Description]],0))*Unit.GW</f>
        <v>#N/A</v>
      </c>
      <c r="O86" s="159" t="e">
        <f>(5)*MGBP/Unit.GW*INDEX(assumptions.technology.baseyear[[Unit capacity]:[Unit capacity]],MATCH($D86,assumptions.technology.baseyear[[Description]:[Description]],0))*Unit.GW</f>
        <v>#N/A</v>
      </c>
      <c r="P86" s="159" t="e">
        <f>(5)*MGBP/Unit.GW*INDEX(assumptions.technology.baseyear[[Unit capacity]:[Unit capacity]],MATCH($D86,assumptions.technology.baseyear[[Description]:[Description]],0))*Unit.GW</f>
        <v>#N/A</v>
      </c>
      <c r="Q86" s="159" t="e">
        <f>(5)*MGBP/Unit.GW*INDEX(assumptions.technology.baseyear[[Unit capacity]:[Unit capacity]],MATCH($D86,assumptions.technology.baseyear[[Description]:[Description]],0))*Unit.GW</f>
        <v>#N/A</v>
      </c>
      <c r="R86" s="159"/>
      <c r="T86" s="20"/>
      <c r="U86" s="20"/>
      <c r="V86" s="20"/>
      <c r="W86" s="20"/>
      <c r="X86" s="20"/>
    </row>
    <row r="87" spans="2:24">
      <c r="B87" s="159"/>
      <c r="C87" s="159" t="s">
        <v>729</v>
      </c>
      <c r="D87" s="159" t="e">
        <f>INDEX(Regional.Technologies[Description],MATCH($B$2&amp;"."&amp;assumptions.costs[[#This Row],[Technology code]],Regional.Technologies[Code],0))</f>
        <v>#N/A</v>
      </c>
      <c r="E87" s="159" t="s">
        <v>580</v>
      </c>
      <c r="F87" s="159" t="e">
        <f>INDEX(Region.codes[Description],MATCH(#REF!,Region.codes[Code],0))&amp;" "&amp;INDEX(Cost.vectors[Description],MATCH(E87,Cost.vectors[Code],0))</f>
        <v>#REF!</v>
      </c>
      <c r="G87" s="159"/>
      <c r="H87" s="159"/>
      <c r="I87" s="159" t="e">
        <f>(5)*MGBP/Unit.GW*INDEX(assumptions.technology.baseyear[[Unit capacity]:[Unit capacity]],MATCH($D87,assumptions.technology.baseyear[[Description]:[Description]],0))*Unit.GW</f>
        <v>#N/A</v>
      </c>
      <c r="J87" s="159" t="e">
        <f>(5)*MGBP/Unit.GW*INDEX(assumptions.technology.baseyear[[Unit capacity]:[Unit capacity]],MATCH($D87,assumptions.technology.baseyear[[Description]:[Description]],0))*Unit.GW</f>
        <v>#N/A</v>
      </c>
      <c r="K87" s="159" t="e">
        <f>(5)*MGBP/Unit.GW*INDEX(assumptions.technology.baseyear[[Unit capacity]:[Unit capacity]],MATCH($D87,assumptions.technology.baseyear[[Description]:[Description]],0))*Unit.GW</f>
        <v>#N/A</v>
      </c>
      <c r="L87" s="159" t="e">
        <f>(5)*MGBP/Unit.GW*INDEX(assumptions.technology.baseyear[[Unit capacity]:[Unit capacity]],MATCH($D87,assumptions.technology.baseyear[[Description]:[Description]],0))*Unit.GW</f>
        <v>#N/A</v>
      </c>
      <c r="M87" s="159" t="e">
        <f>(5)*MGBP/Unit.GW*INDEX(assumptions.technology.baseyear[[Unit capacity]:[Unit capacity]],MATCH($D87,assumptions.technology.baseyear[[Description]:[Description]],0))*Unit.GW</f>
        <v>#N/A</v>
      </c>
      <c r="N87" s="159" t="e">
        <f>(5)*MGBP/Unit.GW*INDEX(assumptions.technology.baseyear[[Unit capacity]:[Unit capacity]],MATCH($D87,assumptions.technology.baseyear[[Description]:[Description]],0))*Unit.GW</f>
        <v>#N/A</v>
      </c>
      <c r="O87" s="159" t="e">
        <f>(5)*MGBP/Unit.GW*INDEX(assumptions.technology.baseyear[[Unit capacity]:[Unit capacity]],MATCH($D87,assumptions.technology.baseyear[[Description]:[Description]],0))*Unit.GW</f>
        <v>#N/A</v>
      </c>
      <c r="P87" s="159" t="e">
        <f>(5)*MGBP/Unit.GW*INDEX(assumptions.technology.baseyear[[Unit capacity]:[Unit capacity]],MATCH($D87,assumptions.technology.baseyear[[Description]:[Description]],0))*Unit.GW</f>
        <v>#N/A</v>
      </c>
      <c r="Q87" s="159" t="e">
        <f>(5)*MGBP/Unit.GW*INDEX(assumptions.technology.baseyear[[Unit capacity]:[Unit capacity]],MATCH($D87,assumptions.technology.baseyear[[Description]:[Description]],0))*Unit.GW</f>
        <v>#N/A</v>
      </c>
      <c r="R87" s="159"/>
      <c r="T87" s="20"/>
      <c r="U87" s="20"/>
      <c r="V87" s="20"/>
      <c r="W87" s="20"/>
      <c r="X87" s="20"/>
    </row>
    <row r="88" spans="2:24">
      <c r="B88" s="159"/>
      <c r="C88" s="159" t="s">
        <v>729</v>
      </c>
      <c r="D88" s="159" t="e">
        <f>INDEX(Regional.Technologies[Description],MATCH($B$2&amp;"."&amp;assumptions.costs[[#This Row],[Technology code]],Regional.Technologies[Code],0))</f>
        <v>#N/A</v>
      </c>
      <c r="E88" s="159" t="s">
        <v>581</v>
      </c>
      <c r="F88" s="159" t="e">
        <f>INDEX(Region.codes[Description],MATCH(#REF!,Region.codes[Code],0))&amp;" "&amp;INDEX(Cost.vectors[Description],MATCH(E88,Cost.vectors[Code],0))</f>
        <v>#REF!</v>
      </c>
      <c r="G88" s="159"/>
      <c r="H88" s="159"/>
      <c r="I88" s="159" t="e">
        <f>(5)*MGBP/Unit.GW*INDEX(assumptions.technology.baseyear[[Unit capacity]:[Unit capacity]],MATCH($D88,assumptions.technology.baseyear[[Description]:[Description]],0))*Unit.GW</f>
        <v>#N/A</v>
      </c>
      <c r="J88" s="159" t="e">
        <f>(5)*MGBP/Unit.GW*INDEX(assumptions.technology.baseyear[[Unit capacity]:[Unit capacity]],MATCH($D88,assumptions.technology.baseyear[[Description]:[Description]],0))*Unit.GW</f>
        <v>#N/A</v>
      </c>
      <c r="K88" s="159" t="e">
        <f>(5)*MGBP/Unit.GW*INDEX(assumptions.technology.baseyear[[Unit capacity]:[Unit capacity]],MATCH($D88,assumptions.technology.baseyear[[Description]:[Description]],0))*Unit.GW</f>
        <v>#N/A</v>
      </c>
      <c r="L88" s="159" t="e">
        <f>(5)*MGBP/Unit.GW*INDEX(assumptions.technology.baseyear[[Unit capacity]:[Unit capacity]],MATCH($D88,assumptions.technology.baseyear[[Description]:[Description]],0))*Unit.GW</f>
        <v>#N/A</v>
      </c>
      <c r="M88" s="159" t="e">
        <f>(5)*MGBP/Unit.GW*INDEX(assumptions.technology.baseyear[[Unit capacity]:[Unit capacity]],MATCH($D88,assumptions.technology.baseyear[[Description]:[Description]],0))*Unit.GW</f>
        <v>#N/A</v>
      </c>
      <c r="N88" s="159" t="e">
        <f>(5)*MGBP/Unit.GW*INDEX(assumptions.technology.baseyear[[Unit capacity]:[Unit capacity]],MATCH($D88,assumptions.technology.baseyear[[Description]:[Description]],0))*Unit.GW</f>
        <v>#N/A</v>
      </c>
      <c r="O88" s="159" t="e">
        <f>(5)*MGBP/Unit.GW*INDEX(assumptions.technology.baseyear[[Unit capacity]:[Unit capacity]],MATCH($D88,assumptions.technology.baseyear[[Description]:[Description]],0))*Unit.GW</f>
        <v>#N/A</v>
      </c>
      <c r="P88" s="159" t="e">
        <f>(5)*MGBP/Unit.GW*INDEX(assumptions.technology.baseyear[[Unit capacity]:[Unit capacity]],MATCH($D88,assumptions.technology.baseyear[[Description]:[Description]],0))*Unit.GW</f>
        <v>#N/A</v>
      </c>
      <c r="Q88" s="159" t="e">
        <f>(5)*MGBP/Unit.GW*INDEX(assumptions.technology.baseyear[[Unit capacity]:[Unit capacity]],MATCH($D88,assumptions.technology.baseyear[[Description]:[Description]],0))*Unit.GW</f>
        <v>#N/A</v>
      </c>
      <c r="R88" s="159"/>
      <c r="T88" s="20"/>
      <c r="U88" s="20"/>
      <c r="V88" s="20"/>
      <c r="W88" s="20"/>
      <c r="X88" s="20"/>
    </row>
    <row r="89" spans="2:24">
      <c r="B89" s="159"/>
      <c r="C89" s="159" t="s">
        <v>729</v>
      </c>
      <c r="D89" s="159" t="e">
        <f>INDEX(Regional.Technologies[Description],MATCH($B$2&amp;"."&amp;assumptions.costs[[#This Row],[Technology code]],Regional.Technologies[Code],0))</f>
        <v>#N/A</v>
      </c>
      <c r="E89" s="159" t="s">
        <v>582</v>
      </c>
      <c r="F89" s="159" t="e">
        <f>INDEX(Region.codes[Description],MATCH(#REF!,Region.codes[Code],0))&amp;" "&amp;INDEX(Cost.vectors[Description],MATCH(E89,Cost.vectors[Code],0))</f>
        <v>#REF!</v>
      </c>
      <c r="G89" s="159"/>
      <c r="H89" s="159"/>
      <c r="I89" s="159" t="e">
        <f>(5)*MGBP/Unit.GW*INDEX(assumptions.technology.baseyear[[Unit capacity]:[Unit capacity]],MATCH($D89,assumptions.technology.baseyear[[Description]:[Description]],0))*Unit.GW</f>
        <v>#N/A</v>
      </c>
      <c r="J89" s="159" t="e">
        <f>(5)*MGBP/Unit.GW*INDEX(assumptions.technology.baseyear[[Unit capacity]:[Unit capacity]],MATCH($D89,assumptions.technology.baseyear[[Description]:[Description]],0))*Unit.GW</f>
        <v>#N/A</v>
      </c>
      <c r="K89" s="159" t="e">
        <f>(5)*MGBP/Unit.GW*INDEX(assumptions.technology.baseyear[[Unit capacity]:[Unit capacity]],MATCH($D89,assumptions.technology.baseyear[[Description]:[Description]],0))*Unit.GW</f>
        <v>#N/A</v>
      </c>
      <c r="L89" s="159" t="e">
        <f>(5)*MGBP/Unit.GW*INDEX(assumptions.technology.baseyear[[Unit capacity]:[Unit capacity]],MATCH($D89,assumptions.technology.baseyear[[Description]:[Description]],0))*Unit.GW</f>
        <v>#N/A</v>
      </c>
      <c r="M89" s="159" t="e">
        <f>(5)*MGBP/Unit.GW*INDEX(assumptions.technology.baseyear[[Unit capacity]:[Unit capacity]],MATCH($D89,assumptions.technology.baseyear[[Description]:[Description]],0))*Unit.GW</f>
        <v>#N/A</v>
      </c>
      <c r="N89" s="159" t="e">
        <f>(5)*MGBP/Unit.GW*INDEX(assumptions.technology.baseyear[[Unit capacity]:[Unit capacity]],MATCH($D89,assumptions.technology.baseyear[[Description]:[Description]],0))*Unit.GW</f>
        <v>#N/A</v>
      </c>
      <c r="O89" s="159" t="e">
        <f>(5)*MGBP/Unit.GW*INDEX(assumptions.technology.baseyear[[Unit capacity]:[Unit capacity]],MATCH($D89,assumptions.technology.baseyear[[Description]:[Description]],0))*Unit.GW</f>
        <v>#N/A</v>
      </c>
      <c r="P89" s="159" t="e">
        <f>(5)*MGBP/Unit.GW*INDEX(assumptions.technology.baseyear[[Unit capacity]:[Unit capacity]],MATCH($D89,assumptions.technology.baseyear[[Description]:[Description]],0))*Unit.GW</f>
        <v>#N/A</v>
      </c>
      <c r="Q89" s="159" t="e">
        <f>(5)*MGBP/Unit.GW*INDEX(assumptions.technology.baseyear[[Unit capacity]:[Unit capacity]],MATCH($D89,assumptions.technology.baseyear[[Description]:[Description]],0))*Unit.GW</f>
        <v>#N/A</v>
      </c>
      <c r="R89" s="159"/>
      <c r="T89" s="20"/>
      <c r="U89" s="20"/>
      <c r="V89" s="20"/>
      <c r="W89" s="20"/>
      <c r="X89" s="20"/>
    </row>
    <row r="90" spans="2:24">
      <c r="B90" s="159"/>
      <c r="C90" s="159" t="s">
        <v>729</v>
      </c>
      <c r="D90" s="159" t="e">
        <f>INDEX(Regional.Technologies[Description],MATCH($B$2&amp;"."&amp;assumptions.costs[[#This Row],[Technology code]],Regional.Technologies[Code],0))</f>
        <v>#N/A</v>
      </c>
      <c r="E90" s="159" t="s">
        <v>583</v>
      </c>
      <c r="F90" s="159" t="e">
        <f>INDEX(Region.codes[Description],MATCH(#REF!,Region.codes[Code],0))&amp;" "&amp;INDEX(Cost.vectors[Description],MATCH(E90,Cost.vectors[Code],0))</f>
        <v>#REF!</v>
      </c>
      <c r="G90" s="159"/>
      <c r="H90" s="159"/>
      <c r="I90" s="159" t="e">
        <f>(5)*MGBP/Unit.GW*INDEX(assumptions.technology.baseyear[[Unit capacity]:[Unit capacity]],MATCH($D90,assumptions.technology.baseyear[[Description]:[Description]],0))*Unit.GW</f>
        <v>#N/A</v>
      </c>
      <c r="J90" s="159" t="e">
        <f>(5)*MGBP/Unit.GW*INDEX(assumptions.technology.baseyear[[Unit capacity]:[Unit capacity]],MATCH($D90,assumptions.technology.baseyear[[Description]:[Description]],0))*Unit.GW</f>
        <v>#N/A</v>
      </c>
      <c r="K90" s="159" t="e">
        <f>(5)*MGBP/Unit.GW*INDEX(assumptions.technology.baseyear[[Unit capacity]:[Unit capacity]],MATCH($D90,assumptions.technology.baseyear[[Description]:[Description]],0))*Unit.GW</f>
        <v>#N/A</v>
      </c>
      <c r="L90" s="159" t="e">
        <f>(5)*MGBP/Unit.GW*INDEX(assumptions.technology.baseyear[[Unit capacity]:[Unit capacity]],MATCH($D90,assumptions.technology.baseyear[[Description]:[Description]],0))*Unit.GW</f>
        <v>#N/A</v>
      </c>
      <c r="M90" s="159" t="e">
        <f>(5)*MGBP/Unit.GW*INDEX(assumptions.technology.baseyear[[Unit capacity]:[Unit capacity]],MATCH($D90,assumptions.technology.baseyear[[Description]:[Description]],0))*Unit.GW</f>
        <v>#N/A</v>
      </c>
      <c r="N90" s="159" t="e">
        <f>(5)*MGBP/Unit.GW*INDEX(assumptions.technology.baseyear[[Unit capacity]:[Unit capacity]],MATCH($D90,assumptions.technology.baseyear[[Description]:[Description]],0))*Unit.GW</f>
        <v>#N/A</v>
      </c>
      <c r="O90" s="159" t="e">
        <f>(5)*MGBP/Unit.GW*INDEX(assumptions.technology.baseyear[[Unit capacity]:[Unit capacity]],MATCH($D90,assumptions.technology.baseyear[[Description]:[Description]],0))*Unit.GW</f>
        <v>#N/A</v>
      </c>
      <c r="P90" s="159" t="e">
        <f>(5)*MGBP/Unit.GW*INDEX(assumptions.technology.baseyear[[Unit capacity]:[Unit capacity]],MATCH($D90,assumptions.technology.baseyear[[Description]:[Description]],0))*Unit.GW</f>
        <v>#N/A</v>
      </c>
      <c r="Q90" s="159" t="e">
        <f>(5)*MGBP/Unit.GW*INDEX(assumptions.technology.baseyear[[Unit capacity]:[Unit capacity]],MATCH($D90,assumptions.technology.baseyear[[Description]:[Description]],0))*Unit.GW</f>
        <v>#N/A</v>
      </c>
      <c r="R90" s="159"/>
      <c r="T90" s="20"/>
      <c r="U90" s="20"/>
      <c r="V90" s="20"/>
      <c r="W90" s="20"/>
      <c r="X90" s="20"/>
    </row>
    <row r="91" spans="2:24">
      <c r="B91" s="159"/>
      <c r="C91" s="159" t="s">
        <v>730</v>
      </c>
      <c r="D91" s="159" t="e">
        <f>INDEX(Regional.Technologies[Description],MATCH($B$2&amp;"."&amp;assumptions.costs[[#This Row],[Technology code]],Regional.Technologies[Code],0))</f>
        <v>#N/A</v>
      </c>
      <c r="E91" s="159" t="s">
        <v>578</v>
      </c>
      <c r="F91" s="159" t="e">
        <f>INDEX(Region.codes[Description],MATCH(#REF!,Region.codes[Code],0))&amp;" "&amp;INDEX(Cost.vectors[Description],MATCH(E91,Cost.vectors[Code],0))</f>
        <v>#REF!</v>
      </c>
      <c r="G91" s="159"/>
      <c r="H91" s="159"/>
      <c r="I91" s="159" t="e">
        <f>(5)*MGBP/Unit.GW*INDEX(assumptions.technology.baseyear[[Unit capacity]:[Unit capacity]],MATCH($D91,assumptions.technology.baseyear[[Description]:[Description]],0))*Unit.GW</f>
        <v>#N/A</v>
      </c>
      <c r="J91" s="159" t="e">
        <f>(5)*MGBP/Unit.GW*INDEX(assumptions.technology.baseyear[[Unit capacity]:[Unit capacity]],MATCH($D91,assumptions.technology.baseyear[[Description]:[Description]],0))*Unit.GW</f>
        <v>#N/A</v>
      </c>
      <c r="K91" s="159" t="e">
        <f>(5)*MGBP/Unit.GW*INDEX(assumptions.technology.baseyear[[Unit capacity]:[Unit capacity]],MATCH($D91,assumptions.technology.baseyear[[Description]:[Description]],0))*Unit.GW</f>
        <v>#N/A</v>
      </c>
      <c r="L91" s="159" t="e">
        <f>(5)*MGBP/Unit.GW*INDEX(assumptions.technology.baseyear[[Unit capacity]:[Unit capacity]],MATCH($D91,assumptions.technology.baseyear[[Description]:[Description]],0))*Unit.GW</f>
        <v>#N/A</v>
      </c>
      <c r="M91" s="159" t="e">
        <f>(5)*MGBP/Unit.GW*INDEX(assumptions.technology.baseyear[[Unit capacity]:[Unit capacity]],MATCH($D91,assumptions.technology.baseyear[[Description]:[Description]],0))*Unit.GW</f>
        <v>#N/A</v>
      </c>
      <c r="N91" s="159" t="e">
        <f>(5)*MGBP/Unit.GW*INDEX(assumptions.technology.baseyear[[Unit capacity]:[Unit capacity]],MATCH($D91,assumptions.technology.baseyear[[Description]:[Description]],0))*Unit.GW</f>
        <v>#N/A</v>
      </c>
      <c r="O91" s="159" t="e">
        <f>(5)*MGBP/Unit.GW*INDEX(assumptions.technology.baseyear[[Unit capacity]:[Unit capacity]],MATCH($D91,assumptions.technology.baseyear[[Description]:[Description]],0))*Unit.GW</f>
        <v>#N/A</v>
      </c>
      <c r="P91" s="159" t="e">
        <f>(5)*MGBP/Unit.GW*INDEX(assumptions.technology.baseyear[[Unit capacity]:[Unit capacity]],MATCH($D91,assumptions.technology.baseyear[[Description]:[Description]],0))*Unit.GW</f>
        <v>#N/A</v>
      </c>
      <c r="Q91" s="159" t="e">
        <f>(5)*MGBP/Unit.GW*INDEX(assumptions.technology.baseyear[[Unit capacity]:[Unit capacity]],MATCH($D91,assumptions.technology.baseyear[[Description]:[Description]],0))*Unit.GW</f>
        <v>#N/A</v>
      </c>
      <c r="R91" s="159"/>
      <c r="T91" s="20"/>
      <c r="U91" s="20"/>
      <c r="V91" s="20"/>
      <c r="W91" s="20"/>
      <c r="X91" s="20"/>
    </row>
    <row r="92" spans="2:24">
      <c r="B92" s="159"/>
      <c r="C92" s="159" t="s">
        <v>730</v>
      </c>
      <c r="D92" s="159" t="e">
        <f>INDEX(Regional.Technologies[Description],MATCH($B$2&amp;"."&amp;assumptions.costs[[#This Row],[Technology code]],Regional.Technologies[Code],0))</f>
        <v>#N/A</v>
      </c>
      <c r="E92" s="159" t="s">
        <v>579</v>
      </c>
      <c r="F92" s="159" t="e">
        <f>INDEX(Region.codes[Description],MATCH(#REF!,Region.codes[Code],0))&amp;" "&amp;INDEX(Cost.vectors[Description],MATCH(E92,Cost.vectors[Code],0))</f>
        <v>#REF!</v>
      </c>
      <c r="G92" s="159"/>
      <c r="H92" s="159"/>
      <c r="I92" s="159" t="e">
        <f>(5)*MGBP/Unit.GW*INDEX(assumptions.technology.baseyear[[Unit capacity]:[Unit capacity]],MATCH($D92,assumptions.technology.baseyear[[Description]:[Description]],0))*Unit.GW</f>
        <v>#N/A</v>
      </c>
      <c r="J92" s="159" t="e">
        <f>(5)*MGBP/Unit.GW*INDEX(assumptions.technology.baseyear[[Unit capacity]:[Unit capacity]],MATCH($D92,assumptions.technology.baseyear[[Description]:[Description]],0))*Unit.GW</f>
        <v>#N/A</v>
      </c>
      <c r="K92" s="159" t="e">
        <f>(5)*MGBP/Unit.GW*INDEX(assumptions.technology.baseyear[[Unit capacity]:[Unit capacity]],MATCH($D92,assumptions.technology.baseyear[[Description]:[Description]],0))*Unit.GW</f>
        <v>#N/A</v>
      </c>
      <c r="L92" s="159" t="e">
        <f>(5)*MGBP/Unit.GW*INDEX(assumptions.technology.baseyear[[Unit capacity]:[Unit capacity]],MATCH($D92,assumptions.technology.baseyear[[Description]:[Description]],0))*Unit.GW</f>
        <v>#N/A</v>
      </c>
      <c r="M92" s="159" t="e">
        <f>(5)*MGBP/Unit.GW*INDEX(assumptions.technology.baseyear[[Unit capacity]:[Unit capacity]],MATCH($D92,assumptions.technology.baseyear[[Description]:[Description]],0))*Unit.GW</f>
        <v>#N/A</v>
      </c>
      <c r="N92" s="159" t="e">
        <f>(5)*MGBP/Unit.GW*INDEX(assumptions.technology.baseyear[[Unit capacity]:[Unit capacity]],MATCH($D92,assumptions.technology.baseyear[[Description]:[Description]],0))*Unit.GW</f>
        <v>#N/A</v>
      </c>
      <c r="O92" s="159" t="e">
        <f>(5)*MGBP/Unit.GW*INDEX(assumptions.technology.baseyear[[Unit capacity]:[Unit capacity]],MATCH($D92,assumptions.technology.baseyear[[Description]:[Description]],0))*Unit.GW</f>
        <v>#N/A</v>
      </c>
      <c r="P92" s="159" t="e">
        <f>(5)*MGBP/Unit.GW*INDEX(assumptions.technology.baseyear[[Unit capacity]:[Unit capacity]],MATCH($D92,assumptions.technology.baseyear[[Description]:[Description]],0))*Unit.GW</f>
        <v>#N/A</v>
      </c>
      <c r="Q92" s="159" t="e">
        <f>(5)*MGBP/Unit.GW*INDEX(assumptions.technology.baseyear[[Unit capacity]:[Unit capacity]],MATCH($D92,assumptions.technology.baseyear[[Description]:[Description]],0))*Unit.GW</f>
        <v>#N/A</v>
      </c>
      <c r="R92" s="159"/>
      <c r="T92" s="20"/>
      <c r="U92" s="20"/>
      <c r="V92" s="20"/>
      <c r="W92" s="20"/>
      <c r="X92" s="20"/>
    </row>
    <row r="93" spans="2:24">
      <c r="B93" s="159"/>
      <c r="C93" s="159" t="s">
        <v>730</v>
      </c>
      <c r="D93" s="159" t="e">
        <f>INDEX(Regional.Technologies[Description],MATCH($B$2&amp;"."&amp;assumptions.costs[[#This Row],[Technology code]],Regional.Technologies[Code],0))</f>
        <v>#N/A</v>
      </c>
      <c r="E93" s="159" t="s">
        <v>580</v>
      </c>
      <c r="F93" s="159" t="e">
        <f>INDEX(Region.codes[Description],MATCH(#REF!,Region.codes[Code],0))&amp;" "&amp;INDEX(Cost.vectors[Description],MATCH(E93,Cost.vectors[Code],0))</f>
        <v>#REF!</v>
      </c>
      <c r="G93" s="159"/>
      <c r="H93" s="159"/>
      <c r="I93" s="159" t="e">
        <f>(5)*MGBP/Unit.GW*INDEX(assumptions.technology.baseyear[[Unit capacity]:[Unit capacity]],MATCH($D93,assumptions.technology.baseyear[[Description]:[Description]],0))*Unit.GW</f>
        <v>#N/A</v>
      </c>
      <c r="J93" s="159" t="e">
        <f>(5)*MGBP/Unit.GW*INDEX(assumptions.technology.baseyear[[Unit capacity]:[Unit capacity]],MATCH($D93,assumptions.technology.baseyear[[Description]:[Description]],0))*Unit.GW</f>
        <v>#N/A</v>
      </c>
      <c r="K93" s="159" t="e">
        <f>(5)*MGBP/Unit.GW*INDEX(assumptions.technology.baseyear[[Unit capacity]:[Unit capacity]],MATCH($D93,assumptions.technology.baseyear[[Description]:[Description]],0))*Unit.GW</f>
        <v>#N/A</v>
      </c>
      <c r="L93" s="159" t="e">
        <f>(5)*MGBP/Unit.GW*INDEX(assumptions.technology.baseyear[[Unit capacity]:[Unit capacity]],MATCH($D93,assumptions.technology.baseyear[[Description]:[Description]],0))*Unit.GW</f>
        <v>#N/A</v>
      </c>
      <c r="M93" s="159" t="e">
        <f>(5)*MGBP/Unit.GW*INDEX(assumptions.technology.baseyear[[Unit capacity]:[Unit capacity]],MATCH($D93,assumptions.technology.baseyear[[Description]:[Description]],0))*Unit.GW</f>
        <v>#N/A</v>
      </c>
      <c r="N93" s="159" t="e">
        <f>(5)*MGBP/Unit.GW*INDEX(assumptions.technology.baseyear[[Unit capacity]:[Unit capacity]],MATCH($D93,assumptions.technology.baseyear[[Description]:[Description]],0))*Unit.GW</f>
        <v>#N/A</v>
      </c>
      <c r="O93" s="159" t="e">
        <f>(5)*MGBP/Unit.GW*INDEX(assumptions.technology.baseyear[[Unit capacity]:[Unit capacity]],MATCH($D93,assumptions.technology.baseyear[[Description]:[Description]],0))*Unit.GW</f>
        <v>#N/A</v>
      </c>
      <c r="P93" s="159" t="e">
        <f>(5)*MGBP/Unit.GW*INDEX(assumptions.technology.baseyear[[Unit capacity]:[Unit capacity]],MATCH($D93,assumptions.technology.baseyear[[Description]:[Description]],0))*Unit.GW</f>
        <v>#N/A</v>
      </c>
      <c r="Q93" s="159" t="e">
        <f>(5)*MGBP/Unit.GW*INDEX(assumptions.technology.baseyear[[Unit capacity]:[Unit capacity]],MATCH($D93,assumptions.technology.baseyear[[Description]:[Description]],0))*Unit.GW</f>
        <v>#N/A</v>
      </c>
      <c r="R93" s="159"/>
      <c r="T93" s="20"/>
      <c r="U93" s="20"/>
      <c r="V93" s="20"/>
      <c r="W93" s="20"/>
      <c r="X93" s="20"/>
    </row>
    <row r="94" spans="2:24">
      <c r="B94" s="159"/>
      <c r="C94" s="159" t="s">
        <v>730</v>
      </c>
      <c r="D94" s="159" t="e">
        <f>INDEX(Regional.Technologies[Description],MATCH($B$2&amp;"."&amp;assumptions.costs[[#This Row],[Technology code]],Regional.Technologies[Code],0))</f>
        <v>#N/A</v>
      </c>
      <c r="E94" s="159" t="s">
        <v>581</v>
      </c>
      <c r="F94" s="159" t="e">
        <f>INDEX(Region.codes[Description],MATCH(#REF!,Region.codes[Code],0))&amp;" "&amp;INDEX(Cost.vectors[Description],MATCH(E94,Cost.vectors[Code],0))</f>
        <v>#REF!</v>
      </c>
      <c r="G94" s="159"/>
      <c r="H94" s="159"/>
      <c r="I94" s="159" t="e">
        <f>(5)*MGBP/Unit.GW*INDEX(assumptions.technology.baseyear[[Unit capacity]:[Unit capacity]],MATCH($D94,assumptions.technology.baseyear[[Description]:[Description]],0))*Unit.GW</f>
        <v>#N/A</v>
      </c>
      <c r="J94" s="159" t="e">
        <f>(5)*MGBP/Unit.GW*INDEX(assumptions.technology.baseyear[[Unit capacity]:[Unit capacity]],MATCH($D94,assumptions.technology.baseyear[[Description]:[Description]],0))*Unit.GW</f>
        <v>#N/A</v>
      </c>
      <c r="K94" s="159" t="e">
        <f>(5)*MGBP/Unit.GW*INDEX(assumptions.technology.baseyear[[Unit capacity]:[Unit capacity]],MATCH($D94,assumptions.technology.baseyear[[Description]:[Description]],0))*Unit.GW</f>
        <v>#N/A</v>
      </c>
      <c r="L94" s="159" t="e">
        <f>(5)*MGBP/Unit.GW*INDEX(assumptions.technology.baseyear[[Unit capacity]:[Unit capacity]],MATCH($D94,assumptions.technology.baseyear[[Description]:[Description]],0))*Unit.GW</f>
        <v>#N/A</v>
      </c>
      <c r="M94" s="159" t="e">
        <f>(5)*MGBP/Unit.GW*INDEX(assumptions.technology.baseyear[[Unit capacity]:[Unit capacity]],MATCH($D94,assumptions.technology.baseyear[[Description]:[Description]],0))*Unit.GW</f>
        <v>#N/A</v>
      </c>
      <c r="N94" s="159" t="e">
        <f>(5)*MGBP/Unit.GW*INDEX(assumptions.technology.baseyear[[Unit capacity]:[Unit capacity]],MATCH($D94,assumptions.technology.baseyear[[Description]:[Description]],0))*Unit.GW</f>
        <v>#N/A</v>
      </c>
      <c r="O94" s="159" t="e">
        <f>(5)*MGBP/Unit.GW*INDEX(assumptions.technology.baseyear[[Unit capacity]:[Unit capacity]],MATCH($D94,assumptions.technology.baseyear[[Description]:[Description]],0))*Unit.GW</f>
        <v>#N/A</v>
      </c>
      <c r="P94" s="159" t="e">
        <f>(5)*MGBP/Unit.GW*INDEX(assumptions.technology.baseyear[[Unit capacity]:[Unit capacity]],MATCH($D94,assumptions.technology.baseyear[[Description]:[Description]],0))*Unit.GW</f>
        <v>#N/A</v>
      </c>
      <c r="Q94" s="159" t="e">
        <f>(5)*MGBP/Unit.GW*INDEX(assumptions.technology.baseyear[[Unit capacity]:[Unit capacity]],MATCH($D94,assumptions.technology.baseyear[[Description]:[Description]],0))*Unit.GW</f>
        <v>#N/A</v>
      </c>
      <c r="R94" s="159"/>
      <c r="T94" s="20"/>
      <c r="U94" s="20"/>
      <c r="V94" s="20"/>
      <c r="W94" s="20"/>
      <c r="X94" s="20"/>
    </row>
    <row r="95" spans="2:24">
      <c r="B95" s="159"/>
      <c r="C95" s="159" t="s">
        <v>730</v>
      </c>
      <c r="D95" s="159" t="e">
        <f>INDEX(Regional.Technologies[Description],MATCH($B$2&amp;"."&amp;assumptions.costs[[#This Row],[Technology code]],Regional.Technologies[Code],0))</f>
        <v>#N/A</v>
      </c>
      <c r="E95" s="159" t="s">
        <v>582</v>
      </c>
      <c r="F95" s="159" t="e">
        <f>INDEX(Region.codes[Description],MATCH(#REF!,Region.codes[Code],0))&amp;" "&amp;INDEX(Cost.vectors[Description],MATCH(E95,Cost.vectors[Code],0))</f>
        <v>#REF!</v>
      </c>
      <c r="G95" s="159"/>
      <c r="H95" s="159"/>
      <c r="I95" s="159" t="e">
        <f>(5)*MGBP/Unit.GW*INDEX(assumptions.technology.baseyear[[Unit capacity]:[Unit capacity]],MATCH($D95,assumptions.technology.baseyear[[Description]:[Description]],0))*Unit.GW</f>
        <v>#N/A</v>
      </c>
      <c r="J95" s="159" t="e">
        <f>(5)*MGBP/Unit.GW*INDEX(assumptions.technology.baseyear[[Unit capacity]:[Unit capacity]],MATCH($D95,assumptions.technology.baseyear[[Description]:[Description]],0))*Unit.GW</f>
        <v>#N/A</v>
      </c>
      <c r="K95" s="159" t="e">
        <f>(5)*MGBP/Unit.GW*INDEX(assumptions.technology.baseyear[[Unit capacity]:[Unit capacity]],MATCH($D95,assumptions.technology.baseyear[[Description]:[Description]],0))*Unit.GW</f>
        <v>#N/A</v>
      </c>
      <c r="L95" s="159" t="e">
        <f>(5)*MGBP/Unit.GW*INDEX(assumptions.technology.baseyear[[Unit capacity]:[Unit capacity]],MATCH($D95,assumptions.technology.baseyear[[Description]:[Description]],0))*Unit.GW</f>
        <v>#N/A</v>
      </c>
      <c r="M95" s="159" t="e">
        <f>(5)*MGBP/Unit.GW*INDEX(assumptions.technology.baseyear[[Unit capacity]:[Unit capacity]],MATCH($D95,assumptions.technology.baseyear[[Description]:[Description]],0))*Unit.GW</f>
        <v>#N/A</v>
      </c>
      <c r="N95" s="159" t="e">
        <f>(5)*MGBP/Unit.GW*INDEX(assumptions.technology.baseyear[[Unit capacity]:[Unit capacity]],MATCH($D95,assumptions.technology.baseyear[[Description]:[Description]],0))*Unit.GW</f>
        <v>#N/A</v>
      </c>
      <c r="O95" s="159" t="e">
        <f>(5)*MGBP/Unit.GW*INDEX(assumptions.technology.baseyear[[Unit capacity]:[Unit capacity]],MATCH($D95,assumptions.technology.baseyear[[Description]:[Description]],0))*Unit.GW</f>
        <v>#N/A</v>
      </c>
      <c r="P95" s="159" t="e">
        <f>(5)*MGBP/Unit.GW*INDEX(assumptions.technology.baseyear[[Unit capacity]:[Unit capacity]],MATCH($D95,assumptions.technology.baseyear[[Description]:[Description]],0))*Unit.GW</f>
        <v>#N/A</v>
      </c>
      <c r="Q95" s="159" t="e">
        <f>(5)*MGBP/Unit.GW*INDEX(assumptions.technology.baseyear[[Unit capacity]:[Unit capacity]],MATCH($D95,assumptions.technology.baseyear[[Description]:[Description]],0))*Unit.GW</f>
        <v>#N/A</v>
      </c>
      <c r="R95" s="159"/>
      <c r="T95" s="20"/>
      <c r="U95" s="20"/>
      <c r="V95" s="20"/>
      <c r="W95" s="20"/>
      <c r="X95" s="20"/>
    </row>
    <row r="96" spans="2:24">
      <c r="B96" s="159"/>
      <c r="C96" s="159" t="s">
        <v>730</v>
      </c>
      <c r="D96" s="159" t="e">
        <f>INDEX(Regional.Technologies[Description],MATCH($B$2&amp;"."&amp;assumptions.costs[[#This Row],[Technology code]],Regional.Technologies[Code],0))</f>
        <v>#N/A</v>
      </c>
      <c r="E96" s="159" t="s">
        <v>583</v>
      </c>
      <c r="F96" s="159" t="e">
        <f>INDEX(Region.codes[Description],MATCH(#REF!,Region.codes[Code],0))&amp;" "&amp;INDEX(Cost.vectors[Description],MATCH(E96,Cost.vectors[Code],0))</f>
        <v>#REF!</v>
      </c>
      <c r="G96" s="159"/>
      <c r="H96" s="159"/>
      <c r="I96" s="159" t="e">
        <f>(5)*MGBP/Unit.GW*INDEX(assumptions.technology.baseyear[[Unit capacity]:[Unit capacity]],MATCH($D96,assumptions.technology.baseyear[[Description]:[Description]],0))*Unit.GW</f>
        <v>#N/A</v>
      </c>
      <c r="J96" s="159" t="e">
        <f>(5)*MGBP/Unit.GW*INDEX(assumptions.technology.baseyear[[Unit capacity]:[Unit capacity]],MATCH($D96,assumptions.technology.baseyear[[Description]:[Description]],0))*Unit.GW</f>
        <v>#N/A</v>
      </c>
      <c r="K96" s="159" t="e">
        <f>(5)*MGBP/Unit.GW*INDEX(assumptions.technology.baseyear[[Unit capacity]:[Unit capacity]],MATCH($D96,assumptions.technology.baseyear[[Description]:[Description]],0))*Unit.GW</f>
        <v>#N/A</v>
      </c>
      <c r="L96" s="159" t="e">
        <f>(5)*MGBP/Unit.GW*INDEX(assumptions.technology.baseyear[[Unit capacity]:[Unit capacity]],MATCH($D96,assumptions.technology.baseyear[[Description]:[Description]],0))*Unit.GW</f>
        <v>#N/A</v>
      </c>
      <c r="M96" s="159" t="e">
        <f>(5)*MGBP/Unit.GW*INDEX(assumptions.technology.baseyear[[Unit capacity]:[Unit capacity]],MATCH($D96,assumptions.technology.baseyear[[Description]:[Description]],0))*Unit.GW</f>
        <v>#N/A</v>
      </c>
      <c r="N96" s="159" t="e">
        <f>(5)*MGBP/Unit.GW*INDEX(assumptions.technology.baseyear[[Unit capacity]:[Unit capacity]],MATCH($D96,assumptions.technology.baseyear[[Description]:[Description]],0))*Unit.GW</f>
        <v>#N/A</v>
      </c>
      <c r="O96" s="159" t="e">
        <f>(5)*MGBP/Unit.GW*INDEX(assumptions.technology.baseyear[[Unit capacity]:[Unit capacity]],MATCH($D96,assumptions.technology.baseyear[[Description]:[Description]],0))*Unit.GW</f>
        <v>#N/A</v>
      </c>
      <c r="P96" s="159" t="e">
        <f>(5)*MGBP/Unit.GW*INDEX(assumptions.technology.baseyear[[Unit capacity]:[Unit capacity]],MATCH($D96,assumptions.technology.baseyear[[Description]:[Description]],0))*Unit.GW</f>
        <v>#N/A</v>
      </c>
      <c r="Q96" s="159" t="e">
        <f>(5)*MGBP/Unit.GW*INDEX(assumptions.technology.baseyear[[Unit capacity]:[Unit capacity]],MATCH($D96,assumptions.technology.baseyear[[Description]:[Description]],0))*Unit.GW</f>
        <v>#N/A</v>
      </c>
      <c r="R96" s="159"/>
      <c r="T96" s="20"/>
      <c r="U96" s="20"/>
      <c r="V96" s="20"/>
      <c r="W96" s="20"/>
      <c r="X96" s="20"/>
    </row>
    <row r="97" spans="2:24">
      <c r="B97" s="159"/>
      <c r="C97" s="159" t="s">
        <v>731</v>
      </c>
      <c r="D97" s="159" t="e">
        <f>INDEX(Regional.Technologies[Description],MATCH($B$2&amp;"."&amp;assumptions.costs[[#This Row],[Technology code]],Regional.Technologies[Code],0))</f>
        <v>#N/A</v>
      </c>
      <c r="E97" s="159" t="s">
        <v>578</v>
      </c>
      <c r="F97" s="159" t="e">
        <f>INDEX(Region.codes[Description],MATCH(#REF!,Region.codes[Code],0))&amp;" "&amp;INDEX(Cost.vectors[Description],MATCH(E97,Cost.vectors[Code],0))</f>
        <v>#REF!</v>
      </c>
      <c r="G97" s="159"/>
      <c r="H97" s="159"/>
      <c r="I97" s="159" t="e">
        <f>(5)*MGBP/Unit.GW*INDEX(assumptions.technology.baseyear[[Unit capacity]:[Unit capacity]],MATCH($D97,assumptions.technology.baseyear[[Description]:[Description]],0))*Unit.GW</f>
        <v>#N/A</v>
      </c>
      <c r="J97" s="159" t="e">
        <f>(5)*MGBP/Unit.GW*INDEX(assumptions.technology.baseyear[[Unit capacity]:[Unit capacity]],MATCH($D97,assumptions.technology.baseyear[[Description]:[Description]],0))*Unit.GW</f>
        <v>#N/A</v>
      </c>
      <c r="K97" s="159" t="e">
        <f>(5)*MGBP/Unit.GW*INDEX(assumptions.technology.baseyear[[Unit capacity]:[Unit capacity]],MATCH($D97,assumptions.technology.baseyear[[Description]:[Description]],0))*Unit.GW</f>
        <v>#N/A</v>
      </c>
      <c r="L97" s="159" t="e">
        <f>(5)*MGBP/Unit.GW*INDEX(assumptions.technology.baseyear[[Unit capacity]:[Unit capacity]],MATCH($D97,assumptions.technology.baseyear[[Description]:[Description]],0))*Unit.GW</f>
        <v>#N/A</v>
      </c>
      <c r="M97" s="159" t="e">
        <f>(5)*MGBP/Unit.GW*INDEX(assumptions.technology.baseyear[[Unit capacity]:[Unit capacity]],MATCH($D97,assumptions.technology.baseyear[[Description]:[Description]],0))*Unit.GW</f>
        <v>#N/A</v>
      </c>
      <c r="N97" s="159" t="e">
        <f>(5)*MGBP/Unit.GW*INDEX(assumptions.technology.baseyear[[Unit capacity]:[Unit capacity]],MATCH($D97,assumptions.technology.baseyear[[Description]:[Description]],0))*Unit.GW</f>
        <v>#N/A</v>
      </c>
      <c r="O97" s="159" t="e">
        <f>(5)*MGBP/Unit.GW*INDEX(assumptions.technology.baseyear[[Unit capacity]:[Unit capacity]],MATCH($D97,assumptions.technology.baseyear[[Description]:[Description]],0))*Unit.GW</f>
        <v>#N/A</v>
      </c>
      <c r="P97" s="159" t="e">
        <f>(5)*MGBP/Unit.GW*INDEX(assumptions.technology.baseyear[[Unit capacity]:[Unit capacity]],MATCH($D97,assumptions.technology.baseyear[[Description]:[Description]],0))*Unit.GW</f>
        <v>#N/A</v>
      </c>
      <c r="Q97" s="159" t="e">
        <f>(5)*MGBP/Unit.GW*INDEX(assumptions.technology.baseyear[[Unit capacity]:[Unit capacity]],MATCH($D97,assumptions.technology.baseyear[[Description]:[Description]],0))*Unit.GW</f>
        <v>#N/A</v>
      </c>
      <c r="R97" s="159"/>
      <c r="T97" s="20"/>
      <c r="U97" s="20"/>
      <c r="V97" s="20"/>
      <c r="W97" s="20"/>
      <c r="X97" s="20"/>
    </row>
    <row r="98" spans="2:24">
      <c r="B98" s="159"/>
      <c r="C98" s="159" t="s">
        <v>731</v>
      </c>
      <c r="D98" s="159" t="e">
        <f>INDEX(Regional.Technologies[Description],MATCH($B$2&amp;"."&amp;assumptions.costs[[#This Row],[Technology code]],Regional.Technologies[Code],0))</f>
        <v>#N/A</v>
      </c>
      <c r="E98" s="159" t="s">
        <v>579</v>
      </c>
      <c r="F98" s="159" t="e">
        <f>INDEX(Region.codes[Description],MATCH(#REF!,Region.codes[Code],0))&amp;" "&amp;INDEX(Cost.vectors[Description],MATCH(E98,Cost.vectors[Code],0))</f>
        <v>#REF!</v>
      </c>
      <c r="G98" s="159"/>
      <c r="H98" s="159"/>
      <c r="I98" s="159" t="e">
        <f>(5)*MGBP/Unit.GW*INDEX(assumptions.technology.baseyear[[Unit capacity]:[Unit capacity]],MATCH($D98,assumptions.technology.baseyear[[Description]:[Description]],0))*Unit.GW</f>
        <v>#N/A</v>
      </c>
      <c r="J98" s="159" t="e">
        <f>(5)*MGBP/Unit.GW*INDEX(assumptions.technology.baseyear[[Unit capacity]:[Unit capacity]],MATCH($D98,assumptions.technology.baseyear[[Description]:[Description]],0))*Unit.GW</f>
        <v>#N/A</v>
      </c>
      <c r="K98" s="159" t="e">
        <f>(5)*MGBP/Unit.GW*INDEX(assumptions.technology.baseyear[[Unit capacity]:[Unit capacity]],MATCH($D98,assumptions.technology.baseyear[[Description]:[Description]],0))*Unit.GW</f>
        <v>#N/A</v>
      </c>
      <c r="L98" s="159" t="e">
        <f>(5)*MGBP/Unit.GW*INDEX(assumptions.technology.baseyear[[Unit capacity]:[Unit capacity]],MATCH($D98,assumptions.technology.baseyear[[Description]:[Description]],0))*Unit.GW</f>
        <v>#N/A</v>
      </c>
      <c r="M98" s="159" t="e">
        <f>(5)*MGBP/Unit.GW*INDEX(assumptions.technology.baseyear[[Unit capacity]:[Unit capacity]],MATCH($D98,assumptions.technology.baseyear[[Description]:[Description]],0))*Unit.GW</f>
        <v>#N/A</v>
      </c>
      <c r="N98" s="159" t="e">
        <f>(5)*MGBP/Unit.GW*INDEX(assumptions.technology.baseyear[[Unit capacity]:[Unit capacity]],MATCH($D98,assumptions.technology.baseyear[[Description]:[Description]],0))*Unit.GW</f>
        <v>#N/A</v>
      </c>
      <c r="O98" s="159" t="e">
        <f>(5)*MGBP/Unit.GW*INDEX(assumptions.technology.baseyear[[Unit capacity]:[Unit capacity]],MATCH($D98,assumptions.technology.baseyear[[Description]:[Description]],0))*Unit.GW</f>
        <v>#N/A</v>
      </c>
      <c r="P98" s="159" t="e">
        <f>(5)*MGBP/Unit.GW*INDEX(assumptions.technology.baseyear[[Unit capacity]:[Unit capacity]],MATCH($D98,assumptions.technology.baseyear[[Description]:[Description]],0))*Unit.GW</f>
        <v>#N/A</v>
      </c>
      <c r="Q98" s="159" t="e">
        <f>(5)*MGBP/Unit.GW*INDEX(assumptions.technology.baseyear[[Unit capacity]:[Unit capacity]],MATCH($D98,assumptions.technology.baseyear[[Description]:[Description]],0))*Unit.GW</f>
        <v>#N/A</v>
      </c>
      <c r="R98" s="159"/>
      <c r="T98" s="20"/>
      <c r="U98" s="20"/>
      <c r="V98" s="20"/>
      <c r="W98" s="20"/>
      <c r="X98" s="20"/>
    </row>
    <row r="99" spans="2:24">
      <c r="B99" s="159"/>
      <c r="C99" s="159" t="s">
        <v>731</v>
      </c>
      <c r="D99" s="159" t="e">
        <f>INDEX(Regional.Technologies[Description],MATCH($B$2&amp;"."&amp;assumptions.costs[[#This Row],[Technology code]],Regional.Technologies[Code],0))</f>
        <v>#N/A</v>
      </c>
      <c r="E99" s="159" t="s">
        <v>580</v>
      </c>
      <c r="F99" s="159" t="e">
        <f>INDEX(Region.codes[Description],MATCH(#REF!,Region.codes[Code],0))&amp;" "&amp;INDEX(Cost.vectors[Description],MATCH(E99,Cost.vectors[Code],0))</f>
        <v>#REF!</v>
      </c>
      <c r="G99" s="159"/>
      <c r="H99" s="159"/>
      <c r="I99" s="159" t="e">
        <f>(5)*MGBP/Unit.GW*INDEX(assumptions.technology.baseyear[[Unit capacity]:[Unit capacity]],MATCH($D99,assumptions.technology.baseyear[[Description]:[Description]],0))*Unit.GW</f>
        <v>#N/A</v>
      </c>
      <c r="J99" s="159" t="e">
        <f>(5)*MGBP/Unit.GW*INDEX(assumptions.technology.baseyear[[Unit capacity]:[Unit capacity]],MATCH($D99,assumptions.technology.baseyear[[Description]:[Description]],0))*Unit.GW</f>
        <v>#N/A</v>
      </c>
      <c r="K99" s="159" t="e">
        <f>(5)*MGBP/Unit.GW*INDEX(assumptions.technology.baseyear[[Unit capacity]:[Unit capacity]],MATCH($D99,assumptions.technology.baseyear[[Description]:[Description]],0))*Unit.GW</f>
        <v>#N/A</v>
      </c>
      <c r="L99" s="159" t="e">
        <f>(5)*MGBP/Unit.GW*INDEX(assumptions.technology.baseyear[[Unit capacity]:[Unit capacity]],MATCH($D99,assumptions.technology.baseyear[[Description]:[Description]],0))*Unit.GW</f>
        <v>#N/A</v>
      </c>
      <c r="M99" s="159" t="e">
        <f>(5)*MGBP/Unit.GW*INDEX(assumptions.technology.baseyear[[Unit capacity]:[Unit capacity]],MATCH($D99,assumptions.technology.baseyear[[Description]:[Description]],0))*Unit.GW</f>
        <v>#N/A</v>
      </c>
      <c r="N99" s="159" t="e">
        <f>(5)*MGBP/Unit.GW*INDEX(assumptions.technology.baseyear[[Unit capacity]:[Unit capacity]],MATCH($D99,assumptions.technology.baseyear[[Description]:[Description]],0))*Unit.GW</f>
        <v>#N/A</v>
      </c>
      <c r="O99" s="159" t="e">
        <f>(5)*MGBP/Unit.GW*INDEX(assumptions.technology.baseyear[[Unit capacity]:[Unit capacity]],MATCH($D99,assumptions.technology.baseyear[[Description]:[Description]],0))*Unit.GW</f>
        <v>#N/A</v>
      </c>
      <c r="P99" s="159" t="e">
        <f>(5)*MGBP/Unit.GW*INDEX(assumptions.technology.baseyear[[Unit capacity]:[Unit capacity]],MATCH($D99,assumptions.technology.baseyear[[Description]:[Description]],0))*Unit.GW</f>
        <v>#N/A</v>
      </c>
      <c r="Q99" s="159" t="e">
        <f>(5)*MGBP/Unit.GW*INDEX(assumptions.technology.baseyear[[Unit capacity]:[Unit capacity]],MATCH($D99,assumptions.technology.baseyear[[Description]:[Description]],0))*Unit.GW</f>
        <v>#N/A</v>
      </c>
      <c r="R99" s="159"/>
      <c r="T99" s="20"/>
      <c r="U99" s="20"/>
      <c r="V99" s="20"/>
      <c r="W99" s="20"/>
      <c r="X99" s="20"/>
    </row>
    <row r="100" spans="2:24">
      <c r="B100" s="159"/>
      <c r="C100" s="159" t="s">
        <v>731</v>
      </c>
      <c r="D100" s="159" t="e">
        <f>INDEX(Regional.Technologies[Description],MATCH($B$2&amp;"."&amp;assumptions.costs[[#This Row],[Technology code]],Regional.Technologies[Code],0))</f>
        <v>#N/A</v>
      </c>
      <c r="E100" s="159" t="s">
        <v>581</v>
      </c>
      <c r="F100" s="159" t="e">
        <f>INDEX(Region.codes[Description],MATCH(#REF!,Region.codes[Code],0))&amp;" "&amp;INDEX(Cost.vectors[Description],MATCH(E100,Cost.vectors[Code],0))</f>
        <v>#REF!</v>
      </c>
      <c r="G100" s="159"/>
      <c r="H100" s="159"/>
      <c r="I100" s="159" t="e">
        <f>(5)*MGBP/Unit.GW*INDEX(assumptions.technology.baseyear[[Unit capacity]:[Unit capacity]],MATCH($D100,assumptions.technology.baseyear[[Description]:[Description]],0))*Unit.GW</f>
        <v>#N/A</v>
      </c>
      <c r="J100" s="159" t="e">
        <f>(5)*MGBP/Unit.GW*INDEX(assumptions.technology.baseyear[[Unit capacity]:[Unit capacity]],MATCH($D100,assumptions.technology.baseyear[[Description]:[Description]],0))*Unit.GW</f>
        <v>#N/A</v>
      </c>
      <c r="K100" s="159" t="e">
        <f>(5)*MGBP/Unit.GW*INDEX(assumptions.technology.baseyear[[Unit capacity]:[Unit capacity]],MATCH($D100,assumptions.technology.baseyear[[Description]:[Description]],0))*Unit.GW</f>
        <v>#N/A</v>
      </c>
      <c r="L100" s="159" t="e">
        <f>(5)*MGBP/Unit.GW*INDEX(assumptions.technology.baseyear[[Unit capacity]:[Unit capacity]],MATCH($D100,assumptions.technology.baseyear[[Description]:[Description]],0))*Unit.GW</f>
        <v>#N/A</v>
      </c>
      <c r="M100" s="159" t="e">
        <f>(5)*MGBP/Unit.GW*INDEX(assumptions.technology.baseyear[[Unit capacity]:[Unit capacity]],MATCH($D100,assumptions.technology.baseyear[[Description]:[Description]],0))*Unit.GW</f>
        <v>#N/A</v>
      </c>
      <c r="N100" s="159" t="e">
        <f>(5)*MGBP/Unit.GW*INDEX(assumptions.technology.baseyear[[Unit capacity]:[Unit capacity]],MATCH($D100,assumptions.technology.baseyear[[Description]:[Description]],0))*Unit.GW</f>
        <v>#N/A</v>
      </c>
      <c r="O100" s="159" t="e">
        <f>(5)*MGBP/Unit.GW*INDEX(assumptions.technology.baseyear[[Unit capacity]:[Unit capacity]],MATCH($D100,assumptions.technology.baseyear[[Description]:[Description]],0))*Unit.GW</f>
        <v>#N/A</v>
      </c>
      <c r="P100" s="159" t="e">
        <f>(5)*MGBP/Unit.GW*INDEX(assumptions.technology.baseyear[[Unit capacity]:[Unit capacity]],MATCH($D100,assumptions.technology.baseyear[[Description]:[Description]],0))*Unit.GW</f>
        <v>#N/A</v>
      </c>
      <c r="Q100" s="159" t="e">
        <f>(5)*MGBP/Unit.GW*INDEX(assumptions.technology.baseyear[[Unit capacity]:[Unit capacity]],MATCH($D100,assumptions.technology.baseyear[[Description]:[Description]],0))*Unit.GW</f>
        <v>#N/A</v>
      </c>
      <c r="R100" s="159"/>
      <c r="T100" s="20"/>
      <c r="U100" s="20"/>
      <c r="V100" s="20"/>
      <c r="W100" s="20"/>
      <c r="X100" s="20"/>
    </row>
    <row r="101" spans="2:24">
      <c r="B101" s="159"/>
      <c r="C101" s="159" t="s">
        <v>731</v>
      </c>
      <c r="D101" s="159" t="e">
        <f>INDEX(Regional.Technologies[Description],MATCH($B$2&amp;"."&amp;assumptions.costs[[#This Row],[Technology code]],Regional.Technologies[Code],0))</f>
        <v>#N/A</v>
      </c>
      <c r="E101" s="159" t="s">
        <v>582</v>
      </c>
      <c r="F101" s="159" t="e">
        <f>INDEX(Region.codes[Description],MATCH(#REF!,Region.codes[Code],0))&amp;" "&amp;INDEX(Cost.vectors[Description],MATCH(E101,Cost.vectors[Code],0))</f>
        <v>#REF!</v>
      </c>
      <c r="G101" s="159"/>
      <c r="H101" s="159"/>
      <c r="I101" s="159" t="e">
        <f>(5)*MGBP/Unit.GW*INDEX(assumptions.technology.baseyear[[Unit capacity]:[Unit capacity]],MATCH($D101,assumptions.technology.baseyear[[Description]:[Description]],0))*Unit.GW</f>
        <v>#N/A</v>
      </c>
      <c r="J101" s="159" t="e">
        <f>(5)*MGBP/Unit.GW*INDEX(assumptions.technology.baseyear[[Unit capacity]:[Unit capacity]],MATCH($D101,assumptions.technology.baseyear[[Description]:[Description]],0))*Unit.GW</f>
        <v>#N/A</v>
      </c>
      <c r="K101" s="159" t="e">
        <f>(5)*MGBP/Unit.GW*INDEX(assumptions.technology.baseyear[[Unit capacity]:[Unit capacity]],MATCH($D101,assumptions.technology.baseyear[[Description]:[Description]],0))*Unit.GW</f>
        <v>#N/A</v>
      </c>
      <c r="L101" s="159" t="e">
        <f>(5)*MGBP/Unit.GW*INDEX(assumptions.technology.baseyear[[Unit capacity]:[Unit capacity]],MATCH($D101,assumptions.technology.baseyear[[Description]:[Description]],0))*Unit.GW</f>
        <v>#N/A</v>
      </c>
      <c r="M101" s="159" t="e">
        <f>(5)*MGBP/Unit.GW*INDEX(assumptions.technology.baseyear[[Unit capacity]:[Unit capacity]],MATCH($D101,assumptions.technology.baseyear[[Description]:[Description]],0))*Unit.GW</f>
        <v>#N/A</v>
      </c>
      <c r="N101" s="159" t="e">
        <f>(5)*MGBP/Unit.GW*INDEX(assumptions.technology.baseyear[[Unit capacity]:[Unit capacity]],MATCH($D101,assumptions.technology.baseyear[[Description]:[Description]],0))*Unit.GW</f>
        <v>#N/A</v>
      </c>
      <c r="O101" s="159" t="e">
        <f>(5)*MGBP/Unit.GW*INDEX(assumptions.technology.baseyear[[Unit capacity]:[Unit capacity]],MATCH($D101,assumptions.technology.baseyear[[Description]:[Description]],0))*Unit.GW</f>
        <v>#N/A</v>
      </c>
      <c r="P101" s="159" t="e">
        <f>(5)*MGBP/Unit.GW*INDEX(assumptions.technology.baseyear[[Unit capacity]:[Unit capacity]],MATCH($D101,assumptions.technology.baseyear[[Description]:[Description]],0))*Unit.GW</f>
        <v>#N/A</v>
      </c>
      <c r="Q101" s="159" t="e">
        <f>(5)*MGBP/Unit.GW*INDEX(assumptions.technology.baseyear[[Unit capacity]:[Unit capacity]],MATCH($D101,assumptions.technology.baseyear[[Description]:[Description]],0))*Unit.GW</f>
        <v>#N/A</v>
      </c>
      <c r="R101" s="159"/>
      <c r="T101" s="20"/>
      <c r="U101" s="20"/>
      <c r="V101" s="20"/>
      <c r="W101" s="20"/>
      <c r="X101" s="20"/>
    </row>
    <row r="102" spans="2:24">
      <c r="B102" s="159"/>
      <c r="C102" s="159" t="s">
        <v>731</v>
      </c>
      <c r="D102" s="159" t="e">
        <f>INDEX(Regional.Technologies[Description],MATCH($B$2&amp;"."&amp;assumptions.costs[[#This Row],[Technology code]],Regional.Technologies[Code],0))</f>
        <v>#N/A</v>
      </c>
      <c r="E102" s="159" t="s">
        <v>583</v>
      </c>
      <c r="F102" s="159" t="e">
        <f>INDEX(Region.codes[Description],MATCH(#REF!,Region.codes[Code],0))&amp;" "&amp;INDEX(Cost.vectors[Description],MATCH(E102,Cost.vectors[Code],0))</f>
        <v>#REF!</v>
      </c>
      <c r="G102" s="159"/>
      <c r="H102" s="159"/>
      <c r="I102" s="159" t="e">
        <f>(5)*MGBP/Unit.GW*INDEX(assumptions.technology.baseyear[[Unit capacity]:[Unit capacity]],MATCH($D102,assumptions.technology.baseyear[[Description]:[Description]],0))*Unit.GW</f>
        <v>#N/A</v>
      </c>
      <c r="J102" s="159" t="e">
        <f>(5)*MGBP/Unit.GW*INDEX(assumptions.technology.baseyear[[Unit capacity]:[Unit capacity]],MATCH($D102,assumptions.technology.baseyear[[Description]:[Description]],0))*Unit.GW</f>
        <v>#N/A</v>
      </c>
      <c r="K102" s="159" t="e">
        <f>(5)*MGBP/Unit.GW*INDEX(assumptions.technology.baseyear[[Unit capacity]:[Unit capacity]],MATCH($D102,assumptions.technology.baseyear[[Description]:[Description]],0))*Unit.GW</f>
        <v>#N/A</v>
      </c>
      <c r="L102" s="159" t="e">
        <f>(5)*MGBP/Unit.GW*INDEX(assumptions.technology.baseyear[[Unit capacity]:[Unit capacity]],MATCH($D102,assumptions.technology.baseyear[[Description]:[Description]],0))*Unit.GW</f>
        <v>#N/A</v>
      </c>
      <c r="M102" s="159" t="e">
        <f>(5)*MGBP/Unit.GW*INDEX(assumptions.technology.baseyear[[Unit capacity]:[Unit capacity]],MATCH($D102,assumptions.technology.baseyear[[Description]:[Description]],0))*Unit.GW</f>
        <v>#N/A</v>
      </c>
      <c r="N102" s="159" t="e">
        <f>(5)*MGBP/Unit.GW*INDEX(assumptions.technology.baseyear[[Unit capacity]:[Unit capacity]],MATCH($D102,assumptions.technology.baseyear[[Description]:[Description]],0))*Unit.GW</f>
        <v>#N/A</v>
      </c>
      <c r="O102" s="159" t="e">
        <f>(5)*MGBP/Unit.GW*INDEX(assumptions.technology.baseyear[[Unit capacity]:[Unit capacity]],MATCH($D102,assumptions.technology.baseyear[[Description]:[Description]],0))*Unit.GW</f>
        <v>#N/A</v>
      </c>
      <c r="P102" s="159" t="e">
        <f>(5)*MGBP/Unit.GW*INDEX(assumptions.technology.baseyear[[Unit capacity]:[Unit capacity]],MATCH($D102,assumptions.technology.baseyear[[Description]:[Description]],0))*Unit.GW</f>
        <v>#N/A</v>
      </c>
      <c r="Q102" s="159" t="e">
        <f>(5)*MGBP/Unit.GW*INDEX(assumptions.technology.baseyear[[Unit capacity]:[Unit capacity]],MATCH($D102,assumptions.technology.baseyear[[Description]:[Description]],0))*Unit.GW</f>
        <v>#N/A</v>
      </c>
      <c r="R102" s="159"/>
      <c r="T102" s="20"/>
      <c r="U102" s="20"/>
      <c r="V102" s="20"/>
      <c r="W102" s="20"/>
      <c r="X102" s="20"/>
    </row>
    <row r="103" spans="2:24">
      <c r="B103" s="159"/>
      <c r="C103" s="159" t="s">
        <v>732</v>
      </c>
      <c r="D103" s="159" t="e">
        <f>INDEX(Regional.Technologies[Description],MATCH($B$2&amp;"."&amp;assumptions.costs[[#This Row],[Technology code]],Regional.Technologies[Code],0))</f>
        <v>#N/A</v>
      </c>
      <c r="E103" s="159" t="s">
        <v>578</v>
      </c>
      <c r="F103" s="159" t="e">
        <f>INDEX(Region.codes[Description],MATCH(#REF!,Region.codes[Code],0))&amp;" "&amp;INDEX(Cost.vectors[Description],MATCH(E103,Cost.vectors[Code],0))</f>
        <v>#REF!</v>
      </c>
      <c r="G103" s="159"/>
      <c r="H103" s="159"/>
      <c r="I103" s="159" t="e">
        <f>(5)*MGBP/Unit.GW*INDEX(assumptions.technology.baseyear[[Unit capacity]:[Unit capacity]],MATCH($D103,assumptions.technology.baseyear[[Description]:[Description]],0))*Unit.GW</f>
        <v>#N/A</v>
      </c>
      <c r="J103" s="159" t="e">
        <f>(5)*MGBP/Unit.GW*INDEX(assumptions.technology.baseyear[[Unit capacity]:[Unit capacity]],MATCH($D103,assumptions.technology.baseyear[[Description]:[Description]],0))*Unit.GW</f>
        <v>#N/A</v>
      </c>
      <c r="K103" s="159" t="e">
        <f>(5)*MGBP/Unit.GW*INDEX(assumptions.technology.baseyear[[Unit capacity]:[Unit capacity]],MATCH($D103,assumptions.technology.baseyear[[Description]:[Description]],0))*Unit.GW</f>
        <v>#N/A</v>
      </c>
      <c r="L103" s="159" t="e">
        <f>(5)*MGBP/Unit.GW*INDEX(assumptions.technology.baseyear[[Unit capacity]:[Unit capacity]],MATCH($D103,assumptions.technology.baseyear[[Description]:[Description]],0))*Unit.GW</f>
        <v>#N/A</v>
      </c>
      <c r="M103" s="159" t="e">
        <f>(5)*MGBP/Unit.GW*INDEX(assumptions.technology.baseyear[[Unit capacity]:[Unit capacity]],MATCH($D103,assumptions.technology.baseyear[[Description]:[Description]],0))*Unit.GW</f>
        <v>#N/A</v>
      </c>
      <c r="N103" s="159" t="e">
        <f>(5)*MGBP/Unit.GW*INDEX(assumptions.technology.baseyear[[Unit capacity]:[Unit capacity]],MATCH($D103,assumptions.technology.baseyear[[Description]:[Description]],0))*Unit.GW</f>
        <v>#N/A</v>
      </c>
      <c r="O103" s="159" t="e">
        <f>(5)*MGBP/Unit.GW*INDEX(assumptions.technology.baseyear[[Unit capacity]:[Unit capacity]],MATCH($D103,assumptions.technology.baseyear[[Description]:[Description]],0))*Unit.GW</f>
        <v>#N/A</v>
      </c>
      <c r="P103" s="159" t="e">
        <f>(5)*MGBP/Unit.GW*INDEX(assumptions.technology.baseyear[[Unit capacity]:[Unit capacity]],MATCH($D103,assumptions.technology.baseyear[[Description]:[Description]],0))*Unit.GW</f>
        <v>#N/A</v>
      </c>
      <c r="Q103" s="159" t="e">
        <f>(5)*MGBP/Unit.GW*INDEX(assumptions.technology.baseyear[[Unit capacity]:[Unit capacity]],MATCH($D103,assumptions.technology.baseyear[[Description]:[Description]],0))*Unit.GW</f>
        <v>#N/A</v>
      </c>
      <c r="R103" s="159"/>
      <c r="T103" s="20"/>
      <c r="U103" s="20"/>
      <c r="V103" s="20"/>
      <c r="W103" s="20"/>
      <c r="X103" s="20"/>
    </row>
    <row r="104" spans="2:24">
      <c r="B104" s="159"/>
      <c r="C104" s="159" t="s">
        <v>732</v>
      </c>
      <c r="D104" s="159" t="e">
        <f>INDEX(Regional.Technologies[Description],MATCH($B$2&amp;"."&amp;assumptions.costs[[#This Row],[Technology code]],Regional.Technologies[Code],0))</f>
        <v>#N/A</v>
      </c>
      <c r="E104" s="159" t="s">
        <v>579</v>
      </c>
      <c r="F104" s="159" t="e">
        <f>INDEX(Region.codes[Description],MATCH(#REF!,Region.codes[Code],0))&amp;" "&amp;INDEX(Cost.vectors[Description],MATCH(E104,Cost.vectors[Code],0))</f>
        <v>#REF!</v>
      </c>
      <c r="G104" s="159"/>
      <c r="H104" s="159"/>
      <c r="I104" s="159" t="e">
        <f>(5)*MGBP/Unit.GW*INDEX(assumptions.technology.baseyear[[Unit capacity]:[Unit capacity]],MATCH($D104,assumptions.technology.baseyear[[Description]:[Description]],0))*Unit.GW</f>
        <v>#N/A</v>
      </c>
      <c r="J104" s="159" t="e">
        <f>(5)*MGBP/Unit.GW*INDEX(assumptions.technology.baseyear[[Unit capacity]:[Unit capacity]],MATCH($D104,assumptions.technology.baseyear[[Description]:[Description]],0))*Unit.GW</f>
        <v>#N/A</v>
      </c>
      <c r="K104" s="159" t="e">
        <f>(5)*MGBP/Unit.GW*INDEX(assumptions.technology.baseyear[[Unit capacity]:[Unit capacity]],MATCH($D104,assumptions.technology.baseyear[[Description]:[Description]],0))*Unit.GW</f>
        <v>#N/A</v>
      </c>
      <c r="L104" s="159" t="e">
        <f>(5)*MGBP/Unit.GW*INDEX(assumptions.technology.baseyear[[Unit capacity]:[Unit capacity]],MATCH($D104,assumptions.technology.baseyear[[Description]:[Description]],0))*Unit.GW</f>
        <v>#N/A</v>
      </c>
      <c r="M104" s="159" t="e">
        <f>(5)*MGBP/Unit.GW*INDEX(assumptions.technology.baseyear[[Unit capacity]:[Unit capacity]],MATCH($D104,assumptions.technology.baseyear[[Description]:[Description]],0))*Unit.GW</f>
        <v>#N/A</v>
      </c>
      <c r="N104" s="159" t="e">
        <f>(5)*MGBP/Unit.GW*INDEX(assumptions.technology.baseyear[[Unit capacity]:[Unit capacity]],MATCH($D104,assumptions.technology.baseyear[[Description]:[Description]],0))*Unit.GW</f>
        <v>#N/A</v>
      </c>
      <c r="O104" s="159" t="e">
        <f>(5)*MGBP/Unit.GW*INDEX(assumptions.technology.baseyear[[Unit capacity]:[Unit capacity]],MATCH($D104,assumptions.technology.baseyear[[Description]:[Description]],0))*Unit.GW</f>
        <v>#N/A</v>
      </c>
      <c r="P104" s="159" t="e">
        <f>(5)*MGBP/Unit.GW*INDEX(assumptions.technology.baseyear[[Unit capacity]:[Unit capacity]],MATCH($D104,assumptions.technology.baseyear[[Description]:[Description]],0))*Unit.GW</f>
        <v>#N/A</v>
      </c>
      <c r="Q104" s="159" t="e">
        <f>(5)*MGBP/Unit.GW*INDEX(assumptions.technology.baseyear[[Unit capacity]:[Unit capacity]],MATCH($D104,assumptions.technology.baseyear[[Description]:[Description]],0))*Unit.GW</f>
        <v>#N/A</v>
      </c>
      <c r="R104" s="159"/>
      <c r="T104" s="20"/>
      <c r="U104" s="20"/>
      <c r="V104" s="20"/>
      <c r="W104" s="20"/>
      <c r="X104" s="20"/>
    </row>
    <row r="105" spans="2:24">
      <c r="B105" s="159"/>
      <c r="C105" s="159" t="s">
        <v>732</v>
      </c>
      <c r="D105" s="159" t="e">
        <f>INDEX(Regional.Technologies[Description],MATCH($B$2&amp;"."&amp;assumptions.costs[[#This Row],[Technology code]],Regional.Technologies[Code],0))</f>
        <v>#N/A</v>
      </c>
      <c r="E105" s="159" t="s">
        <v>580</v>
      </c>
      <c r="F105" s="159" t="e">
        <f>INDEX(Region.codes[Description],MATCH(#REF!,Region.codes[Code],0))&amp;" "&amp;INDEX(Cost.vectors[Description],MATCH(E105,Cost.vectors[Code],0))</f>
        <v>#REF!</v>
      </c>
      <c r="G105" s="159"/>
      <c r="H105" s="159"/>
      <c r="I105" s="159" t="e">
        <f>(5)*MGBP/Unit.GW*INDEX(assumptions.technology.baseyear[[Unit capacity]:[Unit capacity]],MATCH($D105,assumptions.technology.baseyear[[Description]:[Description]],0))*Unit.GW</f>
        <v>#N/A</v>
      </c>
      <c r="J105" s="159" t="e">
        <f>(5)*MGBP/Unit.GW*INDEX(assumptions.technology.baseyear[[Unit capacity]:[Unit capacity]],MATCH($D105,assumptions.technology.baseyear[[Description]:[Description]],0))*Unit.GW</f>
        <v>#N/A</v>
      </c>
      <c r="K105" s="159" t="e">
        <f>(5)*MGBP/Unit.GW*INDEX(assumptions.technology.baseyear[[Unit capacity]:[Unit capacity]],MATCH($D105,assumptions.technology.baseyear[[Description]:[Description]],0))*Unit.GW</f>
        <v>#N/A</v>
      </c>
      <c r="L105" s="159" t="e">
        <f>(5)*MGBP/Unit.GW*INDEX(assumptions.technology.baseyear[[Unit capacity]:[Unit capacity]],MATCH($D105,assumptions.technology.baseyear[[Description]:[Description]],0))*Unit.GW</f>
        <v>#N/A</v>
      </c>
      <c r="M105" s="159" t="e">
        <f>(5)*MGBP/Unit.GW*INDEX(assumptions.technology.baseyear[[Unit capacity]:[Unit capacity]],MATCH($D105,assumptions.technology.baseyear[[Description]:[Description]],0))*Unit.GW</f>
        <v>#N/A</v>
      </c>
      <c r="N105" s="159" t="e">
        <f>(5)*MGBP/Unit.GW*INDEX(assumptions.technology.baseyear[[Unit capacity]:[Unit capacity]],MATCH($D105,assumptions.technology.baseyear[[Description]:[Description]],0))*Unit.GW</f>
        <v>#N/A</v>
      </c>
      <c r="O105" s="159" t="e">
        <f>(5)*MGBP/Unit.GW*INDEX(assumptions.technology.baseyear[[Unit capacity]:[Unit capacity]],MATCH($D105,assumptions.technology.baseyear[[Description]:[Description]],0))*Unit.GW</f>
        <v>#N/A</v>
      </c>
      <c r="P105" s="159" t="e">
        <f>(5)*MGBP/Unit.GW*INDEX(assumptions.technology.baseyear[[Unit capacity]:[Unit capacity]],MATCH($D105,assumptions.technology.baseyear[[Description]:[Description]],0))*Unit.GW</f>
        <v>#N/A</v>
      </c>
      <c r="Q105" s="159" t="e">
        <f>(5)*MGBP/Unit.GW*INDEX(assumptions.technology.baseyear[[Unit capacity]:[Unit capacity]],MATCH($D105,assumptions.technology.baseyear[[Description]:[Description]],0))*Unit.GW</f>
        <v>#N/A</v>
      </c>
      <c r="R105" s="159"/>
      <c r="T105" s="20"/>
      <c r="U105" s="20"/>
      <c r="V105" s="20"/>
      <c r="W105" s="20"/>
      <c r="X105" s="20"/>
    </row>
    <row r="106" spans="2:24">
      <c r="B106" s="159"/>
      <c r="C106" s="159" t="s">
        <v>732</v>
      </c>
      <c r="D106" s="159" t="e">
        <f>INDEX(Regional.Technologies[Description],MATCH($B$2&amp;"."&amp;assumptions.costs[[#This Row],[Technology code]],Regional.Technologies[Code],0))</f>
        <v>#N/A</v>
      </c>
      <c r="E106" s="159" t="s">
        <v>581</v>
      </c>
      <c r="F106" s="159" t="e">
        <f>INDEX(Region.codes[Description],MATCH(#REF!,Region.codes[Code],0))&amp;" "&amp;INDEX(Cost.vectors[Description],MATCH(E106,Cost.vectors[Code],0))</f>
        <v>#REF!</v>
      </c>
      <c r="G106" s="159"/>
      <c r="H106" s="159"/>
      <c r="I106" s="159" t="e">
        <f>(5)*MGBP/Unit.GW*INDEX(assumptions.technology.baseyear[[Unit capacity]:[Unit capacity]],MATCH($D106,assumptions.technology.baseyear[[Description]:[Description]],0))*Unit.GW</f>
        <v>#N/A</v>
      </c>
      <c r="J106" s="159" t="e">
        <f>(5)*MGBP/Unit.GW*INDEX(assumptions.technology.baseyear[[Unit capacity]:[Unit capacity]],MATCH($D106,assumptions.technology.baseyear[[Description]:[Description]],0))*Unit.GW</f>
        <v>#N/A</v>
      </c>
      <c r="K106" s="159" t="e">
        <f>(5)*MGBP/Unit.GW*INDEX(assumptions.technology.baseyear[[Unit capacity]:[Unit capacity]],MATCH($D106,assumptions.technology.baseyear[[Description]:[Description]],0))*Unit.GW</f>
        <v>#N/A</v>
      </c>
      <c r="L106" s="159" t="e">
        <f>(5)*MGBP/Unit.GW*INDEX(assumptions.technology.baseyear[[Unit capacity]:[Unit capacity]],MATCH($D106,assumptions.technology.baseyear[[Description]:[Description]],0))*Unit.GW</f>
        <v>#N/A</v>
      </c>
      <c r="M106" s="159" t="e">
        <f>(5)*MGBP/Unit.GW*INDEX(assumptions.technology.baseyear[[Unit capacity]:[Unit capacity]],MATCH($D106,assumptions.technology.baseyear[[Description]:[Description]],0))*Unit.GW</f>
        <v>#N/A</v>
      </c>
      <c r="N106" s="159" t="e">
        <f>(5)*MGBP/Unit.GW*INDEX(assumptions.technology.baseyear[[Unit capacity]:[Unit capacity]],MATCH($D106,assumptions.technology.baseyear[[Description]:[Description]],0))*Unit.GW</f>
        <v>#N/A</v>
      </c>
      <c r="O106" s="159" t="e">
        <f>(5)*MGBP/Unit.GW*INDEX(assumptions.technology.baseyear[[Unit capacity]:[Unit capacity]],MATCH($D106,assumptions.technology.baseyear[[Description]:[Description]],0))*Unit.GW</f>
        <v>#N/A</v>
      </c>
      <c r="P106" s="159" t="e">
        <f>(5)*MGBP/Unit.GW*INDEX(assumptions.technology.baseyear[[Unit capacity]:[Unit capacity]],MATCH($D106,assumptions.technology.baseyear[[Description]:[Description]],0))*Unit.GW</f>
        <v>#N/A</v>
      </c>
      <c r="Q106" s="159" t="e">
        <f>(5)*MGBP/Unit.GW*INDEX(assumptions.technology.baseyear[[Unit capacity]:[Unit capacity]],MATCH($D106,assumptions.technology.baseyear[[Description]:[Description]],0))*Unit.GW</f>
        <v>#N/A</v>
      </c>
      <c r="R106" s="159"/>
      <c r="T106" s="20"/>
      <c r="U106" s="20"/>
      <c r="V106" s="20"/>
      <c r="W106" s="20"/>
      <c r="X106" s="20"/>
    </row>
    <row r="107" spans="2:24">
      <c r="B107" s="159"/>
      <c r="C107" s="159" t="s">
        <v>732</v>
      </c>
      <c r="D107" s="159" t="e">
        <f>INDEX(Regional.Technologies[Description],MATCH($B$2&amp;"."&amp;assumptions.costs[[#This Row],[Technology code]],Regional.Technologies[Code],0))</f>
        <v>#N/A</v>
      </c>
      <c r="E107" s="159" t="s">
        <v>582</v>
      </c>
      <c r="F107" s="159" t="e">
        <f>INDEX(Region.codes[Description],MATCH(#REF!,Region.codes[Code],0))&amp;" "&amp;INDEX(Cost.vectors[Description],MATCH(E107,Cost.vectors[Code],0))</f>
        <v>#REF!</v>
      </c>
      <c r="G107" s="159"/>
      <c r="H107" s="159"/>
      <c r="I107" s="159" t="e">
        <f>(5)*MGBP/Unit.GW*INDEX(assumptions.technology.baseyear[[Unit capacity]:[Unit capacity]],MATCH($D107,assumptions.technology.baseyear[[Description]:[Description]],0))*Unit.GW</f>
        <v>#N/A</v>
      </c>
      <c r="J107" s="159" t="e">
        <f>(5)*MGBP/Unit.GW*INDEX(assumptions.technology.baseyear[[Unit capacity]:[Unit capacity]],MATCH($D107,assumptions.technology.baseyear[[Description]:[Description]],0))*Unit.GW</f>
        <v>#N/A</v>
      </c>
      <c r="K107" s="159" t="e">
        <f>(5)*MGBP/Unit.GW*INDEX(assumptions.technology.baseyear[[Unit capacity]:[Unit capacity]],MATCH($D107,assumptions.technology.baseyear[[Description]:[Description]],0))*Unit.GW</f>
        <v>#N/A</v>
      </c>
      <c r="L107" s="159" t="e">
        <f>(5)*MGBP/Unit.GW*INDEX(assumptions.technology.baseyear[[Unit capacity]:[Unit capacity]],MATCH($D107,assumptions.technology.baseyear[[Description]:[Description]],0))*Unit.GW</f>
        <v>#N/A</v>
      </c>
      <c r="M107" s="159" t="e">
        <f>(5)*MGBP/Unit.GW*INDEX(assumptions.technology.baseyear[[Unit capacity]:[Unit capacity]],MATCH($D107,assumptions.technology.baseyear[[Description]:[Description]],0))*Unit.GW</f>
        <v>#N/A</v>
      </c>
      <c r="N107" s="159" t="e">
        <f>(5)*MGBP/Unit.GW*INDEX(assumptions.technology.baseyear[[Unit capacity]:[Unit capacity]],MATCH($D107,assumptions.technology.baseyear[[Description]:[Description]],0))*Unit.GW</f>
        <v>#N/A</v>
      </c>
      <c r="O107" s="159" t="e">
        <f>(5)*MGBP/Unit.GW*INDEX(assumptions.technology.baseyear[[Unit capacity]:[Unit capacity]],MATCH($D107,assumptions.technology.baseyear[[Description]:[Description]],0))*Unit.GW</f>
        <v>#N/A</v>
      </c>
      <c r="P107" s="159" t="e">
        <f>(5)*MGBP/Unit.GW*INDEX(assumptions.technology.baseyear[[Unit capacity]:[Unit capacity]],MATCH($D107,assumptions.technology.baseyear[[Description]:[Description]],0))*Unit.GW</f>
        <v>#N/A</v>
      </c>
      <c r="Q107" s="159" t="e">
        <f>(5)*MGBP/Unit.GW*INDEX(assumptions.technology.baseyear[[Unit capacity]:[Unit capacity]],MATCH($D107,assumptions.technology.baseyear[[Description]:[Description]],0))*Unit.GW</f>
        <v>#N/A</v>
      </c>
      <c r="R107" s="159"/>
      <c r="T107" s="20"/>
      <c r="U107" s="20"/>
      <c r="V107" s="20"/>
      <c r="W107" s="20"/>
      <c r="X107" s="20"/>
    </row>
    <row r="108" spans="2:24">
      <c r="B108" s="159"/>
      <c r="C108" s="159" t="s">
        <v>732</v>
      </c>
      <c r="D108" s="159" t="e">
        <f>INDEX(Regional.Technologies[Description],MATCH($B$2&amp;"."&amp;assumptions.costs[[#This Row],[Technology code]],Regional.Technologies[Code],0))</f>
        <v>#N/A</v>
      </c>
      <c r="E108" s="159" t="s">
        <v>583</v>
      </c>
      <c r="F108" s="159" t="e">
        <f>INDEX(Region.codes[Description],MATCH(#REF!,Region.codes[Code],0))&amp;" "&amp;INDEX(Cost.vectors[Description],MATCH(E108,Cost.vectors[Code],0))</f>
        <v>#REF!</v>
      </c>
      <c r="G108" s="159"/>
      <c r="H108" s="159"/>
      <c r="I108" s="159" t="e">
        <f>(5)*MGBP/Unit.GW*INDEX(assumptions.technology.baseyear[[Unit capacity]:[Unit capacity]],MATCH($D108,assumptions.technology.baseyear[[Description]:[Description]],0))*Unit.GW</f>
        <v>#N/A</v>
      </c>
      <c r="J108" s="159" t="e">
        <f>(5)*MGBP/Unit.GW*INDEX(assumptions.technology.baseyear[[Unit capacity]:[Unit capacity]],MATCH($D108,assumptions.technology.baseyear[[Description]:[Description]],0))*Unit.GW</f>
        <v>#N/A</v>
      </c>
      <c r="K108" s="159" t="e">
        <f>(5)*MGBP/Unit.GW*INDEX(assumptions.technology.baseyear[[Unit capacity]:[Unit capacity]],MATCH($D108,assumptions.technology.baseyear[[Description]:[Description]],0))*Unit.GW</f>
        <v>#N/A</v>
      </c>
      <c r="L108" s="159" t="e">
        <f>(5)*MGBP/Unit.GW*INDEX(assumptions.technology.baseyear[[Unit capacity]:[Unit capacity]],MATCH($D108,assumptions.technology.baseyear[[Description]:[Description]],0))*Unit.GW</f>
        <v>#N/A</v>
      </c>
      <c r="M108" s="159" t="e">
        <f>(5)*MGBP/Unit.GW*INDEX(assumptions.technology.baseyear[[Unit capacity]:[Unit capacity]],MATCH($D108,assumptions.technology.baseyear[[Description]:[Description]],0))*Unit.GW</f>
        <v>#N/A</v>
      </c>
      <c r="N108" s="159" t="e">
        <f>(5)*MGBP/Unit.GW*INDEX(assumptions.technology.baseyear[[Unit capacity]:[Unit capacity]],MATCH($D108,assumptions.technology.baseyear[[Description]:[Description]],0))*Unit.GW</f>
        <v>#N/A</v>
      </c>
      <c r="O108" s="159" t="e">
        <f>(5)*MGBP/Unit.GW*INDEX(assumptions.technology.baseyear[[Unit capacity]:[Unit capacity]],MATCH($D108,assumptions.technology.baseyear[[Description]:[Description]],0))*Unit.GW</f>
        <v>#N/A</v>
      </c>
      <c r="P108" s="159" t="e">
        <f>(5)*MGBP/Unit.GW*INDEX(assumptions.technology.baseyear[[Unit capacity]:[Unit capacity]],MATCH($D108,assumptions.technology.baseyear[[Description]:[Description]],0))*Unit.GW</f>
        <v>#N/A</v>
      </c>
      <c r="Q108" s="159" t="e">
        <f>(5)*MGBP/Unit.GW*INDEX(assumptions.technology.baseyear[[Unit capacity]:[Unit capacity]],MATCH($D108,assumptions.technology.baseyear[[Description]:[Description]],0))*Unit.GW</f>
        <v>#N/A</v>
      </c>
      <c r="R108" s="159"/>
      <c r="T108" s="20"/>
      <c r="U108" s="20"/>
      <c r="V108" s="20"/>
      <c r="W108" s="20"/>
      <c r="X108" s="20"/>
    </row>
    <row r="109" spans="2:24">
      <c r="B109" s="159"/>
      <c r="C109" s="159" t="s">
        <v>733</v>
      </c>
      <c r="D109" s="159" t="e">
        <f>INDEX(Regional.Technologies[Description],MATCH($B$2&amp;"."&amp;assumptions.costs[[#This Row],[Technology code]],Regional.Technologies[Code],0))</f>
        <v>#N/A</v>
      </c>
      <c r="E109" s="159" t="s">
        <v>578</v>
      </c>
      <c r="F109" s="159" t="e">
        <f>INDEX(Region.codes[Description],MATCH(#REF!,Region.codes[Code],0))&amp;" "&amp;INDEX(Cost.vectors[Description],MATCH(E109,Cost.vectors[Code],0))</f>
        <v>#REF!</v>
      </c>
      <c r="G109" s="159"/>
      <c r="H109" s="159"/>
      <c r="I109" s="159" t="e">
        <f>(5)*MGBP/Unit.GW*INDEX(assumptions.technology.baseyear[[Unit capacity]:[Unit capacity]],MATCH($D109,assumptions.technology.baseyear[[Description]:[Description]],0))*Unit.GW</f>
        <v>#N/A</v>
      </c>
      <c r="J109" s="159" t="e">
        <f>(5)*MGBP/Unit.GW*INDEX(assumptions.technology.baseyear[[Unit capacity]:[Unit capacity]],MATCH($D109,assumptions.technology.baseyear[[Description]:[Description]],0))*Unit.GW</f>
        <v>#N/A</v>
      </c>
      <c r="K109" s="159" t="e">
        <f>(5)*MGBP/Unit.GW*INDEX(assumptions.technology.baseyear[[Unit capacity]:[Unit capacity]],MATCH($D109,assumptions.technology.baseyear[[Description]:[Description]],0))*Unit.GW</f>
        <v>#N/A</v>
      </c>
      <c r="L109" s="159" t="e">
        <f>(5)*MGBP/Unit.GW*INDEX(assumptions.technology.baseyear[[Unit capacity]:[Unit capacity]],MATCH($D109,assumptions.technology.baseyear[[Description]:[Description]],0))*Unit.GW</f>
        <v>#N/A</v>
      </c>
      <c r="M109" s="159" t="e">
        <f>(5)*MGBP/Unit.GW*INDEX(assumptions.technology.baseyear[[Unit capacity]:[Unit capacity]],MATCH($D109,assumptions.technology.baseyear[[Description]:[Description]],0))*Unit.GW</f>
        <v>#N/A</v>
      </c>
      <c r="N109" s="159" t="e">
        <f>(5)*MGBP/Unit.GW*INDEX(assumptions.technology.baseyear[[Unit capacity]:[Unit capacity]],MATCH($D109,assumptions.technology.baseyear[[Description]:[Description]],0))*Unit.GW</f>
        <v>#N/A</v>
      </c>
      <c r="O109" s="159" t="e">
        <f>(5)*MGBP/Unit.GW*INDEX(assumptions.technology.baseyear[[Unit capacity]:[Unit capacity]],MATCH($D109,assumptions.technology.baseyear[[Description]:[Description]],0))*Unit.GW</f>
        <v>#N/A</v>
      </c>
      <c r="P109" s="159" t="e">
        <f>(5)*MGBP/Unit.GW*INDEX(assumptions.technology.baseyear[[Unit capacity]:[Unit capacity]],MATCH($D109,assumptions.technology.baseyear[[Description]:[Description]],0))*Unit.GW</f>
        <v>#N/A</v>
      </c>
      <c r="Q109" s="159" t="e">
        <f>(5)*MGBP/Unit.GW*INDEX(assumptions.technology.baseyear[[Unit capacity]:[Unit capacity]],MATCH($D109,assumptions.technology.baseyear[[Description]:[Description]],0))*Unit.GW</f>
        <v>#N/A</v>
      </c>
      <c r="R109" s="159"/>
      <c r="T109" s="20"/>
      <c r="U109" s="20"/>
      <c r="V109" s="20"/>
      <c r="W109" s="20"/>
      <c r="X109" s="20"/>
    </row>
    <row r="110" spans="2:24">
      <c r="B110" s="159"/>
      <c r="C110" s="159" t="s">
        <v>733</v>
      </c>
      <c r="D110" s="159" t="e">
        <f>INDEX(Regional.Technologies[Description],MATCH($B$2&amp;"."&amp;assumptions.costs[[#This Row],[Technology code]],Regional.Technologies[Code],0))</f>
        <v>#N/A</v>
      </c>
      <c r="E110" s="159" t="s">
        <v>579</v>
      </c>
      <c r="F110" s="159" t="e">
        <f>INDEX(Region.codes[Description],MATCH(#REF!,Region.codes[Code],0))&amp;" "&amp;INDEX(Cost.vectors[Description],MATCH(E110,Cost.vectors[Code],0))</f>
        <v>#REF!</v>
      </c>
      <c r="G110" s="159"/>
      <c r="H110" s="159"/>
      <c r="I110" s="159" t="e">
        <f>(5)*MGBP/Unit.GW*INDEX(assumptions.technology.baseyear[[Unit capacity]:[Unit capacity]],MATCH($D110,assumptions.technology.baseyear[[Description]:[Description]],0))*Unit.GW</f>
        <v>#N/A</v>
      </c>
      <c r="J110" s="159" t="e">
        <f>(5)*MGBP/Unit.GW*INDEX(assumptions.technology.baseyear[[Unit capacity]:[Unit capacity]],MATCH($D110,assumptions.technology.baseyear[[Description]:[Description]],0))*Unit.GW</f>
        <v>#N/A</v>
      </c>
      <c r="K110" s="159" t="e">
        <f>(5)*MGBP/Unit.GW*INDEX(assumptions.technology.baseyear[[Unit capacity]:[Unit capacity]],MATCH($D110,assumptions.technology.baseyear[[Description]:[Description]],0))*Unit.GW</f>
        <v>#N/A</v>
      </c>
      <c r="L110" s="159" t="e">
        <f>(5)*MGBP/Unit.GW*INDEX(assumptions.technology.baseyear[[Unit capacity]:[Unit capacity]],MATCH($D110,assumptions.technology.baseyear[[Description]:[Description]],0))*Unit.GW</f>
        <v>#N/A</v>
      </c>
      <c r="M110" s="159" t="e">
        <f>(5)*MGBP/Unit.GW*INDEX(assumptions.technology.baseyear[[Unit capacity]:[Unit capacity]],MATCH($D110,assumptions.technology.baseyear[[Description]:[Description]],0))*Unit.GW</f>
        <v>#N/A</v>
      </c>
      <c r="N110" s="159" t="e">
        <f>(5)*MGBP/Unit.GW*INDEX(assumptions.technology.baseyear[[Unit capacity]:[Unit capacity]],MATCH($D110,assumptions.technology.baseyear[[Description]:[Description]],0))*Unit.GW</f>
        <v>#N/A</v>
      </c>
      <c r="O110" s="159" t="e">
        <f>(5)*MGBP/Unit.GW*INDEX(assumptions.technology.baseyear[[Unit capacity]:[Unit capacity]],MATCH($D110,assumptions.technology.baseyear[[Description]:[Description]],0))*Unit.GW</f>
        <v>#N/A</v>
      </c>
      <c r="P110" s="159" t="e">
        <f>(5)*MGBP/Unit.GW*INDEX(assumptions.technology.baseyear[[Unit capacity]:[Unit capacity]],MATCH($D110,assumptions.technology.baseyear[[Description]:[Description]],0))*Unit.GW</f>
        <v>#N/A</v>
      </c>
      <c r="Q110" s="159" t="e">
        <f>(5)*MGBP/Unit.GW*INDEX(assumptions.technology.baseyear[[Unit capacity]:[Unit capacity]],MATCH($D110,assumptions.technology.baseyear[[Description]:[Description]],0))*Unit.GW</f>
        <v>#N/A</v>
      </c>
      <c r="R110" s="159"/>
      <c r="T110" s="20"/>
      <c r="U110" s="20"/>
      <c r="V110" s="20"/>
      <c r="W110" s="20"/>
      <c r="X110" s="20"/>
    </row>
    <row r="111" spans="2:24">
      <c r="B111" s="159"/>
      <c r="C111" s="159" t="s">
        <v>733</v>
      </c>
      <c r="D111" s="159" t="e">
        <f>INDEX(Regional.Technologies[Description],MATCH($B$2&amp;"."&amp;assumptions.costs[[#This Row],[Technology code]],Regional.Technologies[Code],0))</f>
        <v>#N/A</v>
      </c>
      <c r="E111" s="159" t="s">
        <v>580</v>
      </c>
      <c r="F111" s="159" t="e">
        <f>INDEX(Region.codes[Description],MATCH(#REF!,Region.codes[Code],0))&amp;" "&amp;INDEX(Cost.vectors[Description],MATCH(E111,Cost.vectors[Code],0))</f>
        <v>#REF!</v>
      </c>
      <c r="G111" s="159"/>
      <c r="H111" s="159"/>
      <c r="I111" s="159" t="e">
        <f>(5)*MGBP/Unit.GW*INDEX(assumptions.technology.baseyear[[Unit capacity]:[Unit capacity]],MATCH($D111,assumptions.technology.baseyear[[Description]:[Description]],0))*Unit.GW</f>
        <v>#N/A</v>
      </c>
      <c r="J111" s="159" t="e">
        <f>(5)*MGBP/Unit.GW*INDEX(assumptions.technology.baseyear[[Unit capacity]:[Unit capacity]],MATCH($D111,assumptions.technology.baseyear[[Description]:[Description]],0))*Unit.GW</f>
        <v>#N/A</v>
      </c>
      <c r="K111" s="159" t="e">
        <f>(5)*MGBP/Unit.GW*INDEX(assumptions.technology.baseyear[[Unit capacity]:[Unit capacity]],MATCH($D111,assumptions.technology.baseyear[[Description]:[Description]],0))*Unit.GW</f>
        <v>#N/A</v>
      </c>
      <c r="L111" s="159" t="e">
        <f>(5)*MGBP/Unit.GW*INDEX(assumptions.technology.baseyear[[Unit capacity]:[Unit capacity]],MATCH($D111,assumptions.technology.baseyear[[Description]:[Description]],0))*Unit.GW</f>
        <v>#N/A</v>
      </c>
      <c r="M111" s="159" t="e">
        <f>(5)*MGBP/Unit.GW*INDEX(assumptions.technology.baseyear[[Unit capacity]:[Unit capacity]],MATCH($D111,assumptions.technology.baseyear[[Description]:[Description]],0))*Unit.GW</f>
        <v>#N/A</v>
      </c>
      <c r="N111" s="159" t="e">
        <f>(5)*MGBP/Unit.GW*INDEX(assumptions.technology.baseyear[[Unit capacity]:[Unit capacity]],MATCH($D111,assumptions.technology.baseyear[[Description]:[Description]],0))*Unit.GW</f>
        <v>#N/A</v>
      </c>
      <c r="O111" s="159" t="e">
        <f>(5)*MGBP/Unit.GW*INDEX(assumptions.technology.baseyear[[Unit capacity]:[Unit capacity]],MATCH($D111,assumptions.technology.baseyear[[Description]:[Description]],0))*Unit.GW</f>
        <v>#N/A</v>
      </c>
      <c r="P111" s="159" t="e">
        <f>(5)*MGBP/Unit.GW*INDEX(assumptions.technology.baseyear[[Unit capacity]:[Unit capacity]],MATCH($D111,assumptions.technology.baseyear[[Description]:[Description]],0))*Unit.GW</f>
        <v>#N/A</v>
      </c>
      <c r="Q111" s="159" t="e">
        <f>(5)*MGBP/Unit.GW*INDEX(assumptions.technology.baseyear[[Unit capacity]:[Unit capacity]],MATCH($D111,assumptions.technology.baseyear[[Description]:[Description]],0))*Unit.GW</f>
        <v>#N/A</v>
      </c>
      <c r="R111" s="159"/>
      <c r="T111" s="20"/>
      <c r="U111" s="20"/>
      <c r="V111" s="20"/>
      <c r="W111" s="20"/>
      <c r="X111" s="20"/>
    </row>
    <row r="112" spans="2:24">
      <c r="B112" s="159"/>
      <c r="C112" s="159" t="s">
        <v>733</v>
      </c>
      <c r="D112" s="159" t="e">
        <f>INDEX(Regional.Technologies[Description],MATCH($B$2&amp;"."&amp;assumptions.costs[[#This Row],[Technology code]],Regional.Technologies[Code],0))</f>
        <v>#N/A</v>
      </c>
      <c r="E112" s="159" t="s">
        <v>581</v>
      </c>
      <c r="F112" s="159" t="e">
        <f>INDEX(Region.codes[Description],MATCH(#REF!,Region.codes[Code],0))&amp;" "&amp;INDEX(Cost.vectors[Description],MATCH(E112,Cost.vectors[Code],0))</f>
        <v>#REF!</v>
      </c>
      <c r="G112" s="159"/>
      <c r="H112" s="159"/>
      <c r="I112" s="159" t="e">
        <f>(5)*MGBP/Unit.GW*INDEX(assumptions.technology.baseyear[[Unit capacity]:[Unit capacity]],MATCH($D112,assumptions.technology.baseyear[[Description]:[Description]],0))*Unit.GW</f>
        <v>#N/A</v>
      </c>
      <c r="J112" s="159" t="e">
        <f>(5)*MGBP/Unit.GW*INDEX(assumptions.technology.baseyear[[Unit capacity]:[Unit capacity]],MATCH($D112,assumptions.technology.baseyear[[Description]:[Description]],0))*Unit.GW</f>
        <v>#N/A</v>
      </c>
      <c r="K112" s="159" t="e">
        <f>(5)*MGBP/Unit.GW*INDEX(assumptions.technology.baseyear[[Unit capacity]:[Unit capacity]],MATCH($D112,assumptions.technology.baseyear[[Description]:[Description]],0))*Unit.GW</f>
        <v>#N/A</v>
      </c>
      <c r="L112" s="159" t="e">
        <f>(5)*MGBP/Unit.GW*INDEX(assumptions.technology.baseyear[[Unit capacity]:[Unit capacity]],MATCH($D112,assumptions.technology.baseyear[[Description]:[Description]],0))*Unit.GW</f>
        <v>#N/A</v>
      </c>
      <c r="M112" s="159" t="e">
        <f>(5)*MGBP/Unit.GW*INDEX(assumptions.technology.baseyear[[Unit capacity]:[Unit capacity]],MATCH($D112,assumptions.technology.baseyear[[Description]:[Description]],0))*Unit.GW</f>
        <v>#N/A</v>
      </c>
      <c r="N112" s="159" t="e">
        <f>(5)*MGBP/Unit.GW*INDEX(assumptions.technology.baseyear[[Unit capacity]:[Unit capacity]],MATCH($D112,assumptions.technology.baseyear[[Description]:[Description]],0))*Unit.GW</f>
        <v>#N/A</v>
      </c>
      <c r="O112" s="159" t="e">
        <f>(5)*MGBP/Unit.GW*INDEX(assumptions.technology.baseyear[[Unit capacity]:[Unit capacity]],MATCH($D112,assumptions.technology.baseyear[[Description]:[Description]],0))*Unit.GW</f>
        <v>#N/A</v>
      </c>
      <c r="P112" s="159" t="e">
        <f>(5)*MGBP/Unit.GW*INDEX(assumptions.technology.baseyear[[Unit capacity]:[Unit capacity]],MATCH($D112,assumptions.technology.baseyear[[Description]:[Description]],0))*Unit.GW</f>
        <v>#N/A</v>
      </c>
      <c r="Q112" s="159" t="e">
        <f>(5)*MGBP/Unit.GW*INDEX(assumptions.technology.baseyear[[Unit capacity]:[Unit capacity]],MATCH($D112,assumptions.technology.baseyear[[Description]:[Description]],0))*Unit.GW</f>
        <v>#N/A</v>
      </c>
      <c r="R112" s="159"/>
      <c r="T112" s="20"/>
      <c r="U112" s="20"/>
      <c r="V112" s="20"/>
      <c r="W112" s="20"/>
      <c r="X112" s="20"/>
    </row>
    <row r="113" spans="2:24">
      <c r="B113" s="159"/>
      <c r="C113" s="159" t="s">
        <v>733</v>
      </c>
      <c r="D113" s="159" t="e">
        <f>INDEX(Regional.Technologies[Description],MATCH($B$2&amp;"."&amp;assumptions.costs[[#This Row],[Technology code]],Regional.Technologies[Code],0))</f>
        <v>#N/A</v>
      </c>
      <c r="E113" s="159" t="s">
        <v>582</v>
      </c>
      <c r="F113" s="159" t="e">
        <f>INDEX(Region.codes[Description],MATCH(#REF!,Region.codes[Code],0))&amp;" "&amp;INDEX(Cost.vectors[Description],MATCH(E113,Cost.vectors[Code],0))</f>
        <v>#REF!</v>
      </c>
      <c r="G113" s="159"/>
      <c r="H113" s="159"/>
      <c r="I113" s="159" t="e">
        <f>(5)*MGBP/Unit.GW*INDEX(assumptions.technology.baseyear[[Unit capacity]:[Unit capacity]],MATCH($D113,assumptions.technology.baseyear[[Description]:[Description]],0))*Unit.GW</f>
        <v>#N/A</v>
      </c>
      <c r="J113" s="159" t="e">
        <f>(5)*MGBP/Unit.GW*INDEX(assumptions.technology.baseyear[[Unit capacity]:[Unit capacity]],MATCH($D113,assumptions.technology.baseyear[[Description]:[Description]],0))*Unit.GW</f>
        <v>#N/A</v>
      </c>
      <c r="K113" s="159" t="e">
        <f>(5)*MGBP/Unit.GW*INDEX(assumptions.technology.baseyear[[Unit capacity]:[Unit capacity]],MATCH($D113,assumptions.technology.baseyear[[Description]:[Description]],0))*Unit.GW</f>
        <v>#N/A</v>
      </c>
      <c r="L113" s="159" t="e">
        <f>(5)*MGBP/Unit.GW*INDEX(assumptions.technology.baseyear[[Unit capacity]:[Unit capacity]],MATCH($D113,assumptions.technology.baseyear[[Description]:[Description]],0))*Unit.GW</f>
        <v>#N/A</v>
      </c>
      <c r="M113" s="159" t="e">
        <f>(5)*MGBP/Unit.GW*INDEX(assumptions.technology.baseyear[[Unit capacity]:[Unit capacity]],MATCH($D113,assumptions.technology.baseyear[[Description]:[Description]],0))*Unit.GW</f>
        <v>#N/A</v>
      </c>
      <c r="N113" s="159" t="e">
        <f>(5)*MGBP/Unit.GW*INDEX(assumptions.technology.baseyear[[Unit capacity]:[Unit capacity]],MATCH($D113,assumptions.technology.baseyear[[Description]:[Description]],0))*Unit.GW</f>
        <v>#N/A</v>
      </c>
      <c r="O113" s="159" t="e">
        <f>(5)*MGBP/Unit.GW*INDEX(assumptions.technology.baseyear[[Unit capacity]:[Unit capacity]],MATCH($D113,assumptions.technology.baseyear[[Description]:[Description]],0))*Unit.GW</f>
        <v>#N/A</v>
      </c>
      <c r="P113" s="159" t="e">
        <f>(5)*MGBP/Unit.GW*INDEX(assumptions.technology.baseyear[[Unit capacity]:[Unit capacity]],MATCH($D113,assumptions.technology.baseyear[[Description]:[Description]],0))*Unit.GW</f>
        <v>#N/A</v>
      </c>
      <c r="Q113" s="159" t="e">
        <f>(5)*MGBP/Unit.GW*INDEX(assumptions.technology.baseyear[[Unit capacity]:[Unit capacity]],MATCH($D113,assumptions.technology.baseyear[[Description]:[Description]],0))*Unit.GW</f>
        <v>#N/A</v>
      </c>
      <c r="R113" s="159"/>
      <c r="T113" s="20"/>
      <c r="U113" s="20"/>
      <c r="V113" s="20"/>
      <c r="W113" s="20"/>
      <c r="X113" s="20"/>
    </row>
    <row r="114" spans="2:24">
      <c r="B114" s="159"/>
      <c r="C114" s="159" t="s">
        <v>733</v>
      </c>
      <c r="D114" s="159" t="e">
        <f>INDEX(Regional.Technologies[Description],MATCH($B$2&amp;"."&amp;assumptions.costs[[#This Row],[Technology code]],Regional.Technologies[Code],0))</f>
        <v>#N/A</v>
      </c>
      <c r="E114" s="159" t="s">
        <v>583</v>
      </c>
      <c r="F114" s="159" t="e">
        <f>INDEX(Region.codes[Description],MATCH(#REF!,Region.codes[Code],0))&amp;" "&amp;INDEX(Cost.vectors[Description],MATCH(E114,Cost.vectors[Code],0))</f>
        <v>#REF!</v>
      </c>
      <c r="G114" s="159"/>
      <c r="H114" s="159"/>
      <c r="I114" s="159" t="e">
        <f>(5)*MGBP/Unit.GW*INDEX(assumptions.technology.baseyear[[Unit capacity]:[Unit capacity]],MATCH($D114,assumptions.technology.baseyear[[Description]:[Description]],0))*Unit.GW</f>
        <v>#N/A</v>
      </c>
      <c r="J114" s="159" t="e">
        <f>(5)*MGBP/Unit.GW*INDEX(assumptions.technology.baseyear[[Unit capacity]:[Unit capacity]],MATCH($D114,assumptions.technology.baseyear[[Description]:[Description]],0))*Unit.GW</f>
        <v>#N/A</v>
      </c>
      <c r="K114" s="159" t="e">
        <f>(5)*MGBP/Unit.GW*INDEX(assumptions.technology.baseyear[[Unit capacity]:[Unit capacity]],MATCH($D114,assumptions.technology.baseyear[[Description]:[Description]],0))*Unit.GW</f>
        <v>#N/A</v>
      </c>
      <c r="L114" s="159" t="e">
        <f>(5)*MGBP/Unit.GW*INDEX(assumptions.technology.baseyear[[Unit capacity]:[Unit capacity]],MATCH($D114,assumptions.technology.baseyear[[Description]:[Description]],0))*Unit.GW</f>
        <v>#N/A</v>
      </c>
      <c r="M114" s="159" t="e">
        <f>(5)*MGBP/Unit.GW*INDEX(assumptions.technology.baseyear[[Unit capacity]:[Unit capacity]],MATCH($D114,assumptions.technology.baseyear[[Description]:[Description]],0))*Unit.GW</f>
        <v>#N/A</v>
      </c>
      <c r="N114" s="159" t="e">
        <f>(5)*MGBP/Unit.GW*INDEX(assumptions.technology.baseyear[[Unit capacity]:[Unit capacity]],MATCH($D114,assumptions.technology.baseyear[[Description]:[Description]],0))*Unit.GW</f>
        <v>#N/A</v>
      </c>
      <c r="O114" s="159" t="e">
        <f>(5)*MGBP/Unit.GW*INDEX(assumptions.technology.baseyear[[Unit capacity]:[Unit capacity]],MATCH($D114,assumptions.technology.baseyear[[Description]:[Description]],0))*Unit.GW</f>
        <v>#N/A</v>
      </c>
      <c r="P114" s="159" t="e">
        <f>(5)*MGBP/Unit.GW*INDEX(assumptions.technology.baseyear[[Unit capacity]:[Unit capacity]],MATCH($D114,assumptions.technology.baseyear[[Description]:[Description]],0))*Unit.GW</f>
        <v>#N/A</v>
      </c>
      <c r="Q114" s="159" t="e">
        <f>(5)*MGBP/Unit.GW*INDEX(assumptions.technology.baseyear[[Unit capacity]:[Unit capacity]],MATCH($D114,assumptions.technology.baseyear[[Description]:[Description]],0))*Unit.GW</f>
        <v>#N/A</v>
      </c>
      <c r="R114" s="159"/>
      <c r="T114" s="20"/>
      <c r="U114" s="20"/>
      <c r="V114" s="20"/>
      <c r="W114" s="20"/>
      <c r="X114" s="20"/>
    </row>
    <row r="115" spans="2:24">
      <c r="B115" s="159"/>
      <c r="C115" s="159" t="s">
        <v>734</v>
      </c>
      <c r="D115" s="159" t="e">
        <f>INDEX(Regional.Technologies[Description],MATCH($B$2&amp;"."&amp;assumptions.costs[[#This Row],[Technology code]],Regional.Technologies[Code],0))</f>
        <v>#N/A</v>
      </c>
      <c r="E115" s="159" t="s">
        <v>578</v>
      </c>
      <c r="F115" s="159" t="e">
        <f>INDEX(Region.codes[Description],MATCH(#REF!,Region.codes[Code],0))&amp;" "&amp;INDEX(Cost.vectors[Description],MATCH(E115,Cost.vectors[Code],0))</f>
        <v>#REF!</v>
      </c>
      <c r="G115" s="159"/>
      <c r="H115" s="159"/>
      <c r="I115" s="159" t="e">
        <f>(5)*MGBP/Unit.GW*INDEX(assumptions.technology.baseyear[[Unit capacity]:[Unit capacity]],MATCH($D115,assumptions.technology.baseyear[[Description]:[Description]],0))*Unit.GW</f>
        <v>#N/A</v>
      </c>
      <c r="J115" s="159" t="e">
        <f>(5)*MGBP/Unit.GW*INDEX(assumptions.technology.baseyear[[Unit capacity]:[Unit capacity]],MATCH($D115,assumptions.technology.baseyear[[Description]:[Description]],0))*Unit.GW</f>
        <v>#N/A</v>
      </c>
      <c r="K115" s="159" t="e">
        <f>(5)*MGBP/Unit.GW*INDEX(assumptions.technology.baseyear[[Unit capacity]:[Unit capacity]],MATCH($D115,assumptions.technology.baseyear[[Description]:[Description]],0))*Unit.GW</f>
        <v>#N/A</v>
      </c>
      <c r="L115" s="159" t="e">
        <f>(5)*MGBP/Unit.GW*INDEX(assumptions.technology.baseyear[[Unit capacity]:[Unit capacity]],MATCH($D115,assumptions.technology.baseyear[[Description]:[Description]],0))*Unit.GW</f>
        <v>#N/A</v>
      </c>
      <c r="M115" s="159" t="e">
        <f>(5)*MGBP/Unit.GW*INDEX(assumptions.technology.baseyear[[Unit capacity]:[Unit capacity]],MATCH($D115,assumptions.technology.baseyear[[Description]:[Description]],0))*Unit.GW</f>
        <v>#N/A</v>
      </c>
      <c r="N115" s="159" t="e">
        <f>(5)*MGBP/Unit.GW*INDEX(assumptions.technology.baseyear[[Unit capacity]:[Unit capacity]],MATCH($D115,assumptions.technology.baseyear[[Description]:[Description]],0))*Unit.GW</f>
        <v>#N/A</v>
      </c>
      <c r="O115" s="159" t="e">
        <f>(5)*MGBP/Unit.GW*INDEX(assumptions.technology.baseyear[[Unit capacity]:[Unit capacity]],MATCH($D115,assumptions.technology.baseyear[[Description]:[Description]],0))*Unit.GW</f>
        <v>#N/A</v>
      </c>
      <c r="P115" s="159" t="e">
        <f>(5)*MGBP/Unit.GW*INDEX(assumptions.technology.baseyear[[Unit capacity]:[Unit capacity]],MATCH($D115,assumptions.technology.baseyear[[Description]:[Description]],0))*Unit.GW</f>
        <v>#N/A</v>
      </c>
      <c r="Q115" s="159" t="e">
        <f>(5)*MGBP/Unit.GW*INDEX(assumptions.technology.baseyear[[Unit capacity]:[Unit capacity]],MATCH($D115,assumptions.technology.baseyear[[Description]:[Description]],0))*Unit.GW</f>
        <v>#N/A</v>
      </c>
      <c r="R115" s="159"/>
      <c r="T115" s="20"/>
      <c r="U115" s="20"/>
      <c r="V115" s="20"/>
      <c r="W115" s="20"/>
      <c r="X115" s="20"/>
    </row>
    <row r="116" spans="2:24">
      <c r="B116" s="159"/>
      <c r="C116" s="159" t="s">
        <v>734</v>
      </c>
      <c r="D116" s="159" t="e">
        <f>INDEX(Regional.Technologies[Description],MATCH($B$2&amp;"."&amp;assumptions.costs[[#This Row],[Technology code]],Regional.Technologies[Code],0))</f>
        <v>#N/A</v>
      </c>
      <c r="E116" s="159" t="s">
        <v>579</v>
      </c>
      <c r="F116" s="159" t="e">
        <f>INDEX(Region.codes[Description],MATCH(#REF!,Region.codes[Code],0))&amp;" "&amp;INDEX(Cost.vectors[Description],MATCH(E116,Cost.vectors[Code],0))</f>
        <v>#REF!</v>
      </c>
      <c r="G116" s="159"/>
      <c r="H116" s="159"/>
      <c r="I116" s="159" t="e">
        <f>(5)*MGBP/Unit.GW*INDEX(assumptions.technology.baseyear[[Unit capacity]:[Unit capacity]],MATCH($D116,assumptions.technology.baseyear[[Description]:[Description]],0))*Unit.GW</f>
        <v>#N/A</v>
      </c>
      <c r="J116" s="159" t="e">
        <f>(5)*MGBP/Unit.GW*INDEX(assumptions.technology.baseyear[[Unit capacity]:[Unit capacity]],MATCH($D116,assumptions.technology.baseyear[[Description]:[Description]],0))*Unit.GW</f>
        <v>#N/A</v>
      </c>
      <c r="K116" s="159" t="e">
        <f>(5)*MGBP/Unit.GW*INDEX(assumptions.technology.baseyear[[Unit capacity]:[Unit capacity]],MATCH($D116,assumptions.technology.baseyear[[Description]:[Description]],0))*Unit.GW</f>
        <v>#N/A</v>
      </c>
      <c r="L116" s="159" t="e">
        <f>(5)*MGBP/Unit.GW*INDEX(assumptions.technology.baseyear[[Unit capacity]:[Unit capacity]],MATCH($D116,assumptions.technology.baseyear[[Description]:[Description]],0))*Unit.GW</f>
        <v>#N/A</v>
      </c>
      <c r="M116" s="159" t="e">
        <f>(5)*MGBP/Unit.GW*INDEX(assumptions.technology.baseyear[[Unit capacity]:[Unit capacity]],MATCH($D116,assumptions.technology.baseyear[[Description]:[Description]],0))*Unit.GW</f>
        <v>#N/A</v>
      </c>
      <c r="N116" s="159" t="e">
        <f>(5)*MGBP/Unit.GW*INDEX(assumptions.technology.baseyear[[Unit capacity]:[Unit capacity]],MATCH($D116,assumptions.technology.baseyear[[Description]:[Description]],0))*Unit.GW</f>
        <v>#N/A</v>
      </c>
      <c r="O116" s="159" t="e">
        <f>(5)*MGBP/Unit.GW*INDEX(assumptions.technology.baseyear[[Unit capacity]:[Unit capacity]],MATCH($D116,assumptions.technology.baseyear[[Description]:[Description]],0))*Unit.GW</f>
        <v>#N/A</v>
      </c>
      <c r="P116" s="159" t="e">
        <f>(5)*MGBP/Unit.GW*INDEX(assumptions.technology.baseyear[[Unit capacity]:[Unit capacity]],MATCH($D116,assumptions.technology.baseyear[[Description]:[Description]],0))*Unit.GW</f>
        <v>#N/A</v>
      </c>
      <c r="Q116" s="159" t="e">
        <f>(5)*MGBP/Unit.GW*INDEX(assumptions.technology.baseyear[[Unit capacity]:[Unit capacity]],MATCH($D116,assumptions.technology.baseyear[[Description]:[Description]],0))*Unit.GW</f>
        <v>#N/A</v>
      </c>
      <c r="R116" s="159"/>
      <c r="T116" s="20"/>
      <c r="U116" s="20"/>
      <c r="V116" s="20"/>
      <c r="W116" s="20"/>
      <c r="X116" s="20"/>
    </row>
    <row r="117" spans="2:24">
      <c r="B117" s="159"/>
      <c r="C117" s="159" t="s">
        <v>734</v>
      </c>
      <c r="D117" s="159" t="e">
        <f>INDEX(Regional.Technologies[Description],MATCH($B$2&amp;"."&amp;assumptions.costs[[#This Row],[Technology code]],Regional.Technologies[Code],0))</f>
        <v>#N/A</v>
      </c>
      <c r="E117" s="159" t="s">
        <v>580</v>
      </c>
      <c r="F117" s="159" t="e">
        <f>INDEX(Region.codes[Description],MATCH(#REF!,Region.codes[Code],0))&amp;" "&amp;INDEX(Cost.vectors[Description],MATCH(E117,Cost.vectors[Code],0))</f>
        <v>#REF!</v>
      </c>
      <c r="G117" s="159"/>
      <c r="H117" s="159"/>
      <c r="I117" s="159" t="e">
        <f>(5)*MGBP/Unit.GW*INDEX(assumptions.technology.baseyear[[Unit capacity]:[Unit capacity]],MATCH($D117,assumptions.technology.baseyear[[Description]:[Description]],0))*Unit.GW</f>
        <v>#N/A</v>
      </c>
      <c r="J117" s="159" t="e">
        <f>(5)*MGBP/Unit.GW*INDEX(assumptions.technology.baseyear[[Unit capacity]:[Unit capacity]],MATCH($D117,assumptions.technology.baseyear[[Description]:[Description]],0))*Unit.GW</f>
        <v>#N/A</v>
      </c>
      <c r="K117" s="159" t="e">
        <f>(5)*MGBP/Unit.GW*INDEX(assumptions.technology.baseyear[[Unit capacity]:[Unit capacity]],MATCH($D117,assumptions.technology.baseyear[[Description]:[Description]],0))*Unit.GW</f>
        <v>#N/A</v>
      </c>
      <c r="L117" s="159" t="e">
        <f>(5)*MGBP/Unit.GW*INDEX(assumptions.technology.baseyear[[Unit capacity]:[Unit capacity]],MATCH($D117,assumptions.technology.baseyear[[Description]:[Description]],0))*Unit.GW</f>
        <v>#N/A</v>
      </c>
      <c r="M117" s="159" t="e">
        <f>(5)*MGBP/Unit.GW*INDEX(assumptions.technology.baseyear[[Unit capacity]:[Unit capacity]],MATCH($D117,assumptions.technology.baseyear[[Description]:[Description]],0))*Unit.GW</f>
        <v>#N/A</v>
      </c>
      <c r="N117" s="159" t="e">
        <f>(5)*MGBP/Unit.GW*INDEX(assumptions.technology.baseyear[[Unit capacity]:[Unit capacity]],MATCH($D117,assumptions.technology.baseyear[[Description]:[Description]],0))*Unit.GW</f>
        <v>#N/A</v>
      </c>
      <c r="O117" s="159" t="e">
        <f>(5)*MGBP/Unit.GW*INDEX(assumptions.technology.baseyear[[Unit capacity]:[Unit capacity]],MATCH($D117,assumptions.technology.baseyear[[Description]:[Description]],0))*Unit.GW</f>
        <v>#N/A</v>
      </c>
      <c r="P117" s="159" t="e">
        <f>(5)*MGBP/Unit.GW*INDEX(assumptions.technology.baseyear[[Unit capacity]:[Unit capacity]],MATCH($D117,assumptions.technology.baseyear[[Description]:[Description]],0))*Unit.GW</f>
        <v>#N/A</v>
      </c>
      <c r="Q117" s="159" t="e">
        <f>(5)*MGBP/Unit.GW*INDEX(assumptions.technology.baseyear[[Unit capacity]:[Unit capacity]],MATCH($D117,assumptions.technology.baseyear[[Description]:[Description]],0))*Unit.GW</f>
        <v>#N/A</v>
      </c>
      <c r="R117" s="159"/>
      <c r="T117" s="20"/>
      <c r="U117" s="20"/>
      <c r="V117" s="20"/>
      <c r="W117" s="20"/>
      <c r="X117" s="20"/>
    </row>
    <row r="118" spans="2:24">
      <c r="B118" s="159"/>
      <c r="C118" s="159" t="s">
        <v>734</v>
      </c>
      <c r="D118" s="159" t="e">
        <f>INDEX(Regional.Technologies[Description],MATCH($B$2&amp;"."&amp;assumptions.costs[[#This Row],[Technology code]],Regional.Technologies[Code],0))</f>
        <v>#N/A</v>
      </c>
      <c r="E118" s="159" t="s">
        <v>581</v>
      </c>
      <c r="F118" s="159" t="e">
        <f>INDEX(Region.codes[Description],MATCH(#REF!,Region.codes[Code],0))&amp;" "&amp;INDEX(Cost.vectors[Description],MATCH(E118,Cost.vectors[Code],0))</f>
        <v>#REF!</v>
      </c>
      <c r="G118" s="159"/>
      <c r="H118" s="159"/>
      <c r="I118" s="159" t="e">
        <f>(5)*MGBP/Unit.GW*INDEX(assumptions.technology.baseyear[[Unit capacity]:[Unit capacity]],MATCH($D118,assumptions.technology.baseyear[[Description]:[Description]],0))*Unit.GW</f>
        <v>#N/A</v>
      </c>
      <c r="J118" s="159" t="e">
        <f>(5)*MGBP/Unit.GW*INDEX(assumptions.technology.baseyear[[Unit capacity]:[Unit capacity]],MATCH($D118,assumptions.technology.baseyear[[Description]:[Description]],0))*Unit.GW</f>
        <v>#N/A</v>
      </c>
      <c r="K118" s="159" t="e">
        <f>(5)*MGBP/Unit.GW*INDEX(assumptions.technology.baseyear[[Unit capacity]:[Unit capacity]],MATCH($D118,assumptions.technology.baseyear[[Description]:[Description]],0))*Unit.GW</f>
        <v>#N/A</v>
      </c>
      <c r="L118" s="159" t="e">
        <f>(5)*MGBP/Unit.GW*INDEX(assumptions.technology.baseyear[[Unit capacity]:[Unit capacity]],MATCH($D118,assumptions.technology.baseyear[[Description]:[Description]],0))*Unit.GW</f>
        <v>#N/A</v>
      </c>
      <c r="M118" s="159" t="e">
        <f>(5)*MGBP/Unit.GW*INDEX(assumptions.technology.baseyear[[Unit capacity]:[Unit capacity]],MATCH($D118,assumptions.technology.baseyear[[Description]:[Description]],0))*Unit.GW</f>
        <v>#N/A</v>
      </c>
      <c r="N118" s="159" t="e">
        <f>(5)*MGBP/Unit.GW*INDEX(assumptions.technology.baseyear[[Unit capacity]:[Unit capacity]],MATCH($D118,assumptions.technology.baseyear[[Description]:[Description]],0))*Unit.GW</f>
        <v>#N/A</v>
      </c>
      <c r="O118" s="159" t="e">
        <f>(5)*MGBP/Unit.GW*INDEX(assumptions.technology.baseyear[[Unit capacity]:[Unit capacity]],MATCH($D118,assumptions.technology.baseyear[[Description]:[Description]],0))*Unit.GW</f>
        <v>#N/A</v>
      </c>
      <c r="P118" s="159" t="e">
        <f>(5)*MGBP/Unit.GW*INDEX(assumptions.technology.baseyear[[Unit capacity]:[Unit capacity]],MATCH($D118,assumptions.technology.baseyear[[Description]:[Description]],0))*Unit.GW</f>
        <v>#N/A</v>
      </c>
      <c r="Q118" s="159" t="e">
        <f>(5)*MGBP/Unit.GW*INDEX(assumptions.technology.baseyear[[Unit capacity]:[Unit capacity]],MATCH($D118,assumptions.technology.baseyear[[Description]:[Description]],0))*Unit.GW</f>
        <v>#N/A</v>
      </c>
      <c r="R118" s="159"/>
      <c r="T118" s="20"/>
      <c r="U118" s="20"/>
      <c r="V118" s="20"/>
      <c r="W118" s="20"/>
      <c r="X118" s="20"/>
    </row>
    <row r="119" spans="2:24">
      <c r="B119" s="159"/>
      <c r="C119" s="159" t="s">
        <v>734</v>
      </c>
      <c r="D119" s="159" t="e">
        <f>INDEX(Regional.Technologies[Description],MATCH($B$2&amp;"."&amp;assumptions.costs[[#This Row],[Technology code]],Regional.Technologies[Code],0))</f>
        <v>#N/A</v>
      </c>
      <c r="E119" s="159" t="s">
        <v>582</v>
      </c>
      <c r="F119" s="159" t="e">
        <f>INDEX(Region.codes[Description],MATCH(#REF!,Region.codes[Code],0))&amp;" "&amp;INDEX(Cost.vectors[Description],MATCH(E119,Cost.vectors[Code],0))</f>
        <v>#REF!</v>
      </c>
      <c r="G119" s="159"/>
      <c r="H119" s="159"/>
      <c r="I119" s="159" t="e">
        <f>(5)*MGBP/Unit.GW*INDEX(assumptions.technology.baseyear[[Unit capacity]:[Unit capacity]],MATCH($D119,assumptions.technology.baseyear[[Description]:[Description]],0))*Unit.GW</f>
        <v>#N/A</v>
      </c>
      <c r="J119" s="159" t="e">
        <f>(5)*MGBP/Unit.GW*INDEX(assumptions.technology.baseyear[[Unit capacity]:[Unit capacity]],MATCH($D119,assumptions.technology.baseyear[[Description]:[Description]],0))*Unit.GW</f>
        <v>#N/A</v>
      </c>
      <c r="K119" s="159" t="e">
        <f>(5)*MGBP/Unit.GW*INDEX(assumptions.technology.baseyear[[Unit capacity]:[Unit capacity]],MATCH($D119,assumptions.technology.baseyear[[Description]:[Description]],0))*Unit.GW</f>
        <v>#N/A</v>
      </c>
      <c r="L119" s="159" t="e">
        <f>(5)*MGBP/Unit.GW*INDEX(assumptions.technology.baseyear[[Unit capacity]:[Unit capacity]],MATCH($D119,assumptions.technology.baseyear[[Description]:[Description]],0))*Unit.GW</f>
        <v>#N/A</v>
      </c>
      <c r="M119" s="159" t="e">
        <f>(5)*MGBP/Unit.GW*INDEX(assumptions.technology.baseyear[[Unit capacity]:[Unit capacity]],MATCH($D119,assumptions.technology.baseyear[[Description]:[Description]],0))*Unit.GW</f>
        <v>#N/A</v>
      </c>
      <c r="N119" s="159" t="e">
        <f>(5)*MGBP/Unit.GW*INDEX(assumptions.technology.baseyear[[Unit capacity]:[Unit capacity]],MATCH($D119,assumptions.technology.baseyear[[Description]:[Description]],0))*Unit.GW</f>
        <v>#N/A</v>
      </c>
      <c r="O119" s="159" t="e">
        <f>(5)*MGBP/Unit.GW*INDEX(assumptions.technology.baseyear[[Unit capacity]:[Unit capacity]],MATCH($D119,assumptions.technology.baseyear[[Description]:[Description]],0))*Unit.GW</f>
        <v>#N/A</v>
      </c>
      <c r="P119" s="159" t="e">
        <f>(5)*MGBP/Unit.GW*INDEX(assumptions.technology.baseyear[[Unit capacity]:[Unit capacity]],MATCH($D119,assumptions.technology.baseyear[[Description]:[Description]],0))*Unit.GW</f>
        <v>#N/A</v>
      </c>
      <c r="Q119" s="159" t="e">
        <f>(5)*MGBP/Unit.GW*INDEX(assumptions.technology.baseyear[[Unit capacity]:[Unit capacity]],MATCH($D119,assumptions.technology.baseyear[[Description]:[Description]],0))*Unit.GW</f>
        <v>#N/A</v>
      </c>
      <c r="R119" s="159"/>
      <c r="T119" s="20"/>
      <c r="U119" s="20"/>
      <c r="V119" s="20"/>
      <c r="W119" s="20"/>
      <c r="X119" s="20"/>
    </row>
    <row r="120" spans="2:24">
      <c r="B120" s="159"/>
      <c r="C120" s="159" t="s">
        <v>734</v>
      </c>
      <c r="D120" s="159" t="e">
        <f>INDEX(Regional.Technologies[Description],MATCH($B$2&amp;"."&amp;assumptions.costs[[#This Row],[Technology code]],Regional.Technologies[Code],0))</f>
        <v>#N/A</v>
      </c>
      <c r="E120" s="159" t="s">
        <v>583</v>
      </c>
      <c r="F120" s="159" t="e">
        <f>INDEX(Region.codes[Description],MATCH(#REF!,Region.codes[Code],0))&amp;" "&amp;INDEX(Cost.vectors[Description],MATCH(E120,Cost.vectors[Code],0))</f>
        <v>#REF!</v>
      </c>
      <c r="G120" s="159"/>
      <c r="H120" s="159"/>
      <c r="I120" s="159" t="e">
        <f>(5)*MGBP/Unit.GW*INDEX(assumptions.technology.baseyear[[Unit capacity]:[Unit capacity]],MATCH($D120,assumptions.technology.baseyear[[Description]:[Description]],0))*Unit.GW</f>
        <v>#N/A</v>
      </c>
      <c r="J120" s="159" t="e">
        <f>(5)*MGBP/Unit.GW*INDEX(assumptions.technology.baseyear[[Unit capacity]:[Unit capacity]],MATCH($D120,assumptions.technology.baseyear[[Description]:[Description]],0))*Unit.GW</f>
        <v>#N/A</v>
      </c>
      <c r="K120" s="159" t="e">
        <f>(5)*MGBP/Unit.GW*INDEX(assumptions.technology.baseyear[[Unit capacity]:[Unit capacity]],MATCH($D120,assumptions.technology.baseyear[[Description]:[Description]],0))*Unit.GW</f>
        <v>#N/A</v>
      </c>
      <c r="L120" s="159" t="e">
        <f>(5)*MGBP/Unit.GW*INDEX(assumptions.technology.baseyear[[Unit capacity]:[Unit capacity]],MATCH($D120,assumptions.technology.baseyear[[Description]:[Description]],0))*Unit.GW</f>
        <v>#N/A</v>
      </c>
      <c r="M120" s="159" t="e">
        <f>(5)*MGBP/Unit.GW*INDEX(assumptions.technology.baseyear[[Unit capacity]:[Unit capacity]],MATCH($D120,assumptions.technology.baseyear[[Description]:[Description]],0))*Unit.GW</f>
        <v>#N/A</v>
      </c>
      <c r="N120" s="159" t="e">
        <f>(5)*MGBP/Unit.GW*INDEX(assumptions.technology.baseyear[[Unit capacity]:[Unit capacity]],MATCH($D120,assumptions.technology.baseyear[[Description]:[Description]],0))*Unit.GW</f>
        <v>#N/A</v>
      </c>
      <c r="O120" s="159" t="e">
        <f>(5)*MGBP/Unit.GW*INDEX(assumptions.technology.baseyear[[Unit capacity]:[Unit capacity]],MATCH($D120,assumptions.technology.baseyear[[Description]:[Description]],0))*Unit.GW</f>
        <v>#N/A</v>
      </c>
      <c r="P120" s="159" t="e">
        <f>(5)*MGBP/Unit.GW*INDEX(assumptions.technology.baseyear[[Unit capacity]:[Unit capacity]],MATCH($D120,assumptions.technology.baseyear[[Description]:[Description]],0))*Unit.GW</f>
        <v>#N/A</v>
      </c>
      <c r="Q120" s="159" t="e">
        <f>(5)*MGBP/Unit.GW*INDEX(assumptions.technology.baseyear[[Unit capacity]:[Unit capacity]],MATCH($D120,assumptions.technology.baseyear[[Description]:[Description]],0))*Unit.GW</f>
        <v>#N/A</v>
      </c>
      <c r="R120" s="159"/>
      <c r="T120" s="20"/>
      <c r="U120" s="20"/>
      <c r="V120" s="20"/>
      <c r="W120" s="20"/>
      <c r="X120" s="20"/>
    </row>
    <row r="121" spans="2:24">
      <c r="B121" s="159"/>
      <c r="C121" s="159" t="s">
        <v>735</v>
      </c>
      <c r="D121" s="159" t="e">
        <f>INDEX(Regional.Technologies[Description],MATCH($B$2&amp;"."&amp;assumptions.costs[[#This Row],[Technology code]],Regional.Technologies[Code],0))</f>
        <v>#N/A</v>
      </c>
      <c r="E121" s="159" t="s">
        <v>578</v>
      </c>
      <c r="F121" s="159" t="e">
        <f>INDEX(Region.codes[Description],MATCH(#REF!,Region.codes[Code],0))&amp;" "&amp;INDEX(Cost.vectors[Description],MATCH(E121,Cost.vectors[Code],0))</f>
        <v>#REF!</v>
      </c>
      <c r="G121" s="159"/>
      <c r="H121" s="159"/>
      <c r="I121" s="159" t="e">
        <f>(5)*MGBP/Unit.GW*INDEX(assumptions.technology.baseyear[[Unit capacity]:[Unit capacity]],MATCH($D121,assumptions.technology.baseyear[[Description]:[Description]],0))*Unit.GW</f>
        <v>#N/A</v>
      </c>
      <c r="J121" s="159" t="e">
        <f>(5)*MGBP/Unit.GW*INDEX(assumptions.technology.baseyear[[Unit capacity]:[Unit capacity]],MATCH($D121,assumptions.technology.baseyear[[Description]:[Description]],0))*Unit.GW</f>
        <v>#N/A</v>
      </c>
      <c r="K121" s="159" t="e">
        <f>(5)*MGBP/Unit.GW*INDEX(assumptions.technology.baseyear[[Unit capacity]:[Unit capacity]],MATCH($D121,assumptions.technology.baseyear[[Description]:[Description]],0))*Unit.GW</f>
        <v>#N/A</v>
      </c>
      <c r="L121" s="159" t="e">
        <f>(5)*MGBP/Unit.GW*INDEX(assumptions.technology.baseyear[[Unit capacity]:[Unit capacity]],MATCH($D121,assumptions.technology.baseyear[[Description]:[Description]],0))*Unit.GW</f>
        <v>#N/A</v>
      </c>
      <c r="M121" s="159" t="e">
        <f>(5)*MGBP/Unit.GW*INDEX(assumptions.technology.baseyear[[Unit capacity]:[Unit capacity]],MATCH($D121,assumptions.technology.baseyear[[Description]:[Description]],0))*Unit.GW</f>
        <v>#N/A</v>
      </c>
      <c r="N121" s="159" t="e">
        <f>(5)*MGBP/Unit.GW*INDEX(assumptions.technology.baseyear[[Unit capacity]:[Unit capacity]],MATCH($D121,assumptions.technology.baseyear[[Description]:[Description]],0))*Unit.GW</f>
        <v>#N/A</v>
      </c>
      <c r="O121" s="159" t="e">
        <f>(5)*MGBP/Unit.GW*INDEX(assumptions.technology.baseyear[[Unit capacity]:[Unit capacity]],MATCH($D121,assumptions.technology.baseyear[[Description]:[Description]],0))*Unit.GW</f>
        <v>#N/A</v>
      </c>
      <c r="P121" s="159" t="e">
        <f>(5)*MGBP/Unit.GW*INDEX(assumptions.technology.baseyear[[Unit capacity]:[Unit capacity]],MATCH($D121,assumptions.technology.baseyear[[Description]:[Description]],0))*Unit.GW</f>
        <v>#N/A</v>
      </c>
      <c r="Q121" s="159" t="e">
        <f>(5)*MGBP/Unit.GW*INDEX(assumptions.technology.baseyear[[Unit capacity]:[Unit capacity]],MATCH($D121,assumptions.technology.baseyear[[Description]:[Description]],0))*Unit.GW</f>
        <v>#N/A</v>
      </c>
      <c r="R121" s="159"/>
      <c r="T121" s="20"/>
      <c r="U121" s="20"/>
      <c r="V121" s="20"/>
      <c r="W121" s="20"/>
      <c r="X121" s="20"/>
    </row>
    <row r="122" spans="2:24">
      <c r="B122" s="159"/>
      <c r="C122" s="159" t="s">
        <v>735</v>
      </c>
      <c r="D122" s="159" t="e">
        <f>INDEX(Regional.Technologies[Description],MATCH($B$2&amp;"."&amp;assumptions.costs[[#This Row],[Technology code]],Regional.Technologies[Code],0))</f>
        <v>#N/A</v>
      </c>
      <c r="E122" s="159" t="s">
        <v>579</v>
      </c>
      <c r="F122" s="159" t="e">
        <f>INDEX(Region.codes[Description],MATCH(#REF!,Region.codes[Code],0))&amp;" "&amp;INDEX(Cost.vectors[Description],MATCH(E122,Cost.vectors[Code],0))</f>
        <v>#REF!</v>
      </c>
      <c r="G122" s="159"/>
      <c r="H122" s="159"/>
      <c r="I122" s="159" t="e">
        <f>(5)*MGBP/Unit.GW*INDEX(assumptions.technology.baseyear[[Unit capacity]:[Unit capacity]],MATCH($D122,assumptions.technology.baseyear[[Description]:[Description]],0))*Unit.GW</f>
        <v>#N/A</v>
      </c>
      <c r="J122" s="159" t="e">
        <f>(5)*MGBP/Unit.GW*INDEX(assumptions.technology.baseyear[[Unit capacity]:[Unit capacity]],MATCH($D122,assumptions.technology.baseyear[[Description]:[Description]],0))*Unit.GW</f>
        <v>#N/A</v>
      </c>
      <c r="K122" s="159" t="e">
        <f>(5)*MGBP/Unit.GW*INDEX(assumptions.technology.baseyear[[Unit capacity]:[Unit capacity]],MATCH($D122,assumptions.technology.baseyear[[Description]:[Description]],0))*Unit.GW</f>
        <v>#N/A</v>
      </c>
      <c r="L122" s="159" t="e">
        <f>(5)*MGBP/Unit.GW*INDEX(assumptions.technology.baseyear[[Unit capacity]:[Unit capacity]],MATCH($D122,assumptions.technology.baseyear[[Description]:[Description]],0))*Unit.GW</f>
        <v>#N/A</v>
      </c>
      <c r="M122" s="159" t="e">
        <f>(5)*MGBP/Unit.GW*INDEX(assumptions.technology.baseyear[[Unit capacity]:[Unit capacity]],MATCH($D122,assumptions.technology.baseyear[[Description]:[Description]],0))*Unit.GW</f>
        <v>#N/A</v>
      </c>
      <c r="N122" s="159" t="e">
        <f>(5)*MGBP/Unit.GW*INDEX(assumptions.technology.baseyear[[Unit capacity]:[Unit capacity]],MATCH($D122,assumptions.technology.baseyear[[Description]:[Description]],0))*Unit.GW</f>
        <v>#N/A</v>
      </c>
      <c r="O122" s="159" t="e">
        <f>(5)*MGBP/Unit.GW*INDEX(assumptions.technology.baseyear[[Unit capacity]:[Unit capacity]],MATCH($D122,assumptions.technology.baseyear[[Description]:[Description]],0))*Unit.GW</f>
        <v>#N/A</v>
      </c>
      <c r="P122" s="159" t="e">
        <f>(5)*MGBP/Unit.GW*INDEX(assumptions.technology.baseyear[[Unit capacity]:[Unit capacity]],MATCH($D122,assumptions.technology.baseyear[[Description]:[Description]],0))*Unit.GW</f>
        <v>#N/A</v>
      </c>
      <c r="Q122" s="159" t="e">
        <f>(5)*MGBP/Unit.GW*INDEX(assumptions.technology.baseyear[[Unit capacity]:[Unit capacity]],MATCH($D122,assumptions.technology.baseyear[[Description]:[Description]],0))*Unit.GW</f>
        <v>#N/A</v>
      </c>
      <c r="R122" s="159"/>
      <c r="T122" s="20"/>
      <c r="U122" s="20"/>
      <c r="V122" s="20"/>
      <c r="W122" s="20"/>
      <c r="X122" s="20"/>
    </row>
    <row r="123" spans="2:24">
      <c r="B123" s="159"/>
      <c r="C123" s="159" t="s">
        <v>735</v>
      </c>
      <c r="D123" s="159" t="e">
        <f>INDEX(Regional.Technologies[Description],MATCH($B$2&amp;"."&amp;assumptions.costs[[#This Row],[Technology code]],Regional.Technologies[Code],0))</f>
        <v>#N/A</v>
      </c>
      <c r="E123" s="159" t="s">
        <v>580</v>
      </c>
      <c r="F123" s="159" t="e">
        <f>INDEX(Region.codes[Description],MATCH(#REF!,Region.codes[Code],0))&amp;" "&amp;INDEX(Cost.vectors[Description],MATCH(E123,Cost.vectors[Code],0))</f>
        <v>#REF!</v>
      </c>
      <c r="G123" s="159"/>
      <c r="H123" s="159"/>
      <c r="I123" s="159" t="e">
        <f>(5)*MGBP/Unit.GW*INDEX(assumptions.technology.baseyear[[Unit capacity]:[Unit capacity]],MATCH($D123,assumptions.technology.baseyear[[Description]:[Description]],0))*Unit.GW</f>
        <v>#N/A</v>
      </c>
      <c r="J123" s="159" t="e">
        <f>(5)*MGBP/Unit.GW*INDEX(assumptions.technology.baseyear[[Unit capacity]:[Unit capacity]],MATCH($D123,assumptions.technology.baseyear[[Description]:[Description]],0))*Unit.GW</f>
        <v>#N/A</v>
      </c>
      <c r="K123" s="159" t="e">
        <f>(5)*MGBP/Unit.GW*INDEX(assumptions.technology.baseyear[[Unit capacity]:[Unit capacity]],MATCH($D123,assumptions.technology.baseyear[[Description]:[Description]],0))*Unit.GW</f>
        <v>#N/A</v>
      </c>
      <c r="L123" s="159" t="e">
        <f>(5)*MGBP/Unit.GW*INDEX(assumptions.technology.baseyear[[Unit capacity]:[Unit capacity]],MATCH($D123,assumptions.technology.baseyear[[Description]:[Description]],0))*Unit.GW</f>
        <v>#N/A</v>
      </c>
      <c r="M123" s="159" t="e">
        <f>(5)*MGBP/Unit.GW*INDEX(assumptions.technology.baseyear[[Unit capacity]:[Unit capacity]],MATCH($D123,assumptions.technology.baseyear[[Description]:[Description]],0))*Unit.GW</f>
        <v>#N/A</v>
      </c>
      <c r="N123" s="159" t="e">
        <f>(5)*MGBP/Unit.GW*INDEX(assumptions.technology.baseyear[[Unit capacity]:[Unit capacity]],MATCH($D123,assumptions.technology.baseyear[[Description]:[Description]],0))*Unit.GW</f>
        <v>#N/A</v>
      </c>
      <c r="O123" s="159" t="e">
        <f>(5)*MGBP/Unit.GW*INDEX(assumptions.technology.baseyear[[Unit capacity]:[Unit capacity]],MATCH($D123,assumptions.technology.baseyear[[Description]:[Description]],0))*Unit.GW</f>
        <v>#N/A</v>
      </c>
      <c r="P123" s="159" t="e">
        <f>(5)*MGBP/Unit.GW*INDEX(assumptions.technology.baseyear[[Unit capacity]:[Unit capacity]],MATCH($D123,assumptions.technology.baseyear[[Description]:[Description]],0))*Unit.GW</f>
        <v>#N/A</v>
      </c>
      <c r="Q123" s="159" t="e">
        <f>(5)*MGBP/Unit.GW*INDEX(assumptions.technology.baseyear[[Unit capacity]:[Unit capacity]],MATCH($D123,assumptions.technology.baseyear[[Description]:[Description]],0))*Unit.GW</f>
        <v>#N/A</v>
      </c>
      <c r="R123" s="159"/>
      <c r="T123" s="20"/>
      <c r="U123" s="20"/>
      <c r="V123" s="20"/>
      <c r="W123" s="20"/>
      <c r="X123" s="20"/>
    </row>
    <row r="124" spans="2:24">
      <c r="B124" s="159"/>
      <c r="C124" s="159" t="s">
        <v>735</v>
      </c>
      <c r="D124" s="159" t="e">
        <f>INDEX(Regional.Technologies[Description],MATCH($B$2&amp;"."&amp;assumptions.costs[[#This Row],[Technology code]],Regional.Technologies[Code],0))</f>
        <v>#N/A</v>
      </c>
      <c r="E124" s="159" t="s">
        <v>581</v>
      </c>
      <c r="F124" s="159" t="e">
        <f>INDEX(Region.codes[Description],MATCH(#REF!,Region.codes[Code],0))&amp;" "&amp;INDEX(Cost.vectors[Description],MATCH(E124,Cost.vectors[Code],0))</f>
        <v>#REF!</v>
      </c>
      <c r="G124" s="159"/>
      <c r="H124" s="159"/>
      <c r="I124" s="159" t="e">
        <f>(5)*MGBP/Unit.GW*INDEX(assumptions.technology.baseyear[[Unit capacity]:[Unit capacity]],MATCH($D124,assumptions.technology.baseyear[[Description]:[Description]],0))*Unit.GW</f>
        <v>#N/A</v>
      </c>
      <c r="J124" s="159" t="e">
        <f>(5)*MGBP/Unit.GW*INDEX(assumptions.technology.baseyear[[Unit capacity]:[Unit capacity]],MATCH($D124,assumptions.technology.baseyear[[Description]:[Description]],0))*Unit.GW</f>
        <v>#N/A</v>
      </c>
      <c r="K124" s="159" t="e">
        <f>(5)*MGBP/Unit.GW*INDEX(assumptions.technology.baseyear[[Unit capacity]:[Unit capacity]],MATCH($D124,assumptions.technology.baseyear[[Description]:[Description]],0))*Unit.GW</f>
        <v>#N/A</v>
      </c>
      <c r="L124" s="159" t="e">
        <f>(5)*MGBP/Unit.GW*INDEX(assumptions.technology.baseyear[[Unit capacity]:[Unit capacity]],MATCH($D124,assumptions.technology.baseyear[[Description]:[Description]],0))*Unit.GW</f>
        <v>#N/A</v>
      </c>
      <c r="M124" s="159" t="e">
        <f>(5)*MGBP/Unit.GW*INDEX(assumptions.technology.baseyear[[Unit capacity]:[Unit capacity]],MATCH($D124,assumptions.technology.baseyear[[Description]:[Description]],0))*Unit.GW</f>
        <v>#N/A</v>
      </c>
      <c r="N124" s="159" t="e">
        <f>(5)*MGBP/Unit.GW*INDEX(assumptions.technology.baseyear[[Unit capacity]:[Unit capacity]],MATCH($D124,assumptions.technology.baseyear[[Description]:[Description]],0))*Unit.GW</f>
        <v>#N/A</v>
      </c>
      <c r="O124" s="159" t="e">
        <f>(5)*MGBP/Unit.GW*INDEX(assumptions.technology.baseyear[[Unit capacity]:[Unit capacity]],MATCH($D124,assumptions.technology.baseyear[[Description]:[Description]],0))*Unit.GW</f>
        <v>#N/A</v>
      </c>
      <c r="P124" s="159" t="e">
        <f>(5)*MGBP/Unit.GW*INDEX(assumptions.technology.baseyear[[Unit capacity]:[Unit capacity]],MATCH($D124,assumptions.technology.baseyear[[Description]:[Description]],0))*Unit.GW</f>
        <v>#N/A</v>
      </c>
      <c r="Q124" s="159" t="e">
        <f>(5)*MGBP/Unit.GW*INDEX(assumptions.technology.baseyear[[Unit capacity]:[Unit capacity]],MATCH($D124,assumptions.technology.baseyear[[Description]:[Description]],0))*Unit.GW</f>
        <v>#N/A</v>
      </c>
      <c r="R124" s="159"/>
      <c r="T124" s="20"/>
      <c r="U124" s="20"/>
      <c r="V124" s="20"/>
      <c r="W124" s="20"/>
      <c r="X124" s="20"/>
    </row>
    <row r="125" spans="2:24">
      <c r="B125" s="159"/>
      <c r="C125" s="159" t="s">
        <v>735</v>
      </c>
      <c r="D125" s="159" t="e">
        <f>INDEX(Regional.Technologies[Description],MATCH($B$2&amp;"."&amp;assumptions.costs[[#This Row],[Technology code]],Regional.Technologies[Code],0))</f>
        <v>#N/A</v>
      </c>
      <c r="E125" s="159" t="s">
        <v>582</v>
      </c>
      <c r="F125" s="159" t="e">
        <f>INDEX(Region.codes[Description],MATCH(#REF!,Region.codes[Code],0))&amp;" "&amp;INDEX(Cost.vectors[Description],MATCH(E125,Cost.vectors[Code],0))</f>
        <v>#REF!</v>
      </c>
      <c r="G125" s="159"/>
      <c r="H125" s="159"/>
      <c r="I125" s="159" t="e">
        <f>(5)*MGBP/Unit.GW*INDEX(assumptions.technology.baseyear[[Unit capacity]:[Unit capacity]],MATCH($D125,assumptions.technology.baseyear[[Description]:[Description]],0))*Unit.GW</f>
        <v>#N/A</v>
      </c>
      <c r="J125" s="159" t="e">
        <f>(5)*MGBP/Unit.GW*INDEX(assumptions.technology.baseyear[[Unit capacity]:[Unit capacity]],MATCH($D125,assumptions.technology.baseyear[[Description]:[Description]],0))*Unit.GW</f>
        <v>#N/A</v>
      </c>
      <c r="K125" s="159" t="e">
        <f>(5)*MGBP/Unit.GW*INDEX(assumptions.technology.baseyear[[Unit capacity]:[Unit capacity]],MATCH($D125,assumptions.technology.baseyear[[Description]:[Description]],0))*Unit.GW</f>
        <v>#N/A</v>
      </c>
      <c r="L125" s="159" t="e">
        <f>(5)*MGBP/Unit.GW*INDEX(assumptions.technology.baseyear[[Unit capacity]:[Unit capacity]],MATCH($D125,assumptions.technology.baseyear[[Description]:[Description]],0))*Unit.GW</f>
        <v>#N/A</v>
      </c>
      <c r="M125" s="159" t="e">
        <f>(5)*MGBP/Unit.GW*INDEX(assumptions.technology.baseyear[[Unit capacity]:[Unit capacity]],MATCH($D125,assumptions.technology.baseyear[[Description]:[Description]],0))*Unit.GW</f>
        <v>#N/A</v>
      </c>
      <c r="N125" s="159" t="e">
        <f>(5)*MGBP/Unit.GW*INDEX(assumptions.technology.baseyear[[Unit capacity]:[Unit capacity]],MATCH($D125,assumptions.technology.baseyear[[Description]:[Description]],0))*Unit.GW</f>
        <v>#N/A</v>
      </c>
      <c r="O125" s="159" t="e">
        <f>(5)*MGBP/Unit.GW*INDEX(assumptions.technology.baseyear[[Unit capacity]:[Unit capacity]],MATCH($D125,assumptions.technology.baseyear[[Description]:[Description]],0))*Unit.GW</f>
        <v>#N/A</v>
      </c>
      <c r="P125" s="159" t="e">
        <f>(5)*MGBP/Unit.GW*INDEX(assumptions.technology.baseyear[[Unit capacity]:[Unit capacity]],MATCH($D125,assumptions.technology.baseyear[[Description]:[Description]],0))*Unit.GW</f>
        <v>#N/A</v>
      </c>
      <c r="Q125" s="159" t="e">
        <f>(5)*MGBP/Unit.GW*INDEX(assumptions.technology.baseyear[[Unit capacity]:[Unit capacity]],MATCH($D125,assumptions.technology.baseyear[[Description]:[Description]],0))*Unit.GW</f>
        <v>#N/A</v>
      </c>
      <c r="R125" s="159"/>
      <c r="T125" s="20"/>
      <c r="U125" s="20"/>
      <c r="V125" s="20"/>
      <c r="W125" s="20"/>
      <c r="X125" s="20"/>
    </row>
    <row r="126" spans="2:24">
      <c r="B126" s="159"/>
      <c r="C126" s="159" t="s">
        <v>735</v>
      </c>
      <c r="D126" s="159" t="e">
        <f>INDEX(Regional.Technologies[Description],MATCH($B$2&amp;"."&amp;assumptions.costs[[#This Row],[Technology code]],Regional.Technologies[Code],0))</f>
        <v>#N/A</v>
      </c>
      <c r="E126" s="159" t="s">
        <v>583</v>
      </c>
      <c r="F126" s="159" t="e">
        <f>INDEX(Region.codes[Description],MATCH(#REF!,Region.codes[Code],0))&amp;" "&amp;INDEX(Cost.vectors[Description],MATCH(E126,Cost.vectors[Code],0))</f>
        <v>#REF!</v>
      </c>
      <c r="G126" s="159"/>
      <c r="H126" s="159"/>
      <c r="I126" s="159" t="e">
        <f>(5)*MGBP/Unit.GW*INDEX(assumptions.technology.baseyear[[Unit capacity]:[Unit capacity]],MATCH($D126,assumptions.technology.baseyear[[Description]:[Description]],0))*Unit.GW</f>
        <v>#N/A</v>
      </c>
      <c r="J126" s="159" t="e">
        <f>(5)*MGBP/Unit.GW*INDEX(assumptions.technology.baseyear[[Unit capacity]:[Unit capacity]],MATCH($D126,assumptions.technology.baseyear[[Description]:[Description]],0))*Unit.GW</f>
        <v>#N/A</v>
      </c>
      <c r="K126" s="159" t="e">
        <f>(5)*MGBP/Unit.GW*INDEX(assumptions.technology.baseyear[[Unit capacity]:[Unit capacity]],MATCH($D126,assumptions.technology.baseyear[[Description]:[Description]],0))*Unit.GW</f>
        <v>#N/A</v>
      </c>
      <c r="L126" s="159" t="e">
        <f>(5)*MGBP/Unit.GW*INDEX(assumptions.technology.baseyear[[Unit capacity]:[Unit capacity]],MATCH($D126,assumptions.technology.baseyear[[Description]:[Description]],0))*Unit.GW</f>
        <v>#N/A</v>
      </c>
      <c r="M126" s="159" t="e">
        <f>(5)*MGBP/Unit.GW*INDEX(assumptions.technology.baseyear[[Unit capacity]:[Unit capacity]],MATCH($D126,assumptions.technology.baseyear[[Description]:[Description]],0))*Unit.GW</f>
        <v>#N/A</v>
      </c>
      <c r="N126" s="159" t="e">
        <f>(5)*MGBP/Unit.GW*INDEX(assumptions.technology.baseyear[[Unit capacity]:[Unit capacity]],MATCH($D126,assumptions.technology.baseyear[[Description]:[Description]],0))*Unit.GW</f>
        <v>#N/A</v>
      </c>
      <c r="O126" s="159" t="e">
        <f>(5)*MGBP/Unit.GW*INDEX(assumptions.technology.baseyear[[Unit capacity]:[Unit capacity]],MATCH($D126,assumptions.technology.baseyear[[Description]:[Description]],0))*Unit.GW</f>
        <v>#N/A</v>
      </c>
      <c r="P126" s="159" t="e">
        <f>(5)*MGBP/Unit.GW*INDEX(assumptions.technology.baseyear[[Unit capacity]:[Unit capacity]],MATCH($D126,assumptions.technology.baseyear[[Description]:[Description]],0))*Unit.GW</f>
        <v>#N/A</v>
      </c>
      <c r="Q126" s="159" t="e">
        <f>(5)*MGBP/Unit.GW*INDEX(assumptions.technology.baseyear[[Unit capacity]:[Unit capacity]],MATCH($D126,assumptions.technology.baseyear[[Description]:[Description]],0))*Unit.GW</f>
        <v>#N/A</v>
      </c>
      <c r="R126" s="159"/>
      <c r="T126" s="20"/>
      <c r="U126" s="20"/>
      <c r="V126" s="20"/>
      <c r="W126" s="20"/>
      <c r="X126" s="20"/>
    </row>
    <row r="127" spans="2:24">
      <c r="B127" s="159"/>
      <c r="C127" s="159" t="s">
        <v>736</v>
      </c>
      <c r="D127" s="159" t="e">
        <f>INDEX(Regional.Technologies[Description],MATCH($B$2&amp;"."&amp;assumptions.costs[[#This Row],[Technology code]],Regional.Technologies[Code],0))</f>
        <v>#N/A</v>
      </c>
      <c r="E127" s="159" t="s">
        <v>578</v>
      </c>
      <c r="F127" s="159" t="e">
        <f>INDEX(Region.codes[Description],MATCH(#REF!,Region.codes[Code],0))&amp;" "&amp;INDEX(Cost.vectors[Description],MATCH(E127,Cost.vectors[Code],0))</f>
        <v>#REF!</v>
      </c>
      <c r="G127" s="159"/>
      <c r="H127" s="159"/>
      <c r="I127" s="159" t="e">
        <f>(5)*MGBP/Unit.GW*INDEX(assumptions.technology.baseyear[[Unit capacity]:[Unit capacity]],MATCH($D127,assumptions.technology.baseyear[[Description]:[Description]],0))*Unit.GW</f>
        <v>#N/A</v>
      </c>
      <c r="J127" s="159" t="e">
        <f>(5)*MGBP/Unit.GW*INDEX(assumptions.technology.baseyear[[Unit capacity]:[Unit capacity]],MATCH($D127,assumptions.technology.baseyear[[Description]:[Description]],0))*Unit.GW</f>
        <v>#N/A</v>
      </c>
      <c r="K127" s="159" t="e">
        <f>(5)*MGBP/Unit.GW*INDEX(assumptions.technology.baseyear[[Unit capacity]:[Unit capacity]],MATCH($D127,assumptions.technology.baseyear[[Description]:[Description]],0))*Unit.GW</f>
        <v>#N/A</v>
      </c>
      <c r="L127" s="159" t="e">
        <f>(5)*MGBP/Unit.GW*INDEX(assumptions.technology.baseyear[[Unit capacity]:[Unit capacity]],MATCH($D127,assumptions.technology.baseyear[[Description]:[Description]],0))*Unit.GW</f>
        <v>#N/A</v>
      </c>
      <c r="M127" s="159" t="e">
        <f>(5)*MGBP/Unit.GW*INDEX(assumptions.technology.baseyear[[Unit capacity]:[Unit capacity]],MATCH($D127,assumptions.technology.baseyear[[Description]:[Description]],0))*Unit.GW</f>
        <v>#N/A</v>
      </c>
      <c r="N127" s="159" t="e">
        <f>(5)*MGBP/Unit.GW*INDEX(assumptions.technology.baseyear[[Unit capacity]:[Unit capacity]],MATCH($D127,assumptions.technology.baseyear[[Description]:[Description]],0))*Unit.GW</f>
        <v>#N/A</v>
      </c>
      <c r="O127" s="159" t="e">
        <f>(5)*MGBP/Unit.GW*INDEX(assumptions.technology.baseyear[[Unit capacity]:[Unit capacity]],MATCH($D127,assumptions.technology.baseyear[[Description]:[Description]],0))*Unit.GW</f>
        <v>#N/A</v>
      </c>
      <c r="P127" s="159" t="e">
        <f>(5)*MGBP/Unit.GW*INDEX(assumptions.technology.baseyear[[Unit capacity]:[Unit capacity]],MATCH($D127,assumptions.technology.baseyear[[Description]:[Description]],0))*Unit.GW</f>
        <v>#N/A</v>
      </c>
      <c r="Q127" s="159" t="e">
        <f>(5)*MGBP/Unit.GW*INDEX(assumptions.technology.baseyear[[Unit capacity]:[Unit capacity]],MATCH($D127,assumptions.technology.baseyear[[Description]:[Description]],0))*Unit.GW</f>
        <v>#N/A</v>
      </c>
      <c r="R127" s="159"/>
      <c r="T127" s="20"/>
      <c r="U127" s="20"/>
      <c r="V127" s="20"/>
      <c r="W127" s="20"/>
      <c r="X127" s="20"/>
    </row>
    <row r="128" spans="2:24">
      <c r="B128" s="159"/>
      <c r="C128" s="159" t="s">
        <v>736</v>
      </c>
      <c r="D128" s="159" t="e">
        <f>INDEX(Regional.Technologies[Description],MATCH($B$2&amp;"."&amp;assumptions.costs[[#This Row],[Technology code]],Regional.Technologies[Code],0))</f>
        <v>#N/A</v>
      </c>
      <c r="E128" s="159" t="s">
        <v>579</v>
      </c>
      <c r="F128" s="159" t="e">
        <f>INDEX(Region.codes[Description],MATCH(#REF!,Region.codes[Code],0))&amp;" "&amp;INDEX(Cost.vectors[Description],MATCH(E128,Cost.vectors[Code],0))</f>
        <v>#REF!</v>
      </c>
      <c r="G128" s="159"/>
      <c r="H128" s="159"/>
      <c r="I128" s="159" t="e">
        <f>(5)*MGBP/Unit.GW*INDEX(assumptions.technology.baseyear[[Unit capacity]:[Unit capacity]],MATCH($D128,assumptions.technology.baseyear[[Description]:[Description]],0))*Unit.GW</f>
        <v>#N/A</v>
      </c>
      <c r="J128" s="159" t="e">
        <f>(5)*MGBP/Unit.GW*INDEX(assumptions.technology.baseyear[[Unit capacity]:[Unit capacity]],MATCH($D128,assumptions.technology.baseyear[[Description]:[Description]],0))*Unit.GW</f>
        <v>#N/A</v>
      </c>
      <c r="K128" s="159" t="e">
        <f>(5)*MGBP/Unit.GW*INDEX(assumptions.technology.baseyear[[Unit capacity]:[Unit capacity]],MATCH($D128,assumptions.technology.baseyear[[Description]:[Description]],0))*Unit.GW</f>
        <v>#N/A</v>
      </c>
      <c r="L128" s="159" t="e">
        <f>(5)*MGBP/Unit.GW*INDEX(assumptions.technology.baseyear[[Unit capacity]:[Unit capacity]],MATCH($D128,assumptions.technology.baseyear[[Description]:[Description]],0))*Unit.GW</f>
        <v>#N/A</v>
      </c>
      <c r="M128" s="159" t="e">
        <f>(5)*MGBP/Unit.GW*INDEX(assumptions.technology.baseyear[[Unit capacity]:[Unit capacity]],MATCH($D128,assumptions.technology.baseyear[[Description]:[Description]],0))*Unit.GW</f>
        <v>#N/A</v>
      </c>
      <c r="N128" s="159" t="e">
        <f>(5)*MGBP/Unit.GW*INDEX(assumptions.technology.baseyear[[Unit capacity]:[Unit capacity]],MATCH($D128,assumptions.technology.baseyear[[Description]:[Description]],0))*Unit.GW</f>
        <v>#N/A</v>
      </c>
      <c r="O128" s="159" t="e">
        <f>(5)*MGBP/Unit.GW*INDEX(assumptions.technology.baseyear[[Unit capacity]:[Unit capacity]],MATCH($D128,assumptions.technology.baseyear[[Description]:[Description]],0))*Unit.GW</f>
        <v>#N/A</v>
      </c>
      <c r="P128" s="159" t="e">
        <f>(5)*MGBP/Unit.GW*INDEX(assumptions.technology.baseyear[[Unit capacity]:[Unit capacity]],MATCH($D128,assumptions.technology.baseyear[[Description]:[Description]],0))*Unit.GW</f>
        <v>#N/A</v>
      </c>
      <c r="Q128" s="159" t="e">
        <f>(5)*MGBP/Unit.GW*INDEX(assumptions.technology.baseyear[[Unit capacity]:[Unit capacity]],MATCH($D128,assumptions.technology.baseyear[[Description]:[Description]],0))*Unit.GW</f>
        <v>#N/A</v>
      </c>
      <c r="R128" s="159"/>
      <c r="T128" s="20"/>
      <c r="U128" s="20"/>
      <c r="V128" s="20"/>
      <c r="W128" s="20"/>
      <c r="X128" s="20"/>
    </row>
    <row r="129" spans="2:24">
      <c r="B129" s="159"/>
      <c r="C129" s="159" t="s">
        <v>736</v>
      </c>
      <c r="D129" s="159" t="e">
        <f>INDEX(Regional.Technologies[Description],MATCH($B$2&amp;"."&amp;assumptions.costs[[#This Row],[Technology code]],Regional.Technologies[Code],0))</f>
        <v>#N/A</v>
      </c>
      <c r="E129" s="159" t="s">
        <v>580</v>
      </c>
      <c r="F129" s="159" t="e">
        <f>INDEX(Region.codes[Description],MATCH(#REF!,Region.codes[Code],0))&amp;" "&amp;INDEX(Cost.vectors[Description],MATCH(E129,Cost.vectors[Code],0))</f>
        <v>#REF!</v>
      </c>
      <c r="G129" s="159"/>
      <c r="H129" s="159"/>
      <c r="I129" s="159" t="e">
        <f>(5)*MGBP/Unit.GW*INDEX(assumptions.technology.baseyear[[Unit capacity]:[Unit capacity]],MATCH($D129,assumptions.technology.baseyear[[Description]:[Description]],0))*Unit.GW</f>
        <v>#N/A</v>
      </c>
      <c r="J129" s="159" t="e">
        <f>(5)*MGBP/Unit.GW*INDEX(assumptions.technology.baseyear[[Unit capacity]:[Unit capacity]],MATCH($D129,assumptions.technology.baseyear[[Description]:[Description]],0))*Unit.GW</f>
        <v>#N/A</v>
      </c>
      <c r="K129" s="159" t="e">
        <f>(5)*MGBP/Unit.GW*INDEX(assumptions.technology.baseyear[[Unit capacity]:[Unit capacity]],MATCH($D129,assumptions.technology.baseyear[[Description]:[Description]],0))*Unit.GW</f>
        <v>#N/A</v>
      </c>
      <c r="L129" s="159" t="e">
        <f>(5)*MGBP/Unit.GW*INDEX(assumptions.technology.baseyear[[Unit capacity]:[Unit capacity]],MATCH($D129,assumptions.technology.baseyear[[Description]:[Description]],0))*Unit.GW</f>
        <v>#N/A</v>
      </c>
      <c r="M129" s="159" t="e">
        <f>(5)*MGBP/Unit.GW*INDEX(assumptions.technology.baseyear[[Unit capacity]:[Unit capacity]],MATCH($D129,assumptions.technology.baseyear[[Description]:[Description]],0))*Unit.GW</f>
        <v>#N/A</v>
      </c>
      <c r="N129" s="159" t="e">
        <f>(5)*MGBP/Unit.GW*INDEX(assumptions.technology.baseyear[[Unit capacity]:[Unit capacity]],MATCH($D129,assumptions.technology.baseyear[[Description]:[Description]],0))*Unit.GW</f>
        <v>#N/A</v>
      </c>
      <c r="O129" s="159" t="e">
        <f>(5)*MGBP/Unit.GW*INDEX(assumptions.technology.baseyear[[Unit capacity]:[Unit capacity]],MATCH($D129,assumptions.technology.baseyear[[Description]:[Description]],0))*Unit.GW</f>
        <v>#N/A</v>
      </c>
      <c r="P129" s="159" t="e">
        <f>(5)*MGBP/Unit.GW*INDEX(assumptions.technology.baseyear[[Unit capacity]:[Unit capacity]],MATCH($D129,assumptions.technology.baseyear[[Description]:[Description]],0))*Unit.GW</f>
        <v>#N/A</v>
      </c>
      <c r="Q129" s="159" t="e">
        <f>(5)*MGBP/Unit.GW*INDEX(assumptions.technology.baseyear[[Unit capacity]:[Unit capacity]],MATCH($D129,assumptions.technology.baseyear[[Description]:[Description]],0))*Unit.GW</f>
        <v>#N/A</v>
      </c>
      <c r="R129" s="159"/>
      <c r="T129" s="20"/>
      <c r="U129" s="20"/>
      <c r="V129" s="20"/>
      <c r="W129" s="20"/>
      <c r="X129" s="20"/>
    </row>
    <row r="130" spans="2:24">
      <c r="B130" s="159"/>
      <c r="C130" s="159" t="s">
        <v>736</v>
      </c>
      <c r="D130" s="159" t="e">
        <f>INDEX(Regional.Technologies[Description],MATCH($B$2&amp;"."&amp;assumptions.costs[[#This Row],[Technology code]],Regional.Technologies[Code],0))</f>
        <v>#N/A</v>
      </c>
      <c r="E130" s="159" t="s">
        <v>581</v>
      </c>
      <c r="F130" s="159" t="e">
        <f>INDEX(Region.codes[Description],MATCH(#REF!,Region.codes[Code],0))&amp;" "&amp;INDEX(Cost.vectors[Description],MATCH(E130,Cost.vectors[Code],0))</f>
        <v>#REF!</v>
      </c>
      <c r="G130" s="159"/>
      <c r="H130" s="159"/>
      <c r="I130" s="159" t="e">
        <f>(5)*MGBP/Unit.GW*INDEX(assumptions.technology.baseyear[[Unit capacity]:[Unit capacity]],MATCH($D130,assumptions.technology.baseyear[[Description]:[Description]],0))*Unit.GW</f>
        <v>#N/A</v>
      </c>
      <c r="J130" s="159" t="e">
        <f>(5)*MGBP/Unit.GW*INDEX(assumptions.technology.baseyear[[Unit capacity]:[Unit capacity]],MATCH($D130,assumptions.technology.baseyear[[Description]:[Description]],0))*Unit.GW</f>
        <v>#N/A</v>
      </c>
      <c r="K130" s="159" t="e">
        <f>(5)*MGBP/Unit.GW*INDEX(assumptions.technology.baseyear[[Unit capacity]:[Unit capacity]],MATCH($D130,assumptions.technology.baseyear[[Description]:[Description]],0))*Unit.GW</f>
        <v>#N/A</v>
      </c>
      <c r="L130" s="159" t="e">
        <f>(5)*MGBP/Unit.GW*INDEX(assumptions.technology.baseyear[[Unit capacity]:[Unit capacity]],MATCH($D130,assumptions.technology.baseyear[[Description]:[Description]],0))*Unit.GW</f>
        <v>#N/A</v>
      </c>
      <c r="M130" s="159" t="e">
        <f>(5)*MGBP/Unit.GW*INDEX(assumptions.technology.baseyear[[Unit capacity]:[Unit capacity]],MATCH($D130,assumptions.technology.baseyear[[Description]:[Description]],0))*Unit.GW</f>
        <v>#N/A</v>
      </c>
      <c r="N130" s="159" t="e">
        <f>(5)*MGBP/Unit.GW*INDEX(assumptions.technology.baseyear[[Unit capacity]:[Unit capacity]],MATCH($D130,assumptions.technology.baseyear[[Description]:[Description]],0))*Unit.GW</f>
        <v>#N/A</v>
      </c>
      <c r="O130" s="159" t="e">
        <f>(5)*MGBP/Unit.GW*INDEX(assumptions.technology.baseyear[[Unit capacity]:[Unit capacity]],MATCH($D130,assumptions.technology.baseyear[[Description]:[Description]],0))*Unit.GW</f>
        <v>#N/A</v>
      </c>
      <c r="P130" s="159" t="e">
        <f>(5)*MGBP/Unit.GW*INDEX(assumptions.technology.baseyear[[Unit capacity]:[Unit capacity]],MATCH($D130,assumptions.technology.baseyear[[Description]:[Description]],0))*Unit.GW</f>
        <v>#N/A</v>
      </c>
      <c r="Q130" s="159" t="e">
        <f>(5)*MGBP/Unit.GW*INDEX(assumptions.technology.baseyear[[Unit capacity]:[Unit capacity]],MATCH($D130,assumptions.technology.baseyear[[Description]:[Description]],0))*Unit.GW</f>
        <v>#N/A</v>
      </c>
      <c r="R130" s="159"/>
      <c r="T130" s="20"/>
      <c r="U130" s="20"/>
      <c r="V130" s="20"/>
      <c r="W130" s="20"/>
      <c r="X130" s="20"/>
    </row>
    <row r="131" spans="2:24">
      <c r="B131" s="159"/>
      <c r="C131" s="159" t="s">
        <v>736</v>
      </c>
      <c r="D131" s="159" t="e">
        <f>INDEX(Regional.Technologies[Description],MATCH($B$2&amp;"."&amp;assumptions.costs[[#This Row],[Technology code]],Regional.Technologies[Code],0))</f>
        <v>#N/A</v>
      </c>
      <c r="E131" s="159" t="s">
        <v>582</v>
      </c>
      <c r="F131" s="159" t="e">
        <f>INDEX(Region.codes[Description],MATCH(#REF!,Region.codes[Code],0))&amp;" "&amp;INDEX(Cost.vectors[Description],MATCH(E131,Cost.vectors[Code],0))</f>
        <v>#REF!</v>
      </c>
      <c r="G131" s="159"/>
      <c r="H131" s="159"/>
      <c r="I131" s="159" t="e">
        <f>(5)*MGBP/Unit.GW*INDEX(assumptions.technology.baseyear[[Unit capacity]:[Unit capacity]],MATCH($D131,assumptions.technology.baseyear[[Description]:[Description]],0))*Unit.GW</f>
        <v>#N/A</v>
      </c>
      <c r="J131" s="159" t="e">
        <f>(5)*MGBP/Unit.GW*INDEX(assumptions.technology.baseyear[[Unit capacity]:[Unit capacity]],MATCH($D131,assumptions.technology.baseyear[[Description]:[Description]],0))*Unit.GW</f>
        <v>#N/A</v>
      </c>
      <c r="K131" s="159" t="e">
        <f>(5)*MGBP/Unit.GW*INDEX(assumptions.technology.baseyear[[Unit capacity]:[Unit capacity]],MATCH($D131,assumptions.technology.baseyear[[Description]:[Description]],0))*Unit.GW</f>
        <v>#N/A</v>
      </c>
      <c r="L131" s="159" t="e">
        <f>(5)*MGBP/Unit.GW*INDEX(assumptions.technology.baseyear[[Unit capacity]:[Unit capacity]],MATCH($D131,assumptions.technology.baseyear[[Description]:[Description]],0))*Unit.GW</f>
        <v>#N/A</v>
      </c>
      <c r="M131" s="159" t="e">
        <f>(5)*MGBP/Unit.GW*INDEX(assumptions.technology.baseyear[[Unit capacity]:[Unit capacity]],MATCH($D131,assumptions.technology.baseyear[[Description]:[Description]],0))*Unit.GW</f>
        <v>#N/A</v>
      </c>
      <c r="N131" s="159" t="e">
        <f>(5)*MGBP/Unit.GW*INDEX(assumptions.technology.baseyear[[Unit capacity]:[Unit capacity]],MATCH($D131,assumptions.technology.baseyear[[Description]:[Description]],0))*Unit.GW</f>
        <v>#N/A</v>
      </c>
      <c r="O131" s="159" t="e">
        <f>(5)*MGBP/Unit.GW*INDEX(assumptions.technology.baseyear[[Unit capacity]:[Unit capacity]],MATCH($D131,assumptions.technology.baseyear[[Description]:[Description]],0))*Unit.GW</f>
        <v>#N/A</v>
      </c>
      <c r="P131" s="159" t="e">
        <f>(5)*MGBP/Unit.GW*INDEX(assumptions.technology.baseyear[[Unit capacity]:[Unit capacity]],MATCH($D131,assumptions.technology.baseyear[[Description]:[Description]],0))*Unit.GW</f>
        <v>#N/A</v>
      </c>
      <c r="Q131" s="159" t="e">
        <f>(5)*MGBP/Unit.GW*INDEX(assumptions.technology.baseyear[[Unit capacity]:[Unit capacity]],MATCH($D131,assumptions.technology.baseyear[[Description]:[Description]],0))*Unit.GW</f>
        <v>#N/A</v>
      </c>
      <c r="R131" s="159"/>
      <c r="T131" s="20"/>
      <c r="U131" s="20"/>
      <c r="V131" s="20"/>
      <c r="W131" s="20"/>
      <c r="X131" s="20"/>
    </row>
    <row r="132" spans="2:24">
      <c r="B132" s="159"/>
      <c r="C132" s="159" t="s">
        <v>736</v>
      </c>
      <c r="D132" s="159" t="e">
        <f>INDEX(Regional.Technologies[Description],MATCH($B$2&amp;"."&amp;assumptions.costs[[#This Row],[Technology code]],Regional.Technologies[Code],0))</f>
        <v>#N/A</v>
      </c>
      <c r="E132" s="159" t="s">
        <v>583</v>
      </c>
      <c r="F132" s="159" t="e">
        <f>INDEX(Region.codes[Description],MATCH(#REF!,Region.codes[Code],0))&amp;" "&amp;INDEX(Cost.vectors[Description],MATCH(E132,Cost.vectors[Code],0))</f>
        <v>#REF!</v>
      </c>
      <c r="G132" s="159"/>
      <c r="H132" s="159"/>
      <c r="I132" s="159" t="e">
        <f>(5)*MGBP/Unit.GW*INDEX(assumptions.technology.baseyear[[Unit capacity]:[Unit capacity]],MATCH($D132,assumptions.technology.baseyear[[Description]:[Description]],0))*Unit.GW</f>
        <v>#N/A</v>
      </c>
      <c r="J132" s="159" t="e">
        <f>(5)*MGBP/Unit.GW*INDEX(assumptions.technology.baseyear[[Unit capacity]:[Unit capacity]],MATCH($D132,assumptions.technology.baseyear[[Description]:[Description]],0))*Unit.GW</f>
        <v>#N/A</v>
      </c>
      <c r="K132" s="159" t="e">
        <f>(5)*MGBP/Unit.GW*INDEX(assumptions.technology.baseyear[[Unit capacity]:[Unit capacity]],MATCH($D132,assumptions.technology.baseyear[[Description]:[Description]],0))*Unit.GW</f>
        <v>#N/A</v>
      </c>
      <c r="L132" s="159" t="e">
        <f>(5)*MGBP/Unit.GW*INDEX(assumptions.technology.baseyear[[Unit capacity]:[Unit capacity]],MATCH($D132,assumptions.technology.baseyear[[Description]:[Description]],0))*Unit.GW</f>
        <v>#N/A</v>
      </c>
      <c r="M132" s="159" t="e">
        <f>(5)*MGBP/Unit.GW*INDEX(assumptions.technology.baseyear[[Unit capacity]:[Unit capacity]],MATCH($D132,assumptions.technology.baseyear[[Description]:[Description]],0))*Unit.GW</f>
        <v>#N/A</v>
      </c>
      <c r="N132" s="159" t="e">
        <f>(5)*MGBP/Unit.GW*INDEX(assumptions.technology.baseyear[[Unit capacity]:[Unit capacity]],MATCH($D132,assumptions.technology.baseyear[[Description]:[Description]],0))*Unit.GW</f>
        <v>#N/A</v>
      </c>
      <c r="O132" s="159" t="e">
        <f>(5)*MGBP/Unit.GW*INDEX(assumptions.technology.baseyear[[Unit capacity]:[Unit capacity]],MATCH($D132,assumptions.technology.baseyear[[Description]:[Description]],0))*Unit.GW</f>
        <v>#N/A</v>
      </c>
      <c r="P132" s="159" t="e">
        <f>(5)*MGBP/Unit.GW*INDEX(assumptions.technology.baseyear[[Unit capacity]:[Unit capacity]],MATCH($D132,assumptions.technology.baseyear[[Description]:[Description]],0))*Unit.GW</f>
        <v>#N/A</v>
      </c>
      <c r="Q132" s="159" t="e">
        <f>(5)*MGBP/Unit.GW*INDEX(assumptions.technology.baseyear[[Unit capacity]:[Unit capacity]],MATCH($D132,assumptions.technology.baseyear[[Description]:[Description]],0))*Unit.GW</f>
        <v>#N/A</v>
      </c>
      <c r="R132" s="159"/>
      <c r="T132" s="20"/>
      <c r="U132" s="20"/>
      <c r="V132" s="20"/>
      <c r="W132" s="20"/>
      <c r="X132" s="20"/>
    </row>
    <row r="133" spans="2:24">
      <c r="B133" s="159"/>
      <c r="C133" s="159" t="s">
        <v>737</v>
      </c>
      <c r="D133" s="159" t="str">
        <f>INDEX(Regional.Technologies[Description],MATCH($B$2&amp;"."&amp;assumptions.costs[[#This Row],[Technology code]],Regional.Technologies[Code],0))</f>
        <v>Global Nuclear power stations</v>
      </c>
      <c r="E133" s="159" t="s">
        <v>578</v>
      </c>
      <c r="F133" s="159" t="e">
        <f>INDEX(Region.codes[Description],MATCH(#REF!,Region.codes[Code],0))&amp;" "&amp;INDEX(Cost.vectors[Description],MATCH(E133,Cost.vectors[Code],0))</f>
        <v>#REF!</v>
      </c>
      <c r="G133" s="159"/>
      <c r="H133" s="159"/>
      <c r="I133" s="159">
        <f>(5)*MGBP/Unit.GW*INDEX(assumptions.technology.baseyear[[Unit capacity]:[Unit capacity]],MATCH($D133,assumptions.technology.baseyear[[Description]:[Description]],0))*Unit.GW</f>
        <v>5000000</v>
      </c>
      <c r="J133" s="159">
        <f>(5)*MGBP/Unit.GW*INDEX(assumptions.technology.baseyear[[Unit capacity]:[Unit capacity]],MATCH($D133,assumptions.technology.baseyear[[Description]:[Description]],0))*Unit.GW</f>
        <v>5000000</v>
      </c>
      <c r="K133" s="159">
        <f>(5)*MGBP/Unit.GW*INDEX(assumptions.technology.baseyear[[Unit capacity]:[Unit capacity]],MATCH($D133,assumptions.technology.baseyear[[Description]:[Description]],0))*Unit.GW</f>
        <v>5000000</v>
      </c>
      <c r="L133" s="159">
        <f>(5)*MGBP/Unit.GW*INDEX(assumptions.technology.baseyear[[Unit capacity]:[Unit capacity]],MATCH($D133,assumptions.technology.baseyear[[Description]:[Description]],0))*Unit.GW</f>
        <v>5000000</v>
      </c>
      <c r="M133" s="159">
        <f>(5)*MGBP/Unit.GW*INDEX(assumptions.technology.baseyear[[Unit capacity]:[Unit capacity]],MATCH($D133,assumptions.technology.baseyear[[Description]:[Description]],0))*Unit.GW</f>
        <v>5000000</v>
      </c>
      <c r="N133" s="159">
        <f>(5)*MGBP/Unit.GW*INDEX(assumptions.technology.baseyear[[Unit capacity]:[Unit capacity]],MATCH($D133,assumptions.technology.baseyear[[Description]:[Description]],0))*Unit.GW</f>
        <v>5000000</v>
      </c>
      <c r="O133" s="159">
        <f>(5)*MGBP/Unit.GW*INDEX(assumptions.technology.baseyear[[Unit capacity]:[Unit capacity]],MATCH($D133,assumptions.technology.baseyear[[Description]:[Description]],0))*Unit.GW</f>
        <v>5000000</v>
      </c>
      <c r="P133" s="159">
        <f>(5)*MGBP/Unit.GW*INDEX(assumptions.technology.baseyear[[Unit capacity]:[Unit capacity]],MATCH($D133,assumptions.technology.baseyear[[Description]:[Description]],0))*Unit.GW</f>
        <v>5000000</v>
      </c>
      <c r="Q133" s="159">
        <f>(5)*MGBP/Unit.GW*INDEX(assumptions.technology.baseyear[[Unit capacity]:[Unit capacity]],MATCH($D133,assumptions.technology.baseyear[[Description]:[Description]],0))*Unit.GW</f>
        <v>5000000</v>
      </c>
      <c r="R133" s="159"/>
      <c r="T133" s="20"/>
      <c r="U133" s="20"/>
      <c r="V133" s="20"/>
      <c r="W133" s="20"/>
      <c r="X133" s="20"/>
    </row>
    <row r="134" spans="2:24">
      <c r="B134" s="159"/>
      <c r="C134" s="159" t="s">
        <v>737</v>
      </c>
      <c r="D134" s="159" t="str">
        <f>INDEX(Regional.Technologies[Description],MATCH($B$2&amp;"."&amp;assumptions.costs[[#This Row],[Technology code]],Regional.Technologies[Code],0))</f>
        <v>Global Nuclear power stations</v>
      </c>
      <c r="E134" s="159" t="s">
        <v>579</v>
      </c>
      <c r="F134" s="159" t="e">
        <f>INDEX(Region.codes[Description],MATCH(#REF!,Region.codes[Code],0))&amp;" "&amp;INDEX(Cost.vectors[Description],MATCH(E134,Cost.vectors[Code],0))</f>
        <v>#REF!</v>
      </c>
      <c r="G134" s="159"/>
      <c r="H134" s="159"/>
      <c r="I134" s="159">
        <f>(5)*MGBP/Unit.GW*INDEX(assumptions.technology.baseyear[[Unit capacity]:[Unit capacity]],MATCH($D134,assumptions.technology.baseyear[[Description]:[Description]],0))*Unit.GW</f>
        <v>5000000</v>
      </c>
      <c r="J134" s="159">
        <f>(5)*MGBP/Unit.GW*INDEX(assumptions.technology.baseyear[[Unit capacity]:[Unit capacity]],MATCH($D134,assumptions.technology.baseyear[[Description]:[Description]],0))*Unit.GW</f>
        <v>5000000</v>
      </c>
      <c r="K134" s="159">
        <f>(5)*MGBP/Unit.GW*INDEX(assumptions.technology.baseyear[[Unit capacity]:[Unit capacity]],MATCH($D134,assumptions.technology.baseyear[[Description]:[Description]],0))*Unit.GW</f>
        <v>5000000</v>
      </c>
      <c r="L134" s="159">
        <f>(5)*MGBP/Unit.GW*INDEX(assumptions.technology.baseyear[[Unit capacity]:[Unit capacity]],MATCH($D134,assumptions.technology.baseyear[[Description]:[Description]],0))*Unit.GW</f>
        <v>5000000</v>
      </c>
      <c r="M134" s="159">
        <f>(5)*MGBP/Unit.GW*INDEX(assumptions.technology.baseyear[[Unit capacity]:[Unit capacity]],MATCH($D134,assumptions.technology.baseyear[[Description]:[Description]],0))*Unit.GW</f>
        <v>5000000</v>
      </c>
      <c r="N134" s="159">
        <f>(5)*MGBP/Unit.GW*INDEX(assumptions.technology.baseyear[[Unit capacity]:[Unit capacity]],MATCH($D134,assumptions.technology.baseyear[[Description]:[Description]],0))*Unit.GW</f>
        <v>5000000</v>
      </c>
      <c r="O134" s="159">
        <f>(5)*MGBP/Unit.GW*INDEX(assumptions.technology.baseyear[[Unit capacity]:[Unit capacity]],MATCH($D134,assumptions.technology.baseyear[[Description]:[Description]],0))*Unit.GW</f>
        <v>5000000</v>
      </c>
      <c r="P134" s="159">
        <f>(5)*MGBP/Unit.GW*INDEX(assumptions.technology.baseyear[[Unit capacity]:[Unit capacity]],MATCH($D134,assumptions.technology.baseyear[[Description]:[Description]],0))*Unit.GW</f>
        <v>5000000</v>
      </c>
      <c r="Q134" s="159">
        <f>(5)*MGBP/Unit.GW*INDEX(assumptions.technology.baseyear[[Unit capacity]:[Unit capacity]],MATCH($D134,assumptions.technology.baseyear[[Description]:[Description]],0))*Unit.GW</f>
        <v>5000000</v>
      </c>
      <c r="R134" s="159"/>
      <c r="T134" s="20"/>
      <c r="U134" s="20"/>
      <c r="V134" s="20"/>
      <c r="W134" s="20"/>
      <c r="X134" s="20"/>
    </row>
    <row r="135" spans="2:24">
      <c r="B135" s="159"/>
      <c r="C135" s="159" t="s">
        <v>737</v>
      </c>
      <c r="D135" s="159" t="str">
        <f>INDEX(Regional.Technologies[Description],MATCH($B$2&amp;"."&amp;assumptions.costs[[#This Row],[Technology code]],Regional.Technologies[Code],0))</f>
        <v>Global Nuclear power stations</v>
      </c>
      <c r="E135" s="159" t="s">
        <v>580</v>
      </c>
      <c r="F135" s="159" t="e">
        <f>INDEX(Region.codes[Description],MATCH(#REF!,Region.codes[Code],0))&amp;" "&amp;INDEX(Cost.vectors[Description],MATCH(E135,Cost.vectors[Code],0))</f>
        <v>#REF!</v>
      </c>
      <c r="G135" s="159"/>
      <c r="H135" s="159"/>
      <c r="I135" s="159">
        <f>(5)*MGBP/Unit.GW*INDEX(assumptions.technology.baseyear[[Unit capacity]:[Unit capacity]],MATCH($D135,assumptions.technology.baseyear[[Description]:[Description]],0))*Unit.GW</f>
        <v>5000000</v>
      </c>
      <c r="J135" s="159">
        <f>(5)*MGBP/Unit.GW*INDEX(assumptions.technology.baseyear[[Unit capacity]:[Unit capacity]],MATCH($D135,assumptions.technology.baseyear[[Description]:[Description]],0))*Unit.GW</f>
        <v>5000000</v>
      </c>
      <c r="K135" s="159">
        <f>(5)*MGBP/Unit.GW*INDEX(assumptions.technology.baseyear[[Unit capacity]:[Unit capacity]],MATCH($D135,assumptions.technology.baseyear[[Description]:[Description]],0))*Unit.GW</f>
        <v>5000000</v>
      </c>
      <c r="L135" s="159">
        <f>(5)*MGBP/Unit.GW*INDEX(assumptions.technology.baseyear[[Unit capacity]:[Unit capacity]],MATCH($D135,assumptions.technology.baseyear[[Description]:[Description]],0))*Unit.GW</f>
        <v>5000000</v>
      </c>
      <c r="M135" s="159">
        <f>(5)*MGBP/Unit.GW*INDEX(assumptions.technology.baseyear[[Unit capacity]:[Unit capacity]],MATCH($D135,assumptions.technology.baseyear[[Description]:[Description]],0))*Unit.GW</f>
        <v>5000000</v>
      </c>
      <c r="N135" s="159">
        <f>(5)*MGBP/Unit.GW*INDEX(assumptions.technology.baseyear[[Unit capacity]:[Unit capacity]],MATCH($D135,assumptions.technology.baseyear[[Description]:[Description]],0))*Unit.GW</f>
        <v>5000000</v>
      </c>
      <c r="O135" s="159">
        <f>(5)*MGBP/Unit.GW*INDEX(assumptions.technology.baseyear[[Unit capacity]:[Unit capacity]],MATCH($D135,assumptions.technology.baseyear[[Description]:[Description]],0))*Unit.GW</f>
        <v>5000000</v>
      </c>
      <c r="P135" s="159">
        <f>(5)*MGBP/Unit.GW*INDEX(assumptions.technology.baseyear[[Unit capacity]:[Unit capacity]],MATCH($D135,assumptions.technology.baseyear[[Description]:[Description]],0))*Unit.GW</f>
        <v>5000000</v>
      </c>
      <c r="Q135" s="159">
        <f>(5)*MGBP/Unit.GW*INDEX(assumptions.technology.baseyear[[Unit capacity]:[Unit capacity]],MATCH($D135,assumptions.technology.baseyear[[Description]:[Description]],0))*Unit.GW</f>
        <v>5000000</v>
      </c>
      <c r="R135" s="159"/>
      <c r="T135" s="20"/>
      <c r="U135" s="20"/>
      <c r="V135" s="20"/>
      <c r="W135" s="20"/>
      <c r="X135" s="20"/>
    </row>
    <row r="136" spans="2:24">
      <c r="B136" s="159"/>
      <c r="C136" s="159" t="s">
        <v>737</v>
      </c>
      <c r="D136" s="159" t="str">
        <f>INDEX(Regional.Technologies[Description],MATCH($B$2&amp;"."&amp;assumptions.costs[[#This Row],[Technology code]],Regional.Technologies[Code],0))</f>
        <v>Global Nuclear power stations</v>
      </c>
      <c r="E136" s="159" t="s">
        <v>581</v>
      </c>
      <c r="F136" s="159" t="e">
        <f>INDEX(Region.codes[Description],MATCH(#REF!,Region.codes[Code],0))&amp;" "&amp;INDEX(Cost.vectors[Description],MATCH(E136,Cost.vectors[Code],0))</f>
        <v>#REF!</v>
      </c>
      <c r="G136" s="159"/>
      <c r="H136" s="159"/>
      <c r="I136" s="159">
        <f>(5)*MGBP/Unit.GW*INDEX(assumptions.technology.baseyear[[Unit capacity]:[Unit capacity]],MATCH($D136,assumptions.technology.baseyear[[Description]:[Description]],0))*Unit.GW</f>
        <v>5000000</v>
      </c>
      <c r="J136" s="159">
        <f>(5)*MGBP/Unit.GW*INDEX(assumptions.technology.baseyear[[Unit capacity]:[Unit capacity]],MATCH($D136,assumptions.technology.baseyear[[Description]:[Description]],0))*Unit.GW</f>
        <v>5000000</v>
      </c>
      <c r="K136" s="159">
        <f>(5)*MGBP/Unit.GW*INDEX(assumptions.technology.baseyear[[Unit capacity]:[Unit capacity]],MATCH($D136,assumptions.technology.baseyear[[Description]:[Description]],0))*Unit.GW</f>
        <v>5000000</v>
      </c>
      <c r="L136" s="159">
        <f>(5)*MGBP/Unit.GW*INDEX(assumptions.technology.baseyear[[Unit capacity]:[Unit capacity]],MATCH($D136,assumptions.technology.baseyear[[Description]:[Description]],0))*Unit.GW</f>
        <v>5000000</v>
      </c>
      <c r="M136" s="159">
        <f>(5)*MGBP/Unit.GW*INDEX(assumptions.technology.baseyear[[Unit capacity]:[Unit capacity]],MATCH($D136,assumptions.technology.baseyear[[Description]:[Description]],0))*Unit.GW</f>
        <v>5000000</v>
      </c>
      <c r="N136" s="159">
        <f>(5)*MGBP/Unit.GW*INDEX(assumptions.technology.baseyear[[Unit capacity]:[Unit capacity]],MATCH($D136,assumptions.technology.baseyear[[Description]:[Description]],0))*Unit.GW</f>
        <v>5000000</v>
      </c>
      <c r="O136" s="159">
        <f>(5)*MGBP/Unit.GW*INDEX(assumptions.technology.baseyear[[Unit capacity]:[Unit capacity]],MATCH($D136,assumptions.technology.baseyear[[Description]:[Description]],0))*Unit.GW</f>
        <v>5000000</v>
      </c>
      <c r="P136" s="159">
        <f>(5)*MGBP/Unit.GW*INDEX(assumptions.technology.baseyear[[Unit capacity]:[Unit capacity]],MATCH($D136,assumptions.technology.baseyear[[Description]:[Description]],0))*Unit.GW</f>
        <v>5000000</v>
      </c>
      <c r="Q136" s="159">
        <f>(5)*MGBP/Unit.GW*INDEX(assumptions.technology.baseyear[[Unit capacity]:[Unit capacity]],MATCH($D136,assumptions.technology.baseyear[[Description]:[Description]],0))*Unit.GW</f>
        <v>5000000</v>
      </c>
      <c r="R136" s="159"/>
      <c r="T136" s="20"/>
      <c r="U136" s="20"/>
      <c r="V136" s="20"/>
      <c r="W136" s="20"/>
      <c r="X136" s="20"/>
    </row>
    <row r="137" spans="2:24">
      <c r="B137" s="159"/>
      <c r="C137" s="159" t="s">
        <v>737</v>
      </c>
      <c r="D137" s="159" t="str">
        <f>INDEX(Regional.Technologies[Description],MATCH($B$2&amp;"."&amp;assumptions.costs[[#This Row],[Technology code]],Regional.Technologies[Code],0))</f>
        <v>Global Nuclear power stations</v>
      </c>
      <c r="E137" s="159" t="s">
        <v>582</v>
      </c>
      <c r="F137" s="159" t="e">
        <f>INDEX(Region.codes[Description],MATCH(#REF!,Region.codes[Code],0))&amp;" "&amp;INDEX(Cost.vectors[Description],MATCH(E137,Cost.vectors[Code],0))</f>
        <v>#REF!</v>
      </c>
      <c r="G137" s="159"/>
      <c r="H137" s="159"/>
      <c r="I137" s="159">
        <f>(5)*MGBP/Unit.GW*INDEX(assumptions.technology.baseyear[[Unit capacity]:[Unit capacity]],MATCH($D137,assumptions.technology.baseyear[[Description]:[Description]],0))*Unit.GW</f>
        <v>5000000</v>
      </c>
      <c r="J137" s="159">
        <f>(5)*MGBP/Unit.GW*INDEX(assumptions.technology.baseyear[[Unit capacity]:[Unit capacity]],MATCH($D137,assumptions.technology.baseyear[[Description]:[Description]],0))*Unit.GW</f>
        <v>5000000</v>
      </c>
      <c r="K137" s="159">
        <f>(5)*MGBP/Unit.GW*INDEX(assumptions.technology.baseyear[[Unit capacity]:[Unit capacity]],MATCH($D137,assumptions.technology.baseyear[[Description]:[Description]],0))*Unit.GW</f>
        <v>5000000</v>
      </c>
      <c r="L137" s="159">
        <f>(5)*MGBP/Unit.GW*INDEX(assumptions.technology.baseyear[[Unit capacity]:[Unit capacity]],MATCH($D137,assumptions.technology.baseyear[[Description]:[Description]],0))*Unit.GW</f>
        <v>5000000</v>
      </c>
      <c r="M137" s="159">
        <f>(5)*MGBP/Unit.GW*INDEX(assumptions.technology.baseyear[[Unit capacity]:[Unit capacity]],MATCH($D137,assumptions.technology.baseyear[[Description]:[Description]],0))*Unit.GW</f>
        <v>5000000</v>
      </c>
      <c r="N137" s="159">
        <f>(5)*MGBP/Unit.GW*INDEX(assumptions.technology.baseyear[[Unit capacity]:[Unit capacity]],MATCH($D137,assumptions.technology.baseyear[[Description]:[Description]],0))*Unit.GW</f>
        <v>5000000</v>
      </c>
      <c r="O137" s="159">
        <f>(5)*MGBP/Unit.GW*INDEX(assumptions.technology.baseyear[[Unit capacity]:[Unit capacity]],MATCH($D137,assumptions.technology.baseyear[[Description]:[Description]],0))*Unit.GW</f>
        <v>5000000</v>
      </c>
      <c r="P137" s="159">
        <f>(5)*MGBP/Unit.GW*INDEX(assumptions.technology.baseyear[[Unit capacity]:[Unit capacity]],MATCH($D137,assumptions.technology.baseyear[[Description]:[Description]],0))*Unit.GW</f>
        <v>5000000</v>
      </c>
      <c r="Q137" s="159">
        <f>(5)*MGBP/Unit.GW*INDEX(assumptions.technology.baseyear[[Unit capacity]:[Unit capacity]],MATCH($D137,assumptions.technology.baseyear[[Description]:[Description]],0))*Unit.GW</f>
        <v>5000000</v>
      </c>
      <c r="R137" s="159"/>
      <c r="T137" s="20"/>
      <c r="U137" s="20"/>
      <c r="V137" s="20"/>
      <c r="W137" s="20"/>
      <c r="X137" s="20"/>
    </row>
    <row r="138" spans="2:24">
      <c r="B138" s="159"/>
      <c r="C138" s="159" t="s">
        <v>737</v>
      </c>
      <c r="D138" s="159" t="str">
        <f>INDEX(Regional.Technologies[Description],MATCH($B$2&amp;"."&amp;assumptions.costs[[#This Row],[Technology code]],Regional.Technologies[Code],0))</f>
        <v>Global Nuclear power stations</v>
      </c>
      <c r="E138" s="159" t="s">
        <v>583</v>
      </c>
      <c r="F138" s="159" t="e">
        <f>INDEX(Region.codes[Description],MATCH(#REF!,Region.codes[Code],0))&amp;" "&amp;INDEX(Cost.vectors[Description],MATCH(E138,Cost.vectors[Code],0))</f>
        <v>#REF!</v>
      </c>
      <c r="G138" s="159"/>
      <c r="H138" s="159"/>
      <c r="I138" s="159">
        <f>(5)*MGBP/Unit.GW*INDEX(assumptions.technology.baseyear[[Unit capacity]:[Unit capacity]],MATCH($D138,assumptions.technology.baseyear[[Description]:[Description]],0))*Unit.GW</f>
        <v>5000000</v>
      </c>
      <c r="J138" s="159">
        <f>(5)*MGBP/Unit.GW*INDEX(assumptions.technology.baseyear[[Unit capacity]:[Unit capacity]],MATCH($D138,assumptions.technology.baseyear[[Description]:[Description]],0))*Unit.GW</f>
        <v>5000000</v>
      </c>
      <c r="K138" s="159">
        <f>(5)*MGBP/Unit.GW*INDEX(assumptions.technology.baseyear[[Unit capacity]:[Unit capacity]],MATCH($D138,assumptions.technology.baseyear[[Description]:[Description]],0))*Unit.GW</f>
        <v>5000000</v>
      </c>
      <c r="L138" s="159">
        <f>(5)*MGBP/Unit.GW*INDEX(assumptions.technology.baseyear[[Unit capacity]:[Unit capacity]],MATCH($D138,assumptions.technology.baseyear[[Description]:[Description]],0))*Unit.GW</f>
        <v>5000000</v>
      </c>
      <c r="M138" s="159">
        <f>(5)*MGBP/Unit.GW*INDEX(assumptions.technology.baseyear[[Unit capacity]:[Unit capacity]],MATCH($D138,assumptions.technology.baseyear[[Description]:[Description]],0))*Unit.GW</f>
        <v>5000000</v>
      </c>
      <c r="N138" s="159">
        <f>(5)*MGBP/Unit.GW*INDEX(assumptions.technology.baseyear[[Unit capacity]:[Unit capacity]],MATCH($D138,assumptions.technology.baseyear[[Description]:[Description]],0))*Unit.GW</f>
        <v>5000000</v>
      </c>
      <c r="O138" s="159">
        <f>(5)*MGBP/Unit.GW*INDEX(assumptions.technology.baseyear[[Unit capacity]:[Unit capacity]],MATCH($D138,assumptions.technology.baseyear[[Description]:[Description]],0))*Unit.GW</f>
        <v>5000000</v>
      </c>
      <c r="P138" s="159">
        <f>(5)*MGBP/Unit.GW*INDEX(assumptions.technology.baseyear[[Unit capacity]:[Unit capacity]],MATCH($D138,assumptions.technology.baseyear[[Description]:[Description]],0))*Unit.GW</f>
        <v>5000000</v>
      </c>
      <c r="Q138" s="159">
        <f>(5)*MGBP/Unit.GW*INDEX(assumptions.technology.baseyear[[Unit capacity]:[Unit capacity]],MATCH($D138,assumptions.technology.baseyear[[Description]:[Description]],0))*Unit.GW</f>
        <v>5000000</v>
      </c>
      <c r="R138" s="159"/>
      <c r="T138" s="20"/>
      <c r="U138" s="20"/>
      <c r="V138" s="20"/>
      <c r="W138" s="20"/>
      <c r="X138" s="20"/>
    </row>
    <row r="139" spans="2:24">
      <c r="B139" s="159"/>
      <c r="C139" s="159" t="s">
        <v>737</v>
      </c>
      <c r="D139" s="159" t="str">
        <f>INDEX(Regional.Technologies[Description],MATCH($B$2&amp;"."&amp;assumptions.costs[[#This Row],[Technology code]],Regional.Technologies[Code],0))</f>
        <v>Global Nuclear power stations</v>
      </c>
      <c r="E139" s="159" t="s">
        <v>584</v>
      </c>
      <c r="F139" s="159" t="e">
        <f>INDEX(Region.codes[Description],MATCH(#REF!,Region.codes[Code],0))&amp;" "&amp;INDEX(Cost.vectors[Description],MATCH(E139,Cost.vectors[Code],0))</f>
        <v>#REF!</v>
      </c>
      <c r="G139" s="159"/>
      <c r="H139" s="159"/>
      <c r="I139" s="159">
        <f t="shared" ref="I139:Q141" si="15">(5)/Unit.TWh*MGBP</f>
        <v>1388888888.8888888</v>
      </c>
      <c r="J139" s="159">
        <f t="shared" si="15"/>
        <v>1388888888.8888888</v>
      </c>
      <c r="K139" s="159">
        <f t="shared" si="15"/>
        <v>1388888888.8888888</v>
      </c>
      <c r="L139" s="159">
        <f t="shared" si="15"/>
        <v>1388888888.8888888</v>
      </c>
      <c r="M139" s="159">
        <f t="shared" si="15"/>
        <v>1388888888.8888888</v>
      </c>
      <c r="N139" s="159">
        <f t="shared" si="15"/>
        <v>1388888888.8888888</v>
      </c>
      <c r="O139" s="159">
        <f t="shared" si="15"/>
        <v>1388888888.8888888</v>
      </c>
      <c r="P139" s="159">
        <f t="shared" si="15"/>
        <v>1388888888.8888888</v>
      </c>
      <c r="Q139" s="159">
        <f t="shared" si="15"/>
        <v>1388888888.8888888</v>
      </c>
      <c r="R139" s="159"/>
      <c r="T139" s="20"/>
      <c r="U139" s="20"/>
      <c r="V139" s="20"/>
      <c r="W139" s="20"/>
      <c r="X139" s="20"/>
    </row>
    <row r="140" spans="2:24">
      <c r="B140" s="159"/>
      <c r="C140" s="159" t="s">
        <v>737</v>
      </c>
      <c r="D140" s="159" t="str">
        <f>INDEX(Regional.Technologies[Description],MATCH($B$2&amp;"."&amp;assumptions.costs[[#This Row],[Technology code]],Regional.Technologies[Code],0))</f>
        <v>Global Nuclear power stations</v>
      </c>
      <c r="E140" s="159" t="s">
        <v>585</v>
      </c>
      <c r="F140" s="159" t="e">
        <f>INDEX(Region.codes[Description],MATCH(#REF!,Region.codes[Code],0))&amp;" "&amp;INDEX(Cost.vectors[Description],MATCH(E140,Cost.vectors[Code],0))</f>
        <v>#REF!</v>
      </c>
      <c r="G140" s="159"/>
      <c r="H140" s="159"/>
      <c r="I140" s="159">
        <f t="shared" si="15"/>
        <v>1388888888.8888888</v>
      </c>
      <c r="J140" s="159">
        <f t="shared" si="15"/>
        <v>1388888888.8888888</v>
      </c>
      <c r="K140" s="159">
        <f t="shared" si="15"/>
        <v>1388888888.8888888</v>
      </c>
      <c r="L140" s="159">
        <f t="shared" si="15"/>
        <v>1388888888.8888888</v>
      </c>
      <c r="M140" s="159">
        <f t="shared" si="15"/>
        <v>1388888888.8888888</v>
      </c>
      <c r="N140" s="159">
        <f t="shared" si="15"/>
        <v>1388888888.8888888</v>
      </c>
      <c r="O140" s="159">
        <f t="shared" si="15"/>
        <v>1388888888.8888888</v>
      </c>
      <c r="P140" s="159">
        <f t="shared" si="15"/>
        <v>1388888888.8888888</v>
      </c>
      <c r="Q140" s="159">
        <f t="shared" si="15"/>
        <v>1388888888.8888888</v>
      </c>
      <c r="R140" s="159"/>
      <c r="T140" s="20"/>
      <c r="U140" s="20"/>
      <c r="V140" s="20"/>
      <c r="W140" s="20"/>
      <c r="X140" s="20"/>
    </row>
    <row r="141" spans="2:24">
      <c r="B141" s="159"/>
      <c r="C141" s="159" t="s">
        <v>737</v>
      </c>
      <c r="D141" s="159" t="str">
        <f>INDEX(Regional.Technologies[Description],MATCH($B$2&amp;"."&amp;assumptions.costs[[#This Row],[Technology code]],Regional.Technologies[Code],0))</f>
        <v>Global Nuclear power stations</v>
      </c>
      <c r="E141" s="159" t="s">
        <v>586</v>
      </c>
      <c r="F141" s="159" t="e">
        <f>INDEX(Region.codes[Description],MATCH(#REF!,Region.codes[Code],0))&amp;" "&amp;INDEX(Cost.vectors[Description],MATCH(E141,Cost.vectors[Code],0))</f>
        <v>#REF!</v>
      </c>
      <c r="G141" s="159"/>
      <c r="H141" s="159"/>
      <c r="I141" s="159">
        <f t="shared" si="15"/>
        <v>1388888888.8888888</v>
      </c>
      <c r="J141" s="159">
        <f t="shared" si="15"/>
        <v>1388888888.8888888</v>
      </c>
      <c r="K141" s="159">
        <f t="shared" si="15"/>
        <v>1388888888.8888888</v>
      </c>
      <c r="L141" s="159">
        <f t="shared" si="15"/>
        <v>1388888888.8888888</v>
      </c>
      <c r="M141" s="159">
        <f t="shared" si="15"/>
        <v>1388888888.8888888</v>
      </c>
      <c r="N141" s="159">
        <f t="shared" si="15"/>
        <v>1388888888.8888888</v>
      </c>
      <c r="O141" s="159">
        <f t="shared" si="15"/>
        <v>1388888888.8888888</v>
      </c>
      <c r="P141" s="159">
        <f t="shared" si="15"/>
        <v>1388888888.8888888</v>
      </c>
      <c r="Q141" s="159">
        <f t="shared" si="15"/>
        <v>1388888888.8888888</v>
      </c>
      <c r="R141" s="159"/>
      <c r="T141" s="20"/>
      <c r="U141" s="20"/>
      <c r="V141" s="20"/>
      <c r="W141" s="20"/>
      <c r="X141" s="20"/>
    </row>
    <row r="142" spans="2:24">
      <c r="B142" s="159"/>
      <c r="C142" s="159" t="s">
        <v>738</v>
      </c>
      <c r="D142" s="159" t="str">
        <f>INDEX(Regional.Technologies[Description],MATCH($B$2&amp;"."&amp;assumptions.costs[[#This Row],[Technology code]],Regional.Technologies[Code],0))</f>
        <v>Global On shore wind turbines</v>
      </c>
      <c r="E142" s="159" t="s">
        <v>578</v>
      </c>
      <c r="F142" s="159" t="e">
        <f>INDEX(Region.codes[Description],MATCH(#REF!,Region.codes[Code],0))&amp;" "&amp;INDEX(Cost.vectors[Description],MATCH(E142,Cost.vectors[Code],0))</f>
        <v>#REF!</v>
      </c>
      <c r="G142" s="159"/>
      <c r="H142" s="159"/>
      <c r="I142" s="159">
        <f>(5)*MGBP/Unit.GW*INDEX(assumptions.technology.baseyear[[Unit capacity]:[Unit capacity]],MATCH($D142,assumptions.technology.baseyear[[Description]:[Description]],0))*Unit.GW</f>
        <v>500000</v>
      </c>
      <c r="J142" s="159">
        <f>(5)*MGBP/Unit.GW*INDEX(assumptions.technology.baseyear[[Unit capacity]:[Unit capacity]],MATCH($D142,assumptions.technology.baseyear[[Description]:[Description]],0))*Unit.GW</f>
        <v>500000</v>
      </c>
      <c r="K142" s="159">
        <f>(5)*MGBP/Unit.GW*INDEX(assumptions.technology.baseyear[[Unit capacity]:[Unit capacity]],MATCH($D142,assumptions.technology.baseyear[[Description]:[Description]],0))*Unit.GW</f>
        <v>500000</v>
      </c>
      <c r="L142" s="159">
        <f>(5)*MGBP/Unit.GW*INDEX(assumptions.technology.baseyear[[Unit capacity]:[Unit capacity]],MATCH($D142,assumptions.technology.baseyear[[Description]:[Description]],0))*Unit.GW</f>
        <v>500000</v>
      </c>
      <c r="M142" s="159">
        <f>(5)*MGBP/Unit.GW*INDEX(assumptions.technology.baseyear[[Unit capacity]:[Unit capacity]],MATCH($D142,assumptions.technology.baseyear[[Description]:[Description]],0))*Unit.GW</f>
        <v>500000</v>
      </c>
      <c r="N142" s="159">
        <f>(5)*MGBP/Unit.GW*INDEX(assumptions.technology.baseyear[[Unit capacity]:[Unit capacity]],MATCH($D142,assumptions.technology.baseyear[[Description]:[Description]],0))*Unit.GW</f>
        <v>500000</v>
      </c>
      <c r="O142" s="159">
        <f>(5)*MGBP/Unit.GW*INDEX(assumptions.technology.baseyear[[Unit capacity]:[Unit capacity]],MATCH($D142,assumptions.technology.baseyear[[Description]:[Description]],0))*Unit.GW</f>
        <v>500000</v>
      </c>
      <c r="P142" s="159">
        <f>(5)*MGBP/Unit.GW*INDEX(assumptions.technology.baseyear[[Unit capacity]:[Unit capacity]],MATCH($D142,assumptions.technology.baseyear[[Description]:[Description]],0))*Unit.GW</f>
        <v>500000</v>
      </c>
      <c r="Q142" s="159">
        <f>(5)*MGBP/Unit.GW*INDEX(assumptions.technology.baseyear[[Unit capacity]:[Unit capacity]],MATCH($D142,assumptions.technology.baseyear[[Description]:[Description]],0))*Unit.GW</f>
        <v>500000</v>
      </c>
      <c r="R142" s="159"/>
      <c r="T142" s="20"/>
      <c r="U142" s="20"/>
      <c r="V142" s="20"/>
      <c r="W142" s="20"/>
      <c r="X142" s="20"/>
    </row>
    <row r="143" spans="2:24">
      <c r="B143" s="159"/>
      <c r="C143" s="159" t="s">
        <v>738</v>
      </c>
      <c r="D143" s="159" t="str">
        <f>INDEX(Regional.Technologies[Description],MATCH($B$2&amp;"."&amp;assumptions.costs[[#This Row],[Technology code]],Regional.Technologies[Code],0))</f>
        <v>Global On shore wind turbines</v>
      </c>
      <c r="E143" s="159" t="s">
        <v>579</v>
      </c>
      <c r="F143" s="159" t="e">
        <f>INDEX(Region.codes[Description],MATCH(#REF!,Region.codes[Code],0))&amp;" "&amp;INDEX(Cost.vectors[Description],MATCH(E143,Cost.vectors[Code],0))</f>
        <v>#REF!</v>
      </c>
      <c r="G143" s="159"/>
      <c r="H143" s="159"/>
      <c r="I143" s="159">
        <f>(5)*MGBP/Unit.GW*INDEX(assumptions.technology.baseyear[[Unit capacity]:[Unit capacity]],MATCH($D143,assumptions.technology.baseyear[[Description]:[Description]],0))*Unit.GW</f>
        <v>500000</v>
      </c>
      <c r="J143" s="159">
        <f>(5)*MGBP/Unit.GW*INDEX(assumptions.technology.baseyear[[Unit capacity]:[Unit capacity]],MATCH($D143,assumptions.technology.baseyear[[Description]:[Description]],0))*Unit.GW</f>
        <v>500000</v>
      </c>
      <c r="K143" s="159">
        <f>(5)*MGBP/Unit.GW*INDEX(assumptions.technology.baseyear[[Unit capacity]:[Unit capacity]],MATCH($D143,assumptions.technology.baseyear[[Description]:[Description]],0))*Unit.GW</f>
        <v>500000</v>
      </c>
      <c r="L143" s="159">
        <f>(5)*MGBP/Unit.GW*INDEX(assumptions.technology.baseyear[[Unit capacity]:[Unit capacity]],MATCH($D143,assumptions.technology.baseyear[[Description]:[Description]],0))*Unit.GW</f>
        <v>500000</v>
      </c>
      <c r="M143" s="159">
        <f>(5)*MGBP/Unit.GW*INDEX(assumptions.technology.baseyear[[Unit capacity]:[Unit capacity]],MATCH($D143,assumptions.technology.baseyear[[Description]:[Description]],0))*Unit.GW</f>
        <v>500000</v>
      </c>
      <c r="N143" s="159">
        <f>(5)*MGBP/Unit.GW*INDEX(assumptions.technology.baseyear[[Unit capacity]:[Unit capacity]],MATCH($D143,assumptions.technology.baseyear[[Description]:[Description]],0))*Unit.GW</f>
        <v>500000</v>
      </c>
      <c r="O143" s="159">
        <f>(5)*MGBP/Unit.GW*INDEX(assumptions.technology.baseyear[[Unit capacity]:[Unit capacity]],MATCH($D143,assumptions.technology.baseyear[[Description]:[Description]],0))*Unit.GW</f>
        <v>500000</v>
      </c>
      <c r="P143" s="159">
        <f>(5)*MGBP/Unit.GW*INDEX(assumptions.technology.baseyear[[Unit capacity]:[Unit capacity]],MATCH($D143,assumptions.technology.baseyear[[Description]:[Description]],0))*Unit.GW</f>
        <v>500000</v>
      </c>
      <c r="Q143" s="159">
        <f>(5)*MGBP/Unit.GW*INDEX(assumptions.technology.baseyear[[Unit capacity]:[Unit capacity]],MATCH($D143,assumptions.technology.baseyear[[Description]:[Description]],0))*Unit.GW</f>
        <v>500000</v>
      </c>
      <c r="R143" s="159"/>
      <c r="T143" s="20"/>
      <c r="U143" s="20"/>
      <c r="V143" s="20"/>
      <c r="W143" s="20"/>
      <c r="X143" s="20"/>
    </row>
    <row r="144" spans="2:24">
      <c r="B144" s="159"/>
      <c r="C144" s="159" t="s">
        <v>738</v>
      </c>
      <c r="D144" s="159" t="str">
        <f>INDEX(Regional.Technologies[Description],MATCH($B$2&amp;"."&amp;assumptions.costs[[#This Row],[Technology code]],Regional.Technologies[Code],0))</f>
        <v>Global On shore wind turbines</v>
      </c>
      <c r="E144" s="159" t="s">
        <v>580</v>
      </c>
      <c r="F144" s="159" t="e">
        <f>INDEX(Region.codes[Description],MATCH(#REF!,Region.codes[Code],0))&amp;" "&amp;INDEX(Cost.vectors[Description],MATCH(E144,Cost.vectors[Code],0))</f>
        <v>#REF!</v>
      </c>
      <c r="G144" s="159"/>
      <c r="H144" s="159"/>
      <c r="I144" s="159">
        <f>(5)*MGBP/Unit.GW*INDEX(assumptions.technology.baseyear[[Unit capacity]:[Unit capacity]],MATCH($D144,assumptions.technology.baseyear[[Description]:[Description]],0))*Unit.GW</f>
        <v>500000</v>
      </c>
      <c r="J144" s="159">
        <f>(5)*MGBP/Unit.GW*INDEX(assumptions.technology.baseyear[[Unit capacity]:[Unit capacity]],MATCH($D144,assumptions.technology.baseyear[[Description]:[Description]],0))*Unit.GW</f>
        <v>500000</v>
      </c>
      <c r="K144" s="159">
        <f>(5)*MGBP/Unit.GW*INDEX(assumptions.technology.baseyear[[Unit capacity]:[Unit capacity]],MATCH($D144,assumptions.technology.baseyear[[Description]:[Description]],0))*Unit.GW</f>
        <v>500000</v>
      </c>
      <c r="L144" s="159">
        <f>(5)*MGBP/Unit.GW*INDEX(assumptions.technology.baseyear[[Unit capacity]:[Unit capacity]],MATCH($D144,assumptions.technology.baseyear[[Description]:[Description]],0))*Unit.GW</f>
        <v>500000</v>
      </c>
      <c r="M144" s="159">
        <f>(5)*MGBP/Unit.GW*INDEX(assumptions.technology.baseyear[[Unit capacity]:[Unit capacity]],MATCH($D144,assumptions.technology.baseyear[[Description]:[Description]],0))*Unit.GW</f>
        <v>500000</v>
      </c>
      <c r="N144" s="159">
        <f>(5)*MGBP/Unit.GW*INDEX(assumptions.technology.baseyear[[Unit capacity]:[Unit capacity]],MATCH($D144,assumptions.technology.baseyear[[Description]:[Description]],0))*Unit.GW</f>
        <v>500000</v>
      </c>
      <c r="O144" s="159">
        <f>(5)*MGBP/Unit.GW*INDEX(assumptions.technology.baseyear[[Unit capacity]:[Unit capacity]],MATCH($D144,assumptions.technology.baseyear[[Description]:[Description]],0))*Unit.GW</f>
        <v>500000</v>
      </c>
      <c r="P144" s="159">
        <f>(5)*MGBP/Unit.GW*INDEX(assumptions.technology.baseyear[[Unit capacity]:[Unit capacity]],MATCH($D144,assumptions.technology.baseyear[[Description]:[Description]],0))*Unit.GW</f>
        <v>500000</v>
      </c>
      <c r="Q144" s="159">
        <f>(5)*MGBP/Unit.GW*INDEX(assumptions.technology.baseyear[[Unit capacity]:[Unit capacity]],MATCH($D144,assumptions.technology.baseyear[[Description]:[Description]],0))*Unit.GW</f>
        <v>500000</v>
      </c>
      <c r="R144" s="159"/>
      <c r="T144" s="20"/>
      <c r="U144" s="20"/>
      <c r="V144" s="20"/>
      <c r="W144" s="20"/>
      <c r="X144" s="20"/>
    </row>
    <row r="145" spans="2:24">
      <c r="B145" s="159"/>
      <c r="C145" s="159" t="s">
        <v>738</v>
      </c>
      <c r="D145" s="159" t="str">
        <f>INDEX(Regional.Technologies[Description],MATCH($B$2&amp;"."&amp;assumptions.costs[[#This Row],[Technology code]],Regional.Technologies[Code],0))</f>
        <v>Global On shore wind turbines</v>
      </c>
      <c r="E145" s="159" t="s">
        <v>581</v>
      </c>
      <c r="F145" s="159" t="e">
        <f>INDEX(Region.codes[Description],MATCH(#REF!,Region.codes[Code],0))&amp;" "&amp;INDEX(Cost.vectors[Description],MATCH(E145,Cost.vectors[Code],0))</f>
        <v>#REF!</v>
      </c>
      <c r="G145" s="159"/>
      <c r="H145" s="159"/>
      <c r="I145" s="159">
        <f>(5)*MGBP/Unit.GW*INDEX(assumptions.technology.baseyear[[Unit capacity]:[Unit capacity]],MATCH($D145,assumptions.technology.baseyear[[Description]:[Description]],0))*Unit.GW</f>
        <v>500000</v>
      </c>
      <c r="J145" s="159">
        <f>(5)*MGBP/Unit.GW*INDEX(assumptions.technology.baseyear[[Unit capacity]:[Unit capacity]],MATCH($D145,assumptions.technology.baseyear[[Description]:[Description]],0))*Unit.GW</f>
        <v>500000</v>
      </c>
      <c r="K145" s="159">
        <f>(5)*MGBP/Unit.GW*INDEX(assumptions.technology.baseyear[[Unit capacity]:[Unit capacity]],MATCH($D145,assumptions.technology.baseyear[[Description]:[Description]],0))*Unit.GW</f>
        <v>500000</v>
      </c>
      <c r="L145" s="159">
        <f>(5)*MGBP/Unit.GW*INDEX(assumptions.technology.baseyear[[Unit capacity]:[Unit capacity]],MATCH($D145,assumptions.technology.baseyear[[Description]:[Description]],0))*Unit.GW</f>
        <v>500000</v>
      </c>
      <c r="M145" s="159">
        <f>(5)*MGBP/Unit.GW*INDEX(assumptions.technology.baseyear[[Unit capacity]:[Unit capacity]],MATCH($D145,assumptions.technology.baseyear[[Description]:[Description]],0))*Unit.GW</f>
        <v>500000</v>
      </c>
      <c r="N145" s="159">
        <f>(5)*MGBP/Unit.GW*INDEX(assumptions.technology.baseyear[[Unit capacity]:[Unit capacity]],MATCH($D145,assumptions.technology.baseyear[[Description]:[Description]],0))*Unit.GW</f>
        <v>500000</v>
      </c>
      <c r="O145" s="159">
        <f>(5)*MGBP/Unit.GW*INDEX(assumptions.technology.baseyear[[Unit capacity]:[Unit capacity]],MATCH($D145,assumptions.technology.baseyear[[Description]:[Description]],0))*Unit.GW</f>
        <v>500000</v>
      </c>
      <c r="P145" s="159">
        <f>(5)*MGBP/Unit.GW*INDEX(assumptions.technology.baseyear[[Unit capacity]:[Unit capacity]],MATCH($D145,assumptions.technology.baseyear[[Description]:[Description]],0))*Unit.GW</f>
        <v>500000</v>
      </c>
      <c r="Q145" s="159">
        <f>(5)*MGBP/Unit.GW*INDEX(assumptions.technology.baseyear[[Unit capacity]:[Unit capacity]],MATCH($D145,assumptions.technology.baseyear[[Description]:[Description]],0))*Unit.GW</f>
        <v>500000</v>
      </c>
      <c r="R145" s="159"/>
      <c r="T145" s="20"/>
      <c r="U145" s="20"/>
      <c r="V145" s="20"/>
      <c r="W145" s="20"/>
      <c r="X145" s="20"/>
    </row>
    <row r="146" spans="2:24">
      <c r="B146" s="159"/>
      <c r="C146" s="159" t="s">
        <v>738</v>
      </c>
      <c r="D146" s="159" t="str">
        <f>INDEX(Regional.Technologies[Description],MATCH($B$2&amp;"."&amp;assumptions.costs[[#This Row],[Technology code]],Regional.Technologies[Code],0))</f>
        <v>Global On shore wind turbines</v>
      </c>
      <c r="E146" s="159" t="s">
        <v>582</v>
      </c>
      <c r="F146" s="159" t="e">
        <f>INDEX(Region.codes[Description],MATCH(#REF!,Region.codes[Code],0))&amp;" "&amp;INDEX(Cost.vectors[Description],MATCH(E146,Cost.vectors[Code],0))</f>
        <v>#REF!</v>
      </c>
      <c r="G146" s="159"/>
      <c r="H146" s="159"/>
      <c r="I146" s="159">
        <f>(5)*MGBP/Unit.GW*INDEX(assumptions.technology.baseyear[[Unit capacity]:[Unit capacity]],MATCH($D146,assumptions.technology.baseyear[[Description]:[Description]],0))*Unit.GW</f>
        <v>500000</v>
      </c>
      <c r="J146" s="159">
        <f>(5)*MGBP/Unit.GW*INDEX(assumptions.technology.baseyear[[Unit capacity]:[Unit capacity]],MATCH($D146,assumptions.technology.baseyear[[Description]:[Description]],0))*Unit.GW</f>
        <v>500000</v>
      </c>
      <c r="K146" s="159">
        <f>(5)*MGBP/Unit.GW*INDEX(assumptions.technology.baseyear[[Unit capacity]:[Unit capacity]],MATCH($D146,assumptions.technology.baseyear[[Description]:[Description]],0))*Unit.GW</f>
        <v>500000</v>
      </c>
      <c r="L146" s="159">
        <f>(5)*MGBP/Unit.GW*INDEX(assumptions.technology.baseyear[[Unit capacity]:[Unit capacity]],MATCH($D146,assumptions.technology.baseyear[[Description]:[Description]],0))*Unit.GW</f>
        <v>500000</v>
      </c>
      <c r="M146" s="159">
        <f>(5)*MGBP/Unit.GW*INDEX(assumptions.technology.baseyear[[Unit capacity]:[Unit capacity]],MATCH($D146,assumptions.technology.baseyear[[Description]:[Description]],0))*Unit.GW</f>
        <v>500000</v>
      </c>
      <c r="N146" s="159">
        <f>(5)*MGBP/Unit.GW*INDEX(assumptions.technology.baseyear[[Unit capacity]:[Unit capacity]],MATCH($D146,assumptions.technology.baseyear[[Description]:[Description]],0))*Unit.GW</f>
        <v>500000</v>
      </c>
      <c r="O146" s="159">
        <f>(5)*MGBP/Unit.GW*INDEX(assumptions.technology.baseyear[[Unit capacity]:[Unit capacity]],MATCH($D146,assumptions.technology.baseyear[[Description]:[Description]],0))*Unit.GW</f>
        <v>500000</v>
      </c>
      <c r="P146" s="159">
        <f>(5)*MGBP/Unit.GW*INDEX(assumptions.technology.baseyear[[Unit capacity]:[Unit capacity]],MATCH($D146,assumptions.technology.baseyear[[Description]:[Description]],0))*Unit.GW</f>
        <v>500000</v>
      </c>
      <c r="Q146" s="159">
        <f>(5)*MGBP/Unit.GW*INDEX(assumptions.technology.baseyear[[Unit capacity]:[Unit capacity]],MATCH($D146,assumptions.technology.baseyear[[Description]:[Description]],0))*Unit.GW</f>
        <v>500000</v>
      </c>
      <c r="R146" s="159"/>
      <c r="T146" s="20"/>
      <c r="U146" s="20"/>
      <c r="V146" s="20"/>
      <c r="W146" s="20"/>
      <c r="X146" s="20"/>
    </row>
    <row r="147" spans="2:24">
      <c r="B147" s="159"/>
      <c r="C147" s="159" t="s">
        <v>738</v>
      </c>
      <c r="D147" s="159" t="str">
        <f>INDEX(Regional.Technologies[Description],MATCH($B$2&amp;"."&amp;assumptions.costs[[#This Row],[Technology code]],Regional.Technologies[Code],0))</f>
        <v>Global On shore wind turbines</v>
      </c>
      <c r="E147" s="159" t="s">
        <v>583</v>
      </c>
      <c r="F147" s="159" t="e">
        <f>INDEX(Region.codes[Description],MATCH(#REF!,Region.codes[Code],0))&amp;" "&amp;INDEX(Cost.vectors[Description],MATCH(E147,Cost.vectors[Code],0))</f>
        <v>#REF!</v>
      </c>
      <c r="G147" s="159"/>
      <c r="H147" s="159"/>
      <c r="I147" s="159">
        <f>(5)*MGBP/Unit.GW*INDEX(assumptions.technology.baseyear[[Unit capacity]:[Unit capacity]],MATCH($D147,assumptions.technology.baseyear[[Description]:[Description]],0))*Unit.GW</f>
        <v>500000</v>
      </c>
      <c r="J147" s="159">
        <f>(5)*MGBP/Unit.GW*INDEX(assumptions.technology.baseyear[[Unit capacity]:[Unit capacity]],MATCH($D147,assumptions.technology.baseyear[[Description]:[Description]],0))*Unit.GW</f>
        <v>500000</v>
      </c>
      <c r="K147" s="159">
        <f>(5)*MGBP/Unit.GW*INDEX(assumptions.technology.baseyear[[Unit capacity]:[Unit capacity]],MATCH($D147,assumptions.technology.baseyear[[Description]:[Description]],0))*Unit.GW</f>
        <v>500000</v>
      </c>
      <c r="L147" s="159">
        <f>(5)*MGBP/Unit.GW*INDEX(assumptions.technology.baseyear[[Unit capacity]:[Unit capacity]],MATCH($D147,assumptions.technology.baseyear[[Description]:[Description]],0))*Unit.GW</f>
        <v>500000</v>
      </c>
      <c r="M147" s="159">
        <f>(5)*MGBP/Unit.GW*INDEX(assumptions.technology.baseyear[[Unit capacity]:[Unit capacity]],MATCH($D147,assumptions.technology.baseyear[[Description]:[Description]],0))*Unit.GW</f>
        <v>500000</v>
      </c>
      <c r="N147" s="159">
        <f>(5)*MGBP/Unit.GW*INDEX(assumptions.technology.baseyear[[Unit capacity]:[Unit capacity]],MATCH($D147,assumptions.technology.baseyear[[Description]:[Description]],0))*Unit.GW</f>
        <v>500000</v>
      </c>
      <c r="O147" s="159">
        <f>(5)*MGBP/Unit.GW*INDEX(assumptions.technology.baseyear[[Unit capacity]:[Unit capacity]],MATCH($D147,assumptions.technology.baseyear[[Description]:[Description]],0))*Unit.GW</f>
        <v>500000</v>
      </c>
      <c r="P147" s="159">
        <f>(5)*MGBP/Unit.GW*INDEX(assumptions.technology.baseyear[[Unit capacity]:[Unit capacity]],MATCH($D147,assumptions.technology.baseyear[[Description]:[Description]],0))*Unit.GW</f>
        <v>500000</v>
      </c>
      <c r="Q147" s="159">
        <f>(5)*MGBP/Unit.GW*INDEX(assumptions.technology.baseyear[[Unit capacity]:[Unit capacity]],MATCH($D147,assumptions.technology.baseyear[[Description]:[Description]],0))*Unit.GW</f>
        <v>500000</v>
      </c>
      <c r="R147" s="159"/>
      <c r="T147" s="20"/>
      <c r="U147" s="20"/>
      <c r="V147" s="20"/>
      <c r="W147" s="20"/>
      <c r="X147" s="20"/>
    </row>
    <row r="148" spans="2:24">
      <c r="B148" s="159"/>
      <c r="C148" s="159" t="s">
        <v>739</v>
      </c>
      <c r="D148" s="159" t="str">
        <f>INDEX(Regional.Technologies[Description],MATCH($B$2&amp;"."&amp;assumptions.costs[[#This Row],[Technology code]],Regional.Technologies[Code],0))</f>
        <v>Global Off shore wind turbines</v>
      </c>
      <c r="E148" s="159" t="s">
        <v>578</v>
      </c>
      <c r="F148" s="159" t="e">
        <f>INDEX(Region.codes[Description],MATCH(#REF!,Region.codes[Code],0))&amp;" "&amp;INDEX(Cost.vectors[Description],MATCH(E148,Cost.vectors[Code],0))</f>
        <v>#REF!</v>
      </c>
      <c r="G148" s="159"/>
      <c r="H148" s="159"/>
      <c r="I148" s="159">
        <f>(5)*MGBP/Unit.GW*INDEX(assumptions.technology.baseyear[[Unit capacity]:[Unit capacity]],MATCH($D148,assumptions.technology.baseyear[[Description]:[Description]],0))*Unit.GW</f>
        <v>500000</v>
      </c>
      <c r="J148" s="159">
        <f>(5)*MGBP/Unit.GW*INDEX(assumptions.technology.baseyear[[Unit capacity]:[Unit capacity]],MATCH($D148,assumptions.technology.baseyear[[Description]:[Description]],0))*Unit.GW</f>
        <v>500000</v>
      </c>
      <c r="K148" s="159">
        <f>(5)*MGBP/Unit.GW*INDEX(assumptions.technology.baseyear[[Unit capacity]:[Unit capacity]],MATCH($D148,assumptions.technology.baseyear[[Description]:[Description]],0))*Unit.GW</f>
        <v>500000</v>
      </c>
      <c r="L148" s="159">
        <f>(5)*MGBP/Unit.GW*INDEX(assumptions.technology.baseyear[[Unit capacity]:[Unit capacity]],MATCH($D148,assumptions.technology.baseyear[[Description]:[Description]],0))*Unit.GW</f>
        <v>500000</v>
      </c>
      <c r="M148" s="159">
        <f>(5)*MGBP/Unit.GW*INDEX(assumptions.technology.baseyear[[Unit capacity]:[Unit capacity]],MATCH($D148,assumptions.technology.baseyear[[Description]:[Description]],0))*Unit.GW</f>
        <v>500000</v>
      </c>
      <c r="N148" s="159">
        <f>(5)*MGBP/Unit.GW*INDEX(assumptions.technology.baseyear[[Unit capacity]:[Unit capacity]],MATCH($D148,assumptions.technology.baseyear[[Description]:[Description]],0))*Unit.GW</f>
        <v>500000</v>
      </c>
      <c r="O148" s="159">
        <f>(5)*MGBP/Unit.GW*INDEX(assumptions.technology.baseyear[[Unit capacity]:[Unit capacity]],MATCH($D148,assumptions.technology.baseyear[[Description]:[Description]],0))*Unit.GW</f>
        <v>500000</v>
      </c>
      <c r="P148" s="159">
        <f>(5)*MGBP/Unit.GW*INDEX(assumptions.technology.baseyear[[Unit capacity]:[Unit capacity]],MATCH($D148,assumptions.technology.baseyear[[Description]:[Description]],0))*Unit.GW</f>
        <v>500000</v>
      </c>
      <c r="Q148" s="159">
        <f>(5)*MGBP/Unit.GW*INDEX(assumptions.technology.baseyear[[Unit capacity]:[Unit capacity]],MATCH($D148,assumptions.technology.baseyear[[Description]:[Description]],0))*Unit.GW</f>
        <v>500000</v>
      </c>
      <c r="R148" s="159"/>
      <c r="T148" s="20"/>
      <c r="U148" s="20"/>
      <c r="V148" s="20"/>
      <c r="W148" s="20"/>
      <c r="X148" s="20"/>
    </row>
    <row r="149" spans="2:24">
      <c r="B149" s="159"/>
      <c r="C149" s="159" t="s">
        <v>739</v>
      </c>
      <c r="D149" s="159" t="str">
        <f>INDEX(Regional.Technologies[Description],MATCH($B$2&amp;"."&amp;assumptions.costs[[#This Row],[Technology code]],Regional.Technologies[Code],0))</f>
        <v>Global Off shore wind turbines</v>
      </c>
      <c r="E149" s="159" t="s">
        <v>579</v>
      </c>
      <c r="F149" s="159" t="e">
        <f>INDEX(Region.codes[Description],MATCH(#REF!,Region.codes[Code],0))&amp;" "&amp;INDEX(Cost.vectors[Description],MATCH(E149,Cost.vectors[Code],0))</f>
        <v>#REF!</v>
      </c>
      <c r="G149" s="159"/>
      <c r="H149" s="159"/>
      <c r="I149" s="159">
        <f>(5)*MGBP/Unit.GW*INDEX(assumptions.technology.baseyear[[Unit capacity]:[Unit capacity]],MATCH($D149,assumptions.technology.baseyear[[Description]:[Description]],0))*Unit.GW</f>
        <v>500000</v>
      </c>
      <c r="J149" s="159">
        <f>(5)*MGBP/Unit.GW*INDEX(assumptions.technology.baseyear[[Unit capacity]:[Unit capacity]],MATCH($D149,assumptions.technology.baseyear[[Description]:[Description]],0))*Unit.GW</f>
        <v>500000</v>
      </c>
      <c r="K149" s="159">
        <f>(5)*MGBP/Unit.GW*INDEX(assumptions.technology.baseyear[[Unit capacity]:[Unit capacity]],MATCH($D149,assumptions.technology.baseyear[[Description]:[Description]],0))*Unit.GW</f>
        <v>500000</v>
      </c>
      <c r="L149" s="159">
        <f>(5)*MGBP/Unit.GW*INDEX(assumptions.technology.baseyear[[Unit capacity]:[Unit capacity]],MATCH($D149,assumptions.technology.baseyear[[Description]:[Description]],0))*Unit.GW</f>
        <v>500000</v>
      </c>
      <c r="M149" s="159">
        <f>(5)*MGBP/Unit.GW*INDEX(assumptions.technology.baseyear[[Unit capacity]:[Unit capacity]],MATCH($D149,assumptions.technology.baseyear[[Description]:[Description]],0))*Unit.GW</f>
        <v>500000</v>
      </c>
      <c r="N149" s="159">
        <f>(5)*MGBP/Unit.GW*INDEX(assumptions.technology.baseyear[[Unit capacity]:[Unit capacity]],MATCH($D149,assumptions.technology.baseyear[[Description]:[Description]],0))*Unit.GW</f>
        <v>500000</v>
      </c>
      <c r="O149" s="159">
        <f>(5)*MGBP/Unit.GW*INDEX(assumptions.technology.baseyear[[Unit capacity]:[Unit capacity]],MATCH($D149,assumptions.technology.baseyear[[Description]:[Description]],0))*Unit.GW</f>
        <v>500000</v>
      </c>
      <c r="P149" s="159">
        <f>(5)*MGBP/Unit.GW*INDEX(assumptions.technology.baseyear[[Unit capacity]:[Unit capacity]],MATCH($D149,assumptions.technology.baseyear[[Description]:[Description]],0))*Unit.GW</f>
        <v>500000</v>
      </c>
      <c r="Q149" s="159">
        <f>(5)*MGBP/Unit.GW*INDEX(assumptions.technology.baseyear[[Unit capacity]:[Unit capacity]],MATCH($D149,assumptions.technology.baseyear[[Description]:[Description]],0))*Unit.GW</f>
        <v>500000</v>
      </c>
      <c r="R149" s="159"/>
      <c r="T149" s="20"/>
      <c r="U149" s="20"/>
      <c r="V149" s="20"/>
      <c r="W149" s="20"/>
      <c r="X149" s="20"/>
    </row>
    <row r="150" spans="2:24">
      <c r="B150" s="159"/>
      <c r="C150" s="159" t="s">
        <v>739</v>
      </c>
      <c r="D150" s="159" t="str">
        <f>INDEX(Regional.Technologies[Description],MATCH($B$2&amp;"."&amp;assumptions.costs[[#This Row],[Technology code]],Regional.Technologies[Code],0))</f>
        <v>Global Off shore wind turbines</v>
      </c>
      <c r="E150" s="159" t="s">
        <v>580</v>
      </c>
      <c r="F150" s="159" t="e">
        <f>INDEX(Region.codes[Description],MATCH(#REF!,Region.codes[Code],0))&amp;" "&amp;INDEX(Cost.vectors[Description],MATCH(E150,Cost.vectors[Code],0))</f>
        <v>#REF!</v>
      </c>
      <c r="G150" s="159"/>
      <c r="H150" s="159"/>
      <c r="I150" s="159">
        <f>(5)*MGBP/Unit.GW*INDEX(assumptions.technology.baseyear[[Unit capacity]:[Unit capacity]],MATCH($D150,assumptions.technology.baseyear[[Description]:[Description]],0))*Unit.GW</f>
        <v>500000</v>
      </c>
      <c r="J150" s="159">
        <f>(5)*MGBP/Unit.GW*INDEX(assumptions.technology.baseyear[[Unit capacity]:[Unit capacity]],MATCH($D150,assumptions.technology.baseyear[[Description]:[Description]],0))*Unit.GW</f>
        <v>500000</v>
      </c>
      <c r="K150" s="159">
        <f>(5)*MGBP/Unit.GW*INDEX(assumptions.technology.baseyear[[Unit capacity]:[Unit capacity]],MATCH($D150,assumptions.technology.baseyear[[Description]:[Description]],0))*Unit.GW</f>
        <v>500000</v>
      </c>
      <c r="L150" s="159">
        <f>(5)*MGBP/Unit.GW*INDEX(assumptions.technology.baseyear[[Unit capacity]:[Unit capacity]],MATCH($D150,assumptions.technology.baseyear[[Description]:[Description]],0))*Unit.GW</f>
        <v>500000</v>
      </c>
      <c r="M150" s="159">
        <f>(5)*MGBP/Unit.GW*INDEX(assumptions.technology.baseyear[[Unit capacity]:[Unit capacity]],MATCH($D150,assumptions.technology.baseyear[[Description]:[Description]],0))*Unit.GW</f>
        <v>500000</v>
      </c>
      <c r="N150" s="159">
        <f>(5)*MGBP/Unit.GW*INDEX(assumptions.technology.baseyear[[Unit capacity]:[Unit capacity]],MATCH($D150,assumptions.technology.baseyear[[Description]:[Description]],0))*Unit.GW</f>
        <v>500000</v>
      </c>
      <c r="O150" s="159">
        <f>(5)*MGBP/Unit.GW*INDEX(assumptions.technology.baseyear[[Unit capacity]:[Unit capacity]],MATCH($D150,assumptions.technology.baseyear[[Description]:[Description]],0))*Unit.GW</f>
        <v>500000</v>
      </c>
      <c r="P150" s="159">
        <f>(5)*MGBP/Unit.GW*INDEX(assumptions.technology.baseyear[[Unit capacity]:[Unit capacity]],MATCH($D150,assumptions.technology.baseyear[[Description]:[Description]],0))*Unit.GW</f>
        <v>500000</v>
      </c>
      <c r="Q150" s="159">
        <f>(5)*MGBP/Unit.GW*INDEX(assumptions.technology.baseyear[[Unit capacity]:[Unit capacity]],MATCH($D150,assumptions.technology.baseyear[[Description]:[Description]],0))*Unit.GW</f>
        <v>500000</v>
      </c>
      <c r="R150" s="159"/>
      <c r="T150" s="20"/>
      <c r="U150" s="20"/>
      <c r="V150" s="20"/>
      <c r="W150" s="20"/>
      <c r="X150" s="20"/>
    </row>
    <row r="151" spans="2:24">
      <c r="B151" s="159"/>
      <c r="C151" s="159" t="s">
        <v>739</v>
      </c>
      <c r="D151" s="159" t="str">
        <f>INDEX(Regional.Technologies[Description],MATCH($B$2&amp;"."&amp;assumptions.costs[[#This Row],[Technology code]],Regional.Technologies[Code],0))</f>
        <v>Global Off shore wind turbines</v>
      </c>
      <c r="E151" s="159" t="s">
        <v>581</v>
      </c>
      <c r="F151" s="159" t="e">
        <f>INDEX(Region.codes[Description],MATCH(#REF!,Region.codes[Code],0))&amp;" "&amp;INDEX(Cost.vectors[Description],MATCH(E151,Cost.vectors[Code],0))</f>
        <v>#REF!</v>
      </c>
      <c r="G151" s="159"/>
      <c r="H151" s="159"/>
      <c r="I151" s="159">
        <f>(5)*MGBP/Unit.GW*INDEX(assumptions.technology.baseyear[[Unit capacity]:[Unit capacity]],MATCH($D151,assumptions.technology.baseyear[[Description]:[Description]],0))*Unit.GW</f>
        <v>500000</v>
      </c>
      <c r="J151" s="159">
        <f>(5)*MGBP/Unit.GW*INDEX(assumptions.technology.baseyear[[Unit capacity]:[Unit capacity]],MATCH($D151,assumptions.technology.baseyear[[Description]:[Description]],0))*Unit.GW</f>
        <v>500000</v>
      </c>
      <c r="K151" s="159">
        <f>(5)*MGBP/Unit.GW*INDEX(assumptions.technology.baseyear[[Unit capacity]:[Unit capacity]],MATCH($D151,assumptions.technology.baseyear[[Description]:[Description]],0))*Unit.GW</f>
        <v>500000</v>
      </c>
      <c r="L151" s="159">
        <f>(5)*MGBP/Unit.GW*INDEX(assumptions.technology.baseyear[[Unit capacity]:[Unit capacity]],MATCH($D151,assumptions.technology.baseyear[[Description]:[Description]],0))*Unit.GW</f>
        <v>500000</v>
      </c>
      <c r="M151" s="159">
        <f>(5)*MGBP/Unit.GW*INDEX(assumptions.technology.baseyear[[Unit capacity]:[Unit capacity]],MATCH($D151,assumptions.technology.baseyear[[Description]:[Description]],0))*Unit.GW</f>
        <v>500000</v>
      </c>
      <c r="N151" s="159">
        <f>(5)*MGBP/Unit.GW*INDEX(assumptions.technology.baseyear[[Unit capacity]:[Unit capacity]],MATCH($D151,assumptions.technology.baseyear[[Description]:[Description]],0))*Unit.GW</f>
        <v>500000</v>
      </c>
      <c r="O151" s="159">
        <f>(5)*MGBP/Unit.GW*INDEX(assumptions.technology.baseyear[[Unit capacity]:[Unit capacity]],MATCH($D151,assumptions.technology.baseyear[[Description]:[Description]],0))*Unit.GW</f>
        <v>500000</v>
      </c>
      <c r="P151" s="159">
        <f>(5)*MGBP/Unit.GW*INDEX(assumptions.technology.baseyear[[Unit capacity]:[Unit capacity]],MATCH($D151,assumptions.technology.baseyear[[Description]:[Description]],0))*Unit.GW</f>
        <v>500000</v>
      </c>
      <c r="Q151" s="159">
        <f>(5)*MGBP/Unit.GW*INDEX(assumptions.technology.baseyear[[Unit capacity]:[Unit capacity]],MATCH($D151,assumptions.technology.baseyear[[Description]:[Description]],0))*Unit.GW</f>
        <v>500000</v>
      </c>
      <c r="R151" s="159"/>
      <c r="T151" s="20"/>
      <c r="U151" s="20"/>
      <c r="V151" s="20"/>
      <c r="W151" s="20"/>
      <c r="X151" s="20"/>
    </row>
    <row r="152" spans="2:24">
      <c r="B152" s="159"/>
      <c r="C152" s="159" t="s">
        <v>739</v>
      </c>
      <c r="D152" s="159" t="str">
        <f>INDEX(Regional.Technologies[Description],MATCH($B$2&amp;"."&amp;assumptions.costs[[#This Row],[Technology code]],Regional.Technologies[Code],0))</f>
        <v>Global Off shore wind turbines</v>
      </c>
      <c r="E152" s="159" t="s">
        <v>582</v>
      </c>
      <c r="F152" s="159" t="e">
        <f>INDEX(Region.codes[Description],MATCH(#REF!,Region.codes[Code],0))&amp;" "&amp;INDEX(Cost.vectors[Description],MATCH(E152,Cost.vectors[Code],0))</f>
        <v>#REF!</v>
      </c>
      <c r="G152" s="159"/>
      <c r="H152" s="159"/>
      <c r="I152" s="159">
        <f>(5)*MGBP/Unit.GW*INDEX(assumptions.technology.baseyear[[Unit capacity]:[Unit capacity]],MATCH($D152,assumptions.technology.baseyear[[Description]:[Description]],0))*Unit.GW</f>
        <v>500000</v>
      </c>
      <c r="J152" s="159">
        <f>(5)*MGBP/Unit.GW*INDEX(assumptions.technology.baseyear[[Unit capacity]:[Unit capacity]],MATCH($D152,assumptions.technology.baseyear[[Description]:[Description]],0))*Unit.GW</f>
        <v>500000</v>
      </c>
      <c r="K152" s="159">
        <f>(5)*MGBP/Unit.GW*INDEX(assumptions.technology.baseyear[[Unit capacity]:[Unit capacity]],MATCH($D152,assumptions.technology.baseyear[[Description]:[Description]],0))*Unit.GW</f>
        <v>500000</v>
      </c>
      <c r="L152" s="159">
        <f>(5)*MGBP/Unit.GW*INDEX(assumptions.technology.baseyear[[Unit capacity]:[Unit capacity]],MATCH($D152,assumptions.technology.baseyear[[Description]:[Description]],0))*Unit.GW</f>
        <v>500000</v>
      </c>
      <c r="M152" s="159">
        <f>(5)*MGBP/Unit.GW*INDEX(assumptions.technology.baseyear[[Unit capacity]:[Unit capacity]],MATCH($D152,assumptions.technology.baseyear[[Description]:[Description]],0))*Unit.GW</f>
        <v>500000</v>
      </c>
      <c r="N152" s="159">
        <f>(5)*MGBP/Unit.GW*INDEX(assumptions.technology.baseyear[[Unit capacity]:[Unit capacity]],MATCH($D152,assumptions.technology.baseyear[[Description]:[Description]],0))*Unit.GW</f>
        <v>500000</v>
      </c>
      <c r="O152" s="159">
        <f>(5)*MGBP/Unit.GW*INDEX(assumptions.technology.baseyear[[Unit capacity]:[Unit capacity]],MATCH($D152,assumptions.technology.baseyear[[Description]:[Description]],0))*Unit.GW</f>
        <v>500000</v>
      </c>
      <c r="P152" s="159">
        <f>(5)*MGBP/Unit.GW*INDEX(assumptions.technology.baseyear[[Unit capacity]:[Unit capacity]],MATCH($D152,assumptions.technology.baseyear[[Description]:[Description]],0))*Unit.GW</f>
        <v>500000</v>
      </c>
      <c r="Q152" s="159">
        <f>(5)*MGBP/Unit.GW*INDEX(assumptions.technology.baseyear[[Unit capacity]:[Unit capacity]],MATCH($D152,assumptions.technology.baseyear[[Description]:[Description]],0))*Unit.GW</f>
        <v>500000</v>
      </c>
      <c r="R152" s="159"/>
      <c r="T152" s="20"/>
      <c r="U152" s="20"/>
      <c r="V152" s="20"/>
      <c r="W152" s="20"/>
      <c r="X152" s="20"/>
    </row>
    <row r="153" spans="2:24">
      <c r="B153" s="159"/>
      <c r="C153" s="159" t="s">
        <v>739</v>
      </c>
      <c r="D153" s="159" t="str">
        <f>INDEX(Regional.Technologies[Description],MATCH($B$2&amp;"."&amp;assumptions.costs[[#This Row],[Technology code]],Regional.Technologies[Code],0))</f>
        <v>Global Off shore wind turbines</v>
      </c>
      <c r="E153" s="159" t="s">
        <v>583</v>
      </c>
      <c r="F153" s="159" t="e">
        <f>INDEX(Region.codes[Description],MATCH(#REF!,Region.codes[Code],0))&amp;" "&amp;INDEX(Cost.vectors[Description],MATCH(E153,Cost.vectors[Code],0))</f>
        <v>#REF!</v>
      </c>
      <c r="G153" s="159"/>
      <c r="H153" s="159"/>
      <c r="I153" s="159">
        <f>(5)*MGBP/Unit.GW*INDEX(assumptions.technology.baseyear[[Unit capacity]:[Unit capacity]],MATCH($D153,assumptions.technology.baseyear[[Description]:[Description]],0))*Unit.GW</f>
        <v>500000</v>
      </c>
      <c r="J153" s="159">
        <f>(5)*MGBP/Unit.GW*INDEX(assumptions.technology.baseyear[[Unit capacity]:[Unit capacity]],MATCH($D153,assumptions.technology.baseyear[[Description]:[Description]],0))*Unit.GW</f>
        <v>500000</v>
      </c>
      <c r="K153" s="159">
        <f>(5)*MGBP/Unit.GW*INDEX(assumptions.technology.baseyear[[Unit capacity]:[Unit capacity]],MATCH($D153,assumptions.technology.baseyear[[Description]:[Description]],0))*Unit.GW</f>
        <v>500000</v>
      </c>
      <c r="L153" s="159">
        <f>(5)*MGBP/Unit.GW*INDEX(assumptions.technology.baseyear[[Unit capacity]:[Unit capacity]],MATCH($D153,assumptions.technology.baseyear[[Description]:[Description]],0))*Unit.GW</f>
        <v>500000</v>
      </c>
      <c r="M153" s="159">
        <f>(5)*MGBP/Unit.GW*INDEX(assumptions.technology.baseyear[[Unit capacity]:[Unit capacity]],MATCH($D153,assumptions.technology.baseyear[[Description]:[Description]],0))*Unit.GW</f>
        <v>500000</v>
      </c>
      <c r="N153" s="159">
        <f>(5)*MGBP/Unit.GW*INDEX(assumptions.technology.baseyear[[Unit capacity]:[Unit capacity]],MATCH($D153,assumptions.technology.baseyear[[Description]:[Description]],0))*Unit.GW</f>
        <v>500000</v>
      </c>
      <c r="O153" s="159">
        <f>(5)*MGBP/Unit.GW*INDEX(assumptions.technology.baseyear[[Unit capacity]:[Unit capacity]],MATCH($D153,assumptions.technology.baseyear[[Description]:[Description]],0))*Unit.GW</f>
        <v>500000</v>
      </c>
      <c r="P153" s="159">
        <f>(5)*MGBP/Unit.GW*INDEX(assumptions.technology.baseyear[[Unit capacity]:[Unit capacity]],MATCH($D153,assumptions.technology.baseyear[[Description]:[Description]],0))*Unit.GW</f>
        <v>500000</v>
      </c>
      <c r="Q153" s="159">
        <f>(5)*MGBP/Unit.GW*INDEX(assumptions.technology.baseyear[[Unit capacity]:[Unit capacity]],MATCH($D153,assumptions.technology.baseyear[[Description]:[Description]],0))*Unit.GW</f>
        <v>500000</v>
      </c>
      <c r="R153" s="159"/>
      <c r="T153" s="20"/>
      <c r="U153" s="20"/>
      <c r="V153" s="20"/>
      <c r="W153" s="20"/>
      <c r="X153" s="20"/>
    </row>
    <row r="154" spans="2:24">
      <c r="B154" s="159"/>
      <c r="C154" s="159" t="s">
        <v>740</v>
      </c>
      <c r="D154" s="159" t="str">
        <f>INDEX(Regional.Technologies[Description],MATCH($B$2&amp;"."&amp;assumptions.costs[[#This Row],[Technology code]],Regional.Technologies[Code],0))</f>
        <v>Global Hydroelectric dam</v>
      </c>
      <c r="E154" s="159" t="s">
        <v>578</v>
      </c>
      <c r="F154" s="159" t="e">
        <f>INDEX(Region.codes[Description],MATCH(#REF!,Region.codes[Code],0))&amp;" "&amp;INDEX(Cost.vectors[Description],MATCH(E154,Cost.vectors[Code],0))</f>
        <v>#REF!</v>
      </c>
      <c r="G154" s="159"/>
      <c r="H154" s="159"/>
      <c r="I154" s="159">
        <f>(5)*MGBP/Unit.GW*INDEX(assumptions.technology.baseyear[[Unit capacity]:[Unit capacity]],MATCH($D154,assumptions.technology.baseyear[[Description]:[Description]],0))*Unit.GW</f>
        <v>5000000</v>
      </c>
      <c r="J154" s="159">
        <f>(5)*MGBP/Unit.GW*INDEX(assumptions.technology.baseyear[[Unit capacity]:[Unit capacity]],MATCH($D154,assumptions.technology.baseyear[[Description]:[Description]],0))*Unit.GW</f>
        <v>5000000</v>
      </c>
      <c r="K154" s="159">
        <f>(5)*MGBP/Unit.GW*INDEX(assumptions.technology.baseyear[[Unit capacity]:[Unit capacity]],MATCH($D154,assumptions.technology.baseyear[[Description]:[Description]],0))*Unit.GW</f>
        <v>5000000</v>
      </c>
      <c r="L154" s="159">
        <f>(5)*MGBP/Unit.GW*INDEX(assumptions.technology.baseyear[[Unit capacity]:[Unit capacity]],MATCH($D154,assumptions.technology.baseyear[[Description]:[Description]],0))*Unit.GW</f>
        <v>5000000</v>
      </c>
      <c r="M154" s="159">
        <f>(5)*MGBP/Unit.GW*INDEX(assumptions.technology.baseyear[[Unit capacity]:[Unit capacity]],MATCH($D154,assumptions.technology.baseyear[[Description]:[Description]],0))*Unit.GW</f>
        <v>5000000</v>
      </c>
      <c r="N154" s="159">
        <f>(5)*MGBP/Unit.GW*INDEX(assumptions.technology.baseyear[[Unit capacity]:[Unit capacity]],MATCH($D154,assumptions.technology.baseyear[[Description]:[Description]],0))*Unit.GW</f>
        <v>5000000</v>
      </c>
      <c r="O154" s="159">
        <f>(5)*MGBP/Unit.GW*INDEX(assumptions.technology.baseyear[[Unit capacity]:[Unit capacity]],MATCH($D154,assumptions.technology.baseyear[[Description]:[Description]],0))*Unit.GW</f>
        <v>5000000</v>
      </c>
      <c r="P154" s="159">
        <f>(5)*MGBP/Unit.GW*INDEX(assumptions.technology.baseyear[[Unit capacity]:[Unit capacity]],MATCH($D154,assumptions.technology.baseyear[[Description]:[Description]],0))*Unit.GW</f>
        <v>5000000</v>
      </c>
      <c r="Q154" s="159">
        <f>(5)*MGBP/Unit.GW*INDEX(assumptions.technology.baseyear[[Unit capacity]:[Unit capacity]],MATCH($D154,assumptions.technology.baseyear[[Description]:[Description]],0))*Unit.GW</f>
        <v>5000000</v>
      </c>
      <c r="R154" s="159"/>
      <c r="T154" s="20"/>
      <c r="U154" s="20"/>
      <c r="V154" s="20"/>
      <c r="W154" s="20"/>
      <c r="X154" s="20"/>
    </row>
    <row r="155" spans="2:24">
      <c r="B155" s="159"/>
      <c r="C155" s="159" t="s">
        <v>740</v>
      </c>
      <c r="D155" s="159" t="str">
        <f>INDEX(Regional.Technologies[Description],MATCH($B$2&amp;"."&amp;assumptions.costs[[#This Row],[Technology code]],Regional.Technologies[Code],0))</f>
        <v>Global Hydroelectric dam</v>
      </c>
      <c r="E155" s="159" t="s">
        <v>579</v>
      </c>
      <c r="F155" s="159" t="e">
        <f>INDEX(Region.codes[Description],MATCH(#REF!,Region.codes[Code],0))&amp;" "&amp;INDEX(Cost.vectors[Description],MATCH(E155,Cost.vectors[Code],0))</f>
        <v>#REF!</v>
      </c>
      <c r="G155" s="159"/>
      <c r="H155" s="159"/>
      <c r="I155" s="159">
        <f>(5)*MGBP/Unit.GW*INDEX(assumptions.technology.baseyear[[Unit capacity]:[Unit capacity]],MATCH($D155,assumptions.technology.baseyear[[Description]:[Description]],0))*Unit.GW</f>
        <v>5000000</v>
      </c>
      <c r="J155" s="159">
        <f>(5)*MGBP/Unit.GW*INDEX(assumptions.technology.baseyear[[Unit capacity]:[Unit capacity]],MATCH($D155,assumptions.technology.baseyear[[Description]:[Description]],0))*Unit.GW</f>
        <v>5000000</v>
      </c>
      <c r="K155" s="159">
        <f>(5)*MGBP/Unit.GW*INDEX(assumptions.technology.baseyear[[Unit capacity]:[Unit capacity]],MATCH($D155,assumptions.technology.baseyear[[Description]:[Description]],0))*Unit.GW</f>
        <v>5000000</v>
      </c>
      <c r="L155" s="159">
        <f>(5)*MGBP/Unit.GW*INDEX(assumptions.technology.baseyear[[Unit capacity]:[Unit capacity]],MATCH($D155,assumptions.technology.baseyear[[Description]:[Description]],0))*Unit.GW</f>
        <v>5000000</v>
      </c>
      <c r="M155" s="159">
        <f>(5)*MGBP/Unit.GW*INDEX(assumptions.technology.baseyear[[Unit capacity]:[Unit capacity]],MATCH($D155,assumptions.technology.baseyear[[Description]:[Description]],0))*Unit.GW</f>
        <v>5000000</v>
      </c>
      <c r="N155" s="159">
        <f>(5)*MGBP/Unit.GW*INDEX(assumptions.technology.baseyear[[Unit capacity]:[Unit capacity]],MATCH($D155,assumptions.technology.baseyear[[Description]:[Description]],0))*Unit.GW</f>
        <v>5000000</v>
      </c>
      <c r="O155" s="159">
        <f>(5)*MGBP/Unit.GW*INDEX(assumptions.technology.baseyear[[Unit capacity]:[Unit capacity]],MATCH($D155,assumptions.technology.baseyear[[Description]:[Description]],0))*Unit.GW</f>
        <v>5000000</v>
      </c>
      <c r="P155" s="159">
        <f>(5)*MGBP/Unit.GW*INDEX(assumptions.technology.baseyear[[Unit capacity]:[Unit capacity]],MATCH($D155,assumptions.technology.baseyear[[Description]:[Description]],0))*Unit.GW</f>
        <v>5000000</v>
      </c>
      <c r="Q155" s="159">
        <f>(5)*MGBP/Unit.GW*INDEX(assumptions.technology.baseyear[[Unit capacity]:[Unit capacity]],MATCH($D155,assumptions.technology.baseyear[[Description]:[Description]],0))*Unit.GW</f>
        <v>5000000</v>
      </c>
      <c r="R155" s="159"/>
      <c r="T155" s="20"/>
      <c r="U155" s="20"/>
      <c r="V155" s="20"/>
      <c r="W155" s="20"/>
      <c r="X155" s="20"/>
    </row>
    <row r="156" spans="2:24">
      <c r="B156" s="159"/>
      <c r="C156" s="159" t="s">
        <v>740</v>
      </c>
      <c r="D156" s="159" t="str">
        <f>INDEX(Regional.Technologies[Description],MATCH($B$2&amp;"."&amp;assumptions.costs[[#This Row],[Technology code]],Regional.Technologies[Code],0))</f>
        <v>Global Hydroelectric dam</v>
      </c>
      <c r="E156" s="159" t="s">
        <v>580</v>
      </c>
      <c r="F156" s="159" t="e">
        <f>INDEX(Region.codes[Description],MATCH(#REF!,Region.codes[Code],0))&amp;" "&amp;INDEX(Cost.vectors[Description],MATCH(E156,Cost.vectors[Code],0))</f>
        <v>#REF!</v>
      </c>
      <c r="G156" s="159"/>
      <c r="H156" s="159"/>
      <c r="I156" s="159">
        <f>(5)*MGBP/Unit.GW*INDEX(assumptions.technology.baseyear[[Unit capacity]:[Unit capacity]],MATCH($D156,assumptions.technology.baseyear[[Description]:[Description]],0))*Unit.GW</f>
        <v>5000000</v>
      </c>
      <c r="J156" s="159">
        <f>(5)*MGBP/Unit.GW*INDEX(assumptions.technology.baseyear[[Unit capacity]:[Unit capacity]],MATCH($D156,assumptions.technology.baseyear[[Description]:[Description]],0))*Unit.GW</f>
        <v>5000000</v>
      </c>
      <c r="K156" s="159">
        <f>(5)*MGBP/Unit.GW*INDEX(assumptions.technology.baseyear[[Unit capacity]:[Unit capacity]],MATCH($D156,assumptions.technology.baseyear[[Description]:[Description]],0))*Unit.GW</f>
        <v>5000000</v>
      </c>
      <c r="L156" s="159">
        <f>(5)*MGBP/Unit.GW*INDEX(assumptions.technology.baseyear[[Unit capacity]:[Unit capacity]],MATCH($D156,assumptions.technology.baseyear[[Description]:[Description]],0))*Unit.GW</f>
        <v>5000000</v>
      </c>
      <c r="M156" s="159">
        <f>(5)*MGBP/Unit.GW*INDEX(assumptions.technology.baseyear[[Unit capacity]:[Unit capacity]],MATCH($D156,assumptions.technology.baseyear[[Description]:[Description]],0))*Unit.GW</f>
        <v>5000000</v>
      </c>
      <c r="N156" s="159">
        <f>(5)*MGBP/Unit.GW*INDEX(assumptions.technology.baseyear[[Unit capacity]:[Unit capacity]],MATCH($D156,assumptions.technology.baseyear[[Description]:[Description]],0))*Unit.GW</f>
        <v>5000000</v>
      </c>
      <c r="O156" s="159">
        <f>(5)*MGBP/Unit.GW*INDEX(assumptions.technology.baseyear[[Unit capacity]:[Unit capacity]],MATCH($D156,assumptions.technology.baseyear[[Description]:[Description]],0))*Unit.GW</f>
        <v>5000000</v>
      </c>
      <c r="P156" s="159">
        <f>(5)*MGBP/Unit.GW*INDEX(assumptions.technology.baseyear[[Unit capacity]:[Unit capacity]],MATCH($D156,assumptions.technology.baseyear[[Description]:[Description]],0))*Unit.GW</f>
        <v>5000000</v>
      </c>
      <c r="Q156" s="159">
        <f>(5)*MGBP/Unit.GW*INDEX(assumptions.technology.baseyear[[Unit capacity]:[Unit capacity]],MATCH($D156,assumptions.technology.baseyear[[Description]:[Description]],0))*Unit.GW</f>
        <v>5000000</v>
      </c>
      <c r="R156" s="159"/>
      <c r="T156" s="20"/>
      <c r="U156" s="20"/>
      <c r="V156" s="20"/>
      <c r="W156" s="20"/>
      <c r="X156" s="20"/>
    </row>
    <row r="157" spans="2:24">
      <c r="B157" s="159"/>
      <c r="C157" s="159" t="s">
        <v>740</v>
      </c>
      <c r="D157" s="159" t="str">
        <f>INDEX(Regional.Technologies[Description],MATCH($B$2&amp;"."&amp;assumptions.costs[[#This Row],[Technology code]],Regional.Technologies[Code],0))</f>
        <v>Global Hydroelectric dam</v>
      </c>
      <c r="E157" s="159" t="s">
        <v>581</v>
      </c>
      <c r="F157" s="159" t="e">
        <f>INDEX(Region.codes[Description],MATCH(#REF!,Region.codes[Code],0))&amp;" "&amp;INDEX(Cost.vectors[Description],MATCH(E157,Cost.vectors[Code],0))</f>
        <v>#REF!</v>
      </c>
      <c r="G157" s="159"/>
      <c r="H157" s="159"/>
      <c r="I157" s="159">
        <f>(5)*MGBP/Unit.GW*INDEX(assumptions.technology.baseyear[[Unit capacity]:[Unit capacity]],MATCH($D157,assumptions.technology.baseyear[[Description]:[Description]],0))*Unit.GW</f>
        <v>5000000</v>
      </c>
      <c r="J157" s="159">
        <f>(5)*MGBP/Unit.GW*INDEX(assumptions.technology.baseyear[[Unit capacity]:[Unit capacity]],MATCH($D157,assumptions.technology.baseyear[[Description]:[Description]],0))*Unit.GW</f>
        <v>5000000</v>
      </c>
      <c r="K157" s="159">
        <f>(5)*MGBP/Unit.GW*INDEX(assumptions.technology.baseyear[[Unit capacity]:[Unit capacity]],MATCH($D157,assumptions.technology.baseyear[[Description]:[Description]],0))*Unit.GW</f>
        <v>5000000</v>
      </c>
      <c r="L157" s="159">
        <f>(5)*MGBP/Unit.GW*INDEX(assumptions.technology.baseyear[[Unit capacity]:[Unit capacity]],MATCH($D157,assumptions.technology.baseyear[[Description]:[Description]],0))*Unit.GW</f>
        <v>5000000</v>
      </c>
      <c r="M157" s="159">
        <f>(5)*MGBP/Unit.GW*INDEX(assumptions.technology.baseyear[[Unit capacity]:[Unit capacity]],MATCH($D157,assumptions.technology.baseyear[[Description]:[Description]],0))*Unit.GW</f>
        <v>5000000</v>
      </c>
      <c r="N157" s="159">
        <f>(5)*MGBP/Unit.GW*INDEX(assumptions.technology.baseyear[[Unit capacity]:[Unit capacity]],MATCH($D157,assumptions.technology.baseyear[[Description]:[Description]],0))*Unit.GW</f>
        <v>5000000</v>
      </c>
      <c r="O157" s="159">
        <f>(5)*MGBP/Unit.GW*INDEX(assumptions.technology.baseyear[[Unit capacity]:[Unit capacity]],MATCH($D157,assumptions.technology.baseyear[[Description]:[Description]],0))*Unit.GW</f>
        <v>5000000</v>
      </c>
      <c r="P157" s="159">
        <f>(5)*MGBP/Unit.GW*INDEX(assumptions.technology.baseyear[[Unit capacity]:[Unit capacity]],MATCH($D157,assumptions.technology.baseyear[[Description]:[Description]],0))*Unit.GW</f>
        <v>5000000</v>
      </c>
      <c r="Q157" s="159">
        <f>(5)*MGBP/Unit.GW*INDEX(assumptions.technology.baseyear[[Unit capacity]:[Unit capacity]],MATCH($D157,assumptions.technology.baseyear[[Description]:[Description]],0))*Unit.GW</f>
        <v>5000000</v>
      </c>
      <c r="R157" s="159"/>
      <c r="T157" s="20"/>
      <c r="U157" s="20"/>
      <c r="V157" s="20"/>
      <c r="W157" s="20"/>
      <c r="X157" s="20"/>
    </row>
    <row r="158" spans="2:24">
      <c r="B158" s="159"/>
      <c r="C158" s="159" t="s">
        <v>740</v>
      </c>
      <c r="D158" s="159" t="str">
        <f>INDEX(Regional.Technologies[Description],MATCH($B$2&amp;"."&amp;assumptions.costs[[#This Row],[Technology code]],Regional.Technologies[Code],0))</f>
        <v>Global Hydroelectric dam</v>
      </c>
      <c r="E158" s="159" t="s">
        <v>582</v>
      </c>
      <c r="F158" s="159" t="e">
        <f>INDEX(Region.codes[Description],MATCH(#REF!,Region.codes[Code],0))&amp;" "&amp;INDEX(Cost.vectors[Description],MATCH(E158,Cost.vectors[Code],0))</f>
        <v>#REF!</v>
      </c>
      <c r="G158" s="159"/>
      <c r="H158" s="159"/>
      <c r="I158" s="159">
        <f>(5)*MGBP/Unit.GW*INDEX(assumptions.technology.baseyear[[Unit capacity]:[Unit capacity]],MATCH($D158,assumptions.technology.baseyear[[Description]:[Description]],0))*Unit.GW</f>
        <v>5000000</v>
      </c>
      <c r="J158" s="159">
        <f>(5)*MGBP/Unit.GW*INDEX(assumptions.technology.baseyear[[Unit capacity]:[Unit capacity]],MATCH($D158,assumptions.technology.baseyear[[Description]:[Description]],0))*Unit.GW</f>
        <v>5000000</v>
      </c>
      <c r="K158" s="159">
        <f>(5)*MGBP/Unit.GW*INDEX(assumptions.technology.baseyear[[Unit capacity]:[Unit capacity]],MATCH($D158,assumptions.technology.baseyear[[Description]:[Description]],0))*Unit.GW</f>
        <v>5000000</v>
      </c>
      <c r="L158" s="159">
        <f>(5)*MGBP/Unit.GW*INDEX(assumptions.technology.baseyear[[Unit capacity]:[Unit capacity]],MATCH($D158,assumptions.technology.baseyear[[Description]:[Description]],0))*Unit.GW</f>
        <v>5000000</v>
      </c>
      <c r="M158" s="159">
        <f>(5)*MGBP/Unit.GW*INDEX(assumptions.technology.baseyear[[Unit capacity]:[Unit capacity]],MATCH($D158,assumptions.technology.baseyear[[Description]:[Description]],0))*Unit.GW</f>
        <v>5000000</v>
      </c>
      <c r="N158" s="159">
        <f>(5)*MGBP/Unit.GW*INDEX(assumptions.technology.baseyear[[Unit capacity]:[Unit capacity]],MATCH($D158,assumptions.technology.baseyear[[Description]:[Description]],0))*Unit.GW</f>
        <v>5000000</v>
      </c>
      <c r="O158" s="159">
        <f>(5)*MGBP/Unit.GW*INDEX(assumptions.technology.baseyear[[Unit capacity]:[Unit capacity]],MATCH($D158,assumptions.technology.baseyear[[Description]:[Description]],0))*Unit.GW</f>
        <v>5000000</v>
      </c>
      <c r="P158" s="159">
        <f>(5)*MGBP/Unit.GW*INDEX(assumptions.technology.baseyear[[Unit capacity]:[Unit capacity]],MATCH($D158,assumptions.technology.baseyear[[Description]:[Description]],0))*Unit.GW</f>
        <v>5000000</v>
      </c>
      <c r="Q158" s="159">
        <f>(5)*MGBP/Unit.GW*INDEX(assumptions.technology.baseyear[[Unit capacity]:[Unit capacity]],MATCH($D158,assumptions.technology.baseyear[[Description]:[Description]],0))*Unit.GW</f>
        <v>5000000</v>
      </c>
      <c r="R158" s="159"/>
      <c r="T158" s="20"/>
      <c r="U158" s="20"/>
      <c r="V158" s="20"/>
      <c r="W158" s="20"/>
      <c r="X158" s="20"/>
    </row>
    <row r="159" spans="2:24">
      <c r="B159" s="159"/>
      <c r="C159" s="159" t="s">
        <v>740</v>
      </c>
      <c r="D159" s="159" t="str">
        <f>INDEX(Regional.Technologies[Description],MATCH($B$2&amp;"."&amp;assumptions.costs[[#This Row],[Technology code]],Regional.Technologies[Code],0))</f>
        <v>Global Hydroelectric dam</v>
      </c>
      <c r="E159" s="159" t="s">
        <v>583</v>
      </c>
      <c r="F159" s="159" t="e">
        <f>INDEX(Region.codes[Description],MATCH(#REF!,Region.codes[Code],0))&amp;" "&amp;INDEX(Cost.vectors[Description],MATCH(E159,Cost.vectors[Code],0))</f>
        <v>#REF!</v>
      </c>
      <c r="G159" s="159"/>
      <c r="H159" s="159"/>
      <c r="I159" s="159">
        <f>(5)*MGBP/Unit.GW*INDEX(assumptions.technology.baseyear[[Unit capacity]:[Unit capacity]],MATCH($D159,assumptions.technology.baseyear[[Description]:[Description]],0))*Unit.GW</f>
        <v>5000000</v>
      </c>
      <c r="J159" s="159">
        <f>(5)*MGBP/Unit.GW*INDEX(assumptions.technology.baseyear[[Unit capacity]:[Unit capacity]],MATCH($D159,assumptions.technology.baseyear[[Description]:[Description]],0))*Unit.GW</f>
        <v>5000000</v>
      </c>
      <c r="K159" s="159">
        <f>(5)*MGBP/Unit.GW*INDEX(assumptions.technology.baseyear[[Unit capacity]:[Unit capacity]],MATCH($D159,assumptions.technology.baseyear[[Description]:[Description]],0))*Unit.GW</f>
        <v>5000000</v>
      </c>
      <c r="L159" s="159">
        <f>(5)*MGBP/Unit.GW*INDEX(assumptions.technology.baseyear[[Unit capacity]:[Unit capacity]],MATCH($D159,assumptions.technology.baseyear[[Description]:[Description]],0))*Unit.GW</f>
        <v>5000000</v>
      </c>
      <c r="M159" s="159">
        <f>(5)*MGBP/Unit.GW*INDEX(assumptions.technology.baseyear[[Unit capacity]:[Unit capacity]],MATCH($D159,assumptions.technology.baseyear[[Description]:[Description]],0))*Unit.GW</f>
        <v>5000000</v>
      </c>
      <c r="N159" s="159">
        <f>(5)*MGBP/Unit.GW*INDEX(assumptions.technology.baseyear[[Unit capacity]:[Unit capacity]],MATCH($D159,assumptions.technology.baseyear[[Description]:[Description]],0))*Unit.GW</f>
        <v>5000000</v>
      </c>
      <c r="O159" s="159">
        <f>(5)*MGBP/Unit.GW*INDEX(assumptions.technology.baseyear[[Unit capacity]:[Unit capacity]],MATCH($D159,assumptions.technology.baseyear[[Description]:[Description]],0))*Unit.GW</f>
        <v>5000000</v>
      </c>
      <c r="P159" s="159">
        <f>(5)*MGBP/Unit.GW*INDEX(assumptions.technology.baseyear[[Unit capacity]:[Unit capacity]],MATCH($D159,assumptions.technology.baseyear[[Description]:[Description]],0))*Unit.GW</f>
        <v>5000000</v>
      </c>
      <c r="Q159" s="159">
        <f>(5)*MGBP/Unit.GW*INDEX(assumptions.technology.baseyear[[Unit capacity]:[Unit capacity]],MATCH($D159,assumptions.technology.baseyear[[Description]:[Description]],0))*Unit.GW</f>
        <v>5000000</v>
      </c>
      <c r="R159" s="159"/>
      <c r="T159" s="20"/>
      <c r="U159" s="20"/>
      <c r="V159" s="20"/>
      <c r="W159" s="20"/>
      <c r="X159" s="20"/>
    </row>
    <row r="160" spans="2:24">
      <c r="B160" s="159"/>
      <c r="C160" s="159" t="s">
        <v>741</v>
      </c>
      <c r="D160" s="159" t="str">
        <f>INDEX(Regional.Technologies[Description],MATCH($B$2&amp;"."&amp;assumptions.costs[[#This Row],[Technology code]],Regional.Technologies[Code],0))</f>
        <v>Global Tidal</v>
      </c>
      <c r="E160" s="159" t="s">
        <v>578</v>
      </c>
      <c r="F160" s="159" t="e">
        <f>INDEX(Region.codes[Description],MATCH(#REF!,Region.codes[Code],0))&amp;" "&amp;INDEX(Cost.vectors[Description],MATCH(E160,Cost.vectors[Code],0))</f>
        <v>#REF!</v>
      </c>
      <c r="G160" s="159"/>
      <c r="H160" s="159"/>
      <c r="I160" s="159">
        <f>(5)*MGBP/Unit.GW*INDEX(assumptions.technology.baseyear[[Unit capacity]:[Unit capacity]],MATCH($D160,assumptions.technology.baseyear[[Description]:[Description]],0))*Unit.GW</f>
        <v>50000</v>
      </c>
      <c r="J160" s="159">
        <f>(5)*MGBP/Unit.GW*INDEX(assumptions.technology.baseyear[[Unit capacity]:[Unit capacity]],MATCH($D160,assumptions.technology.baseyear[[Description]:[Description]],0))*Unit.GW</f>
        <v>50000</v>
      </c>
      <c r="K160" s="159">
        <f>(5)*MGBP/Unit.GW*INDEX(assumptions.technology.baseyear[[Unit capacity]:[Unit capacity]],MATCH($D160,assumptions.technology.baseyear[[Description]:[Description]],0))*Unit.GW</f>
        <v>50000</v>
      </c>
      <c r="L160" s="159">
        <f>(5)*MGBP/Unit.GW*INDEX(assumptions.technology.baseyear[[Unit capacity]:[Unit capacity]],MATCH($D160,assumptions.technology.baseyear[[Description]:[Description]],0))*Unit.GW</f>
        <v>50000</v>
      </c>
      <c r="M160" s="159">
        <f>(5)*MGBP/Unit.GW*INDEX(assumptions.technology.baseyear[[Unit capacity]:[Unit capacity]],MATCH($D160,assumptions.technology.baseyear[[Description]:[Description]],0))*Unit.GW</f>
        <v>50000</v>
      </c>
      <c r="N160" s="159">
        <f>(5)*MGBP/Unit.GW*INDEX(assumptions.technology.baseyear[[Unit capacity]:[Unit capacity]],MATCH($D160,assumptions.technology.baseyear[[Description]:[Description]],0))*Unit.GW</f>
        <v>50000</v>
      </c>
      <c r="O160" s="159">
        <f>(5)*MGBP/Unit.GW*INDEX(assumptions.technology.baseyear[[Unit capacity]:[Unit capacity]],MATCH($D160,assumptions.technology.baseyear[[Description]:[Description]],0))*Unit.GW</f>
        <v>50000</v>
      </c>
      <c r="P160" s="159">
        <f>(5)*MGBP/Unit.GW*INDEX(assumptions.technology.baseyear[[Unit capacity]:[Unit capacity]],MATCH($D160,assumptions.technology.baseyear[[Description]:[Description]],0))*Unit.GW</f>
        <v>50000</v>
      </c>
      <c r="Q160" s="159">
        <f>(5)*MGBP/Unit.GW*INDEX(assumptions.technology.baseyear[[Unit capacity]:[Unit capacity]],MATCH($D160,assumptions.technology.baseyear[[Description]:[Description]],0))*Unit.GW</f>
        <v>50000</v>
      </c>
      <c r="R160" s="159"/>
      <c r="T160" s="20"/>
      <c r="U160" s="20"/>
      <c r="V160" s="20"/>
      <c r="W160" s="20"/>
      <c r="X160" s="20"/>
    </row>
    <row r="161" spans="2:24">
      <c r="B161" s="159"/>
      <c r="C161" s="159" t="s">
        <v>741</v>
      </c>
      <c r="D161" s="159" t="str">
        <f>INDEX(Regional.Technologies[Description],MATCH($B$2&amp;"."&amp;assumptions.costs[[#This Row],[Technology code]],Regional.Technologies[Code],0))</f>
        <v>Global Tidal</v>
      </c>
      <c r="E161" s="159" t="s">
        <v>579</v>
      </c>
      <c r="F161" s="159" t="e">
        <f>INDEX(Region.codes[Description],MATCH(#REF!,Region.codes[Code],0))&amp;" "&amp;INDEX(Cost.vectors[Description],MATCH(E161,Cost.vectors[Code],0))</f>
        <v>#REF!</v>
      </c>
      <c r="G161" s="159"/>
      <c r="H161" s="159"/>
      <c r="I161" s="159">
        <f>(5)*MGBP/Unit.GW*INDEX(assumptions.technology.baseyear[[Unit capacity]:[Unit capacity]],MATCH($D161,assumptions.technology.baseyear[[Description]:[Description]],0))*Unit.GW</f>
        <v>50000</v>
      </c>
      <c r="J161" s="159">
        <f>(5)*MGBP/Unit.GW*INDEX(assumptions.technology.baseyear[[Unit capacity]:[Unit capacity]],MATCH($D161,assumptions.technology.baseyear[[Description]:[Description]],0))*Unit.GW</f>
        <v>50000</v>
      </c>
      <c r="K161" s="159">
        <f>(5)*MGBP/Unit.GW*INDEX(assumptions.technology.baseyear[[Unit capacity]:[Unit capacity]],MATCH($D161,assumptions.technology.baseyear[[Description]:[Description]],0))*Unit.GW</f>
        <v>50000</v>
      </c>
      <c r="L161" s="159">
        <f>(5)*MGBP/Unit.GW*INDEX(assumptions.technology.baseyear[[Unit capacity]:[Unit capacity]],MATCH($D161,assumptions.technology.baseyear[[Description]:[Description]],0))*Unit.GW</f>
        <v>50000</v>
      </c>
      <c r="M161" s="159">
        <f>(5)*MGBP/Unit.GW*INDEX(assumptions.technology.baseyear[[Unit capacity]:[Unit capacity]],MATCH($D161,assumptions.technology.baseyear[[Description]:[Description]],0))*Unit.GW</f>
        <v>50000</v>
      </c>
      <c r="N161" s="159">
        <f>(5)*MGBP/Unit.GW*INDEX(assumptions.technology.baseyear[[Unit capacity]:[Unit capacity]],MATCH($D161,assumptions.technology.baseyear[[Description]:[Description]],0))*Unit.GW</f>
        <v>50000</v>
      </c>
      <c r="O161" s="159">
        <f>(5)*MGBP/Unit.GW*INDEX(assumptions.technology.baseyear[[Unit capacity]:[Unit capacity]],MATCH($D161,assumptions.technology.baseyear[[Description]:[Description]],0))*Unit.GW</f>
        <v>50000</v>
      </c>
      <c r="P161" s="159">
        <f>(5)*MGBP/Unit.GW*INDEX(assumptions.technology.baseyear[[Unit capacity]:[Unit capacity]],MATCH($D161,assumptions.technology.baseyear[[Description]:[Description]],0))*Unit.GW</f>
        <v>50000</v>
      </c>
      <c r="Q161" s="159">
        <f>(5)*MGBP/Unit.GW*INDEX(assumptions.technology.baseyear[[Unit capacity]:[Unit capacity]],MATCH($D161,assumptions.technology.baseyear[[Description]:[Description]],0))*Unit.GW</f>
        <v>50000</v>
      </c>
      <c r="R161" s="159"/>
      <c r="T161" s="20"/>
      <c r="U161" s="20"/>
      <c r="V161" s="20"/>
      <c r="W161" s="20"/>
      <c r="X161" s="20"/>
    </row>
    <row r="162" spans="2:24">
      <c r="B162" s="159"/>
      <c r="C162" s="159" t="s">
        <v>741</v>
      </c>
      <c r="D162" s="159" t="str">
        <f>INDEX(Regional.Technologies[Description],MATCH($B$2&amp;"."&amp;assumptions.costs[[#This Row],[Technology code]],Regional.Technologies[Code],0))</f>
        <v>Global Tidal</v>
      </c>
      <c r="E162" s="159" t="s">
        <v>580</v>
      </c>
      <c r="F162" s="159" t="e">
        <f>INDEX(Region.codes[Description],MATCH(#REF!,Region.codes[Code],0))&amp;" "&amp;INDEX(Cost.vectors[Description],MATCH(E162,Cost.vectors[Code],0))</f>
        <v>#REF!</v>
      </c>
      <c r="G162" s="159"/>
      <c r="H162" s="159"/>
      <c r="I162" s="159">
        <f>(5)*MGBP/Unit.GW*INDEX(assumptions.technology.baseyear[[Unit capacity]:[Unit capacity]],MATCH($D162,assumptions.technology.baseyear[[Description]:[Description]],0))*Unit.GW</f>
        <v>50000</v>
      </c>
      <c r="J162" s="159">
        <f>(5)*MGBP/Unit.GW*INDEX(assumptions.technology.baseyear[[Unit capacity]:[Unit capacity]],MATCH($D162,assumptions.technology.baseyear[[Description]:[Description]],0))*Unit.GW</f>
        <v>50000</v>
      </c>
      <c r="K162" s="159">
        <f>(5)*MGBP/Unit.GW*INDEX(assumptions.technology.baseyear[[Unit capacity]:[Unit capacity]],MATCH($D162,assumptions.technology.baseyear[[Description]:[Description]],0))*Unit.GW</f>
        <v>50000</v>
      </c>
      <c r="L162" s="159">
        <f>(5)*MGBP/Unit.GW*INDEX(assumptions.technology.baseyear[[Unit capacity]:[Unit capacity]],MATCH($D162,assumptions.technology.baseyear[[Description]:[Description]],0))*Unit.GW</f>
        <v>50000</v>
      </c>
      <c r="M162" s="159">
        <f>(5)*MGBP/Unit.GW*INDEX(assumptions.technology.baseyear[[Unit capacity]:[Unit capacity]],MATCH($D162,assumptions.technology.baseyear[[Description]:[Description]],0))*Unit.GW</f>
        <v>50000</v>
      </c>
      <c r="N162" s="159">
        <f>(5)*MGBP/Unit.GW*INDEX(assumptions.technology.baseyear[[Unit capacity]:[Unit capacity]],MATCH($D162,assumptions.technology.baseyear[[Description]:[Description]],0))*Unit.GW</f>
        <v>50000</v>
      </c>
      <c r="O162" s="159">
        <f>(5)*MGBP/Unit.GW*INDEX(assumptions.technology.baseyear[[Unit capacity]:[Unit capacity]],MATCH($D162,assumptions.technology.baseyear[[Description]:[Description]],0))*Unit.GW</f>
        <v>50000</v>
      </c>
      <c r="P162" s="159">
        <f>(5)*MGBP/Unit.GW*INDEX(assumptions.technology.baseyear[[Unit capacity]:[Unit capacity]],MATCH($D162,assumptions.technology.baseyear[[Description]:[Description]],0))*Unit.GW</f>
        <v>50000</v>
      </c>
      <c r="Q162" s="159">
        <f>(5)*MGBP/Unit.GW*INDEX(assumptions.technology.baseyear[[Unit capacity]:[Unit capacity]],MATCH($D162,assumptions.technology.baseyear[[Description]:[Description]],0))*Unit.GW</f>
        <v>50000</v>
      </c>
      <c r="R162" s="159"/>
      <c r="T162" s="20"/>
      <c r="U162" s="20"/>
      <c r="V162" s="20"/>
      <c r="W162" s="20"/>
      <c r="X162" s="20"/>
    </row>
    <row r="163" spans="2:24">
      <c r="B163" s="159"/>
      <c r="C163" s="159" t="s">
        <v>741</v>
      </c>
      <c r="D163" s="159" t="str">
        <f>INDEX(Regional.Technologies[Description],MATCH($B$2&amp;"."&amp;assumptions.costs[[#This Row],[Technology code]],Regional.Technologies[Code],0))</f>
        <v>Global Tidal</v>
      </c>
      <c r="E163" s="159" t="s">
        <v>581</v>
      </c>
      <c r="F163" s="159" t="e">
        <f>INDEX(Region.codes[Description],MATCH(#REF!,Region.codes[Code],0))&amp;" "&amp;INDEX(Cost.vectors[Description],MATCH(E163,Cost.vectors[Code],0))</f>
        <v>#REF!</v>
      </c>
      <c r="G163" s="159"/>
      <c r="H163" s="159"/>
      <c r="I163" s="159">
        <f>(5)*MGBP/Unit.GW*INDEX(assumptions.technology.baseyear[[Unit capacity]:[Unit capacity]],MATCH($D163,assumptions.technology.baseyear[[Description]:[Description]],0))*Unit.GW</f>
        <v>50000</v>
      </c>
      <c r="J163" s="159">
        <f>(5)*MGBP/Unit.GW*INDEX(assumptions.technology.baseyear[[Unit capacity]:[Unit capacity]],MATCH($D163,assumptions.technology.baseyear[[Description]:[Description]],0))*Unit.GW</f>
        <v>50000</v>
      </c>
      <c r="K163" s="159">
        <f>(5)*MGBP/Unit.GW*INDEX(assumptions.technology.baseyear[[Unit capacity]:[Unit capacity]],MATCH($D163,assumptions.technology.baseyear[[Description]:[Description]],0))*Unit.GW</f>
        <v>50000</v>
      </c>
      <c r="L163" s="159">
        <f>(5)*MGBP/Unit.GW*INDEX(assumptions.technology.baseyear[[Unit capacity]:[Unit capacity]],MATCH($D163,assumptions.technology.baseyear[[Description]:[Description]],0))*Unit.GW</f>
        <v>50000</v>
      </c>
      <c r="M163" s="159">
        <f>(5)*MGBP/Unit.GW*INDEX(assumptions.technology.baseyear[[Unit capacity]:[Unit capacity]],MATCH($D163,assumptions.technology.baseyear[[Description]:[Description]],0))*Unit.GW</f>
        <v>50000</v>
      </c>
      <c r="N163" s="159">
        <f>(5)*MGBP/Unit.GW*INDEX(assumptions.technology.baseyear[[Unit capacity]:[Unit capacity]],MATCH($D163,assumptions.technology.baseyear[[Description]:[Description]],0))*Unit.GW</f>
        <v>50000</v>
      </c>
      <c r="O163" s="159">
        <f>(5)*MGBP/Unit.GW*INDEX(assumptions.technology.baseyear[[Unit capacity]:[Unit capacity]],MATCH($D163,assumptions.technology.baseyear[[Description]:[Description]],0))*Unit.GW</f>
        <v>50000</v>
      </c>
      <c r="P163" s="159">
        <f>(5)*MGBP/Unit.GW*INDEX(assumptions.technology.baseyear[[Unit capacity]:[Unit capacity]],MATCH($D163,assumptions.technology.baseyear[[Description]:[Description]],0))*Unit.GW</f>
        <v>50000</v>
      </c>
      <c r="Q163" s="159">
        <f>(5)*MGBP/Unit.GW*INDEX(assumptions.technology.baseyear[[Unit capacity]:[Unit capacity]],MATCH($D163,assumptions.technology.baseyear[[Description]:[Description]],0))*Unit.GW</f>
        <v>50000</v>
      </c>
      <c r="R163" s="159"/>
      <c r="T163" s="20"/>
      <c r="U163" s="20"/>
      <c r="V163" s="20"/>
      <c r="W163" s="20"/>
      <c r="X163" s="20"/>
    </row>
    <row r="164" spans="2:24">
      <c r="B164" s="159"/>
      <c r="C164" s="159" t="s">
        <v>741</v>
      </c>
      <c r="D164" s="159" t="str">
        <f>INDEX(Regional.Technologies[Description],MATCH($B$2&amp;"."&amp;assumptions.costs[[#This Row],[Technology code]],Regional.Technologies[Code],0))</f>
        <v>Global Tidal</v>
      </c>
      <c r="E164" s="159" t="s">
        <v>582</v>
      </c>
      <c r="F164" s="159" t="e">
        <f>INDEX(Region.codes[Description],MATCH(#REF!,Region.codes[Code],0))&amp;" "&amp;INDEX(Cost.vectors[Description],MATCH(E164,Cost.vectors[Code],0))</f>
        <v>#REF!</v>
      </c>
      <c r="G164" s="159"/>
      <c r="H164" s="159"/>
      <c r="I164" s="159">
        <f>(5)*MGBP/Unit.GW*INDEX(assumptions.technology.baseyear[[Unit capacity]:[Unit capacity]],MATCH($D164,assumptions.technology.baseyear[[Description]:[Description]],0))*Unit.GW</f>
        <v>50000</v>
      </c>
      <c r="J164" s="159">
        <f>(5)*MGBP/Unit.GW*INDEX(assumptions.technology.baseyear[[Unit capacity]:[Unit capacity]],MATCH($D164,assumptions.technology.baseyear[[Description]:[Description]],0))*Unit.GW</f>
        <v>50000</v>
      </c>
      <c r="K164" s="159">
        <f>(5)*MGBP/Unit.GW*INDEX(assumptions.technology.baseyear[[Unit capacity]:[Unit capacity]],MATCH($D164,assumptions.technology.baseyear[[Description]:[Description]],0))*Unit.GW</f>
        <v>50000</v>
      </c>
      <c r="L164" s="159">
        <f>(5)*MGBP/Unit.GW*INDEX(assumptions.technology.baseyear[[Unit capacity]:[Unit capacity]],MATCH($D164,assumptions.technology.baseyear[[Description]:[Description]],0))*Unit.GW</f>
        <v>50000</v>
      </c>
      <c r="M164" s="159">
        <f>(5)*MGBP/Unit.GW*INDEX(assumptions.technology.baseyear[[Unit capacity]:[Unit capacity]],MATCH($D164,assumptions.technology.baseyear[[Description]:[Description]],0))*Unit.GW</f>
        <v>50000</v>
      </c>
      <c r="N164" s="159">
        <f>(5)*MGBP/Unit.GW*INDEX(assumptions.technology.baseyear[[Unit capacity]:[Unit capacity]],MATCH($D164,assumptions.technology.baseyear[[Description]:[Description]],0))*Unit.GW</f>
        <v>50000</v>
      </c>
      <c r="O164" s="159">
        <f>(5)*MGBP/Unit.GW*INDEX(assumptions.technology.baseyear[[Unit capacity]:[Unit capacity]],MATCH($D164,assumptions.technology.baseyear[[Description]:[Description]],0))*Unit.GW</f>
        <v>50000</v>
      </c>
      <c r="P164" s="159">
        <f>(5)*MGBP/Unit.GW*INDEX(assumptions.technology.baseyear[[Unit capacity]:[Unit capacity]],MATCH($D164,assumptions.technology.baseyear[[Description]:[Description]],0))*Unit.GW</f>
        <v>50000</v>
      </c>
      <c r="Q164" s="159">
        <f>(5)*MGBP/Unit.GW*INDEX(assumptions.technology.baseyear[[Unit capacity]:[Unit capacity]],MATCH($D164,assumptions.technology.baseyear[[Description]:[Description]],0))*Unit.GW</f>
        <v>50000</v>
      </c>
      <c r="R164" s="159"/>
      <c r="T164" s="20"/>
      <c r="U164" s="20"/>
      <c r="V164" s="20"/>
      <c r="W164" s="20"/>
      <c r="X164" s="20"/>
    </row>
    <row r="165" spans="2:24">
      <c r="B165" s="159"/>
      <c r="C165" s="159" t="s">
        <v>741</v>
      </c>
      <c r="D165" s="159" t="str">
        <f>INDEX(Regional.Technologies[Description],MATCH($B$2&amp;"."&amp;assumptions.costs[[#This Row],[Technology code]],Regional.Technologies[Code],0))</f>
        <v>Global Tidal</v>
      </c>
      <c r="E165" s="159" t="s">
        <v>583</v>
      </c>
      <c r="F165" s="159" t="e">
        <f>INDEX(Region.codes[Description],MATCH(#REF!,Region.codes[Code],0))&amp;" "&amp;INDEX(Cost.vectors[Description],MATCH(E165,Cost.vectors[Code],0))</f>
        <v>#REF!</v>
      </c>
      <c r="G165" s="159"/>
      <c r="H165" s="159"/>
      <c r="I165" s="159">
        <f>(5)*MGBP/Unit.GW*INDEX(assumptions.technology.baseyear[[Unit capacity]:[Unit capacity]],MATCH($D165,assumptions.technology.baseyear[[Description]:[Description]],0))*Unit.GW</f>
        <v>50000</v>
      </c>
      <c r="J165" s="159">
        <f>(5)*MGBP/Unit.GW*INDEX(assumptions.technology.baseyear[[Unit capacity]:[Unit capacity]],MATCH($D165,assumptions.technology.baseyear[[Description]:[Description]],0))*Unit.GW</f>
        <v>50000</v>
      </c>
      <c r="K165" s="159">
        <f>(5)*MGBP/Unit.GW*INDEX(assumptions.technology.baseyear[[Unit capacity]:[Unit capacity]],MATCH($D165,assumptions.technology.baseyear[[Description]:[Description]],0))*Unit.GW</f>
        <v>50000</v>
      </c>
      <c r="L165" s="159">
        <f>(5)*MGBP/Unit.GW*INDEX(assumptions.technology.baseyear[[Unit capacity]:[Unit capacity]],MATCH($D165,assumptions.technology.baseyear[[Description]:[Description]],0))*Unit.GW</f>
        <v>50000</v>
      </c>
      <c r="M165" s="159">
        <f>(5)*MGBP/Unit.GW*INDEX(assumptions.technology.baseyear[[Unit capacity]:[Unit capacity]],MATCH($D165,assumptions.technology.baseyear[[Description]:[Description]],0))*Unit.GW</f>
        <v>50000</v>
      </c>
      <c r="N165" s="159">
        <f>(5)*MGBP/Unit.GW*INDEX(assumptions.technology.baseyear[[Unit capacity]:[Unit capacity]],MATCH($D165,assumptions.technology.baseyear[[Description]:[Description]],0))*Unit.GW</f>
        <v>50000</v>
      </c>
      <c r="O165" s="159">
        <f>(5)*MGBP/Unit.GW*INDEX(assumptions.technology.baseyear[[Unit capacity]:[Unit capacity]],MATCH($D165,assumptions.technology.baseyear[[Description]:[Description]],0))*Unit.GW</f>
        <v>50000</v>
      </c>
      <c r="P165" s="159">
        <f>(5)*MGBP/Unit.GW*INDEX(assumptions.technology.baseyear[[Unit capacity]:[Unit capacity]],MATCH($D165,assumptions.technology.baseyear[[Description]:[Description]],0))*Unit.GW</f>
        <v>50000</v>
      </c>
      <c r="Q165" s="159">
        <f>(5)*MGBP/Unit.GW*INDEX(assumptions.technology.baseyear[[Unit capacity]:[Unit capacity]],MATCH($D165,assumptions.technology.baseyear[[Description]:[Description]],0))*Unit.GW</f>
        <v>50000</v>
      </c>
      <c r="R165" s="159"/>
      <c r="T165" s="20"/>
      <c r="U165" s="20"/>
      <c r="V165" s="20"/>
      <c r="W165" s="20"/>
      <c r="X165" s="20"/>
    </row>
    <row r="166" spans="2:24">
      <c r="B166" s="159"/>
      <c r="C166" s="159" t="s">
        <v>742</v>
      </c>
      <c r="D166" s="159" t="str">
        <f>INDEX(Regional.Technologies[Description],MATCH($B$2&amp;"."&amp;assumptions.costs[[#This Row],[Technology code]],Regional.Technologies[Code],0))</f>
        <v>Global Wave</v>
      </c>
      <c r="E166" s="159" t="s">
        <v>578</v>
      </c>
      <c r="F166" s="159" t="e">
        <f>INDEX(Region.codes[Description],MATCH(#REF!,Region.codes[Code],0))&amp;" "&amp;INDEX(Cost.vectors[Description],MATCH(E166,Cost.vectors[Code],0))</f>
        <v>#REF!</v>
      </c>
      <c r="G166" s="159"/>
      <c r="H166" s="159"/>
      <c r="I166" s="159">
        <f>(5)*MGBP/Unit.GW*INDEX(assumptions.technology.baseyear[[Unit capacity]:[Unit capacity]],MATCH($D166,assumptions.technology.baseyear[[Description]:[Description]],0))*Unit.GW</f>
        <v>50000</v>
      </c>
      <c r="J166" s="159">
        <f>(5)*MGBP/Unit.GW*INDEX(assumptions.technology.baseyear[[Unit capacity]:[Unit capacity]],MATCH($D166,assumptions.technology.baseyear[[Description]:[Description]],0))*Unit.GW</f>
        <v>50000</v>
      </c>
      <c r="K166" s="159">
        <f>(5)*MGBP/Unit.GW*INDEX(assumptions.technology.baseyear[[Unit capacity]:[Unit capacity]],MATCH($D166,assumptions.technology.baseyear[[Description]:[Description]],0))*Unit.GW</f>
        <v>50000</v>
      </c>
      <c r="L166" s="159">
        <f>(5)*MGBP/Unit.GW*INDEX(assumptions.technology.baseyear[[Unit capacity]:[Unit capacity]],MATCH($D166,assumptions.technology.baseyear[[Description]:[Description]],0))*Unit.GW</f>
        <v>50000</v>
      </c>
      <c r="M166" s="159">
        <f>(5)*MGBP/Unit.GW*INDEX(assumptions.technology.baseyear[[Unit capacity]:[Unit capacity]],MATCH($D166,assumptions.technology.baseyear[[Description]:[Description]],0))*Unit.GW</f>
        <v>50000</v>
      </c>
      <c r="N166" s="159">
        <f>(5)*MGBP/Unit.GW*INDEX(assumptions.technology.baseyear[[Unit capacity]:[Unit capacity]],MATCH($D166,assumptions.technology.baseyear[[Description]:[Description]],0))*Unit.GW</f>
        <v>50000</v>
      </c>
      <c r="O166" s="159">
        <f>(5)*MGBP/Unit.GW*INDEX(assumptions.technology.baseyear[[Unit capacity]:[Unit capacity]],MATCH($D166,assumptions.technology.baseyear[[Description]:[Description]],0))*Unit.GW</f>
        <v>50000</v>
      </c>
      <c r="P166" s="159">
        <f>(5)*MGBP/Unit.GW*INDEX(assumptions.technology.baseyear[[Unit capacity]:[Unit capacity]],MATCH($D166,assumptions.technology.baseyear[[Description]:[Description]],0))*Unit.GW</f>
        <v>50000</v>
      </c>
      <c r="Q166" s="159">
        <f>(5)*MGBP/Unit.GW*INDEX(assumptions.technology.baseyear[[Unit capacity]:[Unit capacity]],MATCH($D166,assumptions.technology.baseyear[[Description]:[Description]],0))*Unit.GW</f>
        <v>50000</v>
      </c>
      <c r="R166" s="159"/>
      <c r="T166" s="20"/>
      <c r="U166" s="20"/>
      <c r="V166" s="20"/>
      <c r="W166" s="20"/>
      <c r="X166" s="20"/>
    </row>
    <row r="167" spans="2:24">
      <c r="B167" s="159"/>
      <c r="C167" s="159" t="s">
        <v>742</v>
      </c>
      <c r="D167" s="159" t="str">
        <f>INDEX(Regional.Technologies[Description],MATCH($B$2&amp;"."&amp;assumptions.costs[[#This Row],[Technology code]],Regional.Technologies[Code],0))</f>
        <v>Global Wave</v>
      </c>
      <c r="E167" s="159" t="s">
        <v>579</v>
      </c>
      <c r="F167" s="159" t="e">
        <f>INDEX(Region.codes[Description],MATCH(#REF!,Region.codes[Code],0))&amp;" "&amp;INDEX(Cost.vectors[Description],MATCH(E167,Cost.vectors[Code],0))</f>
        <v>#REF!</v>
      </c>
      <c r="G167" s="159"/>
      <c r="H167" s="159"/>
      <c r="I167" s="159">
        <f>(5)*MGBP/Unit.GW*INDEX(assumptions.technology.baseyear[[Unit capacity]:[Unit capacity]],MATCH($D167,assumptions.technology.baseyear[[Description]:[Description]],0))*Unit.GW</f>
        <v>50000</v>
      </c>
      <c r="J167" s="159">
        <f>(5)*MGBP/Unit.GW*INDEX(assumptions.technology.baseyear[[Unit capacity]:[Unit capacity]],MATCH($D167,assumptions.technology.baseyear[[Description]:[Description]],0))*Unit.GW</f>
        <v>50000</v>
      </c>
      <c r="K167" s="159">
        <f>(5)*MGBP/Unit.GW*INDEX(assumptions.technology.baseyear[[Unit capacity]:[Unit capacity]],MATCH($D167,assumptions.technology.baseyear[[Description]:[Description]],0))*Unit.GW</f>
        <v>50000</v>
      </c>
      <c r="L167" s="159">
        <f>(5)*MGBP/Unit.GW*INDEX(assumptions.technology.baseyear[[Unit capacity]:[Unit capacity]],MATCH($D167,assumptions.technology.baseyear[[Description]:[Description]],0))*Unit.GW</f>
        <v>50000</v>
      </c>
      <c r="M167" s="159">
        <f>(5)*MGBP/Unit.GW*INDEX(assumptions.technology.baseyear[[Unit capacity]:[Unit capacity]],MATCH($D167,assumptions.technology.baseyear[[Description]:[Description]],0))*Unit.GW</f>
        <v>50000</v>
      </c>
      <c r="N167" s="159">
        <f>(5)*MGBP/Unit.GW*INDEX(assumptions.technology.baseyear[[Unit capacity]:[Unit capacity]],MATCH($D167,assumptions.technology.baseyear[[Description]:[Description]],0))*Unit.GW</f>
        <v>50000</v>
      </c>
      <c r="O167" s="159">
        <f>(5)*MGBP/Unit.GW*INDEX(assumptions.technology.baseyear[[Unit capacity]:[Unit capacity]],MATCH($D167,assumptions.technology.baseyear[[Description]:[Description]],0))*Unit.GW</f>
        <v>50000</v>
      </c>
      <c r="P167" s="159">
        <f>(5)*MGBP/Unit.GW*INDEX(assumptions.technology.baseyear[[Unit capacity]:[Unit capacity]],MATCH($D167,assumptions.technology.baseyear[[Description]:[Description]],0))*Unit.GW</f>
        <v>50000</v>
      </c>
      <c r="Q167" s="159">
        <f>(5)*MGBP/Unit.GW*INDEX(assumptions.technology.baseyear[[Unit capacity]:[Unit capacity]],MATCH($D167,assumptions.technology.baseyear[[Description]:[Description]],0))*Unit.GW</f>
        <v>50000</v>
      </c>
      <c r="R167" s="159"/>
      <c r="T167" s="20"/>
      <c r="U167" s="20"/>
      <c r="V167" s="20"/>
      <c r="W167" s="20"/>
      <c r="X167" s="20"/>
    </row>
    <row r="168" spans="2:24">
      <c r="B168" s="159"/>
      <c r="C168" s="159" t="s">
        <v>742</v>
      </c>
      <c r="D168" s="159" t="str">
        <f>INDEX(Regional.Technologies[Description],MATCH($B$2&amp;"."&amp;assumptions.costs[[#This Row],[Technology code]],Regional.Technologies[Code],0))</f>
        <v>Global Wave</v>
      </c>
      <c r="E168" s="159" t="s">
        <v>580</v>
      </c>
      <c r="F168" s="159" t="e">
        <f>INDEX(Region.codes[Description],MATCH(#REF!,Region.codes[Code],0))&amp;" "&amp;INDEX(Cost.vectors[Description],MATCH(E168,Cost.vectors[Code],0))</f>
        <v>#REF!</v>
      </c>
      <c r="G168" s="159"/>
      <c r="H168" s="159"/>
      <c r="I168" s="159">
        <f>(5)*MGBP/Unit.GW*INDEX(assumptions.technology.baseyear[[Unit capacity]:[Unit capacity]],MATCH($D168,assumptions.technology.baseyear[[Description]:[Description]],0))*Unit.GW</f>
        <v>50000</v>
      </c>
      <c r="J168" s="159">
        <f>(5)*MGBP/Unit.GW*INDEX(assumptions.technology.baseyear[[Unit capacity]:[Unit capacity]],MATCH($D168,assumptions.technology.baseyear[[Description]:[Description]],0))*Unit.GW</f>
        <v>50000</v>
      </c>
      <c r="K168" s="159">
        <f>(5)*MGBP/Unit.GW*INDEX(assumptions.technology.baseyear[[Unit capacity]:[Unit capacity]],MATCH($D168,assumptions.technology.baseyear[[Description]:[Description]],0))*Unit.GW</f>
        <v>50000</v>
      </c>
      <c r="L168" s="159">
        <f>(5)*MGBP/Unit.GW*INDEX(assumptions.technology.baseyear[[Unit capacity]:[Unit capacity]],MATCH($D168,assumptions.technology.baseyear[[Description]:[Description]],0))*Unit.GW</f>
        <v>50000</v>
      </c>
      <c r="M168" s="159">
        <f>(5)*MGBP/Unit.GW*INDEX(assumptions.technology.baseyear[[Unit capacity]:[Unit capacity]],MATCH($D168,assumptions.technology.baseyear[[Description]:[Description]],0))*Unit.GW</f>
        <v>50000</v>
      </c>
      <c r="N168" s="159">
        <f>(5)*MGBP/Unit.GW*INDEX(assumptions.technology.baseyear[[Unit capacity]:[Unit capacity]],MATCH($D168,assumptions.technology.baseyear[[Description]:[Description]],0))*Unit.GW</f>
        <v>50000</v>
      </c>
      <c r="O168" s="159">
        <f>(5)*MGBP/Unit.GW*INDEX(assumptions.technology.baseyear[[Unit capacity]:[Unit capacity]],MATCH($D168,assumptions.technology.baseyear[[Description]:[Description]],0))*Unit.GW</f>
        <v>50000</v>
      </c>
      <c r="P168" s="159">
        <f>(5)*MGBP/Unit.GW*INDEX(assumptions.technology.baseyear[[Unit capacity]:[Unit capacity]],MATCH($D168,assumptions.technology.baseyear[[Description]:[Description]],0))*Unit.GW</f>
        <v>50000</v>
      </c>
      <c r="Q168" s="159">
        <f>(5)*MGBP/Unit.GW*INDEX(assumptions.technology.baseyear[[Unit capacity]:[Unit capacity]],MATCH($D168,assumptions.technology.baseyear[[Description]:[Description]],0))*Unit.GW</f>
        <v>50000</v>
      </c>
      <c r="R168" s="159"/>
      <c r="T168" s="20"/>
      <c r="U168" s="20"/>
      <c r="V168" s="20"/>
      <c r="W168" s="20"/>
      <c r="X168" s="20"/>
    </row>
    <row r="169" spans="2:24">
      <c r="B169" s="159"/>
      <c r="C169" s="159" t="s">
        <v>742</v>
      </c>
      <c r="D169" s="159" t="str">
        <f>INDEX(Regional.Technologies[Description],MATCH($B$2&amp;"."&amp;assumptions.costs[[#This Row],[Technology code]],Regional.Technologies[Code],0))</f>
        <v>Global Wave</v>
      </c>
      <c r="E169" s="159" t="s">
        <v>581</v>
      </c>
      <c r="F169" s="159" t="e">
        <f>INDEX(Region.codes[Description],MATCH(#REF!,Region.codes[Code],0))&amp;" "&amp;INDEX(Cost.vectors[Description],MATCH(E169,Cost.vectors[Code],0))</f>
        <v>#REF!</v>
      </c>
      <c r="G169" s="159"/>
      <c r="H169" s="159"/>
      <c r="I169" s="159">
        <f>(5)*MGBP/Unit.GW*INDEX(assumptions.technology.baseyear[[Unit capacity]:[Unit capacity]],MATCH($D169,assumptions.technology.baseyear[[Description]:[Description]],0))*Unit.GW</f>
        <v>50000</v>
      </c>
      <c r="J169" s="159">
        <f>(5)*MGBP/Unit.GW*INDEX(assumptions.technology.baseyear[[Unit capacity]:[Unit capacity]],MATCH($D169,assumptions.technology.baseyear[[Description]:[Description]],0))*Unit.GW</f>
        <v>50000</v>
      </c>
      <c r="K169" s="159">
        <f>(5)*MGBP/Unit.GW*INDEX(assumptions.technology.baseyear[[Unit capacity]:[Unit capacity]],MATCH($D169,assumptions.technology.baseyear[[Description]:[Description]],0))*Unit.GW</f>
        <v>50000</v>
      </c>
      <c r="L169" s="159">
        <f>(5)*MGBP/Unit.GW*INDEX(assumptions.technology.baseyear[[Unit capacity]:[Unit capacity]],MATCH($D169,assumptions.technology.baseyear[[Description]:[Description]],0))*Unit.GW</f>
        <v>50000</v>
      </c>
      <c r="M169" s="159">
        <f>(5)*MGBP/Unit.GW*INDEX(assumptions.technology.baseyear[[Unit capacity]:[Unit capacity]],MATCH($D169,assumptions.technology.baseyear[[Description]:[Description]],0))*Unit.GW</f>
        <v>50000</v>
      </c>
      <c r="N169" s="159">
        <f>(5)*MGBP/Unit.GW*INDEX(assumptions.technology.baseyear[[Unit capacity]:[Unit capacity]],MATCH($D169,assumptions.technology.baseyear[[Description]:[Description]],0))*Unit.GW</f>
        <v>50000</v>
      </c>
      <c r="O169" s="159">
        <f>(5)*MGBP/Unit.GW*INDEX(assumptions.technology.baseyear[[Unit capacity]:[Unit capacity]],MATCH($D169,assumptions.technology.baseyear[[Description]:[Description]],0))*Unit.GW</f>
        <v>50000</v>
      </c>
      <c r="P169" s="159">
        <f>(5)*MGBP/Unit.GW*INDEX(assumptions.technology.baseyear[[Unit capacity]:[Unit capacity]],MATCH($D169,assumptions.technology.baseyear[[Description]:[Description]],0))*Unit.GW</f>
        <v>50000</v>
      </c>
      <c r="Q169" s="159">
        <f>(5)*MGBP/Unit.GW*INDEX(assumptions.technology.baseyear[[Unit capacity]:[Unit capacity]],MATCH($D169,assumptions.technology.baseyear[[Description]:[Description]],0))*Unit.GW</f>
        <v>50000</v>
      </c>
      <c r="R169" s="159"/>
      <c r="T169" s="20"/>
      <c r="U169" s="20"/>
      <c r="V169" s="20"/>
      <c r="W169" s="20"/>
      <c r="X169" s="20"/>
    </row>
    <row r="170" spans="2:24">
      <c r="B170" s="159"/>
      <c r="C170" s="159" t="s">
        <v>742</v>
      </c>
      <c r="D170" s="159" t="str">
        <f>INDEX(Regional.Technologies[Description],MATCH($B$2&amp;"."&amp;assumptions.costs[[#This Row],[Technology code]],Regional.Technologies[Code],0))</f>
        <v>Global Wave</v>
      </c>
      <c r="E170" s="159" t="s">
        <v>582</v>
      </c>
      <c r="F170" s="159" t="e">
        <f>INDEX(Region.codes[Description],MATCH(#REF!,Region.codes[Code],0))&amp;" "&amp;INDEX(Cost.vectors[Description],MATCH(E170,Cost.vectors[Code],0))</f>
        <v>#REF!</v>
      </c>
      <c r="G170" s="159"/>
      <c r="H170" s="159"/>
      <c r="I170" s="159">
        <f>(5)*MGBP/Unit.GW*INDEX(assumptions.technology.baseyear[[Unit capacity]:[Unit capacity]],MATCH($D170,assumptions.technology.baseyear[[Description]:[Description]],0))*Unit.GW</f>
        <v>50000</v>
      </c>
      <c r="J170" s="159">
        <f>(5)*MGBP/Unit.GW*INDEX(assumptions.technology.baseyear[[Unit capacity]:[Unit capacity]],MATCH($D170,assumptions.technology.baseyear[[Description]:[Description]],0))*Unit.GW</f>
        <v>50000</v>
      </c>
      <c r="K170" s="159">
        <f>(5)*MGBP/Unit.GW*INDEX(assumptions.technology.baseyear[[Unit capacity]:[Unit capacity]],MATCH($D170,assumptions.technology.baseyear[[Description]:[Description]],0))*Unit.GW</f>
        <v>50000</v>
      </c>
      <c r="L170" s="159">
        <f>(5)*MGBP/Unit.GW*INDEX(assumptions.technology.baseyear[[Unit capacity]:[Unit capacity]],MATCH($D170,assumptions.technology.baseyear[[Description]:[Description]],0))*Unit.GW</f>
        <v>50000</v>
      </c>
      <c r="M170" s="159">
        <f>(5)*MGBP/Unit.GW*INDEX(assumptions.technology.baseyear[[Unit capacity]:[Unit capacity]],MATCH($D170,assumptions.technology.baseyear[[Description]:[Description]],0))*Unit.GW</f>
        <v>50000</v>
      </c>
      <c r="N170" s="159">
        <f>(5)*MGBP/Unit.GW*INDEX(assumptions.technology.baseyear[[Unit capacity]:[Unit capacity]],MATCH($D170,assumptions.technology.baseyear[[Description]:[Description]],0))*Unit.GW</f>
        <v>50000</v>
      </c>
      <c r="O170" s="159">
        <f>(5)*MGBP/Unit.GW*INDEX(assumptions.technology.baseyear[[Unit capacity]:[Unit capacity]],MATCH($D170,assumptions.technology.baseyear[[Description]:[Description]],0))*Unit.GW</f>
        <v>50000</v>
      </c>
      <c r="P170" s="159">
        <f>(5)*MGBP/Unit.GW*INDEX(assumptions.technology.baseyear[[Unit capacity]:[Unit capacity]],MATCH($D170,assumptions.technology.baseyear[[Description]:[Description]],0))*Unit.GW</f>
        <v>50000</v>
      </c>
      <c r="Q170" s="159">
        <f>(5)*MGBP/Unit.GW*INDEX(assumptions.technology.baseyear[[Unit capacity]:[Unit capacity]],MATCH($D170,assumptions.technology.baseyear[[Description]:[Description]],0))*Unit.GW</f>
        <v>50000</v>
      </c>
      <c r="R170" s="159"/>
      <c r="T170" s="20"/>
      <c r="U170" s="20"/>
      <c r="V170" s="20"/>
      <c r="W170" s="20"/>
      <c r="X170" s="20"/>
    </row>
    <row r="171" spans="2:24">
      <c r="B171" s="159"/>
      <c r="C171" s="159" t="s">
        <v>742</v>
      </c>
      <c r="D171" s="159" t="str">
        <f>INDEX(Regional.Technologies[Description],MATCH($B$2&amp;"."&amp;assumptions.costs[[#This Row],[Technology code]],Regional.Technologies[Code],0))</f>
        <v>Global Wave</v>
      </c>
      <c r="E171" s="159" t="s">
        <v>583</v>
      </c>
      <c r="F171" s="159" t="e">
        <f>INDEX(Region.codes[Description],MATCH(#REF!,Region.codes[Code],0))&amp;" "&amp;INDEX(Cost.vectors[Description],MATCH(E171,Cost.vectors[Code],0))</f>
        <v>#REF!</v>
      </c>
      <c r="G171" s="159"/>
      <c r="H171" s="159"/>
      <c r="I171" s="159">
        <f>(5)*MGBP/Unit.GW*INDEX(assumptions.technology.baseyear[[Unit capacity]:[Unit capacity]],MATCH($D171,assumptions.technology.baseyear[[Description]:[Description]],0))*Unit.GW</f>
        <v>50000</v>
      </c>
      <c r="J171" s="159">
        <f>(5)*MGBP/Unit.GW*INDEX(assumptions.technology.baseyear[[Unit capacity]:[Unit capacity]],MATCH($D171,assumptions.technology.baseyear[[Description]:[Description]],0))*Unit.GW</f>
        <v>50000</v>
      </c>
      <c r="K171" s="159">
        <f>(5)*MGBP/Unit.GW*INDEX(assumptions.technology.baseyear[[Unit capacity]:[Unit capacity]],MATCH($D171,assumptions.technology.baseyear[[Description]:[Description]],0))*Unit.GW</f>
        <v>50000</v>
      </c>
      <c r="L171" s="159">
        <f>(5)*MGBP/Unit.GW*INDEX(assumptions.technology.baseyear[[Unit capacity]:[Unit capacity]],MATCH($D171,assumptions.technology.baseyear[[Description]:[Description]],0))*Unit.GW</f>
        <v>50000</v>
      </c>
      <c r="M171" s="159">
        <f>(5)*MGBP/Unit.GW*INDEX(assumptions.technology.baseyear[[Unit capacity]:[Unit capacity]],MATCH($D171,assumptions.technology.baseyear[[Description]:[Description]],0))*Unit.GW</f>
        <v>50000</v>
      </c>
      <c r="N171" s="159">
        <f>(5)*MGBP/Unit.GW*INDEX(assumptions.technology.baseyear[[Unit capacity]:[Unit capacity]],MATCH($D171,assumptions.technology.baseyear[[Description]:[Description]],0))*Unit.GW</f>
        <v>50000</v>
      </c>
      <c r="O171" s="159">
        <f>(5)*MGBP/Unit.GW*INDEX(assumptions.technology.baseyear[[Unit capacity]:[Unit capacity]],MATCH($D171,assumptions.technology.baseyear[[Description]:[Description]],0))*Unit.GW</f>
        <v>50000</v>
      </c>
      <c r="P171" s="159">
        <f>(5)*MGBP/Unit.GW*INDEX(assumptions.technology.baseyear[[Unit capacity]:[Unit capacity]],MATCH($D171,assumptions.technology.baseyear[[Description]:[Description]],0))*Unit.GW</f>
        <v>50000</v>
      </c>
      <c r="Q171" s="159">
        <f>(5)*MGBP/Unit.GW*INDEX(assumptions.technology.baseyear[[Unit capacity]:[Unit capacity]],MATCH($D171,assumptions.technology.baseyear[[Description]:[Description]],0))*Unit.GW</f>
        <v>50000</v>
      </c>
      <c r="R171" s="159"/>
      <c r="T171" s="20"/>
      <c r="U171" s="20"/>
      <c r="V171" s="20"/>
      <c r="W171" s="20"/>
      <c r="X171" s="20"/>
    </row>
    <row r="172" spans="2:24">
      <c r="B172" s="159"/>
      <c r="C172" s="159" t="s">
        <v>743</v>
      </c>
      <c r="D172" s="159" t="str">
        <f>INDEX(Regional.Technologies[Description],MATCH($B$2&amp;"."&amp;assumptions.costs[[#This Row],[Technology code]],Regional.Technologies[Code],0))</f>
        <v>Global Solar photovoltaic</v>
      </c>
      <c r="E172" s="159" t="s">
        <v>578</v>
      </c>
      <c r="F172" s="159" t="e">
        <f>INDEX(Region.codes[Description],MATCH(#REF!,Region.codes[Code],0))&amp;" "&amp;INDEX(Cost.vectors[Description],MATCH(E172,Cost.vectors[Code],0))</f>
        <v>#REF!</v>
      </c>
      <c r="G172" s="159"/>
      <c r="H172" s="159"/>
      <c r="I172" s="159">
        <f>(5)*MGBP/Unit.GW*INDEX(assumptions.technology.baseyear[[Unit capacity]:[Unit capacity]],MATCH($D172,assumptions.technology.baseyear[[Description]:[Description]],0))*Unit.GW</f>
        <v>50000</v>
      </c>
      <c r="J172" s="159">
        <f>(5)*MGBP/Unit.GW*INDEX(assumptions.technology.baseyear[[Unit capacity]:[Unit capacity]],MATCH($D172,assumptions.technology.baseyear[[Description]:[Description]],0))*Unit.GW</f>
        <v>50000</v>
      </c>
      <c r="K172" s="159">
        <f>(5)*MGBP/Unit.GW*INDEX(assumptions.technology.baseyear[[Unit capacity]:[Unit capacity]],MATCH($D172,assumptions.technology.baseyear[[Description]:[Description]],0))*Unit.GW</f>
        <v>50000</v>
      </c>
      <c r="L172" s="159">
        <f>(5)*MGBP/Unit.GW*INDEX(assumptions.technology.baseyear[[Unit capacity]:[Unit capacity]],MATCH($D172,assumptions.technology.baseyear[[Description]:[Description]],0))*Unit.GW</f>
        <v>50000</v>
      </c>
      <c r="M172" s="159">
        <f>(5)*MGBP/Unit.GW*INDEX(assumptions.technology.baseyear[[Unit capacity]:[Unit capacity]],MATCH($D172,assumptions.technology.baseyear[[Description]:[Description]],0))*Unit.GW</f>
        <v>50000</v>
      </c>
      <c r="N172" s="159">
        <f>(5)*MGBP/Unit.GW*INDEX(assumptions.technology.baseyear[[Unit capacity]:[Unit capacity]],MATCH($D172,assumptions.technology.baseyear[[Description]:[Description]],0))*Unit.GW</f>
        <v>50000</v>
      </c>
      <c r="O172" s="159">
        <f>(5)*MGBP/Unit.GW*INDEX(assumptions.technology.baseyear[[Unit capacity]:[Unit capacity]],MATCH($D172,assumptions.technology.baseyear[[Description]:[Description]],0))*Unit.GW</f>
        <v>50000</v>
      </c>
      <c r="P172" s="159">
        <f>(5)*MGBP/Unit.GW*INDEX(assumptions.technology.baseyear[[Unit capacity]:[Unit capacity]],MATCH($D172,assumptions.technology.baseyear[[Description]:[Description]],0))*Unit.GW</f>
        <v>50000</v>
      </c>
      <c r="Q172" s="159">
        <f>(5)*MGBP/Unit.GW*INDEX(assumptions.technology.baseyear[[Unit capacity]:[Unit capacity]],MATCH($D172,assumptions.technology.baseyear[[Description]:[Description]],0))*Unit.GW</f>
        <v>50000</v>
      </c>
      <c r="R172" s="159"/>
      <c r="T172" s="20"/>
      <c r="U172" s="20"/>
      <c r="V172" s="20"/>
      <c r="W172" s="20"/>
      <c r="X172" s="20"/>
    </row>
    <row r="173" spans="2:24">
      <c r="B173" s="159"/>
      <c r="C173" s="159" t="s">
        <v>743</v>
      </c>
      <c r="D173" s="159" t="str">
        <f>INDEX(Regional.Technologies[Description],MATCH($B$2&amp;"."&amp;assumptions.costs[[#This Row],[Technology code]],Regional.Technologies[Code],0))</f>
        <v>Global Solar photovoltaic</v>
      </c>
      <c r="E173" s="159" t="s">
        <v>579</v>
      </c>
      <c r="F173" s="159" t="e">
        <f>INDEX(Region.codes[Description],MATCH(#REF!,Region.codes[Code],0))&amp;" "&amp;INDEX(Cost.vectors[Description],MATCH(E173,Cost.vectors[Code],0))</f>
        <v>#REF!</v>
      </c>
      <c r="G173" s="159"/>
      <c r="H173" s="159"/>
      <c r="I173" s="159">
        <f>(5)*MGBP/Unit.GW*INDEX(assumptions.technology.baseyear[[Unit capacity]:[Unit capacity]],MATCH($D173,assumptions.technology.baseyear[[Description]:[Description]],0))*Unit.GW</f>
        <v>50000</v>
      </c>
      <c r="J173" s="159">
        <f>(5)*MGBP/Unit.GW*INDEX(assumptions.technology.baseyear[[Unit capacity]:[Unit capacity]],MATCH($D173,assumptions.technology.baseyear[[Description]:[Description]],0))*Unit.GW</f>
        <v>50000</v>
      </c>
      <c r="K173" s="159">
        <f>(5)*MGBP/Unit.GW*INDEX(assumptions.technology.baseyear[[Unit capacity]:[Unit capacity]],MATCH($D173,assumptions.technology.baseyear[[Description]:[Description]],0))*Unit.GW</f>
        <v>50000</v>
      </c>
      <c r="L173" s="159">
        <f>(5)*MGBP/Unit.GW*INDEX(assumptions.technology.baseyear[[Unit capacity]:[Unit capacity]],MATCH($D173,assumptions.technology.baseyear[[Description]:[Description]],0))*Unit.GW</f>
        <v>50000</v>
      </c>
      <c r="M173" s="159">
        <f>(5)*MGBP/Unit.GW*INDEX(assumptions.technology.baseyear[[Unit capacity]:[Unit capacity]],MATCH($D173,assumptions.technology.baseyear[[Description]:[Description]],0))*Unit.GW</f>
        <v>50000</v>
      </c>
      <c r="N173" s="159">
        <f>(5)*MGBP/Unit.GW*INDEX(assumptions.technology.baseyear[[Unit capacity]:[Unit capacity]],MATCH($D173,assumptions.technology.baseyear[[Description]:[Description]],0))*Unit.GW</f>
        <v>50000</v>
      </c>
      <c r="O173" s="159">
        <f>(5)*MGBP/Unit.GW*INDEX(assumptions.technology.baseyear[[Unit capacity]:[Unit capacity]],MATCH($D173,assumptions.technology.baseyear[[Description]:[Description]],0))*Unit.GW</f>
        <v>50000</v>
      </c>
      <c r="P173" s="159">
        <f>(5)*MGBP/Unit.GW*INDEX(assumptions.technology.baseyear[[Unit capacity]:[Unit capacity]],MATCH($D173,assumptions.technology.baseyear[[Description]:[Description]],0))*Unit.GW</f>
        <v>50000</v>
      </c>
      <c r="Q173" s="159">
        <f>(5)*MGBP/Unit.GW*INDEX(assumptions.technology.baseyear[[Unit capacity]:[Unit capacity]],MATCH($D173,assumptions.technology.baseyear[[Description]:[Description]],0))*Unit.GW</f>
        <v>50000</v>
      </c>
      <c r="R173" s="159"/>
      <c r="T173" s="20"/>
      <c r="U173" s="20"/>
      <c r="V173" s="20"/>
      <c r="W173" s="20"/>
      <c r="X173" s="20"/>
    </row>
    <row r="174" spans="2:24">
      <c r="B174" s="159"/>
      <c r="C174" s="159" t="s">
        <v>743</v>
      </c>
      <c r="D174" s="159" t="str">
        <f>INDEX(Regional.Technologies[Description],MATCH($B$2&amp;"."&amp;assumptions.costs[[#This Row],[Technology code]],Regional.Technologies[Code],0))</f>
        <v>Global Solar photovoltaic</v>
      </c>
      <c r="E174" s="159" t="s">
        <v>580</v>
      </c>
      <c r="F174" s="159" t="e">
        <f>INDEX(Region.codes[Description],MATCH(#REF!,Region.codes[Code],0))&amp;" "&amp;INDEX(Cost.vectors[Description],MATCH(E174,Cost.vectors[Code],0))</f>
        <v>#REF!</v>
      </c>
      <c r="G174" s="159"/>
      <c r="H174" s="159"/>
      <c r="I174" s="159">
        <f>(5)*MGBP/Unit.GW*INDEX(assumptions.technology.baseyear[[Unit capacity]:[Unit capacity]],MATCH($D174,assumptions.technology.baseyear[[Description]:[Description]],0))*Unit.GW</f>
        <v>50000</v>
      </c>
      <c r="J174" s="159">
        <f>(5)*MGBP/Unit.GW*INDEX(assumptions.technology.baseyear[[Unit capacity]:[Unit capacity]],MATCH($D174,assumptions.technology.baseyear[[Description]:[Description]],0))*Unit.GW</f>
        <v>50000</v>
      </c>
      <c r="K174" s="159">
        <f>(5)*MGBP/Unit.GW*INDEX(assumptions.technology.baseyear[[Unit capacity]:[Unit capacity]],MATCH($D174,assumptions.technology.baseyear[[Description]:[Description]],0))*Unit.GW</f>
        <v>50000</v>
      </c>
      <c r="L174" s="159">
        <f>(5)*MGBP/Unit.GW*INDEX(assumptions.technology.baseyear[[Unit capacity]:[Unit capacity]],MATCH($D174,assumptions.technology.baseyear[[Description]:[Description]],0))*Unit.GW</f>
        <v>50000</v>
      </c>
      <c r="M174" s="159">
        <f>(5)*MGBP/Unit.GW*INDEX(assumptions.technology.baseyear[[Unit capacity]:[Unit capacity]],MATCH($D174,assumptions.technology.baseyear[[Description]:[Description]],0))*Unit.GW</f>
        <v>50000</v>
      </c>
      <c r="N174" s="159">
        <f>(5)*MGBP/Unit.GW*INDEX(assumptions.technology.baseyear[[Unit capacity]:[Unit capacity]],MATCH($D174,assumptions.technology.baseyear[[Description]:[Description]],0))*Unit.GW</f>
        <v>50000</v>
      </c>
      <c r="O174" s="159">
        <f>(5)*MGBP/Unit.GW*INDEX(assumptions.technology.baseyear[[Unit capacity]:[Unit capacity]],MATCH($D174,assumptions.technology.baseyear[[Description]:[Description]],0))*Unit.GW</f>
        <v>50000</v>
      </c>
      <c r="P174" s="159">
        <f>(5)*MGBP/Unit.GW*INDEX(assumptions.technology.baseyear[[Unit capacity]:[Unit capacity]],MATCH($D174,assumptions.technology.baseyear[[Description]:[Description]],0))*Unit.GW</f>
        <v>50000</v>
      </c>
      <c r="Q174" s="159">
        <f>(5)*MGBP/Unit.GW*INDEX(assumptions.technology.baseyear[[Unit capacity]:[Unit capacity]],MATCH($D174,assumptions.technology.baseyear[[Description]:[Description]],0))*Unit.GW</f>
        <v>50000</v>
      </c>
      <c r="R174" s="159"/>
      <c r="T174" s="20"/>
      <c r="U174" s="20"/>
      <c r="V174" s="20"/>
      <c r="W174" s="20"/>
      <c r="X174" s="20"/>
    </row>
    <row r="175" spans="2:24">
      <c r="B175" s="159"/>
      <c r="C175" s="159" t="s">
        <v>743</v>
      </c>
      <c r="D175" s="159" t="str">
        <f>INDEX(Regional.Technologies[Description],MATCH($B$2&amp;"."&amp;assumptions.costs[[#This Row],[Technology code]],Regional.Technologies[Code],0))</f>
        <v>Global Solar photovoltaic</v>
      </c>
      <c r="E175" s="159" t="s">
        <v>581</v>
      </c>
      <c r="F175" s="159" t="e">
        <f>INDEX(Region.codes[Description],MATCH(#REF!,Region.codes[Code],0))&amp;" "&amp;INDEX(Cost.vectors[Description],MATCH(E175,Cost.vectors[Code],0))</f>
        <v>#REF!</v>
      </c>
      <c r="G175" s="159"/>
      <c r="H175" s="159"/>
      <c r="I175" s="159">
        <f>(5)*MGBP/Unit.GW*INDEX(assumptions.technology.baseyear[[Unit capacity]:[Unit capacity]],MATCH($D175,assumptions.technology.baseyear[[Description]:[Description]],0))*Unit.GW</f>
        <v>50000</v>
      </c>
      <c r="J175" s="159">
        <f>(5)*MGBP/Unit.GW*INDEX(assumptions.technology.baseyear[[Unit capacity]:[Unit capacity]],MATCH($D175,assumptions.technology.baseyear[[Description]:[Description]],0))*Unit.GW</f>
        <v>50000</v>
      </c>
      <c r="K175" s="159">
        <f>(5)*MGBP/Unit.GW*INDEX(assumptions.technology.baseyear[[Unit capacity]:[Unit capacity]],MATCH($D175,assumptions.technology.baseyear[[Description]:[Description]],0))*Unit.GW</f>
        <v>50000</v>
      </c>
      <c r="L175" s="159">
        <f>(5)*MGBP/Unit.GW*INDEX(assumptions.technology.baseyear[[Unit capacity]:[Unit capacity]],MATCH($D175,assumptions.technology.baseyear[[Description]:[Description]],0))*Unit.GW</f>
        <v>50000</v>
      </c>
      <c r="M175" s="159">
        <f>(5)*MGBP/Unit.GW*INDEX(assumptions.technology.baseyear[[Unit capacity]:[Unit capacity]],MATCH($D175,assumptions.technology.baseyear[[Description]:[Description]],0))*Unit.GW</f>
        <v>50000</v>
      </c>
      <c r="N175" s="159">
        <f>(5)*MGBP/Unit.GW*INDEX(assumptions.technology.baseyear[[Unit capacity]:[Unit capacity]],MATCH($D175,assumptions.technology.baseyear[[Description]:[Description]],0))*Unit.GW</f>
        <v>50000</v>
      </c>
      <c r="O175" s="159">
        <f>(5)*MGBP/Unit.GW*INDEX(assumptions.technology.baseyear[[Unit capacity]:[Unit capacity]],MATCH($D175,assumptions.technology.baseyear[[Description]:[Description]],0))*Unit.GW</f>
        <v>50000</v>
      </c>
      <c r="P175" s="159">
        <f>(5)*MGBP/Unit.GW*INDEX(assumptions.technology.baseyear[[Unit capacity]:[Unit capacity]],MATCH($D175,assumptions.technology.baseyear[[Description]:[Description]],0))*Unit.GW</f>
        <v>50000</v>
      </c>
      <c r="Q175" s="159">
        <f>(5)*MGBP/Unit.GW*INDEX(assumptions.technology.baseyear[[Unit capacity]:[Unit capacity]],MATCH($D175,assumptions.technology.baseyear[[Description]:[Description]],0))*Unit.GW</f>
        <v>50000</v>
      </c>
      <c r="R175" s="159"/>
      <c r="T175" s="20"/>
      <c r="U175" s="20"/>
      <c r="V175" s="20"/>
      <c r="W175" s="20"/>
      <c r="X175" s="20"/>
    </row>
    <row r="176" spans="2:24">
      <c r="B176" s="159"/>
      <c r="C176" s="159" t="s">
        <v>743</v>
      </c>
      <c r="D176" s="159" t="str">
        <f>INDEX(Regional.Technologies[Description],MATCH($B$2&amp;"."&amp;assumptions.costs[[#This Row],[Technology code]],Regional.Technologies[Code],0))</f>
        <v>Global Solar photovoltaic</v>
      </c>
      <c r="E176" s="159" t="s">
        <v>582</v>
      </c>
      <c r="F176" s="159" t="e">
        <f>INDEX(Region.codes[Description],MATCH(#REF!,Region.codes[Code],0))&amp;" "&amp;INDEX(Cost.vectors[Description],MATCH(E176,Cost.vectors[Code],0))</f>
        <v>#REF!</v>
      </c>
      <c r="G176" s="159"/>
      <c r="H176" s="159"/>
      <c r="I176" s="159">
        <f>(5)*MGBP/Unit.GW*INDEX(assumptions.technology.baseyear[[Unit capacity]:[Unit capacity]],MATCH($D176,assumptions.technology.baseyear[[Description]:[Description]],0))*Unit.GW</f>
        <v>50000</v>
      </c>
      <c r="J176" s="159">
        <f>(5)*MGBP/Unit.GW*INDEX(assumptions.technology.baseyear[[Unit capacity]:[Unit capacity]],MATCH($D176,assumptions.technology.baseyear[[Description]:[Description]],0))*Unit.GW</f>
        <v>50000</v>
      </c>
      <c r="K176" s="159">
        <f>(5)*MGBP/Unit.GW*INDEX(assumptions.technology.baseyear[[Unit capacity]:[Unit capacity]],MATCH($D176,assumptions.technology.baseyear[[Description]:[Description]],0))*Unit.GW</f>
        <v>50000</v>
      </c>
      <c r="L176" s="159">
        <f>(5)*MGBP/Unit.GW*INDEX(assumptions.technology.baseyear[[Unit capacity]:[Unit capacity]],MATCH($D176,assumptions.technology.baseyear[[Description]:[Description]],0))*Unit.GW</f>
        <v>50000</v>
      </c>
      <c r="M176" s="159">
        <f>(5)*MGBP/Unit.GW*INDEX(assumptions.technology.baseyear[[Unit capacity]:[Unit capacity]],MATCH($D176,assumptions.technology.baseyear[[Description]:[Description]],0))*Unit.GW</f>
        <v>50000</v>
      </c>
      <c r="N176" s="159">
        <f>(5)*MGBP/Unit.GW*INDEX(assumptions.technology.baseyear[[Unit capacity]:[Unit capacity]],MATCH($D176,assumptions.technology.baseyear[[Description]:[Description]],0))*Unit.GW</f>
        <v>50000</v>
      </c>
      <c r="O176" s="159">
        <f>(5)*MGBP/Unit.GW*INDEX(assumptions.technology.baseyear[[Unit capacity]:[Unit capacity]],MATCH($D176,assumptions.technology.baseyear[[Description]:[Description]],0))*Unit.GW</f>
        <v>50000</v>
      </c>
      <c r="P176" s="159">
        <f>(5)*MGBP/Unit.GW*INDEX(assumptions.technology.baseyear[[Unit capacity]:[Unit capacity]],MATCH($D176,assumptions.technology.baseyear[[Description]:[Description]],0))*Unit.GW</f>
        <v>50000</v>
      </c>
      <c r="Q176" s="159">
        <f>(5)*MGBP/Unit.GW*INDEX(assumptions.technology.baseyear[[Unit capacity]:[Unit capacity]],MATCH($D176,assumptions.technology.baseyear[[Description]:[Description]],0))*Unit.GW</f>
        <v>50000</v>
      </c>
      <c r="R176" s="159"/>
      <c r="T176" s="20"/>
      <c r="U176" s="20"/>
      <c r="V176" s="20"/>
      <c r="W176" s="20"/>
      <c r="X176" s="20"/>
    </row>
    <row r="177" spans="2:24">
      <c r="B177" s="159"/>
      <c r="C177" s="159" t="s">
        <v>743</v>
      </c>
      <c r="D177" s="159" t="str">
        <f>INDEX(Regional.Technologies[Description],MATCH($B$2&amp;"."&amp;assumptions.costs[[#This Row],[Technology code]],Regional.Technologies[Code],0))</f>
        <v>Global Solar photovoltaic</v>
      </c>
      <c r="E177" s="159" t="s">
        <v>583</v>
      </c>
      <c r="F177" s="159" t="e">
        <f>INDEX(Region.codes[Description],MATCH(#REF!,Region.codes[Code],0))&amp;" "&amp;INDEX(Cost.vectors[Description],MATCH(E177,Cost.vectors[Code],0))</f>
        <v>#REF!</v>
      </c>
      <c r="G177" s="159"/>
      <c r="H177" s="159"/>
      <c r="I177" s="159">
        <f>(5)*MGBP/Unit.GW*INDEX(assumptions.technology.baseyear[[Unit capacity]:[Unit capacity]],MATCH($D177,assumptions.technology.baseyear[[Description]:[Description]],0))*Unit.GW</f>
        <v>50000</v>
      </c>
      <c r="J177" s="159">
        <f>(5)*MGBP/Unit.GW*INDEX(assumptions.technology.baseyear[[Unit capacity]:[Unit capacity]],MATCH($D177,assumptions.technology.baseyear[[Description]:[Description]],0))*Unit.GW</f>
        <v>50000</v>
      </c>
      <c r="K177" s="159">
        <f>(5)*MGBP/Unit.GW*INDEX(assumptions.technology.baseyear[[Unit capacity]:[Unit capacity]],MATCH($D177,assumptions.technology.baseyear[[Description]:[Description]],0))*Unit.GW</f>
        <v>50000</v>
      </c>
      <c r="L177" s="159">
        <f>(5)*MGBP/Unit.GW*INDEX(assumptions.technology.baseyear[[Unit capacity]:[Unit capacity]],MATCH($D177,assumptions.technology.baseyear[[Description]:[Description]],0))*Unit.GW</f>
        <v>50000</v>
      </c>
      <c r="M177" s="159">
        <f>(5)*MGBP/Unit.GW*INDEX(assumptions.technology.baseyear[[Unit capacity]:[Unit capacity]],MATCH($D177,assumptions.technology.baseyear[[Description]:[Description]],0))*Unit.GW</f>
        <v>50000</v>
      </c>
      <c r="N177" s="159">
        <f>(5)*MGBP/Unit.GW*INDEX(assumptions.technology.baseyear[[Unit capacity]:[Unit capacity]],MATCH($D177,assumptions.technology.baseyear[[Description]:[Description]],0))*Unit.GW</f>
        <v>50000</v>
      </c>
      <c r="O177" s="159">
        <f>(5)*MGBP/Unit.GW*INDEX(assumptions.technology.baseyear[[Unit capacity]:[Unit capacity]],MATCH($D177,assumptions.technology.baseyear[[Description]:[Description]],0))*Unit.GW</f>
        <v>50000</v>
      </c>
      <c r="P177" s="159">
        <f>(5)*MGBP/Unit.GW*INDEX(assumptions.technology.baseyear[[Unit capacity]:[Unit capacity]],MATCH($D177,assumptions.technology.baseyear[[Description]:[Description]],0))*Unit.GW</f>
        <v>50000</v>
      </c>
      <c r="Q177" s="159">
        <f>(5)*MGBP/Unit.GW*INDEX(assumptions.technology.baseyear[[Unit capacity]:[Unit capacity]],MATCH($D177,assumptions.technology.baseyear[[Description]:[Description]],0))*Unit.GW</f>
        <v>50000</v>
      </c>
      <c r="R177" s="159"/>
      <c r="T177" s="20"/>
      <c r="U177" s="20"/>
      <c r="V177" s="20"/>
      <c r="W177" s="20"/>
      <c r="X177" s="20"/>
    </row>
    <row r="178" spans="2:24">
      <c r="B178" s="159"/>
      <c r="C178" s="159" t="s">
        <v>744</v>
      </c>
      <c r="D178" s="159" t="str">
        <f>INDEX(Regional.Technologies[Description],MATCH($B$2&amp;"."&amp;assumptions.costs[[#This Row],[Technology code]],Regional.Technologies[Code],0))</f>
        <v>Global Concentrated solar</v>
      </c>
      <c r="E178" s="159" t="s">
        <v>578</v>
      </c>
      <c r="F178" s="159" t="e">
        <f>INDEX(Region.codes[Description],MATCH(#REF!,Region.codes[Code],0))&amp;" "&amp;INDEX(Cost.vectors[Description],MATCH(E178,Cost.vectors[Code],0))</f>
        <v>#REF!</v>
      </c>
      <c r="G178" s="159"/>
      <c r="H178" s="159"/>
      <c r="I178" s="159">
        <f>(5)*MGBP/Unit.GW*INDEX(assumptions.technology.baseyear[[Unit capacity]:[Unit capacity]],MATCH($D178,assumptions.technology.baseyear[[Description]:[Description]],0))*Unit.GW</f>
        <v>5000000</v>
      </c>
      <c r="J178" s="159">
        <f>(5)*MGBP/Unit.GW*INDEX(assumptions.technology.baseyear[[Unit capacity]:[Unit capacity]],MATCH($D178,assumptions.technology.baseyear[[Description]:[Description]],0))*Unit.GW</f>
        <v>5000000</v>
      </c>
      <c r="K178" s="159">
        <f>(5)*MGBP/Unit.GW*INDEX(assumptions.technology.baseyear[[Unit capacity]:[Unit capacity]],MATCH($D178,assumptions.technology.baseyear[[Description]:[Description]],0))*Unit.GW</f>
        <v>5000000</v>
      </c>
      <c r="L178" s="159">
        <f>(5)*MGBP/Unit.GW*INDEX(assumptions.technology.baseyear[[Unit capacity]:[Unit capacity]],MATCH($D178,assumptions.technology.baseyear[[Description]:[Description]],0))*Unit.GW</f>
        <v>5000000</v>
      </c>
      <c r="M178" s="159">
        <f>(5)*MGBP/Unit.GW*INDEX(assumptions.technology.baseyear[[Unit capacity]:[Unit capacity]],MATCH($D178,assumptions.technology.baseyear[[Description]:[Description]],0))*Unit.GW</f>
        <v>5000000</v>
      </c>
      <c r="N178" s="159">
        <f>(5)*MGBP/Unit.GW*INDEX(assumptions.technology.baseyear[[Unit capacity]:[Unit capacity]],MATCH($D178,assumptions.technology.baseyear[[Description]:[Description]],0))*Unit.GW</f>
        <v>5000000</v>
      </c>
      <c r="O178" s="159">
        <f>(5)*MGBP/Unit.GW*INDEX(assumptions.technology.baseyear[[Unit capacity]:[Unit capacity]],MATCH($D178,assumptions.technology.baseyear[[Description]:[Description]],0))*Unit.GW</f>
        <v>5000000</v>
      </c>
      <c r="P178" s="159">
        <f>(5)*MGBP/Unit.GW*INDEX(assumptions.technology.baseyear[[Unit capacity]:[Unit capacity]],MATCH($D178,assumptions.technology.baseyear[[Description]:[Description]],0))*Unit.GW</f>
        <v>5000000</v>
      </c>
      <c r="Q178" s="159">
        <f>(5)*MGBP/Unit.GW*INDEX(assumptions.technology.baseyear[[Unit capacity]:[Unit capacity]],MATCH($D178,assumptions.technology.baseyear[[Description]:[Description]],0))*Unit.GW</f>
        <v>5000000</v>
      </c>
      <c r="R178" s="159"/>
      <c r="T178" s="20"/>
      <c r="U178" s="20"/>
      <c r="V178" s="20"/>
      <c r="W178" s="20"/>
      <c r="X178" s="20"/>
    </row>
    <row r="179" spans="2:24">
      <c r="B179" s="159"/>
      <c r="C179" s="159" t="s">
        <v>744</v>
      </c>
      <c r="D179" s="159" t="str">
        <f>INDEX(Regional.Technologies[Description],MATCH($B$2&amp;"."&amp;assumptions.costs[[#This Row],[Technology code]],Regional.Technologies[Code],0))</f>
        <v>Global Concentrated solar</v>
      </c>
      <c r="E179" s="159" t="s">
        <v>579</v>
      </c>
      <c r="F179" s="159" t="e">
        <f>INDEX(Region.codes[Description],MATCH(#REF!,Region.codes[Code],0))&amp;" "&amp;INDEX(Cost.vectors[Description],MATCH(E179,Cost.vectors[Code],0))</f>
        <v>#REF!</v>
      </c>
      <c r="G179" s="159"/>
      <c r="H179" s="159"/>
      <c r="I179" s="159">
        <f>(5)*MGBP/Unit.GW*INDEX(assumptions.technology.baseyear[[Unit capacity]:[Unit capacity]],MATCH($D179,assumptions.technology.baseyear[[Description]:[Description]],0))*Unit.GW</f>
        <v>5000000</v>
      </c>
      <c r="J179" s="159">
        <f>(5)*MGBP/Unit.GW*INDEX(assumptions.technology.baseyear[[Unit capacity]:[Unit capacity]],MATCH($D179,assumptions.technology.baseyear[[Description]:[Description]],0))*Unit.GW</f>
        <v>5000000</v>
      </c>
      <c r="K179" s="159">
        <f>(5)*MGBP/Unit.GW*INDEX(assumptions.technology.baseyear[[Unit capacity]:[Unit capacity]],MATCH($D179,assumptions.technology.baseyear[[Description]:[Description]],0))*Unit.GW</f>
        <v>5000000</v>
      </c>
      <c r="L179" s="159">
        <f>(5)*MGBP/Unit.GW*INDEX(assumptions.technology.baseyear[[Unit capacity]:[Unit capacity]],MATCH($D179,assumptions.technology.baseyear[[Description]:[Description]],0))*Unit.GW</f>
        <v>5000000</v>
      </c>
      <c r="M179" s="159">
        <f>(5)*MGBP/Unit.GW*INDEX(assumptions.technology.baseyear[[Unit capacity]:[Unit capacity]],MATCH($D179,assumptions.technology.baseyear[[Description]:[Description]],0))*Unit.GW</f>
        <v>5000000</v>
      </c>
      <c r="N179" s="159">
        <f>(5)*MGBP/Unit.GW*INDEX(assumptions.technology.baseyear[[Unit capacity]:[Unit capacity]],MATCH($D179,assumptions.technology.baseyear[[Description]:[Description]],0))*Unit.GW</f>
        <v>5000000</v>
      </c>
      <c r="O179" s="159">
        <f>(5)*MGBP/Unit.GW*INDEX(assumptions.technology.baseyear[[Unit capacity]:[Unit capacity]],MATCH($D179,assumptions.technology.baseyear[[Description]:[Description]],0))*Unit.GW</f>
        <v>5000000</v>
      </c>
      <c r="P179" s="159">
        <f>(5)*MGBP/Unit.GW*INDEX(assumptions.technology.baseyear[[Unit capacity]:[Unit capacity]],MATCH($D179,assumptions.technology.baseyear[[Description]:[Description]],0))*Unit.GW</f>
        <v>5000000</v>
      </c>
      <c r="Q179" s="159">
        <f>(5)*MGBP/Unit.GW*INDEX(assumptions.technology.baseyear[[Unit capacity]:[Unit capacity]],MATCH($D179,assumptions.technology.baseyear[[Description]:[Description]],0))*Unit.GW</f>
        <v>5000000</v>
      </c>
      <c r="R179" s="159"/>
      <c r="T179" s="20"/>
      <c r="U179" s="20"/>
      <c r="V179" s="20"/>
      <c r="W179" s="20"/>
      <c r="X179" s="20"/>
    </row>
    <row r="180" spans="2:24">
      <c r="B180" s="159"/>
      <c r="C180" s="159" t="s">
        <v>744</v>
      </c>
      <c r="D180" s="159" t="str">
        <f>INDEX(Regional.Technologies[Description],MATCH($B$2&amp;"."&amp;assumptions.costs[[#This Row],[Technology code]],Regional.Technologies[Code],0))</f>
        <v>Global Concentrated solar</v>
      </c>
      <c r="E180" s="159" t="s">
        <v>580</v>
      </c>
      <c r="F180" s="159" t="e">
        <f>INDEX(Region.codes[Description],MATCH(#REF!,Region.codes[Code],0))&amp;" "&amp;INDEX(Cost.vectors[Description],MATCH(E180,Cost.vectors[Code],0))</f>
        <v>#REF!</v>
      </c>
      <c r="G180" s="159"/>
      <c r="H180" s="159"/>
      <c r="I180" s="159">
        <f>(5)*MGBP/Unit.GW*INDEX(assumptions.technology.baseyear[[Unit capacity]:[Unit capacity]],MATCH($D180,assumptions.technology.baseyear[[Description]:[Description]],0))*Unit.GW</f>
        <v>5000000</v>
      </c>
      <c r="J180" s="159">
        <f>(5)*MGBP/Unit.GW*INDEX(assumptions.technology.baseyear[[Unit capacity]:[Unit capacity]],MATCH($D180,assumptions.technology.baseyear[[Description]:[Description]],0))*Unit.GW</f>
        <v>5000000</v>
      </c>
      <c r="K180" s="159">
        <f>(5)*MGBP/Unit.GW*INDEX(assumptions.technology.baseyear[[Unit capacity]:[Unit capacity]],MATCH($D180,assumptions.technology.baseyear[[Description]:[Description]],0))*Unit.GW</f>
        <v>5000000</v>
      </c>
      <c r="L180" s="159">
        <f>(5)*MGBP/Unit.GW*INDEX(assumptions.technology.baseyear[[Unit capacity]:[Unit capacity]],MATCH($D180,assumptions.technology.baseyear[[Description]:[Description]],0))*Unit.GW</f>
        <v>5000000</v>
      </c>
      <c r="M180" s="159">
        <f>(5)*MGBP/Unit.GW*INDEX(assumptions.technology.baseyear[[Unit capacity]:[Unit capacity]],MATCH($D180,assumptions.technology.baseyear[[Description]:[Description]],0))*Unit.GW</f>
        <v>5000000</v>
      </c>
      <c r="N180" s="159">
        <f>(5)*MGBP/Unit.GW*INDEX(assumptions.technology.baseyear[[Unit capacity]:[Unit capacity]],MATCH($D180,assumptions.technology.baseyear[[Description]:[Description]],0))*Unit.GW</f>
        <v>5000000</v>
      </c>
      <c r="O180" s="159">
        <f>(5)*MGBP/Unit.GW*INDEX(assumptions.technology.baseyear[[Unit capacity]:[Unit capacity]],MATCH($D180,assumptions.technology.baseyear[[Description]:[Description]],0))*Unit.GW</f>
        <v>5000000</v>
      </c>
      <c r="P180" s="159">
        <f>(5)*MGBP/Unit.GW*INDEX(assumptions.technology.baseyear[[Unit capacity]:[Unit capacity]],MATCH($D180,assumptions.technology.baseyear[[Description]:[Description]],0))*Unit.GW</f>
        <v>5000000</v>
      </c>
      <c r="Q180" s="159">
        <f>(5)*MGBP/Unit.GW*INDEX(assumptions.technology.baseyear[[Unit capacity]:[Unit capacity]],MATCH($D180,assumptions.technology.baseyear[[Description]:[Description]],0))*Unit.GW</f>
        <v>5000000</v>
      </c>
      <c r="R180" s="159"/>
      <c r="T180" s="20"/>
      <c r="U180" s="20"/>
      <c r="V180" s="20"/>
      <c r="W180" s="20"/>
      <c r="X180" s="20"/>
    </row>
    <row r="181" spans="2:24">
      <c r="B181" s="159"/>
      <c r="C181" s="159" t="s">
        <v>744</v>
      </c>
      <c r="D181" s="159" t="str">
        <f>INDEX(Regional.Technologies[Description],MATCH($B$2&amp;"."&amp;assumptions.costs[[#This Row],[Technology code]],Regional.Technologies[Code],0))</f>
        <v>Global Concentrated solar</v>
      </c>
      <c r="E181" s="159" t="s">
        <v>581</v>
      </c>
      <c r="F181" s="159" t="e">
        <f>INDEX(Region.codes[Description],MATCH(#REF!,Region.codes[Code],0))&amp;" "&amp;INDEX(Cost.vectors[Description],MATCH(E181,Cost.vectors[Code],0))</f>
        <v>#REF!</v>
      </c>
      <c r="G181" s="159"/>
      <c r="H181" s="159"/>
      <c r="I181" s="159">
        <f>(5)*MGBP/Unit.GW*INDEX(assumptions.technology.baseyear[[Unit capacity]:[Unit capacity]],MATCH($D181,assumptions.technology.baseyear[[Description]:[Description]],0))*Unit.GW</f>
        <v>5000000</v>
      </c>
      <c r="J181" s="159">
        <f>(5)*MGBP/Unit.GW*INDEX(assumptions.technology.baseyear[[Unit capacity]:[Unit capacity]],MATCH($D181,assumptions.technology.baseyear[[Description]:[Description]],0))*Unit.GW</f>
        <v>5000000</v>
      </c>
      <c r="K181" s="159">
        <f>(5)*MGBP/Unit.GW*INDEX(assumptions.technology.baseyear[[Unit capacity]:[Unit capacity]],MATCH($D181,assumptions.technology.baseyear[[Description]:[Description]],0))*Unit.GW</f>
        <v>5000000</v>
      </c>
      <c r="L181" s="159">
        <f>(5)*MGBP/Unit.GW*INDEX(assumptions.technology.baseyear[[Unit capacity]:[Unit capacity]],MATCH($D181,assumptions.technology.baseyear[[Description]:[Description]],0))*Unit.GW</f>
        <v>5000000</v>
      </c>
      <c r="M181" s="159">
        <f>(5)*MGBP/Unit.GW*INDEX(assumptions.technology.baseyear[[Unit capacity]:[Unit capacity]],MATCH($D181,assumptions.technology.baseyear[[Description]:[Description]],0))*Unit.GW</f>
        <v>5000000</v>
      </c>
      <c r="N181" s="159">
        <f>(5)*MGBP/Unit.GW*INDEX(assumptions.technology.baseyear[[Unit capacity]:[Unit capacity]],MATCH($D181,assumptions.technology.baseyear[[Description]:[Description]],0))*Unit.GW</f>
        <v>5000000</v>
      </c>
      <c r="O181" s="159">
        <f>(5)*MGBP/Unit.GW*INDEX(assumptions.technology.baseyear[[Unit capacity]:[Unit capacity]],MATCH($D181,assumptions.technology.baseyear[[Description]:[Description]],0))*Unit.GW</f>
        <v>5000000</v>
      </c>
      <c r="P181" s="159">
        <f>(5)*MGBP/Unit.GW*INDEX(assumptions.technology.baseyear[[Unit capacity]:[Unit capacity]],MATCH($D181,assumptions.technology.baseyear[[Description]:[Description]],0))*Unit.GW</f>
        <v>5000000</v>
      </c>
      <c r="Q181" s="159">
        <f>(5)*MGBP/Unit.GW*INDEX(assumptions.technology.baseyear[[Unit capacity]:[Unit capacity]],MATCH($D181,assumptions.technology.baseyear[[Description]:[Description]],0))*Unit.GW</f>
        <v>5000000</v>
      </c>
      <c r="R181" s="159"/>
      <c r="T181" s="20"/>
      <c r="U181" s="20"/>
      <c r="V181" s="20"/>
      <c r="W181" s="20"/>
      <c r="X181" s="20"/>
    </row>
    <row r="182" spans="2:24">
      <c r="B182" s="159"/>
      <c r="C182" s="159" t="s">
        <v>744</v>
      </c>
      <c r="D182" s="159" t="str">
        <f>INDEX(Regional.Technologies[Description],MATCH($B$2&amp;"."&amp;assumptions.costs[[#This Row],[Technology code]],Regional.Technologies[Code],0))</f>
        <v>Global Concentrated solar</v>
      </c>
      <c r="E182" s="159" t="s">
        <v>582</v>
      </c>
      <c r="F182" s="159" t="e">
        <f>INDEX(Region.codes[Description],MATCH(#REF!,Region.codes[Code],0))&amp;" "&amp;INDEX(Cost.vectors[Description],MATCH(E182,Cost.vectors[Code],0))</f>
        <v>#REF!</v>
      </c>
      <c r="G182" s="159"/>
      <c r="H182" s="159"/>
      <c r="I182" s="159">
        <f>(5)*MGBP/Unit.GW*INDEX(assumptions.technology.baseyear[[Unit capacity]:[Unit capacity]],MATCH($D182,assumptions.technology.baseyear[[Description]:[Description]],0))*Unit.GW</f>
        <v>5000000</v>
      </c>
      <c r="J182" s="159">
        <f>(5)*MGBP/Unit.GW*INDEX(assumptions.technology.baseyear[[Unit capacity]:[Unit capacity]],MATCH($D182,assumptions.technology.baseyear[[Description]:[Description]],0))*Unit.GW</f>
        <v>5000000</v>
      </c>
      <c r="K182" s="159">
        <f>(5)*MGBP/Unit.GW*INDEX(assumptions.technology.baseyear[[Unit capacity]:[Unit capacity]],MATCH($D182,assumptions.technology.baseyear[[Description]:[Description]],0))*Unit.GW</f>
        <v>5000000</v>
      </c>
      <c r="L182" s="159">
        <f>(5)*MGBP/Unit.GW*INDEX(assumptions.technology.baseyear[[Unit capacity]:[Unit capacity]],MATCH($D182,assumptions.technology.baseyear[[Description]:[Description]],0))*Unit.GW</f>
        <v>5000000</v>
      </c>
      <c r="M182" s="159">
        <f>(5)*MGBP/Unit.GW*INDEX(assumptions.technology.baseyear[[Unit capacity]:[Unit capacity]],MATCH($D182,assumptions.technology.baseyear[[Description]:[Description]],0))*Unit.GW</f>
        <v>5000000</v>
      </c>
      <c r="N182" s="159">
        <f>(5)*MGBP/Unit.GW*INDEX(assumptions.technology.baseyear[[Unit capacity]:[Unit capacity]],MATCH($D182,assumptions.technology.baseyear[[Description]:[Description]],0))*Unit.GW</f>
        <v>5000000</v>
      </c>
      <c r="O182" s="159">
        <f>(5)*MGBP/Unit.GW*INDEX(assumptions.technology.baseyear[[Unit capacity]:[Unit capacity]],MATCH($D182,assumptions.technology.baseyear[[Description]:[Description]],0))*Unit.GW</f>
        <v>5000000</v>
      </c>
      <c r="P182" s="159">
        <f>(5)*MGBP/Unit.GW*INDEX(assumptions.technology.baseyear[[Unit capacity]:[Unit capacity]],MATCH($D182,assumptions.technology.baseyear[[Description]:[Description]],0))*Unit.GW</f>
        <v>5000000</v>
      </c>
      <c r="Q182" s="159">
        <f>(5)*MGBP/Unit.GW*INDEX(assumptions.technology.baseyear[[Unit capacity]:[Unit capacity]],MATCH($D182,assumptions.technology.baseyear[[Description]:[Description]],0))*Unit.GW</f>
        <v>5000000</v>
      </c>
      <c r="R182" s="159"/>
      <c r="T182" s="20"/>
      <c r="U182" s="20"/>
      <c r="V182" s="20"/>
      <c r="W182" s="20"/>
      <c r="X182" s="20"/>
    </row>
    <row r="183" spans="2:24">
      <c r="B183" s="159"/>
      <c r="C183" s="159" t="s">
        <v>744</v>
      </c>
      <c r="D183" s="159" t="str">
        <f>INDEX(Regional.Technologies[Description],MATCH($B$2&amp;"."&amp;assumptions.costs[[#This Row],[Technology code]],Regional.Technologies[Code],0))</f>
        <v>Global Concentrated solar</v>
      </c>
      <c r="E183" s="159" t="s">
        <v>583</v>
      </c>
      <c r="F183" s="159" t="e">
        <f>INDEX(Region.codes[Description],MATCH(#REF!,Region.codes[Code],0))&amp;" "&amp;INDEX(Cost.vectors[Description],MATCH(E183,Cost.vectors[Code],0))</f>
        <v>#REF!</v>
      </c>
      <c r="G183" s="159"/>
      <c r="H183" s="159"/>
      <c r="I183" s="159">
        <f>(5)*MGBP/Unit.GW*INDEX(assumptions.technology.baseyear[[Unit capacity]:[Unit capacity]],MATCH($D183,assumptions.technology.baseyear[[Description]:[Description]],0))*Unit.GW</f>
        <v>5000000</v>
      </c>
      <c r="J183" s="159">
        <f>(5)*MGBP/Unit.GW*INDEX(assumptions.technology.baseyear[[Unit capacity]:[Unit capacity]],MATCH($D183,assumptions.technology.baseyear[[Description]:[Description]],0))*Unit.GW</f>
        <v>5000000</v>
      </c>
      <c r="K183" s="159">
        <f>(5)*MGBP/Unit.GW*INDEX(assumptions.technology.baseyear[[Unit capacity]:[Unit capacity]],MATCH($D183,assumptions.technology.baseyear[[Description]:[Description]],0))*Unit.GW</f>
        <v>5000000</v>
      </c>
      <c r="L183" s="159">
        <f>(5)*MGBP/Unit.GW*INDEX(assumptions.technology.baseyear[[Unit capacity]:[Unit capacity]],MATCH($D183,assumptions.technology.baseyear[[Description]:[Description]],0))*Unit.GW</f>
        <v>5000000</v>
      </c>
      <c r="M183" s="159">
        <f>(5)*MGBP/Unit.GW*INDEX(assumptions.technology.baseyear[[Unit capacity]:[Unit capacity]],MATCH($D183,assumptions.technology.baseyear[[Description]:[Description]],0))*Unit.GW</f>
        <v>5000000</v>
      </c>
      <c r="N183" s="159">
        <f>(5)*MGBP/Unit.GW*INDEX(assumptions.technology.baseyear[[Unit capacity]:[Unit capacity]],MATCH($D183,assumptions.technology.baseyear[[Description]:[Description]],0))*Unit.GW</f>
        <v>5000000</v>
      </c>
      <c r="O183" s="159">
        <f>(5)*MGBP/Unit.GW*INDEX(assumptions.technology.baseyear[[Unit capacity]:[Unit capacity]],MATCH($D183,assumptions.technology.baseyear[[Description]:[Description]],0))*Unit.GW</f>
        <v>5000000</v>
      </c>
      <c r="P183" s="159">
        <f>(5)*MGBP/Unit.GW*INDEX(assumptions.technology.baseyear[[Unit capacity]:[Unit capacity]],MATCH($D183,assumptions.technology.baseyear[[Description]:[Description]],0))*Unit.GW</f>
        <v>5000000</v>
      </c>
      <c r="Q183" s="159">
        <f>(5)*MGBP/Unit.GW*INDEX(assumptions.technology.baseyear[[Unit capacity]:[Unit capacity]],MATCH($D183,assumptions.technology.baseyear[[Description]:[Description]],0))*Unit.GW</f>
        <v>5000000</v>
      </c>
      <c r="R183" s="159"/>
      <c r="T183" s="20"/>
      <c r="U183" s="20"/>
      <c r="V183" s="20"/>
      <c r="W183" s="20"/>
      <c r="X183" s="20"/>
    </row>
    <row r="184" spans="2:24">
      <c r="B184" s="159"/>
      <c r="C184" s="159" t="s">
        <v>745</v>
      </c>
      <c r="D184" s="159" t="str">
        <f>INDEX(Regional.Technologies[Description],MATCH($B$2&amp;"."&amp;assumptions.costs[[#This Row],[Technology code]],Regional.Technologies[Code],0))</f>
        <v>Global Geothermal</v>
      </c>
      <c r="E184" s="159" t="s">
        <v>578</v>
      </c>
      <c r="F184" s="159" t="e">
        <f>INDEX(Region.codes[Description],MATCH(#REF!,Region.codes[Code],0))&amp;" "&amp;INDEX(Cost.vectors[Description],MATCH(E184,Cost.vectors[Code],0))</f>
        <v>#REF!</v>
      </c>
      <c r="G184" s="159"/>
      <c r="H184" s="159"/>
      <c r="I184" s="159">
        <f>(5)*MGBP/Unit.GW*INDEX(assumptions.technology.baseyear[[Unit capacity]:[Unit capacity]],MATCH($D184,assumptions.technology.baseyear[[Description]:[Description]],0))*Unit.GW</f>
        <v>50000</v>
      </c>
      <c r="J184" s="159">
        <f>(5)*MGBP/Unit.GW*INDEX(assumptions.technology.baseyear[[Unit capacity]:[Unit capacity]],MATCH($D184,assumptions.technology.baseyear[[Description]:[Description]],0))*Unit.GW</f>
        <v>50000</v>
      </c>
      <c r="K184" s="159">
        <f>(5)*MGBP/Unit.GW*INDEX(assumptions.technology.baseyear[[Unit capacity]:[Unit capacity]],MATCH($D184,assumptions.technology.baseyear[[Description]:[Description]],0))*Unit.GW</f>
        <v>50000</v>
      </c>
      <c r="L184" s="159">
        <f>(5)*MGBP/Unit.GW*INDEX(assumptions.technology.baseyear[[Unit capacity]:[Unit capacity]],MATCH($D184,assumptions.technology.baseyear[[Description]:[Description]],0))*Unit.GW</f>
        <v>50000</v>
      </c>
      <c r="M184" s="159">
        <f>(5)*MGBP/Unit.GW*INDEX(assumptions.technology.baseyear[[Unit capacity]:[Unit capacity]],MATCH($D184,assumptions.technology.baseyear[[Description]:[Description]],0))*Unit.GW</f>
        <v>50000</v>
      </c>
      <c r="N184" s="159">
        <f>(5)*MGBP/Unit.GW*INDEX(assumptions.technology.baseyear[[Unit capacity]:[Unit capacity]],MATCH($D184,assumptions.technology.baseyear[[Description]:[Description]],0))*Unit.GW</f>
        <v>50000</v>
      </c>
      <c r="O184" s="159">
        <f>(5)*MGBP/Unit.GW*INDEX(assumptions.technology.baseyear[[Unit capacity]:[Unit capacity]],MATCH($D184,assumptions.technology.baseyear[[Description]:[Description]],0))*Unit.GW</f>
        <v>50000</v>
      </c>
      <c r="P184" s="159">
        <f>(5)*MGBP/Unit.GW*INDEX(assumptions.technology.baseyear[[Unit capacity]:[Unit capacity]],MATCH($D184,assumptions.technology.baseyear[[Description]:[Description]],0))*Unit.GW</f>
        <v>50000</v>
      </c>
      <c r="Q184" s="159">
        <f>(5)*MGBP/Unit.GW*INDEX(assumptions.technology.baseyear[[Unit capacity]:[Unit capacity]],MATCH($D184,assumptions.technology.baseyear[[Description]:[Description]],0))*Unit.GW</f>
        <v>50000</v>
      </c>
      <c r="R184" s="159"/>
      <c r="T184" s="20"/>
      <c r="U184" s="20"/>
      <c r="V184" s="20"/>
      <c r="W184" s="20"/>
      <c r="X184" s="20"/>
    </row>
    <row r="185" spans="2:24">
      <c r="B185" s="159"/>
      <c r="C185" s="159" t="s">
        <v>745</v>
      </c>
      <c r="D185" s="159" t="str">
        <f>INDEX(Regional.Technologies[Description],MATCH($B$2&amp;"."&amp;assumptions.costs[[#This Row],[Technology code]],Regional.Technologies[Code],0))</f>
        <v>Global Geothermal</v>
      </c>
      <c r="E185" s="159" t="s">
        <v>579</v>
      </c>
      <c r="F185" s="159" t="e">
        <f>INDEX(Region.codes[Description],MATCH(#REF!,Region.codes[Code],0))&amp;" "&amp;INDEX(Cost.vectors[Description],MATCH(E185,Cost.vectors[Code],0))</f>
        <v>#REF!</v>
      </c>
      <c r="G185" s="159"/>
      <c r="H185" s="159"/>
      <c r="I185" s="159">
        <f>(5)*MGBP/Unit.GW*INDEX(assumptions.technology.baseyear[[Unit capacity]:[Unit capacity]],MATCH($D185,assumptions.technology.baseyear[[Description]:[Description]],0))*Unit.GW</f>
        <v>50000</v>
      </c>
      <c r="J185" s="159">
        <f>(5)*MGBP/Unit.GW*INDEX(assumptions.technology.baseyear[[Unit capacity]:[Unit capacity]],MATCH($D185,assumptions.technology.baseyear[[Description]:[Description]],0))*Unit.GW</f>
        <v>50000</v>
      </c>
      <c r="K185" s="159">
        <f>(5)*MGBP/Unit.GW*INDEX(assumptions.technology.baseyear[[Unit capacity]:[Unit capacity]],MATCH($D185,assumptions.technology.baseyear[[Description]:[Description]],0))*Unit.GW</f>
        <v>50000</v>
      </c>
      <c r="L185" s="159">
        <f>(5)*MGBP/Unit.GW*INDEX(assumptions.technology.baseyear[[Unit capacity]:[Unit capacity]],MATCH($D185,assumptions.technology.baseyear[[Description]:[Description]],0))*Unit.GW</f>
        <v>50000</v>
      </c>
      <c r="M185" s="159">
        <f>(5)*MGBP/Unit.GW*INDEX(assumptions.technology.baseyear[[Unit capacity]:[Unit capacity]],MATCH($D185,assumptions.technology.baseyear[[Description]:[Description]],0))*Unit.GW</f>
        <v>50000</v>
      </c>
      <c r="N185" s="159">
        <f>(5)*MGBP/Unit.GW*INDEX(assumptions.technology.baseyear[[Unit capacity]:[Unit capacity]],MATCH($D185,assumptions.technology.baseyear[[Description]:[Description]],0))*Unit.GW</f>
        <v>50000</v>
      </c>
      <c r="O185" s="159">
        <f>(5)*MGBP/Unit.GW*INDEX(assumptions.technology.baseyear[[Unit capacity]:[Unit capacity]],MATCH($D185,assumptions.technology.baseyear[[Description]:[Description]],0))*Unit.GW</f>
        <v>50000</v>
      </c>
      <c r="P185" s="159">
        <f>(5)*MGBP/Unit.GW*INDEX(assumptions.technology.baseyear[[Unit capacity]:[Unit capacity]],MATCH($D185,assumptions.technology.baseyear[[Description]:[Description]],0))*Unit.GW</f>
        <v>50000</v>
      </c>
      <c r="Q185" s="159">
        <f>(5)*MGBP/Unit.GW*INDEX(assumptions.technology.baseyear[[Unit capacity]:[Unit capacity]],MATCH($D185,assumptions.technology.baseyear[[Description]:[Description]],0))*Unit.GW</f>
        <v>50000</v>
      </c>
      <c r="R185" s="159"/>
      <c r="T185" s="20"/>
      <c r="U185" s="20"/>
      <c r="V185" s="20"/>
      <c r="W185" s="20"/>
      <c r="X185" s="20"/>
    </row>
    <row r="186" spans="2:24">
      <c r="B186" s="159"/>
      <c r="C186" s="159" t="s">
        <v>745</v>
      </c>
      <c r="D186" s="159" t="str">
        <f>INDEX(Regional.Technologies[Description],MATCH($B$2&amp;"."&amp;assumptions.costs[[#This Row],[Technology code]],Regional.Technologies[Code],0))</f>
        <v>Global Geothermal</v>
      </c>
      <c r="E186" s="159" t="s">
        <v>580</v>
      </c>
      <c r="F186" s="159" t="e">
        <f>INDEX(Region.codes[Description],MATCH(#REF!,Region.codes[Code],0))&amp;" "&amp;INDEX(Cost.vectors[Description],MATCH(E186,Cost.vectors[Code],0))</f>
        <v>#REF!</v>
      </c>
      <c r="G186" s="159"/>
      <c r="H186" s="159"/>
      <c r="I186" s="159">
        <f>(5)*MGBP/Unit.GW*INDEX(assumptions.technology.baseyear[[Unit capacity]:[Unit capacity]],MATCH($D186,assumptions.technology.baseyear[[Description]:[Description]],0))*Unit.GW</f>
        <v>50000</v>
      </c>
      <c r="J186" s="159">
        <f>(5)*MGBP/Unit.GW*INDEX(assumptions.technology.baseyear[[Unit capacity]:[Unit capacity]],MATCH($D186,assumptions.technology.baseyear[[Description]:[Description]],0))*Unit.GW</f>
        <v>50000</v>
      </c>
      <c r="K186" s="159">
        <f>(5)*MGBP/Unit.GW*INDEX(assumptions.technology.baseyear[[Unit capacity]:[Unit capacity]],MATCH($D186,assumptions.technology.baseyear[[Description]:[Description]],0))*Unit.GW</f>
        <v>50000</v>
      </c>
      <c r="L186" s="159">
        <f>(5)*MGBP/Unit.GW*INDEX(assumptions.technology.baseyear[[Unit capacity]:[Unit capacity]],MATCH($D186,assumptions.technology.baseyear[[Description]:[Description]],0))*Unit.GW</f>
        <v>50000</v>
      </c>
      <c r="M186" s="159">
        <f>(5)*MGBP/Unit.GW*INDEX(assumptions.technology.baseyear[[Unit capacity]:[Unit capacity]],MATCH($D186,assumptions.technology.baseyear[[Description]:[Description]],0))*Unit.GW</f>
        <v>50000</v>
      </c>
      <c r="N186" s="159">
        <f>(5)*MGBP/Unit.GW*INDEX(assumptions.technology.baseyear[[Unit capacity]:[Unit capacity]],MATCH($D186,assumptions.technology.baseyear[[Description]:[Description]],0))*Unit.GW</f>
        <v>50000</v>
      </c>
      <c r="O186" s="159">
        <f>(5)*MGBP/Unit.GW*INDEX(assumptions.technology.baseyear[[Unit capacity]:[Unit capacity]],MATCH($D186,assumptions.technology.baseyear[[Description]:[Description]],0))*Unit.GW</f>
        <v>50000</v>
      </c>
      <c r="P186" s="159">
        <f>(5)*MGBP/Unit.GW*INDEX(assumptions.technology.baseyear[[Unit capacity]:[Unit capacity]],MATCH($D186,assumptions.technology.baseyear[[Description]:[Description]],0))*Unit.GW</f>
        <v>50000</v>
      </c>
      <c r="Q186" s="159">
        <f>(5)*MGBP/Unit.GW*INDEX(assumptions.technology.baseyear[[Unit capacity]:[Unit capacity]],MATCH($D186,assumptions.technology.baseyear[[Description]:[Description]],0))*Unit.GW</f>
        <v>50000</v>
      </c>
      <c r="R186" s="159"/>
      <c r="T186" s="20"/>
      <c r="U186" s="20"/>
      <c r="V186" s="20"/>
      <c r="W186" s="20"/>
      <c r="X186" s="20"/>
    </row>
    <row r="187" spans="2:24">
      <c r="B187" s="159"/>
      <c r="C187" s="159" t="s">
        <v>745</v>
      </c>
      <c r="D187" s="159" t="str">
        <f>INDEX(Regional.Technologies[Description],MATCH($B$2&amp;"."&amp;assumptions.costs[[#This Row],[Technology code]],Regional.Technologies[Code],0))</f>
        <v>Global Geothermal</v>
      </c>
      <c r="E187" s="159" t="s">
        <v>581</v>
      </c>
      <c r="F187" s="159" t="e">
        <f>INDEX(Region.codes[Description],MATCH(#REF!,Region.codes[Code],0))&amp;" "&amp;INDEX(Cost.vectors[Description],MATCH(E187,Cost.vectors[Code],0))</f>
        <v>#REF!</v>
      </c>
      <c r="G187" s="159"/>
      <c r="H187" s="159"/>
      <c r="I187" s="159">
        <f>(5)*MGBP/Unit.GW*INDEX(assumptions.technology.baseyear[[Unit capacity]:[Unit capacity]],MATCH($D187,assumptions.technology.baseyear[[Description]:[Description]],0))*Unit.GW</f>
        <v>50000</v>
      </c>
      <c r="J187" s="159">
        <f>(5)*MGBP/Unit.GW*INDEX(assumptions.technology.baseyear[[Unit capacity]:[Unit capacity]],MATCH($D187,assumptions.technology.baseyear[[Description]:[Description]],0))*Unit.GW</f>
        <v>50000</v>
      </c>
      <c r="K187" s="159">
        <f>(5)*MGBP/Unit.GW*INDEX(assumptions.technology.baseyear[[Unit capacity]:[Unit capacity]],MATCH($D187,assumptions.technology.baseyear[[Description]:[Description]],0))*Unit.GW</f>
        <v>50000</v>
      </c>
      <c r="L187" s="159">
        <f>(5)*MGBP/Unit.GW*INDEX(assumptions.technology.baseyear[[Unit capacity]:[Unit capacity]],MATCH($D187,assumptions.technology.baseyear[[Description]:[Description]],0))*Unit.GW</f>
        <v>50000</v>
      </c>
      <c r="M187" s="159">
        <f>(5)*MGBP/Unit.GW*INDEX(assumptions.technology.baseyear[[Unit capacity]:[Unit capacity]],MATCH($D187,assumptions.technology.baseyear[[Description]:[Description]],0))*Unit.GW</f>
        <v>50000</v>
      </c>
      <c r="N187" s="159">
        <f>(5)*MGBP/Unit.GW*INDEX(assumptions.technology.baseyear[[Unit capacity]:[Unit capacity]],MATCH($D187,assumptions.technology.baseyear[[Description]:[Description]],0))*Unit.GW</f>
        <v>50000</v>
      </c>
      <c r="O187" s="159">
        <f>(5)*MGBP/Unit.GW*INDEX(assumptions.technology.baseyear[[Unit capacity]:[Unit capacity]],MATCH($D187,assumptions.technology.baseyear[[Description]:[Description]],0))*Unit.GW</f>
        <v>50000</v>
      </c>
      <c r="P187" s="159">
        <f>(5)*MGBP/Unit.GW*INDEX(assumptions.technology.baseyear[[Unit capacity]:[Unit capacity]],MATCH($D187,assumptions.technology.baseyear[[Description]:[Description]],0))*Unit.GW</f>
        <v>50000</v>
      </c>
      <c r="Q187" s="159">
        <f>(5)*MGBP/Unit.GW*INDEX(assumptions.technology.baseyear[[Unit capacity]:[Unit capacity]],MATCH($D187,assumptions.technology.baseyear[[Description]:[Description]],0))*Unit.GW</f>
        <v>50000</v>
      </c>
      <c r="R187" s="159"/>
      <c r="T187" s="20"/>
      <c r="U187" s="20"/>
      <c r="V187" s="20"/>
      <c r="W187" s="20"/>
      <c r="X187" s="20"/>
    </row>
    <row r="188" spans="2:24">
      <c r="B188" s="159"/>
      <c r="C188" s="159" t="s">
        <v>745</v>
      </c>
      <c r="D188" s="159" t="str">
        <f>INDEX(Regional.Technologies[Description],MATCH($B$2&amp;"."&amp;assumptions.costs[[#This Row],[Technology code]],Regional.Technologies[Code],0))</f>
        <v>Global Geothermal</v>
      </c>
      <c r="E188" s="159" t="s">
        <v>582</v>
      </c>
      <c r="F188" s="159" t="e">
        <f>INDEX(Region.codes[Description],MATCH(#REF!,Region.codes[Code],0))&amp;" "&amp;INDEX(Cost.vectors[Description],MATCH(E188,Cost.vectors[Code],0))</f>
        <v>#REF!</v>
      </c>
      <c r="G188" s="159"/>
      <c r="H188" s="159"/>
      <c r="I188" s="159">
        <f>(5)*MGBP/Unit.GW*INDEX(assumptions.technology.baseyear[[Unit capacity]:[Unit capacity]],MATCH($D188,assumptions.technology.baseyear[[Description]:[Description]],0))*Unit.GW</f>
        <v>50000</v>
      </c>
      <c r="J188" s="159">
        <f>(5)*MGBP/Unit.GW*INDEX(assumptions.technology.baseyear[[Unit capacity]:[Unit capacity]],MATCH($D188,assumptions.technology.baseyear[[Description]:[Description]],0))*Unit.GW</f>
        <v>50000</v>
      </c>
      <c r="K188" s="159">
        <f>(5)*MGBP/Unit.GW*INDEX(assumptions.technology.baseyear[[Unit capacity]:[Unit capacity]],MATCH($D188,assumptions.technology.baseyear[[Description]:[Description]],0))*Unit.GW</f>
        <v>50000</v>
      </c>
      <c r="L188" s="159">
        <f>(5)*MGBP/Unit.GW*INDEX(assumptions.technology.baseyear[[Unit capacity]:[Unit capacity]],MATCH($D188,assumptions.technology.baseyear[[Description]:[Description]],0))*Unit.GW</f>
        <v>50000</v>
      </c>
      <c r="M188" s="159">
        <f>(5)*MGBP/Unit.GW*INDEX(assumptions.technology.baseyear[[Unit capacity]:[Unit capacity]],MATCH($D188,assumptions.technology.baseyear[[Description]:[Description]],0))*Unit.GW</f>
        <v>50000</v>
      </c>
      <c r="N188" s="159">
        <f>(5)*MGBP/Unit.GW*INDEX(assumptions.technology.baseyear[[Unit capacity]:[Unit capacity]],MATCH($D188,assumptions.technology.baseyear[[Description]:[Description]],0))*Unit.GW</f>
        <v>50000</v>
      </c>
      <c r="O188" s="159">
        <f>(5)*MGBP/Unit.GW*INDEX(assumptions.technology.baseyear[[Unit capacity]:[Unit capacity]],MATCH($D188,assumptions.technology.baseyear[[Description]:[Description]],0))*Unit.GW</f>
        <v>50000</v>
      </c>
      <c r="P188" s="159">
        <f>(5)*MGBP/Unit.GW*INDEX(assumptions.technology.baseyear[[Unit capacity]:[Unit capacity]],MATCH($D188,assumptions.technology.baseyear[[Description]:[Description]],0))*Unit.GW</f>
        <v>50000</v>
      </c>
      <c r="Q188" s="159">
        <f>(5)*MGBP/Unit.GW*INDEX(assumptions.technology.baseyear[[Unit capacity]:[Unit capacity]],MATCH($D188,assumptions.technology.baseyear[[Description]:[Description]],0))*Unit.GW</f>
        <v>50000</v>
      </c>
      <c r="R188" s="159"/>
      <c r="T188" s="20"/>
      <c r="U188" s="20"/>
      <c r="V188" s="20"/>
      <c r="W188" s="20"/>
      <c r="X188" s="20"/>
    </row>
    <row r="189" spans="2:24">
      <c r="B189" s="159"/>
      <c r="C189" s="159" t="s">
        <v>745</v>
      </c>
      <c r="D189" s="159" t="str">
        <f>INDEX(Regional.Technologies[Description],MATCH($B$2&amp;"."&amp;assumptions.costs[[#This Row],[Technology code]],Regional.Technologies[Code],0))</f>
        <v>Global Geothermal</v>
      </c>
      <c r="E189" s="159" t="s">
        <v>583</v>
      </c>
      <c r="F189" s="159" t="e">
        <f>INDEX(Region.codes[Description],MATCH(#REF!,Region.codes[Code],0))&amp;" "&amp;INDEX(Cost.vectors[Description],MATCH(E189,Cost.vectors[Code],0))</f>
        <v>#REF!</v>
      </c>
      <c r="G189" s="159"/>
      <c r="H189" s="159"/>
      <c r="I189" s="159">
        <f>(5)*MGBP/Unit.GW*INDEX(assumptions.technology.baseyear[[Unit capacity]:[Unit capacity]],MATCH($D189,assumptions.technology.baseyear[[Description]:[Description]],0))*Unit.GW</f>
        <v>50000</v>
      </c>
      <c r="J189" s="159">
        <f>(5)*MGBP/Unit.GW*INDEX(assumptions.technology.baseyear[[Unit capacity]:[Unit capacity]],MATCH($D189,assumptions.technology.baseyear[[Description]:[Description]],0))*Unit.GW</f>
        <v>50000</v>
      </c>
      <c r="K189" s="159">
        <f>(5)*MGBP/Unit.GW*INDEX(assumptions.technology.baseyear[[Unit capacity]:[Unit capacity]],MATCH($D189,assumptions.technology.baseyear[[Description]:[Description]],0))*Unit.GW</f>
        <v>50000</v>
      </c>
      <c r="L189" s="159">
        <f>(5)*MGBP/Unit.GW*INDEX(assumptions.technology.baseyear[[Unit capacity]:[Unit capacity]],MATCH($D189,assumptions.technology.baseyear[[Description]:[Description]],0))*Unit.GW</f>
        <v>50000</v>
      </c>
      <c r="M189" s="159">
        <f>(5)*MGBP/Unit.GW*INDEX(assumptions.technology.baseyear[[Unit capacity]:[Unit capacity]],MATCH($D189,assumptions.technology.baseyear[[Description]:[Description]],0))*Unit.GW</f>
        <v>50000</v>
      </c>
      <c r="N189" s="159">
        <f>(5)*MGBP/Unit.GW*INDEX(assumptions.technology.baseyear[[Unit capacity]:[Unit capacity]],MATCH($D189,assumptions.technology.baseyear[[Description]:[Description]],0))*Unit.GW</f>
        <v>50000</v>
      </c>
      <c r="O189" s="159">
        <f>(5)*MGBP/Unit.GW*INDEX(assumptions.technology.baseyear[[Unit capacity]:[Unit capacity]],MATCH($D189,assumptions.technology.baseyear[[Description]:[Description]],0))*Unit.GW</f>
        <v>50000</v>
      </c>
      <c r="P189" s="159">
        <f>(5)*MGBP/Unit.GW*INDEX(assumptions.technology.baseyear[[Unit capacity]:[Unit capacity]],MATCH($D189,assumptions.technology.baseyear[[Description]:[Description]],0))*Unit.GW</f>
        <v>50000</v>
      </c>
      <c r="Q189" s="159">
        <f>(5)*MGBP/Unit.GW*INDEX(assumptions.technology.baseyear[[Unit capacity]:[Unit capacity]],MATCH($D189,assumptions.technology.baseyear[[Description]:[Description]],0))*Unit.GW</f>
        <v>50000</v>
      </c>
      <c r="R189" s="159"/>
      <c r="T189" s="20"/>
      <c r="U189" s="20"/>
      <c r="V189" s="20"/>
      <c r="W189" s="20"/>
      <c r="X189" s="20"/>
    </row>
    <row r="190" spans="2:24">
      <c r="B190" s="159"/>
      <c r="C190" s="159" t="s">
        <v>746</v>
      </c>
      <c r="D190" s="159" t="str">
        <f>INDEX(Regional.Technologies[Description],MATCH($B$2&amp;"."&amp;assumptions.costs[[#This Row],[Technology code]],Regional.Technologies[Code],0))</f>
        <v>Global Storage unit</v>
      </c>
      <c r="E190" s="159" t="s">
        <v>578</v>
      </c>
      <c r="F190" s="159" t="e">
        <f>INDEX(Region.codes[Description],MATCH(#REF!,Region.codes[Code],0))&amp;" "&amp;INDEX(Cost.vectors[Description],MATCH(E190,Cost.vectors[Code],0))</f>
        <v>#REF!</v>
      </c>
      <c r="G190" s="159"/>
      <c r="H190" s="159"/>
      <c r="I190" s="159">
        <f>(5)*MGBP/Unit.GW*INDEX(assumptions.technology.baseyear[[Unit capacity]:[Unit capacity]],MATCH($D190,assumptions.technology.baseyear[[Description]:[Description]],0))*Unit.GW</f>
        <v>5000000</v>
      </c>
      <c r="J190" s="159">
        <f>(5)*MGBP/Unit.GW*INDEX(assumptions.technology.baseyear[[Unit capacity]:[Unit capacity]],MATCH($D190,assumptions.technology.baseyear[[Description]:[Description]],0))*Unit.GW</f>
        <v>5000000</v>
      </c>
      <c r="K190" s="159">
        <f>(5)*MGBP/Unit.GW*INDEX(assumptions.technology.baseyear[[Unit capacity]:[Unit capacity]],MATCH($D190,assumptions.technology.baseyear[[Description]:[Description]],0))*Unit.GW</f>
        <v>5000000</v>
      </c>
      <c r="L190" s="159">
        <f>(5)*MGBP/Unit.GW*INDEX(assumptions.technology.baseyear[[Unit capacity]:[Unit capacity]],MATCH($D190,assumptions.technology.baseyear[[Description]:[Description]],0))*Unit.GW</f>
        <v>5000000</v>
      </c>
      <c r="M190" s="159">
        <f>(5)*MGBP/Unit.GW*INDEX(assumptions.technology.baseyear[[Unit capacity]:[Unit capacity]],MATCH($D190,assumptions.technology.baseyear[[Description]:[Description]],0))*Unit.GW</f>
        <v>5000000</v>
      </c>
      <c r="N190" s="159">
        <f>(5)*MGBP/Unit.GW*INDEX(assumptions.technology.baseyear[[Unit capacity]:[Unit capacity]],MATCH($D190,assumptions.technology.baseyear[[Description]:[Description]],0))*Unit.GW</f>
        <v>5000000</v>
      </c>
      <c r="O190" s="159">
        <f>(5)*MGBP/Unit.GW*INDEX(assumptions.technology.baseyear[[Unit capacity]:[Unit capacity]],MATCH($D190,assumptions.technology.baseyear[[Description]:[Description]],0))*Unit.GW</f>
        <v>5000000</v>
      </c>
      <c r="P190" s="159">
        <f>(5)*MGBP/Unit.GW*INDEX(assumptions.technology.baseyear[[Unit capacity]:[Unit capacity]],MATCH($D190,assumptions.technology.baseyear[[Description]:[Description]],0))*Unit.GW</f>
        <v>5000000</v>
      </c>
      <c r="Q190" s="159">
        <f>(5)*MGBP/Unit.GW*INDEX(assumptions.technology.baseyear[[Unit capacity]:[Unit capacity]],MATCH($D190,assumptions.technology.baseyear[[Description]:[Description]],0))*Unit.GW</f>
        <v>5000000</v>
      </c>
      <c r="R190" s="159"/>
      <c r="T190" s="20"/>
      <c r="U190" s="20"/>
      <c r="V190" s="20"/>
      <c r="W190" s="20"/>
      <c r="X190" s="20"/>
    </row>
    <row r="191" spans="2:24">
      <c r="B191" s="159"/>
      <c r="C191" s="159" t="s">
        <v>746</v>
      </c>
      <c r="D191" s="159" t="str">
        <f>INDEX(Regional.Technologies[Description],MATCH($B$2&amp;"."&amp;assumptions.costs[[#This Row],[Technology code]],Regional.Technologies[Code],0))</f>
        <v>Global Storage unit</v>
      </c>
      <c r="E191" s="159" t="s">
        <v>579</v>
      </c>
      <c r="F191" s="159" t="e">
        <f>INDEX(Region.codes[Description],MATCH(#REF!,Region.codes[Code],0))&amp;" "&amp;INDEX(Cost.vectors[Description],MATCH(E191,Cost.vectors[Code],0))</f>
        <v>#REF!</v>
      </c>
      <c r="G191" s="159"/>
      <c r="H191" s="159"/>
      <c r="I191" s="159">
        <f>(5)*MGBP/Unit.GW*INDEX(assumptions.technology.baseyear[[Unit capacity]:[Unit capacity]],MATCH($D191,assumptions.technology.baseyear[[Description]:[Description]],0))*Unit.GW</f>
        <v>5000000</v>
      </c>
      <c r="J191" s="159">
        <f>(5)*MGBP/Unit.GW*INDEX(assumptions.technology.baseyear[[Unit capacity]:[Unit capacity]],MATCH($D191,assumptions.technology.baseyear[[Description]:[Description]],0))*Unit.GW</f>
        <v>5000000</v>
      </c>
      <c r="K191" s="159">
        <f>(5)*MGBP/Unit.GW*INDEX(assumptions.technology.baseyear[[Unit capacity]:[Unit capacity]],MATCH($D191,assumptions.technology.baseyear[[Description]:[Description]],0))*Unit.GW</f>
        <v>5000000</v>
      </c>
      <c r="L191" s="159">
        <f>(5)*MGBP/Unit.GW*INDEX(assumptions.technology.baseyear[[Unit capacity]:[Unit capacity]],MATCH($D191,assumptions.technology.baseyear[[Description]:[Description]],0))*Unit.GW</f>
        <v>5000000</v>
      </c>
      <c r="M191" s="159">
        <f>(5)*MGBP/Unit.GW*INDEX(assumptions.technology.baseyear[[Unit capacity]:[Unit capacity]],MATCH($D191,assumptions.technology.baseyear[[Description]:[Description]],0))*Unit.GW</f>
        <v>5000000</v>
      </c>
      <c r="N191" s="159">
        <f>(5)*MGBP/Unit.GW*INDEX(assumptions.technology.baseyear[[Unit capacity]:[Unit capacity]],MATCH($D191,assumptions.technology.baseyear[[Description]:[Description]],0))*Unit.GW</f>
        <v>5000000</v>
      </c>
      <c r="O191" s="159">
        <f>(5)*MGBP/Unit.GW*INDEX(assumptions.technology.baseyear[[Unit capacity]:[Unit capacity]],MATCH($D191,assumptions.technology.baseyear[[Description]:[Description]],0))*Unit.GW</f>
        <v>5000000</v>
      </c>
      <c r="P191" s="159">
        <f>(5)*MGBP/Unit.GW*INDEX(assumptions.technology.baseyear[[Unit capacity]:[Unit capacity]],MATCH($D191,assumptions.technology.baseyear[[Description]:[Description]],0))*Unit.GW</f>
        <v>5000000</v>
      </c>
      <c r="Q191" s="159">
        <f>(5)*MGBP/Unit.GW*INDEX(assumptions.technology.baseyear[[Unit capacity]:[Unit capacity]],MATCH($D191,assumptions.technology.baseyear[[Description]:[Description]],0))*Unit.GW</f>
        <v>5000000</v>
      </c>
      <c r="R191" s="159"/>
      <c r="T191" s="20"/>
      <c r="U191" s="20"/>
      <c r="V191" s="20"/>
      <c r="W191" s="20"/>
      <c r="X191" s="20"/>
    </row>
    <row r="192" spans="2:24">
      <c r="B192" s="159"/>
      <c r="C192" s="159" t="s">
        <v>746</v>
      </c>
      <c r="D192" s="159" t="str">
        <f>INDEX(Regional.Technologies[Description],MATCH($B$2&amp;"."&amp;assumptions.costs[[#This Row],[Technology code]],Regional.Technologies[Code],0))</f>
        <v>Global Storage unit</v>
      </c>
      <c r="E192" s="159" t="s">
        <v>580</v>
      </c>
      <c r="F192" s="159" t="e">
        <f>INDEX(Region.codes[Description],MATCH(#REF!,Region.codes[Code],0))&amp;" "&amp;INDEX(Cost.vectors[Description],MATCH(E192,Cost.vectors[Code],0))</f>
        <v>#REF!</v>
      </c>
      <c r="G192" s="159"/>
      <c r="H192" s="159"/>
      <c r="I192" s="159">
        <f>(5)*MGBP/Unit.GW*INDEX(assumptions.technology.baseyear[[Unit capacity]:[Unit capacity]],MATCH($D192,assumptions.technology.baseyear[[Description]:[Description]],0))*Unit.GW</f>
        <v>5000000</v>
      </c>
      <c r="J192" s="159">
        <f>(5)*MGBP/Unit.GW*INDEX(assumptions.technology.baseyear[[Unit capacity]:[Unit capacity]],MATCH($D192,assumptions.technology.baseyear[[Description]:[Description]],0))*Unit.GW</f>
        <v>5000000</v>
      </c>
      <c r="K192" s="159">
        <f>(5)*MGBP/Unit.GW*INDEX(assumptions.technology.baseyear[[Unit capacity]:[Unit capacity]],MATCH($D192,assumptions.technology.baseyear[[Description]:[Description]],0))*Unit.GW</f>
        <v>5000000</v>
      </c>
      <c r="L192" s="159">
        <f>(5)*MGBP/Unit.GW*INDEX(assumptions.technology.baseyear[[Unit capacity]:[Unit capacity]],MATCH($D192,assumptions.technology.baseyear[[Description]:[Description]],0))*Unit.GW</f>
        <v>5000000</v>
      </c>
      <c r="M192" s="159">
        <f>(5)*MGBP/Unit.GW*INDEX(assumptions.technology.baseyear[[Unit capacity]:[Unit capacity]],MATCH($D192,assumptions.technology.baseyear[[Description]:[Description]],0))*Unit.GW</f>
        <v>5000000</v>
      </c>
      <c r="N192" s="159">
        <f>(5)*MGBP/Unit.GW*INDEX(assumptions.technology.baseyear[[Unit capacity]:[Unit capacity]],MATCH($D192,assumptions.technology.baseyear[[Description]:[Description]],0))*Unit.GW</f>
        <v>5000000</v>
      </c>
      <c r="O192" s="159">
        <f>(5)*MGBP/Unit.GW*INDEX(assumptions.technology.baseyear[[Unit capacity]:[Unit capacity]],MATCH($D192,assumptions.technology.baseyear[[Description]:[Description]],0))*Unit.GW</f>
        <v>5000000</v>
      </c>
      <c r="P192" s="159">
        <f>(5)*MGBP/Unit.GW*INDEX(assumptions.technology.baseyear[[Unit capacity]:[Unit capacity]],MATCH($D192,assumptions.technology.baseyear[[Description]:[Description]],0))*Unit.GW</f>
        <v>5000000</v>
      </c>
      <c r="Q192" s="159">
        <f>(5)*MGBP/Unit.GW*INDEX(assumptions.technology.baseyear[[Unit capacity]:[Unit capacity]],MATCH($D192,assumptions.technology.baseyear[[Description]:[Description]],0))*Unit.GW</f>
        <v>5000000</v>
      </c>
      <c r="R192" s="159"/>
      <c r="T192" s="20"/>
      <c r="U192" s="20"/>
      <c r="V192" s="20"/>
      <c r="W192" s="20"/>
      <c r="X192" s="20"/>
    </row>
    <row r="193" spans="2:24">
      <c r="B193" s="159"/>
      <c r="C193" s="159" t="s">
        <v>746</v>
      </c>
      <c r="D193" s="159" t="str">
        <f>INDEX(Regional.Technologies[Description],MATCH($B$2&amp;"."&amp;assumptions.costs[[#This Row],[Technology code]],Regional.Technologies[Code],0))</f>
        <v>Global Storage unit</v>
      </c>
      <c r="E193" s="159" t="s">
        <v>581</v>
      </c>
      <c r="F193" s="159" t="e">
        <f>INDEX(Region.codes[Description],MATCH(#REF!,Region.codes[Code],0))&amp;" "&amp;INDEX(Cost.vectors[Description],MATCH(E193,Cost.vectors[Code],0))</f>
        <v>#REF!</v>
      </c>
      <c r="G193" s="159"/>
      <c r="H193" s="159"/>
      <c r="I193" s="159">
        <f>(5)*MGBP/Unit.GW*INDEX(assumptions.technology.baseyear[[Unit capacity]:[Unit capacity]],MATCH($D193,assumptions.technology.baseyear[[Description]:[Description]],0))*Unit.GW</f>
        <v>5000000</v>
      </c>
      <c r="J193" s="159">
        <f>(5)*MGBP/Unit.GW*INDEX(assumptions.technology.baseyear[[Unit capacity]:[Unit capacity]],MATCH($D193,assumptions.technology.baseyear[[Description]:[Description]],0))*Unit.GW</f>
        <v>5000000</v>
      </c>
      <c r="K193" s="159">
        <f>(5)*MGBP/Unit.GW*INDEX(assumptions.technology.baseyear[[Unit capacity]:[Unit capacity]],MATCH($D193,assumptions.technology.baseyear[[Description]:[Description]],0))*Unit.GW</f>
        <v>5000000</v>
      </c>
      <c r="L193" s="159">
        <f>(5)*MGBP/Unit.GW*INDEX(assumptions.technology.baseyear[[Unit capacity]:[Unit capacity]],MATCH($D193,assumptions.technology.baseyear[[Description]:[Description]],0))*Unit.GW</f>
        <v>5000000</v>
      </c>
      <c r="M193" s="159">
        <f>(5)*MGBP/Unit.GW*INDEX(assumptions.technology.baseyear[[Unit capacity]:[Unit capacity]],MATCH($D193,assumptions.technology.baseyear[[Description]:[Description]],0))*Unit.GW</f>
        <v>5000000</v>
      </c>
      <c r="N193" s="159">
        <f>(5)*MGBP/Unit.GW*INDEX(assumptions.technology.baseyear[[Unit capacity]:[Unit capacity]],MATCH($D193,assumptions.technology.baseyear[[Description]:[Description]],0))*Unit.GW</f>
        <v>5000000</v>
      </c>
      <c r="O193" s="159">
        <f>(5)*MGBP/Unit.GW*INDEX(assumptions.technology.baseyear[[Unit capacity]:[Unit capacity]],MATCH($D193,assumptions.technology.baseyear[[Description]:[Description]],0))*Unit.GW</f>
        <v>5000000</v>
      </c>
      <c r="P193" s="159">
        <f>(5)*MGBP/Unit.GW*INDEX(assumptions.technology.baseyear[[Unit capacity]:[Unit capacity]],MATCH($D193,assumptions.technology.baseyear[[Description]:[Description]],0))*Unit.GW</f>
        <v>5000000</v>
      </c>
      <c r="Q193" s="159">
        <f>(5)*MGBP/Unit.GW*INDEX(assumptions.technology.baseyear[[Unit capacity]:[Unit capacity]],MATCH($D193,assumptions.technology.baseyear[[Description]:[Description]],0))*Unit.GW</f>
        <v>5000000</v>
      </c>
      <c r="R193" s="159"/>
      <c r="T193" s="20"/>
      <c r="U193" s="20"/>
      <c r="V193" s="20"/>
      <c r="W193" s="20"/>
      <c r="X193" s="20"/>
    </row>
    <row r="194" spans="2:24">
      <c r="B194" s="159"/>
      <c r="C194" s="159" t="s">
        <v>746</v>
      </c>
      <c r="D194" s="159" t="str">
        <f>INDEX(Regional.Technologies[Description],MATCH($B$2&amp;"."&amp;assumptions.costs[[#This Row],[Technology code]],Regional.Technologies[Code],0))</f>
        <v>Global Storage unit</v>
      </c>
      <c r="E194" s="159" t="s">
        <v>582</v>
      </c>
      <c r="F194" s="159" t="e">
        <f>INDEX(Region.codes[Description],MATCH(#REF!,Region.codes[Code],0))&amp;" "&amp;INDEX(Cost.vectors[Description],MATCH(E194,Cost.vectors[Code],0))</f>
        <v>#REF!</v>
      </c>
      <c r="G194" s="159"/>
      <c r="H194" s="159"/>
      <c r="I194" s="159">
        <f>(5)*MGBP/Unit.GW*INDEX(assumptions.technology.baseyear[[Unit capacity]:[Unit capacity]],MATCH($D194,assumptions.technology.baseyear[[Description]:[Description]],0))*Unit.GW</f>
        <v>5000000</v>
      </c>
      <c r="J194" s="159">
        <f>(5)*MGBP/Unit.GW*INDEX(assumptions.technology.baseyear[[Unit capacity]:[Unit capacity]],MATCH($D194,assumptions.technology.baseyear[[Description]:[Description]],0))*Unit.GW</f>
        <v>5000000</v>
      </c>
      <c r="K194" s="159">
        <f>(5)*MGBP/Unit.GW*INDEX(assumptions.technology.baseyear[[Unit capacity]:[Unit capacity]],MATCH($D194,assumptions.technology.baseyear[[Description]:[Description]],0))*Unit.GW</f>
        <v>5000000</v>
      </c>
      <c r="L194" s="159">
        <f>(5)*MGBP/Unit.GW*INDEX(assumptions.technology.baseyear[[Unit capacity]:[Unit capacity]],MATCH($D194,assumptions.technology.baseyear[[Description]:[Description]],0))*Unit.GW</f>
        <v>5000000</v>
      </c>
      <c r="M194" s="159">
        <f>(5)*MGBP/Unit.GW*INDEX(assumptions.technology.baseyear[[Unit capacity]:[Unit capacity]],MATCH($D194,assumptions.technology.baseyear[[Description]:[Description]],0))*Unit.GW</f>
        <v>5000000</v>
      </c>
      <c r="N194" s="159">
        <f>(5)*MGBP/Unit.GW*INDEX(assumptions.technology.baseyear[[Unit capacity]:[Unit capacity]],MATCH($D194,assumptions.technology.baseyear[[Description]:[Description]],0))*Unit.GW</f>
        <v>5000000</v>
      </c>
      <c r="O194" s="159">
        <f>(5)*MGBP/Unit.GW*INDEX(assumptions.technology.baseyear[[Unit capacity]:[Unit capacity]],MATCH($D194,assumptions.technology.baseyear[[Description]:[Description]],0))*Unit.GW</f>
        <v>5000000</v>
      </c>
      <c r="P194" s="159">
        <f>(5)*MGBP/Unit.GW*INDEX(assumptions.technology.baseyear[[Unit capacity]:[Unit capacity]],MATCH($D194,assumptions.technology.baseyear[[Description]:[Description]],0))*Unit.GW</f>
        <v>5000000</v>
      </c>
      <c r="Q194" s="159">
        <f>(5)*MGBP/Unit.GW*INDEX(assumptions.technology.baseyear[[Unit capacity]:[Unit capacity]],MATCH($D194,assumptions.technology.baseyear[[Description]:[Description]],0))*Unit.GW</f>
        <v>5000000</v>
      </c>
      <c r="R194" s="159"/>
      <c r="T194" s="20"/>
      <c r="U194" s="20"/>
      <c r="V194" s="20"/>
      <c r="W194" s="20"/>
      <c r="X194" s="20"/>
    </row>
    <row r="195" spans="2:24" ht="15" thickBot="1">
      <c r="B195" s="159"/>
      <c r="C195" s="162" t="s">
        <v>746</v>
      </c>
      <c r="D195" s="162" t="str">
        <f>INDEX(Regional.Technologies[Description],MATCH($B$2&amp;"."&amp;assumptions.costs[[#This Row],[Technology code]],Regional.Technologies[Code],0))</f>
        <v>Global Storage unit</v>
      </c>
      <c r="E195" s="162" t="s">
        <v>583</v>
      </c>
      <c r="F195" s="162" t="e">
        <f>INDEX(Region.codes[Description],MATCH(#REF!,Region.codes[Code],0))&amp;" "&amp;INDEX(Cost.vectors[Description],MATCH(E195,Cost.vectors[Code],0))</f>
        <v>#REF!</v>
      </c>
      <c r="G195" s="162"/>
      <c r="H195" s="162"/>
      <c r="I195" s="162">
        <f>(5)*MGBP/Unit.GW*INDEX(assumptions.technology.baseyear[[Unit capacity]:[Unit capacity]],MATCH($D195,assumptions.technology.baseyear[[Description]:[Description]],0))*Unit.GW</f>
        <v>5000000</v>
      </c>
      <c r="J195" s="162">
        <f>(5)*MGBP/Unit.GW*INDEX(assumptions.technology.baseyear[[Unit capacity]:[Unit capacity]],MATCH($D195,assumptions.technology.baseyear[[Description]:[Description]],0))*Unit.GW</f>
        <v>5000000</v>
      </c>
      <c r="K195" s="162">
        <f>(5)*MGBP/Unit.GW*INDEX(assumptions.technology.baseyear[[Unit capacity]:[Unit capacity]],MATCH($D195,assumptions.technology.baseyear[[Description]:[Description]],0))*Unit.GW</f>
        <v>5000000</v>
      </c>
      <c r="L195" s="162">
        <f>(5)*MGBP/Unit.GW*INDEX(assumptions.technology.baseyear[[Unit capacity]:[Unit capacity]],MATCH($D195,assumptions.technology.baseyear[[Description]:[Description]],0))*Unit.GW</f>
        <v>5000000</v>
      </c>
      <c r="M195" s="162">
        <f>(5)*MGBP/Unit.GW*INDEX(assumptions.technology.baseyear[[Unit capacity]:[Unit capacity]],MATCH($D195,assumptions.technology.baseyear[[Description]:[Description]],0))*Unit.GW</f>
        <v>5000000</v>
      </c>
      <c r="N195" s="162">
        <f>(5)*MGBP/Unit.GW*INDEX(assumptions.technology.baseyear[[Unit capacity]:[Unit capacity]],MATCH($D195,assumptions.technology.baseyear[[Description]:[Description]],0))*Unit.GW</f>
        <v>5000000</v>
      </c>
      <c r="O195" s="162">
        <f>(5)*MGBP/Unit.GW*INDEX(assumptions.technology.baseyear[[Unit capacity]:[Unit capacity]],MATCH($D195,assumptions.technology.baseyear[[Description]:[Description]],0))*Unit.GW</f>
        <v>5000000</v>
      </c>
      <c r="P195" s="162">
        <f>(5)*MGBP/Unit.GW*INDEX(assumptions.technology.baseyear[[Unit capacity]:[Unit capacity]],MATCH($D195,assumptions.technology.baseyear[[Description]:[Description]],0))*Unit.GW</f>
        <v>5000000</v>
      </c>
      <c r="Q195" s="162">
        <f>(5)*MGBP/Unit.GW*INDEX(assumptions.technology.baseyear[[Unit capacity]:[Unit capacity]],MATCH($D195,assumptions.technology.baseyear[[Description]:[Description]],0))*Unit.GW</f>
        <v>5000000</v>
      </c>
      <c r="R195" s="159"/>
      <c r="T195" s="20"/>
      <c r="U195" s="20"/>
      <c r="V195" s="20"/>
      <c r="W195" s="20"/>
      <c r="X195" s="20"/>
    </row>
    <row r="196" spans="2:24">
      <c r="B196" s="159"/>
      <c r="C196" s="159"/>
      <c r="D196" s="159"/>
      <c r="E196" s="159"/>
      <c r="F196" s="159"/>
      <c r="G196" s="159"/>
      <c r="H196" s="159"/>
      <c r="I196" s="159"/>
      <c r="J196" s="159"/>
      <c r="K196" s="159"/>
      <c r="L196" s="159"/>
      <c r="M196" s="159"/>
      <c r="N196" s="159"/>
      <c r="O196" s="159"/>
      <c r="P196" s="159"/>
      <c r="Q196" s="159"/>
      <c r="R196" s="159"/>
      <c r="T196" s="20"/>
      <c r="U196" s="20"/>
      <c r="V196" s="20"/>
      <c r="W196" s="20"/>
      <c r="X196" s="20"/>
    </row>
    <row r="197" spans="2:24">
      <c r="B197" s="159"/>
      <c r="C197" s="159"/>
      <c r="D197" s="159"/>
      <c r="E197" s="159"/>
      <c r="F197" s="159"/>
      <c r="G197" s="159"/>
      <c r="H197" s="159"/>
      <c r="I197" s="159"/>
      <c r="J197" s="159"/>
      <c r="K197" s="159"/>
      <c r="L197" s="159"/>
      <c r="M197" s="159"/>
      <c r="N197" s="159"/>
      <c r="O197" s="159"/>
      <c r="P197" s="159"/>
      <c r="Q197" s="159"/>
      <c r="R197" s="159"/>
      <c r="T197" s="20"/>
      <c r="U197" s="20"/>
      <c r="V197" s="20"/>
      <c r="W197" s="20"/>
      <c r="X197" s="20"/>
    </row>
    <row r="198" spans="2:24">
      <c r="B198" s="159"/>
      <c r="C198" s="159"/>
      <c r="D198" s="159"/>
      <c r="E198" s="159"/>
      <c r="F198" s="159"/>
      <c r="G198" s="159"/>
      <c r="H198" s="159"/>
      <c r="I198" s="159"/>
      <c r="J198" s="159"/>
      <c r="K198" s="159"/>
      <c r="L198" s="159"/>
      <c r="M198" s="159"/>
      <c r="N198" s="159"/>
      <c r="O198" s="159"/>
      <c r="P198" s="159"/>
      <c r="Q198" s="159"/>
      <c r="R198" s="159"/>
      <c r="T198" s="20"/>
      <c r="U198" s="20"/>
      <c r="V198" s="20"/>
      <c r="W198" s="20"/>
      <c r="X198" s="20"/>
    </row>
    <row r="199" spans="2:24">
      <c r="C199" s="125" t="s">
        <v>642</v>
      </c>
    </row>
  </sheetData>
  <phoneticPr fontId="79" type="noConversion"/>
  <hyperlinks>
    <hyperlink ref="E2" location="Contents!A1" display="Click here to go to the &quot;contents&quot; page"/>
  </hyperlinks>
  <pageMargins left="0.7" right="0.7" top="0.75" bottom="0.75" header="0.3" footer="0.3"/>
  <pageSetup paperSize="9" orientation="portrait"/>
  <drawing r:id="rId1"/>
  <tableParts count="3">
    <tablePart r:id="rId2"/>
    <tablePart r:id="rId3"/>
    <tablePart r:id="rId4"/>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tint="-0.249977111117893"/>
    <outlinePr summaryBelow="0"/>
  </sheetPr>
  <dimension ref="A1:AA2587"/>
  <sheetViews>
    <sheetView showGridLines="0" topLeftCell="A1758" zoomScale="85" zoomScaleNormal="85" zoomScalePageLayoutView="85" workbookViewId="0">
      <selection activeCell="D2298" sqref="D2298"/>
    </sheetView>
  </sheetViews>
  <sheetFormatPr baseColWidth="10" defaultColWidth="8.6640625" defaultRowHeight="14" customHeight="1" outlineLevelRow="2" x14ac:dyDescent="0"/>
  <cols>
    <col min="1" max="1" width="3.6640625" style="219" customWidth="1"/>
    <col min="2" max="2" width="4.5" style="219" customWidth="1"/>
    <col min="3" max="3" width="26" style="219" customWidth="1"/>
    <col min="4" max="4" width="44.33203125" style="219" customWidth="1"/>
    <col min="5" max="5" width="30.6640625" style="219" customWidth="1"/>
    <col min="6" max="6" width="14" style="219" customWidth="1"/>
    <col min="7" max="7" width="19.6640625" style="219" customWidth="1"/>
    <col min="8" max="8" width="10.1640625" style="219" customWidth="1"/>
    <col min="9" max="9" width="12.33203125" style="219" customWidth="1"/>
    <col min="10" max="10" width="10.1640625" style="219" customWidth="1"/>
    <col min="11" max="11" width="14.1640625" style="219" customWidth="1"/>
    <col min="12" max="18" width="10.1640625" style="219" customWidth="1"/>
    <col min="19" max="19" width="5.6640625" style="219" customWidth="1"/>
    <col min="20" max="20" width="49.33203125" style="219" customWidth="1"/>
    <col min="21" max="21" width="53.6640625" style="219" bestFit="1" customWidth="1"/>
    <col min="22" max="22" width="46.33203125" style="219" customWidth="1"/>
    <col min="23" max="23" width="21" style="219" customWidth="1"/>
    <col min="24" max="24" width="36.1640625" style="219" customWidth="1"/>
    <col min="25" max="16384" width="8.6640625" style="219"/>
  </cols>
  <sheetData>
    <row r="1" spans="1:24" ht="10.5" customHeight="1">
      <c r="A1" s="118"/>
    </row>
    <row r="2" spans="1:24" ht="20">
      <c r="A2" s="118"/>
      <c r="B2" s="9" t="s">
        <v>360</v>
      </c>
      <c r="C2" s="9" t="str">
        <f>INDEX(Region.codes[Description],MATCH(B2,Region.codes[Code],0))</f>
        <v>Global</v>
      </c>
      <c r="E2" s="99" t="s">
        <v>350</v>
      </c>
      <c r="P2" s="219" t="s">
        <v>879</v>
      </c>
    </row>
    <row r="3" spans="1:24" ht="20">
      <c r="A3" s="118"/>
      <c r="B3" s="9">
        <v>30</v>
      </c>
      <c r="C3" s="9" t="str">
        <f>INDEX(Sector.codes[[Description ]],MATCH(B3,Sector.codes[Code],0))</f>
        <v>Materials</v>
      </c>
      <c r="J3" s="57"/>
    </row>
    <row r="4" spans="1:24" ht="20">
      <c r="A4" s="118"/>
      <c r="B4" s="9"/>
    </row>
    <row r="5" spans="1:24" ht="15" customHeight="1">
      <c r="A5" s="118"/>
      <c r="B5" s="41" t="s">
        <v>612</v>
      </c>
      <c r="C5" s="41"/>
      <c r="D5" s="41"/>
      <c r="E5" s="41"/>
      <c r="F5" s="41"/>
      <c r="G5" s="41"/>
      <c r="H5" s="41"/>
      <c r="I5" s="41"/>
      <c r="J5" s="41"/>
      <c r="K5" s="41"/>
      <c r="L5" s="41"/>
      <c r="M5" s="41"/>
      <c r="N5" s="41"/>
      <c r="O5" s="41"/>
      <c r="P5" s="41"/>
      <c r="Q5" s="41"/>
      <c r="R5" s="41"/>
      <c r="T5" s="41" t="s">
        <v>872</v>
      </c>
      <c r="U5" s="41"/>
      <c r="V5" s="41"/>
      <c r="W5" s="41"/>
      <c r="X5" s="41"/>
    </row>
    <row r="6" spans="1:24" ht="15" customHeight="1">
      <c r="A6" s="118"/>
      <c r="B6" s="121"/>
      <c r="C6" s="121"/>
      <c r="D6" s="121"/>
      <c r="E6" s="121"/>
      <c r="F6" s="121"/>
      <c r="G6" s="121"/>
      <c r="H6" s="121"/>
      <c r="I6" s="121"/>
      <c r="J6" s="121"/>
      <c r="K6" s="121"/>
      <c r="L6" s="121"/>
      <c r="M6" s="121"/>
      <c r="N6" s="121"/>
      <c r="O6" s="121"/>
      <c r="P6" s="121"/>
      <c r="Q6" s="121"/>
      <c r="R6" s="121"/>
      <c r="T6" s="179" t="s">
        <v>481</v>
      </c>
      <c r="U6" s="179" t="s">
        <v>868</v>
      </c>
      <c r="V6" s="179" t="s">
        <v>873</v>
      </c>
      <c r="W6" s="179" t="s">
        <v>869</v>
      </c>
      <c r="X6" s="179" t="s">
        <v>870</v>
      </c>
    </row>
    <row r="7" spans="1:24" ht="15" customHeight="1" thickBot="1">
      <c r="A7" s="118"/>
      <c r="B7" s="121"/>
      <c r="C7" s="121"/>
      <c r="D7" s="121"/>
      <c r="E7" s="121"/>
      <c r="F7" s="121"/>
      <c r="G7" s="121"/>
      <c r="H7" s="121"/>
      <c r="I7" s="121"/>
      <c r="J7" s="121"/>
      <c r="K7" s="121"/>
      <c r="L7" s="121"/>
      <c r="M7" s="121"/>
      <c r="N7" s="121"/>
      <c r="O7" s="121"/>
      <c r="P7" s="121"/>
      <c r="Q7" s="121"/>
      <c r="R7" s="121"/>
      <c r="T7" s="20"/>
      <c r="U7" s="20"/>
      <c r="V7" s="20"/>
      <c r="W7" s="20"/>
      <c r="X7" s="20"/>
    </row>
    <row r="8" spans="1:24" ht="15" customHeight="1">
      <c r="A8" s="118"/>
      <c r="B8" s="121"/>
      <c r="C8" s="183" t="s">
        <v>611</v>
      </c>
      <c r="D8" s="183" t="s">
        <v>496</v>
      </c>
      <c r="E8" s="184" t="s">
        <v>1196</v>
      </c>
      <c r="F8" s="184" t="s">
        <v>207</v>
      </c>
      <c r="G8" s="121"/>
      <c r="H8" s="238"/>
      <c r="I8" s="121"/>
      <c r="J8" s="121"/>
      <c r="K8" s="121"/>
      <c r="L8" s="121"/>
      <c r="M8" s="121"/>
      <c r="N8" s="121"/>
      <c r="O8" s="121"/>
      <c r="P8" s="121"/>
      <c r="Q8" s="121"/>
      <c r="R8" s="121"/>
      <c r="W8" s="20"/>
      <c r="X8" s="20"/>
    </row>
    <row r="9" spans="1:24" ht="15" customHeight="1">
      <c r="A9" s="392"/>
      <c r="B9" s="121"/>
      <c r="C9" s="217">
        <v>1</v>
      </c>
      <c r="D9" s="121" t="str">
        <f ca="1">OFFSET(INDIRECT("user.choice."&amp;$B$3&amp;"."&amp;C9),0,-1)</f>
        <v>Demand for products</v>
      </c>
      <c r="E9" s="280" t="str">
        <f ca="1">G.30.Levers[[#This Row],[Lever]]</f>
        <v>Demand for products</v>
      </c>
      <c r="F9" s="223">
        <f ca="1">INDIRECT("user.choice."&amp;$B$3&amp;"."&amp;C9)</f>
        <v>1</v>
      </c>
      <c r="G9" s="324"/>
      <c r="H9" s="121"/>
      <c r="I9" s="121"/>
      <c r="J9" s="121"/>
      <c r="K9" s="121"/>
      <c r="L9" s="121"/>
      <c r="M9" s="121"/>
      <c r="N9" s="121"/>
      <c r="O9" s="121"/>
      <c r="P9" s="121"/>
      <c r="Q9" s="121"/>
      <c r="R9" s="121"/>
      <c r="T9" s="179" t="str">
        <f>$T$6</f>
        <v>Source</v>
      </c>
      <c r="U9" s="179" t="str">
        <f>$U$6</f>
        <v>Link</v>
      </c>
      <c r="V9" s="179" t="str">
        <f>$V$6</f>
        <v>Risk (Green, Amber/Green, Amber, Red/Amber, Red)</v>
      </c>
      <c r="W9" s="179" t="s">
        <v>869</v>
      </c>
      <c r="X9" s="179" t="str">
        <f>$X$6</f>
        <v>Comment author</v>
      </c>
    </row>
    <row r="10" spans="1:24" ht="15" customHeight="1" outlineLevel="1">
      <c r="A10" s="392"/>
      <c r="B10" s="121"/>
      <c r="C10" s="342" t="s">
        <v>2059</v>
      </c>
      <c r="D10" s="169" t="s">
        <v>1870</v>
      </c>
      <c r="E10" s="280" t="str">
        <f>G.30.Levers[[#This Row],[Lever]]</f>
        <v>Reduce products</v>
      </c>
      <c r="F10" s="393">
        <f ca="1">F9</f>
        <v>1</v>
      </c>
      <c r="G10" s="324" t="s">
        <v>2014</v>
      </c>
      <c r="H10" s="329" t="s">
        <v>2060</v>
      </c>
      <c r="I10" s="121"/>
      <c r="J10" s="121"/>
      <c r="K10" s="121"/>
      <c r="L10" s="121"/>
      <c r="M10" s="121"/>
      <c r="N10" s="121"/>
      <c r="O10" s="121"/>
      <c r="P10" s="121"/>
      <c r="Q10" s="121"/>
      <c r="R10" s="121"/>
      <c r="W10" s="20"/>
      <c r="X10" s="20"/>
    </row>
    <row r="11" spans="1:24" ht="15" customHeight="1" outlineLevel="1">
      <c r="A11" s="392"/>
      <c r="B11" s="121"/>
      <c r="C11" s="342" t="s">
        <v>2061</v>
      </c>
      <c r="D11" s="169" t="s">
        <v>1871</v>
      </c>
      <c r="E11" s="280" t="str">
        <f>G.30.Levers[[#This Row],[Lever]]</f>
        <v>Reuse products</v>
      </c>
      <c r="F11" s="393">
        <f ca="1">F10</f>
        <v>1</v>
      </c>
      <c r="G11" s="324"/>
      <c r="H11" s="121"/>
      <c r="I11" s="121"/>
      <c r="J11" s="121"/>
      <c r="K11" s="121"/>
      <c r="L11" s="121"/>
      <c r="M11" s="121"/>
      <c r="N11" s="121"/>
      <c r="O11" s="121"/>
      <c r="P11" s="121"/>
      <c r="Q11" s="121"/>
      <c r="R11" s="121"/>
      <c r="W11" s="20"/>
      <c r="X11" s="20"/>
    </row>
    <row r="12" spans="1:24" ht="15" customHeight="1" outlineLevel="1">
      <c r="A12" s="392"/>
      <c r="B12" s="121"/>
      <c r="C12" s="342" t="s">
        <v>2062</v>
      </c>
      <c r="D12" s="169" t="s">
        <v>1872</v>
      </c>
      <c r="E12" s="280" t="str">
        <f>G.30.Levers[[#This Row],[Lever]]</f>
        <v>Recycle products</v>
      </c>
      <c r="F12" s="393">
        <f ca="1">F11</f>
        <v>1</v>
      </c>
      <c r="G12" s="324"/>
      <c r="H12" s="121"/>
      <c r="I12" s="121"/>
      <c r="J12" s="121"/>
      <c r="K12" s="121"/>
      <c r="L12" s="121"/>
      <c r="M12" s="121"/>
      <c r="N12" s="121"/>
      <c r="O12" s="121"/>
      <c r="P12" s="121"/>
      <c r="Q12" s="121"/>
      <c r="R12" s="121"/>
      <c r="W12" s="20"/>
      <c r="X12" s="20"/>
    </row>
    <row r="13" spans="1:24" ht="15" customHeight="1">
      <c r="A13" s="392"/>
      <c r="B13" s="121"/>
      <c r="C13" s="217">
        <v>2</v>
      </c>
      <c r="D13" s="121" t="str">
        <f ca="1">OFFSET(INDIRECT("user.choice."&amp;$B$3&amp;"."&amp;C13),0,-1)</f>
        <v>Efficiency of product manufacturing</v>
      </c>
      <c r="E13" s="280" t="str">
        <f ca="1">G.30.Levers[[#This Row],[Lever]]</f>
        <v>Efficiency of product manufacturing</v>
      </c>
      <c r="F13" s="223">
        <f ca="1">INDIRECT("user.choice."&amp;$B$3&amp;"."&amp;C13)</f>
        <v>1</v>
      </c>
      <c r="G13" s="324"/>
      <c r="H13" s="121"/>
      <c r="I13" s="121"/>
      <c r="J13" s="121"/>
      <c r="K13" s="121"/>
      <c r="L13" s="121"/>
      <c r="M13" s="121"/>
      <c r="N13" s="121"/>
      <c r="O13" s="121"/>
      <c r="P13" s="121"/>
      <c r="Q13" s="121"/>
      <c r="R13" s="121"/>
      <c r="T13" s="179" t="str">
        <f>$T$6</f>
        <v>Source</v>
      </c>
      <c r="U13" s="179" t="str">
        <f>$U$6</f>
        <v>Link</v>
      </c>
      <c r="V13" s="179" t="str">
        <f>$V$6</f>
        <v>Risk (Green, Amber/Green, Amber, Red/Amber, Red)</v>
      </c>
      <c r="W13" s="179" t="s">
        <v>869</v>
      </c>
      <c r="X13" s="179" t="str">
        <f>$X$6</f>
        <v>Comment author</v>
      </c>
    </row>
    <row r="14" spans="1:24" ht="15" customHeight="1" outlineLevel="1">
      <c r="A14" s="392"/>
      <c r="B14" s="121"/>
      <c r="C14" s="342" t="s">
        <v>2063</v>
      </c>
      <c r="D14" s="169" t="s">
        <v>1458</v>
      </c>
      <c r="E14" s="280" t="str">
        <f>G.30.Levers[[#This Row],[Lever]]</f>
        <v>Smart design</v>
      </c>
      <c r="F14" s="393">
        <f ca="1">$F$13</f>
        <v>1</v>
      </c>
      <c r="G14" s="324"/>
      <c r="H14" s="329"/>
      <c r="I14" s="121"/>
      <c r="J14" s="121"/>
      <c r="K14" s="121"/>
      <c r="L14" s="121"/>
      <c r="M14" s="121"/>
      <c r="N14" s="121"/>
      <c r="O14" s="121"/>
      <c r="P14" s="121"/>
      <c r="Q14" s="121"/>
      <c r="R14" s="121"/>
      <c r="T14" s="20"/>
      <c r="U14" s="20"/>
      <c r="V14" s="20"/>
      <c r="W14" s="20"/>
      <c r="X14" s="20"/>
    </row>
    <row r="15" spans="1:24" ht="15" customHeight="1" outlineLevel="1">
      <c r="A15" s="392"/>
      <c r="B15" s="121"/>
      <c r="C15" s="343" t="s">
        <v>2064</v>
      </c>
      <c r="D15" s="281" t="s">
        <v>1616</v>
      </c>
      <c r="E15" s="280" t="str">
        <f>G.30.Levers[[#This Row],[Lever]]</f>
        <v>Design for Steel Production efficiency</v>
      </c>
      <c r="F15" s="394">
        <f t="shared" ref="F15:F20" ca="1" si="0">$F$14</f>
        <v>1</v>
      </c>
      <c r="G15" s="121"/>
      <c r="H15" s="121"/>
      <c r="I15" s="121"/>
      <c r="J15" s="121"/>
      <c r="K15" s="121"/>
      <c r="L15" s="121"/>
      <c r="M15" s="121"/>
      <c r="N15" s="121"/>
      <c r="O15" s="121"/>
      <c r="P15" s="121"/>
      <c r="Q15" s="121"/>
      <c r="R15" s="121"/>
      <c r="T15" s="20"/>
      <c r="U15" s="20"/>
      <c r="V15" s="20"/>
      <c r="W15" s="20"/>
      <c r="X15" s="20"/>
    </row>
    <row r="16" spans="1:24" ht="15" customHeight="1" outlineLevel="1">
      <c r="A16" s="392"/>
      <c r="B16" s="121"/>
      <c r="C16" s="343" t="s">
        <v>2065</v>
      </c>
      <c r="D16" s="281" t="s">
        <v>1873</v>
      </c>
      <c r="E16" s="280" t="str">
        <f>G.30.Levers[[#This Row],[Lever]]</f>
        <v>Design for Aluminium Production efficiency</v>
      </c>
      <c r="F16" s="394">
        <f t="shared" ca="1" si="0"/>
        <v>1</v>
      </c>
      <c r="G16" s="121"/>
      <c r="H16" s="121"/>
      <c r="I16" s="121"/>
      <c r="J16" s="121"/>
      <c r="K16" s="121"/>
      <c r="L16" s="121"/>
      <c r="M16" s="121"/>
      <c r="N16" s="121"/>
      <c r="O16" s="121"/>
      <c r="P16" s="121"/>
      <c r="Q16" s="121"/>
      <c r="R16" s="121"/>
      <c r="T16" s="20"/>
      <c r="U16" s="20"/>
      <c r="V16" s="20"/>
      <c r="W16" s="20"/>
      <c r="X16" s="20"/>
    </row>
    <row r="17" spans="1:24" ht="15" customHeight="1" outlineLevel="1">
      <c r="A17" s="392"/>
      <c r="B17" s="121"/>
      <c r="C17" s="343" t="s">
        <v>2066</v>
      </c>
      <c r="D17" s="281" t="s">
        <v>1874</v>
      </c>
      <c r="E17" s="280" t="str">
        <f>G.30.Levers[[#This Row],[Lever]]</f>
        <v>Design for Chemicals Production efficiency</v>
      </c>
      <c r="F17" s="394">
        <f t="shared" ca="1" si="0"/>
        <v>1</v>
      </c>
      <c r="G17" s="121"/>
      <c r="H17" s="121"/>
      <c r="I17" s="121"/>
      <c r="J17" s="121"/>
      <c r="K17" s="121"/>
      <c r="L17" s="121"/>
      <c r="M17" s="121"/>
      <c r="N17" s="121"/>
      <c r="O17" s="121"/>
      <c r="P17" s="121"/>
      <c r="Q17" s="121"/>
      <c r="R17" s="121"/>
      <c r="W17" s="20"/>
      <c r="X17" s="20"/>
    </row>
    <row r="18" spans="1:24" ht="15" customHeight="1" outlineLevel="1">
      <c r="A18" s="392"/>
      <c r="B18" s="121"/>
      <c r="C18" s="343" t="s">
        <v>2067</v>
      </c>
      <c r="D18" s="281" t="s">
        <v>1875</v>
      </c>
      <c r="E18" s="280" t="str">
        <f>G.30.Levers[[#This Row],[Lever]]</f>
        <v>Design for Paper Production efficiency</v>
      </c>
      <c r="F18" s="394">
        <f t="shared" ca="1" si="0"/>
        <v>1</v>
      </c>
      <c r="G18" s="121"/>
      <c r="H18" s="121"/>
      <c r="I18" s="121"/>
      <c r="J18" s="121"/>
      <c r="K18" s="121"/>
      <c r="L18" s="121"/>
      <c r="M18" s="121"/>
      <c r="N18" s="121"/>
      <c r="O18" s="121"/>
      <c r="P18" s="121"/>
      <c r="Q18" s="121"/>
      <c r="R18" s="121"/>
      <c r="W18" s="20"/>
      <c r="X18" s="20"/>
    </row>
    <row r="19" spans="1:24" ht="15" customHeight="1" outlineLevel="1">
      <c r="A19" s="392"/>
      <c r="B19" s="121"/>
      <c r="C19" s="343" t="s">
        <v>2068</v>
      </c>
      <c r="D19" s="281" t="s">
        <v>1876</v>
      </c>
      <c r="E19" s="280" t="str">
        <f>G.30.Levers[[#This Row],[Lever]]</f>
        <v>Design for Cement Production efficiency</v>
      </c>
      <c r="F19" s="394">
        <f t="shared" ca="1" si="0"/>
        <v>1</v>
      </c>
      <c r="G19" s="121"/>
      <c r="H19" s="121"/>
      <c r="I19" s="121"/>
      <c r="J19" s="121"/>
      <c r="K19" s="121"/>
      <c r="L19" s="121"/>
      <c r="M19" s="121"/>
      <c r="N19" s="121"/>
      <c r="O19" s="121"/>
      <c r="P19" s="121"/>
      <c r="Q19" s="121"/>
      <c r="R19" s="121"/>
      <c r="W19" s="20"/>
      <c r="X19" s="20"/>
    </row>
    <row r="20" spans="1:24" ht="15" customHeight="1" outlineLevel="1">
      <c r="A20" s="392"/>
      <c r="B20" s="121"/>
      <c r="C20" s="343" t="s">
        <v>2069</v>
      </c>
      <c r="D20" s="281" t="s">
        <v>1877</v>
      </c>
      <c r="E20" s="280" t="str">
        <f>G.30.Levers[[#This Row],[Lever]]</f>
        <v>Design for Other industries Production efficiency</v>
      </c>
      <c r="F20" s="394">
        <f t="shared" ca="1" si="0"/>
        <v>1</v>
      </c>
      <c r="G20" s="121"/>
      <c r="H20" s="121"/>
      <c r="I20" s="121"/>
      <c r="J20" s="121"/>
      <c r="K20" s="121"/>
      <c r="L20" s="121"/>
      <c r="M20" s="121"/>
      <c r="N20" s="121"/>
      <c r="O20" s="121"/>
      <c r="P20" s="121"/>
      <c r="Q20" s="121"/>
      <c r="R20" s="121"/>
      <c r="W20" s="20"/>
      <c r="X20" s="20"/>
    </row>
    <row r="21" spans="1:24" ht="15" customHeight="1" outlineLevel="1">
      <c r="A21" s="392"/>
      <c r="B21" s="121"/>
      <c r="C21" s="342" t="s">
        <v>2070</v>
      </c>
      <c r="D21" s="169" t="s">
        <v>1459</v>
      </c>
      <c r="E21" s="280" t="str">
        <f>G.30.Levers[[#This Row],[Lever]]</f>
        <v>Materials switch</v>
      </c>
      <c r="F21" s="393">
        <f ca="1">$F$13</f>
        <v>1</v>
      </c>
      <c r="G21" s="121"/>
      <c r="H21" s="121"/>
      <c r="I21" s="121"/>
      <c r="J21" s="121"/>
      <c r="K21" s="121"/>
      <c r="L21" s="121"/>
      <c r="M21" s="121"/>
      <c r="N21" s="121"/>
      <c r="O21" s="121"/>
      <c r="P21" s="121"/>
      <c r="Q21" s="121"/>
      <c r="R21" s="121"/>
      <c r="W21" s="20"/>
      <c r="X21" s="20"/>
    </row>
    <row r="22" spans="1:24" ht="15" customHeight="1" outlineLevel="1">
      <c r="A22" s="392"/>
      <c r="B22" s="121"/>
      <c r="C22" s="343" t="s">
        <v>2071</v>
      </c>
      <c r="D22" s="281" t="s">
        <v>1617</v>
      </c>
      <c r="E22" s="280" t="str">
        <f>G.30.Levers[[#This Row],[Lever]]</f>
        <v>Material switch for Steel Production efficiency</v>
      </c>
      <c r="F22" s="394">
        <f t="shared" ref="F22:F27" ca="1" si="1">$F$21</f>
        <v>1</v>
      </c>
      <c r="G22" s="121"/>
      <c r="H22" s="121"/>
      <c r="I22" s="121"/>
      <c r="J22" s="121"/>
      <c r="K22" s="121"/>
      <c r="L22" s="121"/>
      <c r="M22" s="121"/>
      <c r="N22" s="121"/>
      <c r="O22" s="121"/>
      <c r="P22" s="121"/>
      <c r="Q22" s="121"/>
      <c r="R22" s="121"/>
      <c r="W22" s="20"/>
      <c r="X22" s="20"/>
    </row>
    <row r="23" spans="1:24" ht="15" customHeight="1" outlineLevel="1">
      <c r="A23" s="392"/>
      <c r="B23" s="121"/>
      <c r="C23" s="343" t="s">
        <v>2072</v>
      </c>
      <c r="D23" s="281" t="s">
        <v>1878</v>
      </c>
      <c r="E23" s="280" t="str">
        <f>G.30.Levers[[#This Row],[Lever]]</f>
        <v>Material switch for Aluminium Production efficiency</v>
      </c>
      <c r="F23" s="394">
        <f t="shared" ca="1" si="1"/>
        <v>1</v>
      </c>
      <c r="G23" s="121"/>
      <c r="H23" s="121"/>
      <c r="I23" s="121"/>
      <c r="J23" s="121"/>
      <c r="K23" s="121"/>
      <c r="L23" s="121"/>
      <c r="M23" s="121"/>
      <c r="N23" s="121"/>
      <c r="O23" s="121"/>
      <c r="P23" s="121"/>
      <c r="Q23" s="121"/>
      <c r="R23" s="121"/>
      <c r="W23" s="20"/>
      <c r="X23" s="20"/>
    </row>
    <row r="24" spans="1:24" ht="15" customHeight="1" outlineLevel="1">
      <c r="A24" s="392"/>
      <c r="B24" s="121"/>
      <c r="C24" s="343" t="s">
        <v>2073</v>
      </c>
      <c r="D24" s="281" t="s">
        <v>1879</v>
      </c>
      <c r="E24" s="280" t="str">
        <f>G.30.Levers[[#This Row],[Lever]]</f>
        <v>Material switch for Chemicals Production efficiency</v>
      </c>
      <c r="F24" s="394">
        <f t="shared" ca="1" si="1"/>
        <v>1</v>
      </c>
      <c r="G24" s="121"/>
      <c r="H24" s="121"/>
      <c r="I24" s="121"/>
      <c r="J24" s="121"/>
      <c r="K24" s="121"/>
      <c r="L24" s="121"/>
      <c r="M24" s="121"/>
      <c r="N24" s="121"/>
      <c r="O24" s="121"/>
      <c r="P24" s="121"/>
      <c r="Q24" s="121"/>
      <c r="R24" s="121"/>
      <c r="W24" s="20"/>
      <c r="X24" s="20"/>
    </row>
    <row r="25" spans="1:24" ht="15" customHeight="1" outlineLevel="1">
      <c r="A25" s="392"/>
      <c r="B25" s="121"/>
      <c r="C25" s="343" t="s">
        <v>2074</v>
      </c>
      <c r="D25" s="281" t="s">
        <v>1880</v>
      </c>
      <c r="E25" s="280" t="str">
        <f>G.30.Levers[[#This Row],[Lever]]</f>
        <v>Material switch for Paper Production efficiency</v>
      </c>
      <c r="F25" s="394">
        <f t="shared" ca="1" si="1"/>
        <v>1</v>
      </c>
      <c r="G25" s="121"/>
      <c r="H25" s="121"/>
      <c r="I25" s="121"/>
      <c r="J25" s="121"/>
      <c r="K25" s="121"/>
      <c r="L25" s="121"/>
      <c r="M25" s="121"/>
      <c r="N25" s="121"/>
      <c r="O25" s="121"/>
      <c r="P25" s="121"/>
      <c r="Q25" s="121"/>
      <c r="R25" s="121"/>
      <c r="W25" s="20"/>
      <c r="X25" s="20"/>
    </row>
    <row r="26" spans="1:24" ht="15" customHeight="1" outlineLevel="1">
      <c r="A26" s="392"/>
      <c r="B26" s="121"/>
      <c r="C26" s="343" t="s">
        <v>2075</v>
      </c>
      <c r="D26" s="281" t="s">
        <v>1881</v>
      </c>
      <c r="E26" s="280" t="str">
        <f>G.30.Levers[[#This Row],[Lever]]</f>
        <v>Material switch for Cement Production efficiency</v>
      </c>
      <c r="F26" s="394">
        <f t="shared" ca="1" si="1"/>
        <v>1</v>
      </c>
      <c r="G26" s="121"/>
      <c r="H26" s="121"/>
      <c r="I26" s="121"/>
      <c r="J26" s="121"/>
      <c r="K26" s="121"/>
      <c r="L26" s="121"/>
      <c r="M26" s="121"/>
      <c r="N26" s="121"/>
      <c r="O26" s="121"/>
      <c r="P26" s="121"/>
      <c r="Q26" s="121"/>
      <c r="R26" s="121"/>
      <c r="W26" s="20"/>
      <c r="X26" s="20"/>
    </row>
    <row r="27" spans="1:24" ht="15" customHeight="1" outlineLevel="1">
      <c r="A27" s="392"/>
      <c r="B27" s="121"/>
      <c r="C27" s="343" t="s">
        <v>2076</v>
      </c>
      <c r="D27" s="281" t="s">
        <v>1882</v>
      </c>
      <c r="E27" s="280" t="str">
        <f>G.30.Levers[[#This Row],[Lever]]</f>
        <v>Material switch for Other Industries Production efficiency</v>
      </c>
      <c r="F27" s="394">
        <f t="shared" ca="1" si="1"/>
        <v>1</v>
      </c>
      <c r="G27" s="121"/>
      <c r="H27" s="121"/>
      <c r="I27" s="121"/>
      <c r="J27" s="121"/>
      <c r="K27" s="121"/>
      <c r="L27" s="121"/>
      <c r="M27" s="121"/>
      <c r="N27" s="121"/>
      <c r="O27" s="121"/>
      <c r="P27" s="121"/>
      <c r="Q27" s="121"/>
      <c r="R27" s="121"/>
      <c r="W27" s="20"/>
      <c r="X27" s="20"/>
    </row>
    <row r="28" spans="1:24" ht="15" customHeight="1" outlineLevel="1">
      <c r="A28" s="392"/>
      <c r="B28" s="121"/>
      <c r="C28" s="342" t="s">
        <v>2077</v>
      </c>
      <c r="D28" s="169" t="s">
        <v>1460</v>
      </c>
      <c r="E28" s="280" t="str">
        <f>G.30.Levers[[#This Row],[Lever]]</f>
        <v>Materials Recycling</v>
      </c>
      <c r="F28" s="393">
        <f ca="1">$F$13</f>
        <v>1</v>
      </c>
      <c r="G28" s="121"/>
      <c r="H28" s="121"/>
      <c r="I28" s="121"/>
      <c r="J28" s="121"/>
      <c r="K28" s="121"/>
      <c r="L28" s="121"/>
      <c r="M28" s="121"/>
      <c r="N28" s="121"/>
      <c r="O28" s="121"/>
      <c r="P28" s="121"/>
      <c r="Q28" s="121"/>
      <c r="R28" s="121"/>
      <c r="W28" s="20"/>
      <c r="X28" s="20"/>
    </row>
    <row r="29" spans="1:24" ht="15" customHeight="1" outlineLevel="1">
      <c r="A29" s="392"/>
      <c r="B29" s="121"/>
      <c r="C29" s="343" t="s">
        <v>2078</v>
      </c>
      <c r="D29" s="281" t="s">
        <v>1618</v>
      </c>
      <c r="E29" s="280" t="str">
        <f>G.30.Levers[[#This Row],[Lever]]</f>
        <v>Recycling for Steel Production efficiency</v>
      </c>
      <c r="F29" s="394">
        <f t="shared" ref="F29:F34" ca="1" si="2">$F$21</f>
        <v>1</v>
      </c>
      <c r="G29" s="121"/>
      <c r="H29" s="121"/>
      <c r="I29" s="121"/>
      <c r="J29" s="121"/>
      <c r="K29" s="121"/>
      <c r="L29" s="121"/>
      <c r="M29" s="121"/>
      <c r="N29" s="121"/>
      <c r="O29" s="121"/>
      <c r="P29" s="121"/>
      <c r="Q29" s="121"/>
      <c r="R29" s="121"/>
      <c r="W29" s="20"/>
      <c r="X29" s="20"/>
    </row>
    <row r="30" spans="1:24" ht="15" customHeight="1" outlineLevel="1">
      <c r="A30" s="392"/>
      <c r="B30" s="121"/>
      <c r="C30" s="343" t="s">
        <v>2079</v>
      </c>
      <c r="D30" s="281" t="s">
        <v>1883</v>
      </c>
      <c r="E30" s="280" t="str">
        <f>G.30.Levers[[#This Row],[Lever]]</f>
        <v>Recycling for Aluminium Production efficiency</v>
      </c>
      <c r="F30" s="394">
        <f t="shared" ca="1" si="2"/>
        <v>1</v>
      </c>
      <c r="G30" s="121"/>
      <c r="H30" s="121"/>
      <c r="I30" s="121"/>
      <c r="J30" s="121"/>
      <c r="K30" s="121"/>
      <c r="L30" s="121"/>
      <c r="M30" s="121"/>
      <c r="N30" s="121"/>
      <c r="O30" s="121"/>
      <c r="P30" s="121"/>
      <c r="Q30" s="121"/>
      <c r="R30" s="121"/>
      <c r="W30" s="20"/>
      <c r="X30" s="20"/>
    </row>
    <row r="31" spans="1:24" ht="15" customHeight="1" outlineLevel="1">
      <c r="A31" s="392"/>
      <c r="B31" s="121"/>
      <c r="C31" s="343" t="s">
        <v>2080</v>
      </c>
      <c r="D31" s="281" t="s">
        <v>1884</v>
      </c>
      <c r="E31" s="280" t="str">
        <f>G.30.Levers[[#This Row],[Lever]]</f>
        <v>Recycling for Chemicals Production efficiency</v>
      </c>
      <c r="F31" s="394">
        <f t="shared" ca="1" si="2"/>
        <v>1</v>
      </c>
      <c r="G31" s="121"/>
      <c r="H31" s="121"/>
      <c r="I31" s="121"/>
      <c r="J31" s="121"/>
      <c r="K31" s="121"/>
      <c r="L31" s="121"/>
      <c r="M31" s="121"/>
      <c r="N31" s="121"/>
      <c r="O31" s="121"/>
      <c r="P31" s="121"/>
      <c r="Q31" s="121"/>
      <c r="R31" s="121"/>
      <c r="W31" s="20"/>
      <c r="X31" s="20"/>
    </row>
    <row r="32" spans="1:24" ht="15" customHeight="1" outlineLevel="1">
      <c r="A32" s="392"/>
      <c r="B32" s="121"/>
      <c r="C32" s="343" t="s">
        <v>2081</v>
      </c>
      <c r="D32" s="281" t="s">
        <v>1885</v>
      </c>
      <c r="E32" s="280" t="str">
        <f>G.30.Levers[[#This Row],[Lever]]</f>
        <v>Recycling for Paper Production efficiency</v>
      </c>
      <c r="F32" s="394">
        <f t="shared" ca="1" si="2"/>
        <v>1</v>
      </c>
      <c r="G32" s="121"/>
      <c r="H32" s="121"/>
      <c r="I32" s="121"/>
      <c r="J32" s="121"/>
      <c r="K32" s="121"/>
      <c r="L32" s="121"/>
      <c r="M32" s="121"/>
      <c r="N32" s="121"/>
      <c r="O32" s="121"/>
      <c r="P32" s="121"/>
      <c r="Q32" s="121"/>
      <c r="R32" s="121"/>
      <c r="W32" s="20"/>
      <c r="X32" s="20"/>
    </row>
    <row r="33" spans="1:24" ht="15" customHeight="1" outlineLevel="1">
      <c r="A33" s="392"/>
      <c r="B33" s="121"/>
      <c r="C33" s="343" t="s">
        <v>2082</v>
      </c>
      <c r="D33" s="281" t="s">
        <v>1886</v>
      </c>
      <c r="E33" s="280" t="str">
        <f>G.30.Levers[[#This Row],[Lever]]</f>
        <v>Recycling for Cement Production efficiency</v>
      </c>
      <c r="F33" s="394">
        <f t="shared" ca="1" si="2"/>
        <v>1</v>
      </c>
      <c r="G33" s="121"/>
      <c r="H33" s="121"/>
      <c r="I33" s="121"/>
      <c r="J33" s="121"/>
      <c r="K33" s="121"/>
      <c r="L33" s="121"/>
      <c r="M33" s="121"/>
      <c r="N33" s="121"/>
      <c r="O33" s="121"/>
      <c r="P33" s="121"/>
      <c r="Q33" s="121"/>
      <c r="R33" s="121"/>
      <c r="W33" s="20"/>
      <c r="X33" s="20"/>
    </row>
    <row r="34" spans="1:24" ht="15" customHeight="1" outlineLevel="1">
      <c r="A34" s="392"/>
      <c r="B34" s="121"/>
      <c r="C34" s="343" t="s">
        <v>2083</v>
      </c>
      <c r="D34" s="281" t="s">
        <v>1887</v>
      </c>
      <c r="E34" s="280" t="str">
        <f>G.30.Levers[[#This Row],[Lever]]</f>
        <v>Recycling for Other Industries Production efficiency</v>
      </c>
      <c r="F34" s="394">
        <f t="shared" ca="1" si="2"/>
        <v>1</v>
      </c>
      <c r="G34" s="121"/>
      <c r="H34" s="121"/>
      <c r="I34" s="121"/>
      <c r="J34" s="121"/>
      <c r="K34" s="121"/>
      <c r="L34" s="121"/>
      <c r="M34" s="121"/>
      <c r="N34" s="121"/>
      <c r="O34" s="121"/>
      <c r="P34" s="121"/>
      <c r="Q34" s="121"/>
      <c r="R34" s="121"/>
      <c r="W34" s="20"/>
      <c r="X34" s="20"/>
    </row>
    <row r="35" spans="1:24" ht="15" customHeight="1">
      <c r="A35" s="392"/>
      <c r="B35" s="121"/>
      <c r="C35" s="217">
        <v>3</v>
      </c>
      <c r="D35" s="121" t="str">
        <f ca="1">OFFSET(INDIRECT("user.choice."&amp;$B$3&amp;"."&amp;C35),0,-1)</f>
        <v>Carbon intensity of production (excl. CCS)</v>
      </c>
      <c r="E35" s="280" t="str">
        <f ca="1">G.30.Levers[[#This Row],[Lever]]</f>
        <v>Carbon intensity of production (excl. CCS)</v>
      </c>
      <c r="F35" s="223">
        <f ca="1">INDIRECT("user.choice."&amp;$B$3&amp;"."&amp;C35)</f>
        <v>1</v>
      </c>
      <c r="G35" s="121"/>
      <c r="H35" s="121"/>
      <c r="I35" s="121"/>
      <c r="J35" s="121"/>
      <c r="K35" s="121"/>
      <c r="L35" s="121"/>
      <c r="M35" s="121"/>
      <c r="N35" s="121"/>
      <c r="O35" s="121"/>
      <c r="P35" s="121"/>
      <c r="Q35" s="121"/>
      <c r="R35" s="121"/>
      <c r="T35" s="179" t="str">
        <f>$T$6</f>
        <v>Source</v>
      </c>
      <c r="U35" s="179" t="str">
        <f>$U$6</f>
        <v>Link</v>
      </c>
      <c r="V35" s="179" t="str">
        <f>$V$6</f>
        <v>Risk (Green, Amber/Green, Amber, Red/Amber, Red)</v>
      </c>
      <c r="W35" s="179" t="s">
        <v>869</v>
      </c>
      <c r="X35" s="179" t="str">
        <f>$X$6</f>
        <v>Comment author</v>
      </c>
    </row>
    <row r="36" spans="1:24" ht="15" customHeight="1" outlineLevel="1">
      <c r="A36" s="392"/>
      <c r="B36" s="121"/>
      <c r="C36" s="342" t="s">
        <v>2084</v>
      </c>
      <c r="D36" s="169" t="s">
        <v>1888</v>
      </c>
      <c r="E36" s="280" t="str">
        <f>G.30.Levers[[#This Row],[Lever]]</f>
        <v>Process</v>
      </c>
      <c r="F36" s="393">
        <f ca="1">F35</f>
        <v>1</v>
      </c>
      <c r="G36" s="121"/>
      <c r="H36" s="121"/>
      <c r="I36" s="121"/>
      <c r="J36" s="121"/>
      <c r="K36" s="121"/>
      <c r="L36" s="121"/>
      <c r="M36" s="121"/>
      <c r="N36" s="121"/>
      <c r="O36" s="121"/>
      <c r="P36" s="121"/>
      <c r="Q36" s="121"/>
      <c r="R36" s="121"/>
      <c r="W36" s="20"/>
      <c r="X36" s="20"/>
    </row>
    <row r="37" spans="1:24" ht="15" customHeight="1" outlineLevel="1">
      <c r="A37" s="392"/>
      <c r="B37" s="121"/>
      <c r="C37" s="343" t="s">
        <v>2085</v>
      </c>
      <c r="D37" s="281" t="s">
        <v>1637</v>
      </c>
      <c r="E37" s="280" t="str">
        <f>$E$36&amp;"."&amp;G.30.Levers[[#This Row],[Lever]]</f>
        <v>Process.Steel</v>
      </c>
      <c r="F37" s="394">
        <f ca="1">$F$36</f>
        <v>1</v>
      </c>
      <c r="G37" s="121"/>
      <c r="H37" s="121"/>
      <c r="I37" s="121"/>
      <c r="J37" s="121"/>
      <c r="K37" s="121"/>
      <c r="L37" s="121"/>
      <c r="M37" s="121"/>
      <c r="N37" s="121"/>
      <c r="O37" s="121"/>
      <c r="P37" s="121"/>
      <c r="Q37" s="121"/>
      <c r="R37" s="121"/>
      <c r="W37" s="20"/>
      <c r="X37" s="20"/>
    </row>
    <row r="38" spans="1:24" ht="15" customHeight="1" outlineLevel="1">
      <c r="A38" s="392"/>
      <c r="B38" s="121"/>
      <c r="C38" s="344" t="s">
        <v>2086</v>
      </c>
      <c r="D38" s="282" t="s">
        <v>1889</v>
      </c>
      <c r="E38" s="280" t="str">
        <f>$E$37&amp;"."&amp;G.30.Levers[[#This Row],[Lever]]</f>
        <v>Process.Steel.Oxygen</v>
      </c>
      <c r="F38" s="395">
        <f ca="1">$F$37</f>
        <v>1</v>
      </c>
      <c r="G38" s="121"/>
      <c r="H38" s="121"/>
      <c r="I38" s="121"/>
      <c r="J38" s="121"/>
      <c r="K38" s="121"/>
      <c r="L38" s="121"/>
      <c r="M38" s="121"/>
      <c r="N38" s="121"/>
      <c r="O38" s="121"/>
      <c r="P38" s="121"/>
      <c r="Q38" s="121"/>
      <c r="R38" s="121"/>
      <c r="W38" s="20"/>
      <c r="X38" s="20"/>
    </row>
    <row r="39" spans="1:24" ht="15" customHeight="1" outlineLevel="1">
      <c r="A39" s="392"/>
      <c r="B39" s="121"/>
      <c r="C39" s="344" t="s">
        <v>2087</v>
      </c>
      <c r="D39" s="282" t="s">
        <v>1890</v>
      </c>
      <c r="E39" s="280" t="str">
        <f>$E$37&amp;"."&amp;G.30.Levers[[#This Row],[Lever]]</f>
        <v>Process.Steel.Electric</v>
      </c>
      <c r="F39" s="395">
        <f ca="1">$F$37</f>
        <v>1</v>
      </c>
      <c r="G39" s="121"/>
      <c r="H39" s="121"/>
      <c r="I39" s="121"/>
      <c r="J39" s="121"/>
      <c r="K39" s="121"/>
      <c r="L39" s="121"/>
      <c r="M39" s="121"/>
      <c r="N39" s="121"/>
      <c r="O39" s="121"/>
      <c r="P39" s="121"/>
      <c r="Q39" s="121"/>
      <c r="R39" s="121"/>
      <c r="W39" s="20"/>
      <c r="X39" s="20"/>
    </row>
    <row r="40" spans="1:24" ht="15" customHeight="1" outlineLevel="1">
      <c r="A40" s="392"/>
      <c r="B40" s="121"/>
      <c r="C40" s="343" t="s">
        <v>2088</v>
      </c>
      <c r="D40" s="281" t="s">
        <v>1418</v>
      </c>
      <c r="E40" s="280" t="str">
        <f>$D$36&amp;"."&amp;G.30.Levers[[#This Row],[Lever]]</f>
        <v>Process.Aluminium</v>
      </c>
      <c r="F40" s="394">
        <f ca="1">$F$36</f>
        <v>1</v>
      </c>
      <c r="G40" s="121"/>
      <c r="H40" s="121"/>
      <c r="I40" s="121"/>
      <c r="J40" s="121"/>
      <c r="K40" s="121"/>
      <c r="L40" s="121"/>
      <c r="M40" s="121"/>
      <c r="N40" s="121"/>
      <c r="O40" s="121"/>
      <c r="P40" s="121"/>
      <c r="Q40" s="121"/>
      <c r="R40" s="121"/>
      <c r="W40" s="20"/>
      <c r="X40" s="20"/>
    </row>
    <row r="41" spans="1:24" ht="15" customHeight="1" outlineLevel="1">
      <c r="A41" s="392"/>
      <c r="B41" s="121"/>
      <c r="C41" s="344" t="s">
        <v>2089</v>
      </c>
      <c r="D41" s="282" t="s">
        <v>1625</v>
      </c>
      <c r="E41" s="280" t="str">
        <f>$E$40&amp;"."&amp;G.30.Levers[[#This Row],[Lever]]</f>
        <v>Process.Aluminium.Alumina</v>
      </c>
      <c r="F41" s="395">
        <f ca="1">$F$40</f>
        <v>1</v>
      </c>
      <c r="G41" s="121"/>
      <c r="H41" s="121"/>
      <c r="I41" s="121"/>
      <c r="J41" s="121"/>
      <c r="K41" s="121"/>
      <c r="L41" s="121"/>
      <c r="M41" s="121"/>
      <c r="N41" s="121"/>
      <c r="O41" s="121"/>
      <c r="P41" s="121"/>
      <c r="Q41" s="121"/>
      <c r="R41" s="121"/>
      <c r="W41" s="20"/>
      <c r="X41" s="20"/>
    </row>
    <row r="42" spans="1:24" ht="15" customHeight="1" outlineLevel="1">
      <c r="A42" s="392"/>
      <c r="B42" s="121"/>
      <c r="C42" s="344" t="s">
        <v>2090</v>
      </c>
      <c r="D42" s="282" t="s">
        <v>1891</v>
      </c>
      <c r="E42" s="280" t="str">
        <f>$E$40&amp;"."&amp;G.30.Levers[[#This Row],[Lever]]</f>
        <v>Process.Aluminium.Primary</v>
      </c>
      <c r="F42" s="395">
        <f ca="1">$F$40</f>
        <v>1</v>
      </c>
      <c r="G42" s="121"/>
      <c r="H42" s="121"/>
      <c r="I42" s="121"/>
      <c r="J42" s="121"/>
      <c r="K42" s="121"/>
      <c r="L42" s="121"/>
      <c r="M42" s="121"/>
      <c r="N42" s="121"/>
      <c r="O42" s="121"/>
      <c r="P42" s="121"/>
      <c r="Q42" s="121"/>
      <c r="R42" s="121"/>
      <c r="W42" s="20"/>
      <c r="X42" s="20"/>
    </row>
    <row r="43" spans="1:24" ht="15" customHeight="1" outlineLevel="1">
      <c r="A43" s="392"/>
      <c r="B43" s="121"/>
      <c r="C43" s="344" t="s">
        <v>2091</v>
      </c>
      <c r="D43" s="282" t="s">
        <v>1892</v>
      </c>
      <c r="E43" s="280" t="str">
        <f>$E$40&amp;"."&amp;G.30.Levers[[#This Row],[Lever]]</f>
        <v>Process.Aluminium.Secondary</v>
      </c>
      <c r="F43" s="395">
        <f ca="1">$F$40</f>
        <v>1</v>
      </c>
      <c r="G43" s="121"/>
      <c r="H43" s="121"/>
      <c r="I43" s="121"/>
      <c r="J43" s="121"/>
      <c r="K43" s="121"/>
      <c r="L43" s="121"/>
      <c r="M43" s="121"/>
      <c r="N43" s="121"/>
      <c r="O43" s="121"/>
      <c r="P43" s="121"/>
      <c r="Q43" s="121"/>
      <c r="R43" s="121"/>
      <c r="W43" s="20"/>
      <c r="X43" s="20"/>
    </row>
    <row r="44" spans="1:24" ht="15" customHeight="1" outlineLevel="1">
      <c r="A44" s="392"/>
      <c r="B44" s="121"/>
      <c r="C44" s="343" t="s">
        <v>2092</v>
      </c>
      <c r="D44" s="281" t="s">
        <v>1435</v>
      </c>
      <c r="E44" s="280" t="str">
        <f>$E$36&amp;"."&amp;G.30.Levers[[#This Row],[Lever]]</f>
        <v>Process.Chemicals &amp; petrochemicals</v>
      </c>
      <c r="F44" s="394">
        <f ca="1">$F$36</f>
        <v>1</v>
      </c>
      <c r="G44" s="121"/>
      <c r="H44" s="121"/>
      <c r="I44" s="121"/>
      <c r="J44" s="121"/>
      <c r="K44" s="121"/>
      <c r="L44" s="121"/>
      <c r="M44" s="121"/>
      <c r="N44" s="121"/>
      <c r="O44" s="121"/>
      <c r="P44" s="121"/>
      <c r="Q44" s="121"/>
      <c r="R44" s="121"/>
      <c r="W44" s="20"/>
      <c r="X44" s="20"/>
    </row>
    <row r="45" spans="1:24" ht="15" customHeight="1" outlineLevel="1">
      <c r="A45" s="392"/>
      <c r="B45" s="121"/>
      <c r="C45" s="344" t="s">
        <v>2093</v>
      </c>
      <c r="D45" s="282" t="s">
        <v>1893</v>
      </c>
      <c r="E45" s="280" t="str">
        <f>$E$44&amp;"."&amp;G.30.Levers[[#This Row],[Lever]]</f>
        <v>Process.Chemicals &amp; petrochemicals.HighValueChemicals</v>
      </c>
      <c r="F45" s="395">
        <f ca="1">$F$44</f>
        <v>1</v>
      </c>
      <c r="G45" s="121"/>
      <c r="H45" s="121"/>
      <c r="I45" s="121"/>
      <c r="J45" s="121"/>
      <c r="K45" s="121"/>
      <c r="L45" s="121"/>
      <c r="M45" s="121"/>
      <c r="N45" s="121"/>
      <c r="O45" s="121"/>
      <c r="P45" s="121"/>
      <c r="Q45" s="121"/>
      <c r="R45" s="121"/>
      <c r="W45" s="20"/>
      <c r="X45" s="20"/>
    </row>
    <row r="46" spans="1:24" ht="15" customHeight="1" outlineLevel="1">
      <c r="A46" s="392"/>
      <c r="B46" s="121"/>
      <c r="C46" s="344" t="s">
        <v>2094</v>
      </c>
      <c r="D46" s="282" t="s">
        <v>1622</v>
      </c>
      <c r="E46" s="280" t="str">
        <f>$E$44&amp;"."&amp;G.30.Levers[[#This Row],[Lever]]</f>
        <v>Process.Chemicals &amp; petrochemicals.Ammonia</v>
      </c>
      <c r="F46" s="395">
        <f ca="1">$F$44</f>
        <v>1</v>
      </c>
      <c r="G46" s="121"/>
      <c r="H46" s="121"/>
      <c r="I46" s="121"/>
      <c r="J46" s="121"/>
      <c r="K46" s="121"/>
      <c r="L46" s="121"/>
      <c r="M46" s="121"/>
      <c r="N46" s="121"/>
      <c r="O46" s="121"/>
      <c r="P46" s="121"/>
      <c r="Q46" s="121"/>
      <c r="R46" s="121"/>
      <c r="W46" s="20"/>
      <c r="X46" s="20"/>
    </row>
    <row r="47" spans="1:24" ht="15" customHeight="1" outlineLevel="1">
      <c r="A47" s="392"/>
      <c r="B47" s="121"/>
      <c r="C47" s="344" t="s">
        <v>2095</v>
      </c>
      <c r="D47" s="282" t="s">
        <v>1623</v>
      </c>
      <c r="E47" s="280" t="str">
        <f>$E$44&amp;"."&amp;G.30.Levers[[#This Row],[Lever]]</f>
        <v>Process.Chemicals &amp; petrochemicals.Methanol</v>
      </c>
      <c r="F47" s="395">
        <f ca="1">$F$44</f>
        <v>1</v>
      </c>
      <c r="G47" s="121"/>
      <c r="H47" s="121"/>
      <c r="I47" s="121"/>
      <c r="J47" s="121"/>
      <c r="K47" s="121"/>
      <c r="L47" s="121"/>
      <c r="M47" s="121"/>
      <c r="N47" s="121"/>
      <c r="O47" s="121"/>
      <c r="P47" s="121"/>
      <c r="Q47" s="121"/>
      <c r="R47" s="121"/>
      <c r="W47" s="20"/>
      <c r="X47" s="20"/>
    </row>
    <row r="48" spans="1:24" ht="15" customHeight="1" outlineLevel="1">
      <c r="A48" s="392"/>
      <c r="B48" s="121"/>
      <c r="C48" s="344" t="s">
        <v>2096</v>
      </c>
      <c r="D48" s="282" t="s">
        <v>1894</v>
      </c>
      <c r="E48" s="280" t="str">
        <f>$E$44&amp;"."&amp;G.30.Levers[[#This Row],[Lever]]</f>
        <v>Process.Chemicals &amp; petrochemicals.Others</v>
      </c>
      <c r="F48" s="395">
        <f ca="1">$F$44</f>
        <v>1</v>
      </c>
      <c r="G48" s="121"/>
      <c r="H48" s="121"/>
      <c r="I48" s="121"/>
      <c r="J48" s="121"/>
      <c r="K48" s="121"/>
      <c r="L48" s="121"/>
      <c r="M48" s="121"/>
      <c r="N48" s="121"/>
      <c r="O48" s="121"/>
      <c r="P48" s="121"/>
      <c r="Q48" s="121"/>
      <c r="R48" s="121"/>
      <c r="W48" s="20"/>
      <c r="X48" s="20"/>
    </row>
    <row r="49" spans="1:24" ht="15" customHeight="1" outlineLevel="1">
      <c r="A49" s="392"/>
      <c r="B49" s="121"/>
      <c r="C49" s="343" t="s">
        <v>2097</v>
      </c>
      <c r="D49" s="281" t="s">
        <v>1895</v>
      </c>
      <c r="E49" s="280" t="str">
        <f>$E$36&amp;"."&amp;G.30.Levers[[#This Row],[Lever]]</f>
        <v>Process.Pulp &amp; Paper</v>
      </c>
      <c r="F49" s="394">
        <f ca="1">$F$36</f>
        <v>1</v>
      </c>
      <c r="G49" s="121"/>
      <c r="H49" s="121"/>
      <c r="I49" s="121"/>
      <c r="J49" s="121"/>
      <c r="K49" s="121"/>
      <c r="L49" s="121"/>
      <c r="M49" s="121"/>
      <c r="N49" s="121"/>
      <c r="O49" s="121"/>
      <c r="P49" s="121"/>
      <c r="Q49" s="121"/>
      <c r="R49" s="121"/>
      <c r="W49" s="20"/>
      <c r="X49" s="20"/>
    </row>
    <row r="50" spans="1:24" ht="15" customHeight="1" outlineLevel="1">
      <c r="A50" s="392"/>
      <c r="B50" s="121"/>
      <c r="C50" s="344" t="s">
        <v>2098</v>
      </c>
      <c r="D50" s="282" t="s">
        <v>1896</v>
      </c>
      <c r="E50" s="280" t="str">
        <f>$E$49&amp;"."&amp;G.30.Levers[[#This Row],[Lever]]</f>
        <v>Process.Pulp &amp; Paper.Pulp</v>
      </c>
      <c r="F50" s="395">
        <f ca="1">$F$49</f>
        <v>1</v>
      </c>
      <c r="G50" s="121"/>
      <c r="H50" s="121"/>
      <c r="I50" s="121"/>
      <c r="J50" s="121"/>
      <c r="K50" s="121"/>
      <c r="L50" s="121"/>
      <c r="M50" s="121"/>
      <c r="N50" s="121"/>
      <c r="O50" s="121"/>
      <c r="P50" s="121"/>
      <c r="Q50" s="121"/>
      <c r="R50" s="121"/>
      <c r="W50" s="20"/>
      <c r="X50" s="20"/>
    </row>
    <row r="51" spans="1:24" ht="15" customHeight="1" outlineLevel="1">
      <c r="A51" s="392"/>
      <c r="B51" s="121"/>
      <c r="C51" s="344" t="s">
        <v>2099</v>
      </c>
      <c r="D51" s="282" t="s">
        <v>1897</v>
      </c>
      <c r="E51" s="280" t="str">
        <f>$E$49&amp;"."&amp;G.30.Levers[[#This Row],[Lever]]</f>
        <v>Process.Pulp &amp; Paper.Virgin</v>
      </c>
      <c r="F51" s="395">
        <f ca="1">$F$49</f>
        <v>1</v>
      </c>
      <c r="G51" s="121"/>
      <c r="H51" s="121"/>
      <c r="I51" s="121"/>
      <c r="J51" s="121"/>
      <c r="K51" s="121"/>
      <c r="L51" s="121"/>
      <c r="M51" s="121"/>
      <c r="N51" s="121"/>
      <c r="O51" s="121"/>
      <c r="P51" s="121"/>
      <c r="Q51" s="121"/>
      <c r="R51" s="121"/>
      <c r="W51" s="20"/>
      <c r="X51" s="20"/>
    </row>
    <row r="52" spans="1:24" ht="15" customHeight="1" outlineLevel="1">
      <c r="A52" s="392"/>
      <c r="B52" s="121"/>
      <c r="C52" s="344" t="s">
        <v>2100</v>
      </c>
      <c r="D52" s="282" t="s">
        <v>1898</v>
      </c>
      <c r="E52" s="280" t="str">
        <f>$E$49&amp;"."&amp;G.30.Levers[[#This Row],[Lever]]</f>
        <v>Process.Pulp &amp; Paper.Recycled</v>
      </c>
      <c r="F52" s="395">
        <f ca="1">$F$49</f>
        <v>1</v>
      </c>
      <c r="G52" s="121"/>
      <c r="H52" s="121"/>
      <c r="I52" s="121"/>
      <c r="J52" s="121"/>
      <c r="K52" s="121"/>
      <c r="L52" s="121"/>
      <c r="M52" s="121"/>
      <c r="N52" s="121"/>
      <c r="O52" s="121"/>
      <c r="P52" s="121"/>
      <c r="Q52" s="121"/>
      <c r="R52" s="121"/>
      <c r="W52" s="20"/>
      <c r="X52" s="20"/>
    </row>
    <row r="53" spans="1:24" ht="15" customHeight="1" outlineLevel="1">
      <c r="A53" s="392"/>
      <c r="B53" s="121"/>
      <c r="C53" s="343" t="s">
        <v>2101</v>
      </c>
      <c r="D53" s="281" t="s">
        <v>1426</v>
      </c>
      <c r="E53" s="280" t="str">
        <f>$D$36&amp;"."&amp;G.30.Levers[[#This Row],[Lever]]</f>
        <v>Process.Cement</v>
      </c>
      <c r="F53" s="394">
        <f ca="1">$F$36</f>
        <v>1</v>
      </c>
      <c r="G53" s="121"/>
      <c r="H53" s="121"/>
      <c r="I53" s="121"/>
      <c r="J53" s="121"/>
      <c r="K53" s="121"/>
      <c r="L53" s="121"/>
      <c r="M53" s="121"/>
      <c r="N53" s="121"/>
      <c r="O53" s="121"/>
      <c r="P53" s="121"/>
      <c r="Q53" s="121"/>
      <c r="R53" s="121"/>
      <c r="W53" s="20"/>
      <c r="X53" s="20"/>
    </row>
    <row r="54" spans="1:24" ht="15" customHeight="1" outlineLevel="1">
      <c r="A54" s="392"/>
      <c r="B54" s="121"/>
      <c r="C54" s="343" t="s">
        <v>2102</v>
      </c>
      <c r="D54" s="281" t="s">
        <v>1457</v>
      </c>
      <c r="E54" s="280" t="str">
        <f>$D$36&amp;"."&amp;G.30.Levers[[#This Row],[Lever]]</f>
        <v>Process.Other industries</v>
      </c>
      <c r="F54" s="394">
        <f ca="1">$F$36</f>
        <v>1</v>
      </c>
      <c r="G54" s="121"/>
      <c r="H54" s="121"/>
      <c r="I54" s="121"/>
      <c r="J54" s="121"/>
      <c r="K54" s="121"/>
      <c r="L54" s="121"/>
      <c r="M54" s="121"/>
      <c r="N54" s="121"/>
      <c r="O54" s="121"/>
      <c r="P54" s="121"/>
      <c r="Q54" s="121"/>
      <c r="R54" s="121"/>
      <c r="W54" s="20"/>
      <c r="X54" s="20"/>
    </row>
    <row r="55" spans="1:24" ht="15" customHeight="1" outlineLevel="1">
      <c r="A55" s="392"/>
      <c r="B55" s="121"/>
      <c r="C55" s="342" t="s">
        <v>2103</v>
      </c>
      <c r="D55" s="169" t="s">
        <v>1899</v>
      </c>
      <c r="E55" s="280" t="s">
        <v>1900</v>
      </c>
      <c r="F55" s="393">
        <f ca="1">F35</f>
        <v>1</v>
      </c>
      <c r="G55" s="121"/>
      <c r="H55" s="121"/>
      <c r="I55" s="121"/>
      <c r="J55" s="121"/>
      <c r="K55" s="121"/>
      <c r="L55" s="121"/>
      <c r="M55" s="121"/>
      <c r="N55" s="121"/>
      <c r="O55" s="121"/>
      <c r="P55" s="121"/>
      <c r="Q55" s="121"/>
      <c r="R55" s="121"/>
      <c r="W55" s="20"/>
      <c r="X55" s="20"/>
    </row>
    <row r="56" spans="1:24" ht="15" customHeight="1" outlineLevel="1">
      <c r="A56" s="392"/>
      <c r="B56" s="121"/>
      <c r="C56" s="343" t="s">
        <v>2104</v>
      </c>
      <c r="D56" s="281" t="s">
        <v>1637</v>
      </c>
      <c r="E56" s="280" t="str">
        <f>$E$55&amp;"."&amp;G.30.Levers[[#This Row],[Lever]]</f>
        <v>FuelSwitch.Steel</v>
      </c>
      <c r="F56" s="394">
        <f ca="1">$F$55</f>
        <v>1</v>
      </c>
      <c r="G56" s="121"/>
      <c r="H56" s="121"/>
      <c r="I56" s="121"/>
      <c r="J56" s="121"/>
      <c r="K56" s="121"/>
      <c r="L56" s="121"/>
      <c r="M56" s="121"/>
      <c r="N56" s="121"/>
      <c r="O56" s="121"/>
      <c r="P56" s="121"/>
      <c r="Q56" s="121"/>
      <c r="R56" s="121"/>
      <c r="W56" s="20"/>
      <c r="X56" s="20"/>
    </row>
    <row r="57" spans="1:24" ht="15" customHeight="1" outlineLevel="1">
      <c r="A57" s="392"/>
      <c r="B57" s="121"/>
      <c r="C57" s="344" t="s">
        <v>2105</v>
      </c>
      <c r="D57" s="282" t="s">
        <v>1889</v>
      </c>
      <c r="E57" s="280" t="str">
        <f>$E$56&amp;"."&amp;G.30.Levers[[#This Row],[Lever]]</f>
        <v>FuelSwitch.Steel.Oxygen</v>
      </c>
      <c r="F57" s="395">
        <f ca="1">$F$56</f>
        <v>1</v>
      </c>
      <c r="G57" s="121"/>
      <c r="H57" s="121"/>
      <c r="I57" s="121"/>
      <c r="J57" s="121"/>
      <c r="K57" s="121"/>
      <c r="L57" s="121"/>
      <c r="M57" s="121"/>
      <c r="N57" s="121"/>
      <c r="O57" s="121"/>
      <c r="P57" s="121"/>
      <c r="Q57" s="121"/>
      <c r="R57" s="121"/>
      <c r="W57" s="20"/>
      <c r="X57" s="20"/>
    </row>
    <row r="58" spans="1:24" ht="15" customHeight="1" outlineLevel="1">
      <c r="A58" s="392"/>
      <c r="B58" s="121"/>
      <c r="C58" s="344" t="s">
        <v>2105</v>
      </c>
      <c r="D58" s="282"/>
      <c r="E58" s="280" t="s">
        <v>2106</v>
      </c>
      <c r="F58" s="396">
        <f ca="1">F57</f>
        <v>1</v>
      </c>
      <c r="G58" s="121"/>
      <c r="H58" s="121"/>
      <c r="I58" s="121"/>
      <c r="J58" s="121"/>
      <c r="K58" s="121"/>
      <c r="L58" s="121"/>
      <c r="M58" s="121"/>
      <c r="N58" s="121"/>
      <c r="O58" s="121"/>
      <c r="P58" s="121"/>
      <c r="Q58" s="121"/>
      <c r="R58" s="121"/>
      <c r="W58" s="20"/>
      <c r="X58" s="20"/>
    </row>
    <row r="59" spans="1:24" ht="15" customHeight="1" outlineLevel="1">
      <c r="A59" s="392"/>
      <c r="B59" s="121"/>
      <c r="C59" s="344" t="s">
        <v>2107</v>
      </c>
      <c r="D59" s="282" t="s">
        <v>1890</v>
      </c>
      <c r="E59" s="280" t="str">
        <f>$E$56&amp;"."&amp;G.30.Levers[[#This Row],[Lever]]</f>
        <v>FuelSwitch.Steel.Electric</v>
      </c>
      <c r="F59" s="395">
        <f ca="1">$F$56</f>
        <v>1</v>
      </c>
      <c r="G59" s="121"/>
      <c r="H59" s="121"/>
      <c r="I59" s="121"/>
      <c r="J59" s="121"/>
      <c r="K59" s="121"/>
      <c r="L59" s="121"/>
      <c r="M59" s="121"/>
      <c r="N59" s="121"/>
      <c r="O59" s="121"/>
      <c r="P59" s="121"/>
      <c r="Q59" s="121"/>
      <c r="R59" s="121"/>
      <c r="W59" s="20"/>
      <c r="X59" s="20"/>
    </row>
    <row r="60" spans="1:24" ht="15" customHeight="1" outlineLevel="1">
      <c r="A60" s="392"/>
      <c r="B60" s="121"/>
      <c r="C60" s="343" t="s">
        <v>2108</v>
      </c>
      <c r="D60" s="281" t="s">
        <v>1418</v>
      </c>
      <c r="E60" s="280" t="str">
        <f>$E$55&amp;"."&amp;G.30.Levers[[#This Row],[Lever]]</f>
        <v>FuelSwitch.Aluminium</v>
      </c>
      <c r="F60" s="394">
        <f ca="1">$F$55</f>
        <v>1</v>
      </c>
      <c r="G60" s="121"/>
      <c r="H60" s="121"/>
      <c r="I60" s="121"/>
      <c r="J60" s="121"/>
      <c r="K60" s="121"/>
      <c r="L60" s="121"/>
      <c r="M60" s="121"/>
      <c r="N60" s="121"/>
      <c r="O60" s="121"/>
      <c r="P60" s="121"/>
      <c r="Q60" s="121"/>
      <c r="R60" s="121"/>
      <c r="W60" s="20"/>
      <c r="X60" s="20"/>
    </row>
    <row r="61" spans="1:24" ht="15" customHeight="1" outlineLevel="1">
      <c r="A61" s="392"/>
      <c r="B61" s="121"/>
      <c r="C61" s="344" t="s">
        <v>2109</v>
      </c>
      <c r="D61" s="282" t="s">
        <v>1625</v>
      </c>
      <c r="E61" s="280" t="str">
        <f>$E$60&amp;"."&amp;G.30.Levers[[#This Row],[Lever]]</f>
        <v>FuelSwitch.Aluminium.Alumina</v>
      </c>
      <c r="F61" s="395">
        <f ca="1">$F$60</f>
        <v>1</v>
      </c>
      <c r="G61" s="121"/>
      <c r="H61" s="121"/>
      <c r="I61" s="121"/>
      <c r="J61" s="121"/>
      <c r="K61" s="121"/>
      <c r="L61" s="121"/>
      <c r="M61" s="121"/>
      <c r="N61" s="121"/>
      <c r="O61" s="121"/>
      <c r="P61" s="121"/>
      <c r="Q61" s="121"/>
      <c r="R61" s="121"/>
      <c r="W61" s="20"/>
      <c r="X61" s="20"/>
    </row>
    <row r="62" spans="1:24" ht="15" customHeight="1" outlineLevel="1">
      <c r="A62" s="392"/>
      <c r="B62" s="121"/>
      <c r="C62" s="344" t="s">
        <v>2110</v>
      </c>
      <c r="D62" s="282" t="s">
        <v>1891</v>
      </c>
      <c r="E62" s="280" t="str">
        <f>$E$60&amp;"."&amp;G.30.Levers[[#This Row],[Lever]]</f>
        <v>FuelSwitch.Aluminium.Primary</v>
      </c>
      <c r="F62" s="395">
        <f ca="1">$F$60</f>
        <v>1</v>
      </c>
      <c r="G62" s="121"/>
      <c r="H62" s="121"/>
      <c r="I62" s="121"/>
      <c r="J62" s="121"/>
      <c r="K62" s="121"/>
      <c r="L62" s="121"/>
      <c r="M62" s="121"/>
      <c r="N62" s="121"/>
      <c r="O62" s="121"/>
      <c r="P62" s="121"/>
      <c r="Q62" s="121"/>
      <c r="R62" s="121"/>
      <c r="W62" s="20"/>
      <c r="X62" s="20"/>
    </row>
    <row r="63" spans="1:24" ht="15" customHeight="1" outlineLevel="1">
      <c r="A63" s="392"/>
      <c r="B63" s="121"/>
      <c r="C63" s="344" t="s">
        <v>2111</v>
      </c>
      <c r="D63" s="282" t="s">
        <v>1892</v>
      </c>
      <c r="E63" s="280" t="str">
        <f>$E$60&amp;"."&amp;G.30.Levers[[#This Row],[Lever]]</f>
        <v>FuelSwitch.Aluminium.Secondary</v>
      </c>
      <c r="F63" s="395">
        <f ca="1">$F$60</f>
        <v>1</v>
      </c>
      <c r="G63" s="121"/>
      <c r="H63" s="121"/>
      <c r="I63" s="121"/>
      <c r="J63" s="121"/>
      <c r="K63" s="121"/>
      <c r="L63" s="121"/>
      <c r="M63" s="121"/>
      <c r="N63" s="121"/>
      <c r="O63" s="121"/>
      <c r="P63" s="121"/>
      <c r="Q63" s="121"/>
      <c r="R63" s="121"/>
      <c r="W63" s="20"/>
      <c r="X63" s="20"/>
    </row>
    <row r="64" spans="1:24" ht="15" customHeight="1" outlineLevel="1">
      <c r="A64" s="392"/>
      <c r="B64" s="121"/>
      <c r="C64" s="343" t="s">
        <v>2112</v>
      </c>
      <c r="D64" s="281" t="s">
        <v>1435</v>
      </c>
      <c r="E64" s="280" t="str">
        <f>$E$55&amp;"."&amp;G.30.Levers[[#This Row],[Lever]]</f>
        <v>FuelSwitch.Chemicals &amp; petrochemicals</v>
      </c>
      <c r="F64" s="394">
        <f ca="1">$F$55</f>
        <v>1</v>
      </c>
      <c r="G64" s="121"/>
      <c r="H64" s="121"/>
      <c r="I64" s="121"/>
      <c r="J64" s="121"/>
      <c r="K64" s="121"/>
      <c r="L64" s="121"/>
      <c r="M64" s="121"/>
      <c r="N64" s="121"/>
      <c r="O64" s="121"/>
      <c r="P64" s="121"/>
      <c r="Q64" s="121"/>
      <c r="R64" s="121"/>
      <c r="W64" s="20"/>
      <c r="X64" s="20"/>
    </row>
    <row r="65" spans="1:24" ht="15" customHeight="1" outlineLevel="1">
      <c r="A65" s="392"/>
      <c r="B65" s="121"/>
      <c r="C65" s="344" t="s">
        <v>2113</v>
      </c>
      <c r="D65" s="282" t="s">
        <v>1893</v>
      </c>
      <c r="E65" s="280" t="str">
        <f>$E$64&amp;"."&amp;G.30.Levers[[#This Row],[Lever]]</f>
        <v>FuelSwitch.Chemicals &amp; petrochemicals.HighValueChemicals</v>
      </c>
      <c r="F65" s="395">
        <f ca="1">F64</f>
        <v>1</v>
      </c>
      <c r="G65" s="121"/>
      <c r="H65" s="121"/>
      <c r="I65" s="121"/>
      <c r="J65" s="121"/>
      <c r="K65" s="121"/>
      <c r="L65" s="121"/>
      <c r="M65" s="121"/>
      <c r="N65" s="121"/>
      <c r="O65" s="121"/>
      <c r="P65" s="121"/>
      <c r="Q65" s="121"/>
      <c r="R65" s="121"/>
      <c r="W65" s="20"/>
      <c r="X65" s="20"/>
    </row>
    <row r="66" spans="1:24" ht="15" customHeight="1" outlineLevel="1">
      <c r="A66" s="392"/>
      <c r="B66" s="121"/>
      <c r="C66" s="344" t="s">
        <v>2114</v>
      </c>
      <c r="D66" s="282" t="s">
        <v>1622</v>
      </c>
      <c r="E66" s="280" t="str">
        <f>$E$64&amp;"."&amp;G.30.Levers[[#This Row],[Lever]]</f>
        <v>FuelSwitch.Chemicals &amp; petrochemicals.Ammonia</v>
      </c>
      <c r="F66" s="395">
        <f t="shared" ref="F66:F68" ca="1" si="3">F65</f>
        <v>1</v>
      </c>
      <c r="G66" s="121"/>
      <c r="H66" s="121"/>
      <c r="I66" s="121"/>
      <c r="J66" s="121"/>
      <c r="K66" s="121"/>
      <c r="L66" s="121"/>
      <c r="M66" s="121"/>
      <c r="N66" s="121"/>
      <c r="O66" s="121"/>
      <c r="P66" s="121"/>
      <c r="Q66" s="121"/>
      <c r="R66" s="121"/>
      <c r="W66" s="20"/>
      <c r="X66" s="20"/>
    </row>
    <row r="67" spans="1:24" ht="15" customHeight="1" outlineLevel="1">
      <c r="A67" s="392"/>
      <c r="B67" s="121"/>
      <c r="C67" s="344" t="s">
        <v>2115</v>
      </c>
      <c r="D67" s="282" t="s">
        <v>1623</v>
      </c>
      <c r="E67" s="280" t="str">
        <f>$E$64&amp;"."&amp;G.30.Levers[[#This Row],[Lever]]</f>
        <v>FuelSwitch.Chemicals &amp; petrochemicals.Methanol</v>
      </c>
      <c r="F67" s="395">
        <f t="shared" ca="1" si="3"/>
        <v>1</v>
      </c>
      <c r="G67" s="121"/>
      <c r="H67" s="121"/>
      <c r="I67" s="121"/>
      <c r="J67" s="121"/>
      <c r="K67" s="121"/>
      <c r="L67" s="121"/>
      <c r="M67" s="121"/>
      <c r="N67" s="121"/>
      <c r="O67" s="121"/>
      <c r="P67" s="121"/>
      <c r="Q67" s="121"/>
      <c r="R67" s="121"/>
      <c r="W67" s="20"/>
      <c r="X67" s="20"/>
    </row>
    <row r="68" spans="1:24" ht="15" customHeight="1" outlineLevel="1">
      <c r="A68" s="392"/>
      <c r="B68" s="121"/>
      <c r="C68" s="344" t="s">
        <v>2116</v>
      </c>
      <c r="D68" s="282" t="s">
        <v>1894</v>
      </c>
      <c r="E68" s="280" t="str">
        <f>$E$64&amp;"."&amp;G.30.Levers[[#This Row],[Lever]]</f>
        <v>FuelSwitch.Chemicals &amp; petrochemicals.Others</v>
      </c>
      <c r="F68" s="395">
        <f t="shared" ca="1" si="3"/>
        <v>1</v>
      </c>
      <c r="G68" s="121"/>
      <c r="H68" s="121"/>
      <c r="I68" s="121"/>
      <c r="J68" s="121"/>
      <c r="K68" s="121"/>
      <c r="L68" s="121"/>
      <c r="M68" s="121"/>
      <c r="N68" s="121"/>
      <c r="O68" s="121"/>
      <c r="P68" s="121"/>
      <c r="Q68" s="121"/>
      <c r="R68" s="121"/>
      <c r="W68" s="20"/>
      <c r="X68" s="20"/>
    </row>
    <row r="69" spans="1:24" ht="15" customHeight="1" outlineLevel="1">
      <c r="A69" s="392"/>
      <c r="B69" s="121"/>
      <c r="C69" s="343" t="s">
        <v>2117</v>
      </c>
      <c r="D69" s="281" t="s">
        <v>1895</v>
      </c>
      <c r="E69" s="280" t="str">
        <f>$E$55&amp;"."&amp;G.30.Levers[[#This Row],[Lever]]</f>
        <v>FuelSwitch.Pulp &amp; Paper</v>
      </c>
      <c r="F69" s="394">
        <f ca="1">$F$55</f>
        <v>1</v>
      </c>
      <c r="G69" s="121"/>
      <c r="H69" s="121"/>
      <c r="I69" s="121"/>
      <c r="J69" s="121"/>
      <c r="K69" s="121"/>
      <c r="L69" s="121"/>
      <c r="M69" s="121"/>
      <c r="N69" s="121"/>
      <c r="O69" s="121"/>
      <c r="P69" s="121"/>
      <c r="Q69" s="121"/>
      <c r="R69" s="121"/>
      <c r="W69" s="20"/>
      <c r="X69" s="20"/>
    </row>
    <row r="70" spans="1:24" ht="15" customHeight="1" outlineLevel="1">
      <c r="A70" s="392"/>
      <c r="B70" s="121"/>
      <c r="C70" s="344" t="s">
        <v>2118</v>
      </c>
      <c r="D70" s="282" t="s">
        <v>1896</v>
      </c>
      <c r="E70" s="280" t="str">
        <f>$E$69&amp;"."&amp;G.30.Levers[[#This Row],[Lever]]</f>
        <v>FuelSwitch.Pulp &amp; Paper.Pulp</v>
      </c>
      <c r="F70" s="395">
        <f ca="1">$F$69</f>
        <v>1</v>
      </c>
      <c r="G70" s="121"/>
      <c r="H70" s="121"/>
      <c r="I70" s="121"/>
      <c r="J70" s="121"/>
      <c r="K70" s="121"/>
      <c r="L70" s="121"/>
      <c r="M70" s="121"/>
      <c r="N70" s="121"/>
      <c r="O70" s="121"/>
      <c r="P70" s="121"/>
      <c r="Q70" s="121"/>
      <c r="R70" s="121"/>
      <c r="W70" s="20"/>
      <c r="X70" s="20"/>
    </row>
    <row r="71" spans="1:24" ht="15" customHeight="1" outlineLevel="1">
      <c r="A71" s="392"/>
      <c r="B71" s="121"/>
      <c r="C71" s="344" t="s">
        <v>2119</v>
      </c>
      <c r="D71" s="282" t="s">
        <v>1897</v>
      </c>
      <c r="E71" s="280" t="str">
        <f>$E$69&amp;"."&amp;G.30.Levers[[#This Row],[Lever]]</f>
        <v>FuelSwitch.Pulp &amp; Paper.Virgin</v>
      </c>
      <c r="F71" s="395">
        <f ca="1">$F$69</f>
        <v>1</v>
      </c>
      <c r="G71" s="121"/>
      <c r="H71" s="121"/>
      <c r="I71" s="121"/>
      <c r="J71" s="121"/>
      <c r="K71" s="121"/>
      <c r="L71" s="121"/>
      <c r="M71" s="121"/>
      <c r="N71" s="121"/>
      <c r="O71" s="121"/>
      <c r="P71" s="121"/>
      <c r="Q71" s="121"/>
      <c r="R71" s="121"/>
      <c r="W71" s="20"/>
      <c r="X71" s="20"/>
    </row>
    <row r="72" spans="1:24" ht="15" customHeight="1" outlineLevel="1">
      <c r="A72" s="392"/>
      <c r="B72" s="121"/>
      <c r="C72" s="344" t="s">
        <v>2120</v>
      </c>
      <c r="D72" s="282" t="s">
        <v>1898</v>
      </c>
      <c r="E72" s="280" t="str">
        <f>$E$69&amp;"."&amp;G.30.Levers[[#This Row],[Lever]]</f>
        <v>FuelSwitch.Pulp &amp; Paper.Recycled</v>
      </c>
      <c r="F72" s="395">
        <f ca="1">$F$69</f>
        <v>1</v>
      </c>
      <c r="G72" s="121"/>
      <c r="H72" s="121"/>
      <c r="I72" s="121"/>
      <c r="J72" s="121"/>
      <c r="K72" s="121"/>
      <c r="L72" s="121"/>
      <c r="M72" s="121"/>
      <c r="N72" s="121"/>
      <c r="O72" s="121"/>
      <c r="P72" s="121"/>
      <c r="Q72" s="121"/>
      <c r="R72" s="121"/>
      <c r="W72" s="20"/>
      <c r="X72" s="20"/>
    </row>
    <row r="73" spans="1:24" ht="15" customHeight="1" outlineLevel="1">
      <c r="A73" s="392"/>
      <c r="B73" s="121"/>
      <c r="C73" s="343" t="s">
        <v>2121</v>
      </c>
      <c r="D73" s="281" t="s">
        <v>1426</v>
      </c>
      <c r="E73" s="280" t="str">
        <f>$E$55&amp;"."&amp;G.30.Levers[[#This Row],[Lever]]</f>
        <v>FuelSwitch.Cement</v>
      </c>
      <c r="F73" s="394">
        <f ca="1">$F$55</f>
        <v>1</v>
      </c>
      <c r="G73" s="121"/>
      <c r="H73" s="121"/>
      <c r="I73" s="121"/>
      <c r="J73" s="121"/>
      <c r="K73" s="121"/>
      <c r="L73" s="121"/>
      <c r="M73" s="121"/>
      <c r="N73" s="121"/>
      <c r="O73" s="121"/>
      <c r="P73" s="121"/>
      <c r="Q73" s="121"/>
      <c r="R73" s="121"/>
      <c r="W73" s="20"/>
      <c r="X73" s="20"/>
    </row>
    <row r="74" spans="1:24" ht="15" customHeight="1" outlineLevel="1">
      <c r="A74" s="392"/>
      <c r="B74" s="121"/>
      <c r="C74" s="343" t="s">
        <v>2122</v>
      </c>
      <c r="D74" s="281" t="s">
        <v>1457</v>
      </c>
      <c r="E74" s="280" t="str">
        <f>$E$55&amp;"."&amp;G.30.Levers[[#This Row],[Lever]]</f>
        <v>FuelSwitch.Other industries</v>
      </c>
      <c r="F74" s="394">
        <f ca="1">$F$55</f>
        <v>1</v>
      </c>
      <c r="G74" s="121"/>
      <c r="H74" s="121"/>
      <c r="I74" s="121"/>
      <c r="J74" s="121"/>
      <c r="K74" s="121"/>
      <c r="L74" s="121"/>
      <c r="M74" s="121"/>
      <c r="N74" s="121"/>
      <c r="O74" s="121"/>
      <c r="P74" s="121"/>
      <c r="Q74" s="121"/>
      <c r="R74" s="121"/>
      <c r="W74" s="20"/>
      <c r="X74" s="20"/>
    </row>
    <row r="75" spans="1:24" ht="15" customHeight="1" outlineLevel="1">
      <c r="A75" s="392"/>
      <c r="B75" s="121"/>
      <c r="C75" s="345" t="s">
        <v>2123</v>
      </c>
      <c r="D75" s="283" t="s">
        <v>1430</v>
      </c>
      <c r="E75" s="280" t="s">
        <v>1901</v>
      </c>
      <c r="F75" s="397">
        <f ca="1">F35</f>
        <v>1</v>
      </c>
      <c r="G75" s="121"/>
      <c r="H75" s="121"/>
      <c r="I75" s="121"/>
      <c r="J75" s="121"/>
      <c r="K75" s="121"/>
      <c r="L75" s="121"/>
      <c r="M75" s="121"/>
      <c r="N75" s="121"/>
      <c r="O75" s="121"/>
      <c r="P75" s="121"/>
      <c r="Q75" s="121"/>
      <c r="R75" s="121"/>
      <c r="W75" s="20"/>
      <c r="X75" s="20"/>
    </row>
    <row r="76" spans="1:24" ht="15" customHeight="1" outlineLevel="1">
      <c r="A76" s="392"/>
      <c r="B76" s="121"/>
      <c r="C76" s="346" t="s">
        <v>2124</v>
      </c>
      <c r="D76" s="281" t="s">
        <v>1637</v>
      </c>
      <c r="E76" s="280" t="str">
        <f>$E$75&amp;"."&amp;G.30.Levers[[#This Row],[Lever]]</f>
        <v>EnergyEfficiency.Steel</v>
      </c>
      <c r="F76" s="398">
        <f ca="1">$F$75</f>
        <v>1</v>
      </c>
      <c r="G76" s="121"/>
      <c r="H76" s="121"/>
      <c r="I76" s="121"/>
      <c r="J76" s="121"/>
      <c r="K76" s="121"/>
      <c r="L76" s="121"/>
      <c r="M76" s="121"/>
      <c r="N76" s="121"/>
      <c r="O76" s="121"/>
      <c r="P76" s="121"/>
      <c r="Q76" s="121"/>
      <c r="R76" s="121"/>
      <c r="W76" s="20"/>
      <c r="X76" s="20"/>
    </row>
    <row r="77" spans="1:24" ht="15" customHeight="1" outlineLevel="1">
      <c r="A77" s="392"/>
      <c r="B77" s="121"/>
      <c r="C77" s="347" t="s">
        <v>2125</v>
      </c>
      <c r="D77" s="282" t="s">
        <v>1889</v>
      </c>
      <c r="E77" s="280" t="str">
        <f>$E$76&amp;"."&amp;G.30.Levers[[#This Row],[Lever]]</f>
        <v>EnergyEfficiency.Steel.Oxygen</v>
      </c>
      <c r="F77" s="399">
        <f ca="1">$F$76</f>
        <v>1</v>
      </c>
      <c r="G77" s="121"/>
      <c r="H77" s="121"/>
      <c r="I77" s="121"/>
      <c r="J77" s="121"/>
      <c r="K77" s="121"/>
      <c r="L77" s="121"/>
      <c r="M77" s="121"/>
      <c r="N77" s="121"/>
      <c r="O77" s="121"/>
      <c r="P77" s="121"/>
      <c r="Q77" s="121"/>
      <c r="R77" s="121"/>
      <c r="W77" s="20"/>
      <c r="X77" s="20"/>
    </row>
    <row r="78" spans="1:24" ht="15" customHeight="1" outlineLevel="1">
      <c r="A78" s="392"/>
      <c r="B78" s="121"/>
      <c r="C78" s="347" t="s">
        <v>2125</v>
      </c>
      <c r="D78" s="282"/>
      <c r="E78" s="280" t="s">
        <v>2126</v>
      </c>
      <c r="F78" s="396">
        <f ca="1">F77</f>
        <v>1</v>
      </c>
      <c r="G78" s="121"/>
      <c r="H78" s="121"/>
      <c r="I78" s="121"/>
      <c r="J78" s="121"/>
      <c r="K78" s="121"/>
      <c r="L78" s="121"/>
      <c r="M78" s="121"/>
      <c r="N78" s="121"/>
      <c r="O78" s="121"/>
      <c r="P78" s="121"/>
      <c r="Q78" s="121"/>
      <c r="R78" s="121"/>
      <c r="W78" s="20"/>
      <c r="X78" s="20"/>
    </row>
    <row r="79" spans="1:24" ht="15" customHeight="1" outlineLevel="1">
      <c r="A79" s="392"/>
      <c r="B79" s="121"/>
      <c r="C79" s="347" t="s">
        <v>2127</v>
      </c>
      <c r="D79" s="282" t="s">
        <v>1890</v>
      </c>
      <c r="E79" s="280" t="str">
        <f>$E$76&amp;"."&amp;G.30.Levers[[#This Row],[Lever]]</f>
        <v>EnergyEfficiency.Steel.Electric</v>
      </c>
      <c r="F79" s="399">
        <f ca="1">$F$76</f>
        <v>1</v>
      </c>
      <c r="G79" s="121"/>
      <c r="H79" s="121"/>
      <c r="I79" s="121"/>
      <c r="J79" s="121"/>
      <c r="K79" s="121"/>
      <c r="L79" s="121"/>
      <c r="M79" s="121"/>
      <c r="N79" s="121"/>
      <c r="O79" s="121"/>
      <c r="P79" s="121"/>
      <c r="Q79" s="121"/>
      <c r="R79" s="121"/>
      <c r="W79" s="20"/>
      <c r="X79" s="20"/>
    </row>
    <row r="80" spans="1:24" ht="15" customHeight="1" outlineLevel="1">
      <c r="A80" s="392"/>
      <c r="B80" s="121"/>
      <c r="C80" s="346" t="s">
        <v>2128</v>
      </c>
      <c r="D80" s="281" t="s">
        <v>1418</v>
      </c>
      <c r="E80" s="280" t="str">
        <f>$E$75&amp;"."&amp;G.30.Levers[[#This Row],[Lever]]</f>
        <v>EnergyEfficiency.Aluminium</v>
      </c>
      <c r="F80" s="398">
        <f ca="1">$F$75</f>
        <v>1</v>
      </c>
      <c r="G80" s="121"/>
      <c r="H80" s="121"/>
      <c r="I80" s="121"/>
      <c r="J80" s="121"/>
      <c r="K80" s="121"/>
      <c r="L80" s="121"/>
      <c r="M80" s="121"/>
      <c r="N80" s="121"/>
      <c r="O80" s="121"/>
      <c r="P80" s="121"/>
      <c r="Q80" s="121"/>
      <c r="R80" s="121"/>
      <c r="W80" s="20"/>
      <c r="X80" s="20"/>
    </row>
    <row r="81" spans="1:24" ht="15" customHeight="1" outlineLevel="1">
      <c r="A81" s="392"/>
      <c r="B81" s="121"/>
      <c r="C81" s="347" t="s">
        <v>2129</v>
      </c>
      <c r="D81" s="282" t="s">
        <v>1625</v>
      </c>
      <c r="E81" s="280" t="str">
        <f>$E$80&amp;"."&amp;G.30.Levers[[#This Row],[Lever]]</f>
        <v>EnergyEfficiency.Aluminium.Alumina</v>
      </c>
      <c r="F81" s="399">
        <f ca="1">$F$80</f>
        <v>1</v>
      </c>
      <c r="G81" s="121"/>
      <c r="H81" s="121"/>
      <c r="I81" s="121"/>
      <c r="J81" s="121"/>
      <c r="K81" s="121"/>
      <c r="L81" s="121"/>
      <c r="M81" s="121"/>
      <c r="N81" s="121"/>
      <c r="O81" s="121"/>
      <c r="P81" s="121"/>
      <c r="Q81" s="121"/>
      <c r="R81" s="121"/>
      <c r="W81" s="20"/>
      <c r="X81" s="20"/>
    </row>
    <row r="82" spans="1:24" ht="15" customHeight="1" outlineLevel="1">
      <c r="A82" s="392"/>
      <c r="B82" s="121"/>
      <c r="C82" s="347" t="s">
        <v>2130</v>
      </c>
      <c r="D82" s="282" t="s">
        <v>1891</v>
      </c>
      <c r="E82" s="280" t="str">
        <f>$E$80&amp;"."&amp;G.30.Levers[[#This Row],[Lever]]</f>
        <v>EnergyEfficiency.Aluminium.Primary</v>
      </c>
      <c r="F82" s="399">
        <f ca="1">$F$80</f>
        <v>1</v>
      </c>
      <c r="G82" s="121"/>
      <c r="H82" s="121"/>
      <c r="I82" s="121"/>
      <c r="J82" s="121"/>
      <c r="K82" s="121"/>
      <c r="L82" s="121"/>
      <c r="M82" s="121"/>
      <c r="N82" s="121"/>
      <c r="O82" s="121"/>
      <c r="P82" s="121"/>
      <c r="Q82" s="121"/>
      <c r="R82" s="121"/>
      <c r="W82" s="20"/>
      <c r="X82" s="20"/>
    </row>
    <row r="83" spans="1:24" ht="15" customHeight="1" outlineLevel="1">
      <c r="A83" s="392"/>
      <c r="B83" s="121"/>
      <c r="C83" s="347" t="s">
        <v>2131</v>
      </c>
      <c r="D83" s="282" t="s">
        <v>1892</v>
      </c>
      <c r="E83" s="280" t="str">
        <f>$E$80&amp;"."&amp;G.30.Levers[[#This Row],[Lever]]</f>
        <v>EnergyEfficiency.Aluminium.Secondary</v>
      </c>
      <c r="F83" s="399">
        <f ca="1">$F$80</f>
        <v>1</v>
      </c>
      <c r="G83" s="121"/>
      <c r="H83" s="121"/>
      <c r="I83" s="121"/>
      <c r="J83" s="121"/>
      <c r="K83" s="121"/>
      <c r="L83" s="121"/>
      <c r="M83" s="121"/>
      <c r="N83" s="121"/>
      <c r="O83" s="121"/>
      <c r="P83" s="121"/>
      <c r="Q83" s="121"/>
      <c r="R83" s="121"/>
      <c r="W83" s="20"/>
      <c r="X83" s="20"/>
    </row>
    <row r="84" spans="1:24" ht="15" customHeight="1" outlineLevel="1">
      <c r="A84" s="392"/>
      <c r="B84" s="121"/>
      <c r="C84" s="346" t="s">
        <v>2132</v>
      </c>
      <c r="D84" s="281" t="s">
        <v>1435</v>
      </c>
      <c r="E84" s="280" t="str">
        <f>$E$75&amp;"."&amp;G.30.Levers[[#This Row],[Lever]]</f>
        <v>EnergyEfficiency.Chemicals &amp; petrochemicals</v>
      </c>
      <c r="F84" s="398">
        <f ca="1">$F$75</f>
        <v>1</v>
      </c>
      <c r="G84" s="121"/>
      <c r="H84" s="121"/>
      <c r="I84" s="121"/>
      <c r="J84" s="121"/>
      <c r="K84" s="121"/>
      <c r="L84" s="121"/>
      <c r="M84" s="121"/>
      <c r="N84" s="121"/>
      <c r="O84" s="121"/>
      <c r="P84" s="121"/>
      <c r="Q84" s="121"/>
      <c r="R84" s="121"/>
      <c r="W84" s="20"/>
      <c r="X84" s="20"/>
    </row>
    <row r="85" spans="1:24" ht="15" customHeight="1" outlineLevel="1">
      <c r="A85" s="392"/>
      <c r="B85" s="121"/>
      <c r="C85" s="347" t="s">
        <v>2133</v>
      </c>
      <c r="D85" s="282" t="s">
        <v>1893</v>
      </c>
      <c r="E85" s="280" t="str">
        <f>$E$84&amp;"."&amp;G.30.Levers[[#This Row],[Lever]]</f>
        <v>EnergyEfficiency.Chemicals &amp; petrochemicals.HighValueChemicals</v>
      </c>
      <c r="F85" s="399">
        <f ca="1">$F$84</f>
        <v>1</v>
      </c>
      <c r="G85" s="121"/>
      <c r="H85" s="121"/>
      <c r="I85" s="121"/>
      <c r="J85" s="121"/>
      <c r="K85" s="121"/>
      <c r="L85" s="121"/>
      <c r="M85" s="121"/>
      <c r="N85" s="121"/>
      <c r="O85" s="121"/>
      <c r="P85" s="121"/>
      <c r="Q85" s="121"/>
      <c r="R85" s="121"/>
      <c r="W85" s="20"/>
      <c r="X85" s="20"/>
    </row>
    <row r="86" spans="1:24" ht="15" customHeight="1" outlineLevel="1">
      <c r="A86" s="392"/>
      <c r="B86" s="121"/>
      <c r="C86" s="347" t="s">
        <v>2134</v>
      </c>
      <c r="D86" s="282" t="s">
        <v>1622</v>
      </c>
      <c r="E86" s="280" t="str">
        <f>$E$84&amp;"."&amp;G.30.Levers[[#This Row],[Lever]]</f>
        <v>EnergyEfficiency.Chemicals &amp; petrochemicals.Ammonia</v>
      </c>
      <c r="F86" s="399">
        <f ca="1">$F$84</f>
        <v>1</v>
      </c>
      <c r="G86" s="121"/>
      <c r="H86" s="121"/>
      <c r="I86" s="121"/>
      <c r="J86" s="121"/>
      <c r="K86" s="121"/>
      <c r="L86" s="121"/>
      <c r="M86" s="121"/>
      <c r="N86" s="121"/>
      <c r="O86" s="121"/>
      <c r="P86" s="121"/>
      <c r="Q86" s="121"/>
      <c r="R86" s="121"/>
      <c r="W86" s="20"/>
      <c r="X86" s="20"/>
    </row>
    <row r="87" spans="1:24" ht="15" customHeight="1" outlineLevel="1">
      <c r="A87" s="392"/>
      <c r="B87" s="121"/>
      <c r="C87" s="347" t="s">
        <v>2135</v>
      </c>
      <c r="D87" s="282" t="s">
        <v>1623</v>
      </c>
      <c r="E87" s="280" t="str">
        <f>$E$84&amp;"."&amp;G.30.Levers[[#This Row],[Lever]]</f>
        <v>EnergyEfficiency.Chemicals &amp; petrochemicals.Methanol</v>
      </c>
      <c r="F87" s="399">
        <f ca="1">$F$84</f>
        <v>1</v>
      </c>
      <c r="G87" s="121"/>
      <c r="H87" s="121"/>
      <c r="I87" s="121"/>
      <c r="J87" s="121"/>
      <c r="K87" s="121"/>
      <c r="L87" s="121"/>
      <c r="M87" s="121"/>
      <c r="N87" s="121"/>
      <c r="O87" s="121"/>
      <c r="P87" s="121"/>
      <c r="Q87" s="121"/>
      <c r="R87" s="121"/>
      <c r="W87" s="20"/>
      <c r="X87" s="20"/>
    </row>
    <row r="88" spans="1:24" ht="15" customHeight="1" outlineLevel="1">
      <c r="A88" s="392"/>
      <c r="B88" s="121"/>
      <c r="C88" s="347" t="s">
        <v>2136</v>
      </c>
      <c r="D88" s="282" t="s">
        <v>1894</v>
      </c>
      <c r="E88" s="280" t="str">
        <f>$E$84&amp;"."&amp;G.30.Levers[[#This Row],[Lever]]</f>
        <v>EnergyEfficiency.Chemicals &amp; petrochemicals.Others</v>
      </c>
      <c r="F88" s="399">
        <f ca="1">$F$84</f>
        <v>1</v>
      </c>
      <c r="G88" s="121"/>
      <c r="H88" s="121"/>
      <c r="I88" s="121"/>
      <c r="J88" s="121"/>
      <c r="K88" s="121"/>
      <c r="L88" s="121"/>
      <c r="M88" s="121"/>
      <c r="N88" s="121"/>
      <c r="O88" s="121"/>
      <c r="P88" s="121"/>
      <c r="Q88" s="121"/>
      <c r="R88" s="121"/>
      <c r="W88" s="20"/>
      <c r="X88" s="20"/>
    </row>
    <row r="89" spans="1:24" ht="15" customHeight="1" outlineLevel="1">
      <c r="A89" s="392"/>
      <c r="B89" s="121"/>
      <c r="C89" s="346" t="s">
        <v>2137</v>
      </c>
      <c r="D89" s="281" t="s">
        <v>1895</v>
      </c>
      <c r="E89" s="280" t="str">
        <f>$E$75&amp;"."&amp;G.30.Levers[[#This Row],[Lever]]</f>
        <v>EnergyEfficiency.Pulp &amp; Paper</v>
      </c>
      <c r="F89" s="398">
        <f ca="1">$F$75</f>
        <v>1</v>
      </c>
      <c r="G89" s="121"/>
      <c r="H89" s="121"/>
      <c r="I89" s="121"/>
      <c r="J89" s="121"/>
      <c r="K89" s="121"/>
      <c r="L89" s="121"/>
      <c r="M89" s="121"/>
      <c r="N89" s="121"/>
      <c r="O89" s="121"/>
      <c r="P89" s="121"/>
      <c r="Q89" s="121"/>
      <c r="R89" s="121"/>
      <c r="W89" s="20"/>
      <c r="X89" s="20"/>
    </row>
    <row r="90" spans="1:24" ht="15" customHeight="1" outlineLevel="1">
      <c r="A90" s="392"/>
      <c r="B90" s="121"/>
      <c r="C90" s="347" t="s">
        <v>2138</v>
      </c>
      <c r="D90" s="282" t="s">
        <v>1896</v>
      </c>
      <c r="E90" s="280" t="str">
        <f>$E$89&amp;"."&amp;G.30.Levers[[#This Row],[Lever]]</f>
        <v>EnergyEfficiency.Pulp &amp; Paper.Pulp</v>
      </c>
      <c r="F90" s="399">
        <f ca="1">F89</f>
        <v>1</v>
      </c>
      <c r="G90" s="121"/>
      <c r="H90" s="121"/>
      <c r="I90" s="121"/>
      <c r="J90" s="121"/>
      <c r="K90" s="121"/>
      <c r="L90" s="121"/>
      <c r="M90" s="121"/>
      <c r="N90" s="121"/>
      <c r="O90" s="121"/>
      <c r="P90" s="121"/>
      <c r="Q90" s="121"/>
      <c r="R90" s="121"/>
      <c r="W90" s="20"/>
      <c r="X90" s="20"/>
    </row>
    <row r="91" spans="1:24" ht="15" customHeight="1" outlineLevel="1">
      <c r="A91" s="392"/>
      <c r="B91" s="121"/>
      <c r="C91" s="347" t="s">
        <v>2139</v>
      </c>
      <c r="D91" s="282" t="s">
        <v>1897</v>
      </c>
      <c r="E91" s="280" t="str">
        <f>$E$89&amp;"."&amp;G.30.Levers[[#This Row],[Lever]]</f>
        <v>EnergyEfficiency.Pulp &amp; Paper.Virgin</v>
      </c>
      <c r="F91" s="399">
        <f t="shared" ref="F91:F92" ca="1" si="4">F90</f>
        <v>1</v>
      </c>
      <c r="G91" s="121"/>
      <c r="H91" s="121"/>
      <c r="I91" s="121"/>
      <c r="J91" s="121"/>
      <c r="K91" s="121"/>
      <c r="L91" s="121"/>
      <c r="M91" s="121"/>
      <c r="N91" s="121"/>
      <c r="O91" s="121"/>
      <c r="P91" s="121"/>
      <c r="Q91" s="121"/>
      <c r="R91" s="121"/>
      <c r="W91" s="20"/>
      <c r="X91" s="20"/>
    </row>
    <row r="92" spans="1:24" ht="15" customHeight="1" outlineLevel="1">
      <c r="A92" s="392"/>
      <c r="B92" s="121"/>
      <c r="C92" s="347" t="s">
        <v>2140</v>
      </c>
      <c r="D92" s="282" t="s">
        <v>1898</v>
      </c>
      <c r="E92" s="280" t="str">
        <f>$E$89&amp;"."&amp;G.30.Levers[[#This Row],[Lever]]</f>
        <v>EnergyEfficiency.Pulp &amp; Paper.Recycled</v>
      </c>
      <c r="F92" s="399">
        <f t="shared" ca="1" si="4"/>
        <v>1</v>
      </c>
      <c r="G92" s="121"/>
      <c r="H92" s="121"/>
      <c r="I92" s="121"/>
      <c r="J92" s="121"/>
      <c r="K92" s="121"/>
      <c r="L92" s="121"/>
      <c r="M92" s="121"/>
      <c r="N92" s="121"/>
      <c r="O92" s="121"/>
      <c r="P92" s="121"/>
      <c r="Q92" s="121"/>
      <c r="R92" s="121"/>
      <c r="W92" s="20"/>
      <c r="X92" s="20"/>
    </row>
    <row r="93" spans="1:24" ht="15" customHeight="1" outlineLevel="1">
      <c r="A93" s="392"/>
      <c r="B93" s="121"/>
      <c r="C93" s="346" t="s">
        <v>2141</v>
      </c>
      <c r="D93" s="281" t="s">
        <v>1426</v>
      </c>
      <c r="E93" s="280" t="str">
        <f>$E$75&amp;"."&amp;G.30.Levers[[#This Row],[Lever]]</f>
        <v>EnergyEfficiency.Cement</v>
      </c>
      <c r="F93" s="398">
        <f ca="1">$F$75</f>
        <v>1</v>
      </c>
      <c r="G93" s="121"/>
      <c r="H93" s="121"/>
      <c r="I93" s="121"/>
      <c r="J93" s="121"/>
      <c r="K93" s="121"/>
      <c r="L93" s="121"/>
      <c r="M93" s="121"/>
      <c r="N93" s="121"/>
      <c r="O93" s="121"/>
      <c r="P93" s="121"/>
      <c r="Q93" s="121"/>
      <c r="R93" s="121"/>
      <c r="W93" s="20"/>
      <c r="X93" s="20"/>
    </row>
    <row r="94" spans="1:24" ht="15" customHeight="1" outlineLevel="1">
      <c r="A94" s="392"/>
      <c r="B94" s="121"/>
      <c r="C94" s="346" t="s">
        <v>2142</v>
      </c>
      <c r="D94" s="281" t="s">
        <v>1457</v>
      </c>
      <c r="E94" s="280" t="str">
        <f>$E$75&amp;"."&amp;G.30.Levers[[#This Row],[Lever]]</f>
        <v>EnergyEfficiency.Other industries</v>
      </c>
      <c r="F94" s="398">
        <f ca="1">$F$75</f>
        <v>1</v>
      </c>
      <c r="G94" s="121"/>
      <c r="H94" s="121"/>
      <c r="I94" s="121"/>
      <c r="J94" s="121"/>
      <c r="K94" s="121"/>
      <c r="L94" s="121"/>
      <c r="M94" s="121"/>
      <c r="N94" s="121"/>
      <c r="O94" s="121"/>
      <c r="P94" s="121"/>
      <c r="Q94" s="121"/>
      <c r="R94" s="121"/>
      <c r="W94" s="20"/>
      <c r="X94" s="20"/>
    </row>
    <row r="95" spans="1:24" ht="15" customHeight="1">
      <c r="A95" s="392"/>
      <c r="B95" s="121"/>
      <c r="C95" s="210">
        <v>4</v>
      </c>
      <c r="D95" s="210" t="str">
        <f ca="1">OFFSET(INDIRECT("user.choice."&amp;$B$3&amp;"."&amp;C95),0,-1)</f>
        <v>Carbon Capture &amp; Storage in industry</v>
      </c>
      <c r="E95" s="369" t="s">
        <v>1467</v>
      </c>
      <c r="F95" s="237">
        <f ca="1">INDIRECT("user.choice."&amp;$B$3&amp;"."&amp;C95)</f>
        <v>1</v>
      </c>
      <c r="G95" s="121"/>
      <c r="H95" s="121"/>
      <c r="I95" s="121"/>
      <c r="J95" s="121"/>
      <c r="K95" s="121"/>
      <c r="L95" s="121"/>
      <c r="M95" s="121"/>
      <c r="N95" s="121"/>
      <c r="O95" s="121"/>
      <c r="P95" s="121"/>
      <c r="Q95" s="121"/>
      <c r="R95" s="121"/>
      <c r="T95" s="179" t="str">
        <f>$T$6</f>
        <v>Source</v>
      </c>
      <c r="U95" s="179" t="str">
        <f>$U$6</f>
        <v>Link</v>
      </c>
      <c r="V95" s="179" t="str">
        <f>$V$6</f>
        <v>Risk (Green, Amber/Green, Amber, Red/Amber, Red)</v>
      </c>
      <c r="W95" s="179" t="s">
        <v>869</v>
      </c>
      <c r="X95" s="179" t="str">
        <f>$X$6</f>
        <v>Comment author</v>
      </c>
    </row>
    <row r="96" spans="1:24" ht="15" customHeight="1" outlineLevel="1">
      <c r="A96" s="392"/>
      <c r="B96" s="121"/>
      <c r="C96" s="348" t="s">
        <v>2143</v>
      </c>
      <c r="D96" s="284" t="s">
        <v>1637</v>
      </c>
      <c r="E96" s="369" t="str">
        <f>$E$95&amp;"."&amp;G.30.Levers[[#This Row],[Lever]]</f>
        <v>CCS.Steel</v>
      </c>
      <c r="F96" s="400">
        <f ca="1">$F$95</f>
        <v>1</v>
      </c>
      <c r="G96" s="121"/>
      <c r="H96" s="121"/>
      <c r="I96" s="121"/>
      <c r="J96" s="121"/>
      <c r="K96" s="121"/>
      <c r="L96" s="121"/>
      <c r="M96" s="121"/>
      <c r="N96" s="121"/>
      <c r="O96" s="121"/>
      <c r="P96" s="121"/>
      <c r="Q96" s="121"/>
      <c r="R96" s="121"/>
      <c r="W96" s="20"/>
      <c r="X96" s="20"/>
    </row>
    <row r="97" spans="1:24" ht="15" customHeight="1" outlineLevel="1">
      <c r="A97" s="392"/>
      <c r="B97" s="121"/>
      <c r="C97" s="349" t="s">
        <v>2144</v>
      </c>
      <c r="D97" s="282" t="s">
        <v>1889</v>
      </c>
      <c r="E97" s="280" t="str">
        <f>$E$96&amp;"."&amp;G.30.Levers[[#This Row],[Lever]]</f>
        <v>CCS.Steel.Oxygen</v>
      </c>
      <c r="F97" s="401">
        <f ca="1">$F$96</f>
        <v>1</v>
      </c>
      <c r="G97" s="121"/>
      <c r="H97" s="121"/>
      <c r="I97" s="121"/>
      <c r="J97" s="121"/>
      <c r="K97" s="121"/>
      <c r="L97" s="121"/>
      <c r="M97" s="121"/>
      <c r="N97" s="121"/>
      <c r="O97" s="121"/>
      <c r="P97" s="121"/>
      <c r="Q97" s="121"/>
      <c r="R97" s="121"/>
      <c r="W97" s="20"/>
      <c r="X97" s="20"/>
    </row>
    <row r="98" spans="1:24" ht="15" customHeight="1" outlineLevel="1">
      <c r="A98" s="392"/>
      <c r="B98" s="121"/>
      <c r="C98" s="349" t="s">
        <v>2145</v>
      </c>
      <c r="D98" s="282"/>
      <c r="E98" s="280" t="s">
        <v>2146</v>
      </c>
      <c r="F98" s="396">
        <f ca="1">F97</f>
        <v>1</v>
      </c>
      <c r="G98" s="121"/>
      <c r="H98" s="121"/>
      <c r="I98" s="121"/>
      <c r="J98" s="121"/>
      <c r="K98" s="121"/>
      <c r="L98" s="121"/>
      <c r="M98" s="121"/>
      <c r="N98" s="121"/>
      <c r="O98" s="121"/>
      <c r="P98" s="121"/>
      <c r="Q98" s="121"/>
      <c r="R98" s="121"/>
      <c r="W98" s="20"/>
      <c r="X98" s="20"/>
    </row>
    <row r="99" spans="1:24" ht="15" customHeight="1" outlineLevel="1">
      <c r="A99" s="392"/>
      <c r="B99" s="121"/>
      <c r="C99" s="349" t="s">
        <v>2147</v>
      </c>
      <c r="D99" s="282" t="s">
        <v>1890</v>
      </c>
      <c r="E99" s="280" t="str">
        <f>$E$96&amp;"."&amp;G.30.Levers[[#This Row],[Lever]]</f>
        <v>CCS.Steel.Electric</v>
      </c>
      <c r="F99" s="401">
        <f ca="1">$F$96</f>
        <v>1</v>
      </c>
      <c r="G99" s="121"/>
      <c r="H99" s="121"/>
      <c r="I99" s="121"/>
      <c r="J99" s="121"/>
      <c r="K99" s="121"/>
      <c r="L99" s="121"/>
      <c r="M99" s="121"/>
      <c r="N99" s="121"/>
      <c r="O99" s="121"/>
      <c r="P99" s="121"/>
      <c r="Q99" s="121"/>
      <c r="R99" s="121"/>
      <c r="W99" s="20"/>
      <c r="X99" s="20"/>
    </row>
    <row r="100" spans="1:24" ht="15" customHeight="1" outlineLevel="1">
      <c r="A100" s="392"/>
      <c r="B100" s="121"/>
      <c r="C100" s="348" t="s">
        <v>2148</v>
      </c>
      <c r="D100" s="281" t="s">
        <v>1418</v>
      </c>
      <c r="E100" s="280" t="str">
        <f>$E$95&amp;"."&amp;G.30.Levers[[#This Row],[Lever]]</f>
        <v>CCS.Aluminium</v>
      </c>
      <c r="F100" s="400">
        <f ca="1">$F$95</f>
        <v>1</v>
      </c>
      <c r="G100" s="121"/>
      <c r="H100" s="121"/>
      <c r="I100" s="121"/>
      <c r="J100" s="121"/>
      <c r="K100" s="121"/>
      <c r="L100" s="121"/>
      <c r="M100" s="121"/>
      <c r="N100" s="121"/>
      <c r="O100" s="121"/>
      <c r="P100" s="121"/>
      <c r="Q100" s="121"/>
      <c r="R100" s="121"/>
      <c r="W100" s="20"/>
      <c r="X100" s="20"/>
    </row>
    <row r="101" spans="1:24" ht="15" customHeight="1" outlineLevel="1">
      <c r="A101" s="392"/>
      <c r="B101" s="121"/>
      <c r="C101" s="349" t="s">
        <v>2149</v>
      </c>
      <c r="D101" s="282" t="s">
        <v>1625</v>
      </c>
      <c r="E101" s="280" t="str">
        <f>$E$100&amp;"."&amp;G.30.Levers[[#This Row],[Lever]]</f>
        <v>CCS.Aluminium.Alumina</v>
      </c>
      <c r="F101" s="396">
        <f ca="1">F100</f>
        <v>1</v>
      </c>
      <c r="G101" s="121"/>
      <c r="H101" s="121"/>
      <c r="I101" s="121"/>
      <c r="J101" s="121"/>
      <c r="K101" s="121"/>
      <c r="L101" s="121"/>
      <c r="M101" s="121"/>
      <c r="N101" s="121"/>
      <c r="O101" s="121"/>
      <c r="P101" s="121"/>
      <c r="Q101" s="121"/>
      <c r="R101" s="121"/>
      <c r="W101" s="20"/>
      <c r="X101" s="20"/>
    </row>
    <row r="102" spans="1:24" ht="15" customHeight="1" outlineLevel="1">
      <c r="A102" s="392"/>
      <c r="B102" s="121"/>
      <c r="C102" s="349" t="s">
        <v>2150</v>
      </c>
      <c r="D102" s="282" t="s">
        <v>1891</v>
      </c>
      <c r="E102" s="280" t="str">
        <f>$E$100&amp;"."&amp;G.30.Levers[[#This Row],[Lever]]</f>
        <v>CCS.Aluminium.Primary</v>
      </c>
      <c r="F102" s="396">
        <f t="shared" ref="F102:F103" ca="1" si="5">F101</f>
        <v>1</v>
      </c>
      <c r="G102" s="121"/>
      <c r="H102" s="121"/>
      <c r="I102" s="121"/>
      <c r="J102" s="121"/>
      <c r="K102" s="121"/>
      <c r="L102" s="121"/>
      <c r="M102" s="121"/>
      <c r="N102" s="121"/>
      <c r="O102" s="121"/>
      <c r="P102" s="121"/>
      <c r="Q102" s="121"/>
      <c r="R102" s="121"/>
      <c r="W102" s="20"/>
      <c r="X102" s="20"/>
    </row>
    <row r="103" spans="1:24" ht="15" customHeight="1" outlineLevel="1">
      <c r="A103" s="392"/>
      <c r="B103" s="121"/>
      <c r="C103" s="349" t="s">
        <v>2151</v>
      </c>
      <c r="D103" s="282" t="s">
        <v>1892</v>
      </c>
      <c r="E103" s="280" t="str">
        <f>$E$100&amp;"."&amp;G.30.Levers[[#This Row],[Lever]]</f>
        <v>CCS.Aluminium.Secondary</v>
      </c>
      <c r="F103" s="396">
        <f t="shared" ca="1" si="5"/>
        <v>1</v>
      </c>
      <c r="G103" s="121"/>
      <c r="H103" s="121"/>
      <c r="I103" s="121"/>
      <c r="J103" s="121"/>
      <c r="K103" s="121"/>
      <c r="L103" s="121"/>
      <c r="M103" s="121"/>
      <c r="N103" s="121"/>
      <c r="O103" s="121"/>
      <c r="P103" s="121"/>
      <c r="Q103" s="121"/>
      <c r="R103" s="121"/>
      <c r="W103" s="20"/>
      <c r="X103" s="20"/>
    </row>
    <row r="104" spans="1:24" ht="15" customHeight="1" outlineLevel="1">
      <c r="A104" s="392"/>
      <c r="B104" s="121"/>
      <c r="C104" s="350" t="s">
        <v>2152</v>
      </c>
      <c r="D104" s="281" t="s">
        <v>1435</v>
      </c>
      <c r="E104" s="280" t="str">
        <f>$E$95&amp;"."&amp;G.30.Levers[[#This Row],[Lever]]</f>
        <v>CCS.Chemicals &amp; petrochemicals</v>
      </c>
      <c r="F104" s="400">
        <f ca="1">$F$95</f>
        <v>1</v>
      </c>
      <c r="G104" s="121"/>
      <c r="H104" s="121"/>
      <c r="I104" s="121"/>
      <c r="J104" s="121"/>
      <c r="K104" s="121"/>
      <c r="L104" s="121"/>
      <c r="M104" s="121"/>
      <c r="N104" s="121"/>
      <c r="O104" s="121"/>
      <c r="P104" s="121"/>
      <c r="Q104" s="121"/>
      <c r="R104" s="121"/>
      <c r="W104" s="20"/>
      <c r="X104" s="20"/>
    </row>
    <row r="105" spans="1:24" ht="15" customHeight="1" outlineLevel="1">
      <c r="A105" s="392"/>
      <c r="B105" s="121"/>
      <c r="C105" s="351" t="s">
        <v>2153</v>
      </c>
      <c r="D105" s="282" t="s">
        <v>1893</v>
      </c>
      <c r="E105" s="280" t="str">
        <f>$E$104&amp;"."&amp;G.30.Levers[[#This Row],[Lever]]</f>
        <v>CCS.Chemicals &amp; petrochemicals.HighValueChemicals</v>
      </c>
      <c r="F105" s="396">
        <f ca="1">F104</f>
        <v>1</v>
      </c>
      <c r="G105" s="121"/>
      <c r="H105" s="121"/>
      <c r="I105" s="121"/>
      <c r="J105" s="121"/>
      <c r="K105" s="121"/>
      <c r="L105" s="121"/>
      <c r="M105" s="121"/>
      <c r="N105" s="121"/>
      <c r="O105" s="121"/>
      <c r="P105" s="121"/>
      <c r="Q105" s="121"/>
      <c r="R105" s="121"/>
      <c r="W105" s="20"/>
      <c r="X105" s="20"/>
    </row>
    <row r="106" spans="1:24" ht="15" customHeight="1" outlineLevel="1">
      <c r="A106" s="392"/>
      <c r="B106" s="121"/>
      <c r="C106" s="351" t="s">
        <v>2154</v>
      </c>
      <c r="D106" s="282" t="s">
        <v>1622</v>
      </c>
      <c r="E106" s="280" t="str">
        <f>$E$104&amp;"."&amp;G.30.Levers[[#This Row],[Lever]]</f>
        <v>CCS.Chemicals &amp; petrochemicals.Ammonia</v>
      </c>
      <c r="F106" s="396">
        <f t="shared" ref="F106:F108" ca="1" si="6">F105</f>
        <v>1</v>
      </c>
      <c r="G106" s="121"/>
      <c r="H106" s="121"/>
      <c r="I106" s="121"/>
      <c r="J106" s="121"/>
      <c r="K106" s="121"/>
      <c r="L106" s="121"/>
      <c r="M106" s="121"/>
      <c r="N106" s="121"/>
      <c r="O106" s="121"/>
      <c r="P106" s="121"/>
      <c r="Q106" s="121"/>
      <c r="R106" s="121"/>
      <c r="W106" s="20"/>
      <c r="X106" s="20"/>
    </row>
    <row r="107" spans="1:24" ht="15" customHeight="1" outlineLevel="1">
      <c r="A107" s="392"/>
      <c r="B107" s="121"/>
      <c r="C107" s="351" t="s">
        <v>2155</v>
      </c>
      <c r="D107" s="282" t="s">
        <v>1623</v>
      </c>
      <c r="E107" s="280" t="str">
        <f>$E$104&amp;"."&amp;G.30.Levers[[#This Row],[Lever]]</f>
        <v>CCS.Chemicals &amp; petrochemicals.Methanol</v>
      </c>
      <c r="F107" s="396">
        <f t="shared" ca="1" si="6"/>
        <v>1</v>
      </c>
      <c r="G107" s="121"/>
      <c r="H107" s="121"/>
      <c r="I107" s="121"/>
      <c r="J107" s="121"/>
      <c r="K107" s="121"/>
      <c r="L107" s="121"/>
      <c r="M107" s="121"/>
      <c r="N107" s="121"/>
      <c r="O107" s="121"/>
      <c r="P107" s="121"/>
      <c r="Q107" s="121"/>
      <c r="R107" s="121"/>
      <c r="W107" s="20"/>
      <c r="X107" s="20"/>
    </row>
    <row r="108" spans="1:24" ht="15" customHeight="1" outlineLevel="1">
      <c r="A108" s="392"/>
      <c r="B108" s="121"/>
      <c r="C108" s="351" t="s">
        <v>2156</v>
      </c>
      <c r="D108" s="282" t="s">
        <v>1894</v>
      </c>
      <c r="E108" s="280" t="str">
        <f>$E$104&amp;"."&amp;G.30.Levers[[#This Row],[Lever]]</f>
        <v>CCS.Chemicals &amp; petrochemicals.Others</v>
      </c>
      <c r="F108" s="396">
        <f t="shared" ca="1" si="6"/>
        <v>1</v>
      </c>
      <c r="G108" s="121"/>
      <c r="H108" s="121"/>
      <c r="I108" s="121"/>
      <c r="J108" s="121"/>
      <c r="K108" s="121"/>
      <c r="L108" s="121"/>
      <c r="M108" s="121"/>
      <c r="N108" s="121"/>
      <c r="O108" s="121"/>
      <c r="P108" s="121"/>
      <c r="Q108" s="121"/>
      <c r="R108" s="121"/>
      <c r="W108" s="20"/>
      <c r="X108" s="20"/>
    </row>
    <row r="109" spans="1:24" ht="15" customHeight="1" outlineLevel="1">
      <c r="A109" s="392"/>
      <c r="B109" s="121"/>
      <c r="C109" s="350" t="s">
        <v>2157</v>
      </c>
      <c r="D109" s="281" t="s">
        <v>1895</v>
      </c>
      <c r="E109" s="280" t="str">
        <f>$E$95&amp;"."&amp;G.30.Levers[[#This Row],[Lever]]</f>
        <v>CCS.Pulp &amp; Paper</v>
      </c>
      <c r="F109" s="400">
        <f ca="1">$F$95</f>
        <v>1</v>
      </c>
      <c r="G109" s="121"/>
      <c r="H109" s="121"/>
      <c r="I109" s="121"/>
      <c r="J109" s="121"/>
      <c r="K109" s="121"/>
      <c r="L109" s="121"/>
      <c r="M109" s="121"/>
      <c r="N109" s="121"/>
      <c r="O109" s="121"/>
      <c r="P109" s="121"/>
      <c r="Q109" s="121"/>
      <c r="R109" s="121"/>
      <c r="W109" s="20"/>
      <c r="X109" s="20"/>
    </row>
    <row r="110" spans="1:24" ht="15" customHeight="1" outlineLevel="1">
      <c r="A110" s="392"/>
      <c r="B110" s="121"/>
      <c r="C110" s="351" t="s">
        <v>2158</v>
      </c>
      <c r="D110" s="282" t="s">
        <v>1896</v>
      </c>
      <c r="E110" s="280" t="str">
        <f>$E$109&amp;"."&amp;G.30.Levers[[#This Row],[Lever]]</f>
        <v>CCS.Pulp &amp; Paper.Pulp</v>
      </c>
      <c r="F110" s="396">
        <f ca="1">F109</f>
        <v>1</v>
      </c>
      <c r="G110" s="121"/>
      <c r="H110" s="121"/>
      <c r="I110" s="121"/>
      <c r="J110" s="121"/>
      <c r="K110" s="121"/>
      <c r="L110" s="121"/>
      <c r="M110" s="121"/>
      <c r="N110" s="121"/>
      <c r="O110" s="121"/>
      <c r="P110" s="121"/>
      <c r="Q110" s="121"/>
      <c r="R110" s="121"/>
      <c r="W110" s="20"/>
      <c r="X110" s="20"/>
    </row>
    <row r="111" spans="1:24" ht="15" customHeight="1" outlineLevel="1">
      <c r="A111" s="392"/>
      <c r="B111" s="121"/>
      <c r="C111" s="351" t="s">
        <v>2159</v>
      </c>
      <c r="D111" s="282" t="s">
        <v>1897</v>
      </c>
      <c r="E111" s="280" t="str">
        <f>$E$109&amp;"."&amp;G.30.Levers[[#This Row],[Lever]]</f>
        <v>CCS.Pulp &amp; Paper.Virgin</v>
      </c>
      <c r="F111" s="396">
        <f t="shared" ref="F111:F112" ca="1" si="7">F110</f>
        <v>1</v>
      </c>
      <c r="G111" s="121"/>
      <c r="H111" s="121"/>
      <c r="I111" s="121"/>
      <c r="J111" s="121"/>
      <c r="K111" s="121"/>
      <c r="L111" s="121"/>
      <c r="M111" s="121"/>
      <c r="N111" s="121"/>
      <c r="O111" s="121"/>
      <c r="P111" s="121"/>
      <c r="Q111" s="121"/>
      <c r="R111" s="121"/>
      <c r="W111" s="20"/>
      <c r="X111" s="20"/>
    </row>
    <row r="112" spans="1:24" ht="15" customHeight="1" outlineLevel="1">
      <c r="A112" s="392"/>
      <c r="B112" s="121"/>
      <c r="C112" s="351" t="s">
        <v>2160</v>
      </c>
      <c r="D112" s="282" t="s">
        <v>1898</v>
      </c>
      <c r="E112" s="280" t="str">
        <f>$E$109&amp;"."&amp;G.30.Levers[[#This Row],[Lever]]</f>
        <v>CCS.Pulp &amp; Paper.Recycled</v>
      </c>
      <c r="F112" s="396">
        <f t="shared" ca="1" si="7"/>
        <v>1</v>
      </c>
      <c r="G112" s="121"/>
      <c r="H112" s="121"/>
      <c r="I112" s="121"/>
      <c r="J112" s="121"/>
      <c r="K112" s="121"/>
      <c r="L112" s="121"/>
      <c r="M112" s="121"/>
      <c r="N112" s="121"/>
      <c r="O112" s="121"/>
      <c r="P112" s="121"/>
      <c r="Q112" s="121"/>
      <c r="R112" s="121"/>
      <c r="W112" s="20"/>
      <c r="X112" s="20"/>
    </row>
    <row r="113" spans="1:24" ht="15" customHeight="1" outlineLevel="1">
      <c r="A113" s="392"/>
      <c r="B113" s="121"/>
      <c r="C113" s="350" t="s">
        <v>2161</v>
      </c>
      <c r="D113" s="281" t="s">
        <v>1426</v>
      </c>
      <c r="E113" s="280" t="str">
        <f>$E$95&amp;"."&amp;G.30.Levers[[#This Row],[Lever]]</f>
        <v>CCS.Cement</v>
      </c>
      <c r="F113" s="400">
        <f ca="1">$F$95</f>
        <v>1</v>
      </c>
      <c r="G113" s="121"/>
      <c r="H113" s="121"/>
      <c r="I113" s="121"/>
      <c r="J113" s="121"/>
      <c r="K113" s="121"/>
      <c r="L113" s="121"/>
      <c r="M113" s="121"/>
      <c r="N113" s="121"/>
      <c r="O113" s="121"/>
      <c r="P113" s="121"/>
      <c r="Q113" s="121"/>
      <c r="R113" s="121"/>
      <c r="W113" s="20"/>
      <c r="X113" s="20"/>
    </row>
    <row r="114" spans="1:24" ht="15" customHeight="1" outlineLevel="1">
      <c r="A114" s="392"/>
      <c r="B114" s="121"/>
      <c r="C114" s="352" t="s">
        <v>2162</v>
      </c>
      <c r="D114" s="284" t="s">
        <v>1457</v>
      </c>
      <c r="E114" s="280" t="str">
        <f>$E$95&amp;"."&amp;G.30.Levers[[#This Row],[Lever]]</f>
        <v>CCS.Other industries</v>
      </c>
      <c r="F114" s="400">
        <f ca="1">$F$95</f>
        <v>1</v>
      </c>
      <c r="G114" s="121"/>
      <c r="H114" s="121"/>
      <c r="I114" s="121"/>
      <c r="J114" s="121"/>
      <c r="K114" s="121"/>
      <c r="L114" s="121"/>
      <c r="M114" s="121"/>
      <c r="N114" s="121"/>
      <c r="O114" s="121"/>
      <c r="P114" s="121"/>
      <c r="Q114" s="121"/>
      <c r="R114" s="121"/>
      <c r="W114" s="20"/>
      <c r="X114" s="20"/>
    </row>
    <row r="115" spans="1:24" ht="15" customHeight="1">
      <c r="A115" s="120"/>
      <c r="B115" s="121"/>
      <c r="C115" s="121"/>
      <c r="D115" s="121"/>
      <c r="E115" s="121"/>
      <c r="F115" s="121"/>
      <c r="G115" s="121"/>
      <c r="H115" s="121"/>
      <c r="I115" s="121"/>
      <c r="J115" s="121"/>
      <c r="K115" s="121"/>
      <c r="L115" s="121"/>
      <c r="M115" s="121"/>
      <c r="N115" s="121"/>
      <c r="O115" s="121"/>
      <c r="P115" s="121"/>
      <c r="Q115" s="121"/>
      <c r="R115" s="121"/>
      <c r="W115" s="20"/>
      <c r="X115" s="20"/>
    </row>
    <row r="116" spans="1:24" ht="15" customHeight="1">
      <c r="A116" s="118"/>
      <c r="B116" s="121"/>
      <c r="C116" s="121"/>
      <c r="D116" s="121"/>
      <c r="E116" s="121"/>
      <c r="F116" s="121"/>
      <c r="G116" s="121"/>
      <c r="H116" s="121"/>
      <c r="I116" s="121"/>
      <c r="J116" s="121"/>
      <c r="K116" s="121"/>
      <c r="L116" s="121"/>
      <c r="M116" s="121"/>
      <c r="N116" s="121"/>
      <c r="O116" s="121"/>
      <c r="P116" s="121"/>
      <c r="Q116" s="121"/>
      <c r="R116" s="121"/>
      <c r="W116" s="20"/>
      <c r="X116" s="20"/>
    </row>
    <row r="117" spans="1:24" ht="15" customHeight="1">
      <c r="A117" s="118"/>
      <c r="B117" s="41" t="s">
        <v>613</v>
      </c>
      <c r="C117" s="41"/>
      <c r="D117" s="41"/>
      <c r="E117" s="41"/>
      <c r="F117" s="41"/>
      <c r="G117" s="41"/>
      <c r="H117" s="41"/>
      <c r="I117" s="41"/>
      <c r="J117" s="41"/>
      <c r="K117" s="41"/>
      <c r="L117" s="41"/>
      <c r="M117" s="41"/>
      <c r="N117" s="41"/>
      <c r="O117" s="41"/>
      <c r="P117" s="41"/>
      <c r="Q117" s="41"/>
      <c r="R117" s="41"/>
      <c r="T117" s="179" t="str">
        <f>$T$6</f>
        <v>Source</v>
      </c>
      <c r="U117" s="179" t="str">
        <f>$U$6</f>
        <v>Link</v>
      </c>
      <c r="V117" s="179" t="str">
        <f>$V$6</f>
        <v>Risk (Green, Amber/Green, Amber, Red/Amber, Red)</v>
      </c>
      <c r="W117" s="179" t="s">
        <v>869</v>
      </c>
      <c r="X117" s="179" t="str">
        <f>$X$6</f>
        <v>Comment author</v>
      </c>
    </row>
    <row r="118" spans="1:24" ht="15" customHeight="1" outlineLevel="1">
      <c r="B118" s="50"/>
      <c r="C118" s="50"/>
      <c r="D118" s="121"/>
      <c r="E118" s="121"/>
      <c r="F118" s="121"/>
      <c r="G118" s="121"/>
      <c r="H118" s="121"/>
      <c r="I118" s="121"/>
      <c r="J118" s="121"/>
      <c r="K118" s="121"/>
      <c r="L118" s="121"/>
      <c r="M118" s="121"/>
      <c r="N118" s="121"/>
      <c r="O118" s="121"/>
      <c r="P118" s="121"/>
      <c r="Q118" s="121"/>
      <c r="R118" s="121"/>
      <c r="W118" s="20"/>
      <c r="X118" s="20"/>
    </row>
    <row r="119" spans="1:24" s="65" customFormat="1" ht="15" customHeight="1" outlineLevel="1">
      <c r="A119" s="219"/>
      <c r="B119" s="121"/>
      <c r="C119" s="244" t="s">
        <v>1571</v>
      </c>
      <c r="D119" s="224"/>
      <c r="E119" s="242"/>
      <c r="F119" s="242"/>
      <c r="G119" s="242"/>
      <c r="H119" s="242"/>
      <c r="I119" s="242"/>
      <c r="J119" s="242"/>
      <c r="K119" s="242"/>
      <c r="L119" s="242"/>
      <c r="M119" s="242"/>
      <c r="N119" s="242"/>
      <c r="O119" s="242"/>
      <c r="P119" s="242"/>
      <c r="Q119" s="242" t="s">
        <v>511</v>
      </c>
      <c r="R119" s="242"/>
      <c r="T119" s="179" t="str">
        <f>$T$6</f>
        <v>Source</v>
      </c>
      <c r="U119" s="179" t="str">
        <f>$U$6</f>
        <v>Link</v>
      </c>
      <c r="V119" s="179" t="str">
        <f>$V$6</f>
        <v>Risk (Green, Amber/Green, Amber, Red/Amber, Red)</v>
      </c>
      <c r="W119" s="179" t="s">
        <v>869</v>
      </c>
      <c r="X119" s="179" t="str">
        <f>$X$6</f>
        <v>Comment author</v>
      </c>
    </row>
    <row r="120" spans="1:24" s="65" customFormat="1" ht="15" customHeight="1" outlineLevel="2" thickBot="1">
      <c r="A120" s="219"/>
      <c r="B120" s="242"/>
      <c r="C120" s="242"/>
      <c r="D120" s="242"/>
      <c r="E120" s="242"/>
      <c r="F120" s="242"/>
      <c r="G120" s="242"/>
      <c r="H120" s="242"/>
      <c r="I120" s="242"/>
      <c r="J120" s="242"/>
      <c r="K120" s="242"/>
      <c r="L120" s="242"/>
      <c r="M120" s="242"/>
      <c r="N120" s="242"/>
      <c r="O120" s="242"/>
      <c r="P120" s="242"/>
      <c r="Q120" s="242"/>
      <c r="R120" s="242"/>
      <c r="W120" s="20"/>
      <c r="X120" s="20"/>
    </row>
    <row r="121" spans="1:24" s="65" customFormat="1" ht="15" customHeight="1" outlineLevel="2">
      <c r="A121" s="219"/>
      <c r="B121" s="242"/>
      <c r="C121" s="42" t="s">
        <v>454</v>
      </c>
      <c r="D121" s="42" t="s">
        <v>241</v>
      </c>
      <c r="E121" s="121" t="s">
        <v>207</v>
      </c>
      <c r="F121" s="42" t="s">
        <v>274</v>
      </c>
      <c r="G121" s="42" t="s">
        <v>509</v>
      </c>
      <c r="H121" s="42" t="s">
        <v>510</v>
      </c>
      <c r="I121" s="42" t="s">
        <v>1107</v>
      </c>
      <c r="J121" s="42" t="s">
        <v>210</v>
      </c>
      <c r="K121" s="42" t="s">
        <v>211</v>
      </c>
      <c r="L121" s="42" t="s">
        <v>212</v>
      </c>
      <c r="M121" s="42" t="s">
        <v>213</v>
      </c>
      <c r="N121" s="42" t="s">
        <v>214</v>
      </c>
      <c r="O121" s="42" t="s">
        <v>215</v>
      </c>
      <c r="P121" s="42" t="s">
        <v>216</v>
      </c>
      <c r="Q121" s="42" t="s">
        <v>217</v>
      </c>
      <c r="R121" s="242"/>
      <c r="W121" s="20"/>
      <c r="X121" s="20"/>
    </row>
    <row r="122" spans="1:24" s="65" customFormat="1" ht="15" customHeight="1" outlineLevel="2">
      <c r="A122" s="219"/>
      <c r="B122" s="242"/>
      <c r="C122" s="242"/>
      <c r="D122" s="242" t="s">
        <v>1902</v>
      </c>
      <c r="E122" s="121">
        <v>1</v>
      </c>
      <c r="F122" s="242" t="s">
        <v>1583</v>
      </c>
      <c r="G122" s="242"/>
      <c r="H122" s="242"/>
      <c r="I122" s="402">
        <v>1</v>
      </c>
      <c r="J122" s="402">
        <f>(($Q122-$I122)/($Q$121-$I$121))*(J$121-$I$121)+$I122</f>
        <v>1.0102564102564102</v>
      </c>
      <c r="K122" s="402">
        <f t="shared" ref="K122:P142" si="8">(($Q122-$I122)/($Q$121-$I$121))*(K$121-$I$121)+$I122</f>
        <v>1.023076923076923</v>
      </c>
      <c r="L122" s="402">
        <f t="shared" si="8"/>
        <v>1.035897435897436</v>
      </c>
      <c r="M122" s="402">
        <f t="shared" si="8"/>
        <v>1.0487179487179488</v>
      </c>
      <c r="N122" s="402">
        <f t="shared" si="8"/>
        <v>1.0615384615384615</v>
      </c>
      <c r="O122" s="402">
        <f t="shared" si="8"/>
        <v>1.0743589743589745</v>
      </c>
      <c r="P122" s="402">
        <f t="shared" si="8"/>
        <v>1.0871794871794873</v>
      </c>
      <c r="Q122" s="402">
        <v>1.1000000000000001</v>
      </c>
      <c r="R122" s="242"/>
      <c r="W122" s="20" t="s">
        <v>1615</v>
      </c>
      <c r="X122" s="20"/>
    </row>
    <row r="123" spans="1:24" s="65" customFormat="1" ht="15" customHeight="1" outlineLevel="2">
      <c r="A123" s="219"/>
      <c r="B123" s="242"/>
      <c r="C123" s="242"/>
      <c r="D123" s="242" t="s">
        <v>1902</v>
      </c>
      <c r="E123" s="121">
        <v>2</v>
      </c>
      <c r="F123" s="242" t="s">
        <v>1583</v>
      </c>
      <c r="G123" s="242"/>
      <c r="H123" s="242"/>
      <c r="I123" s="402">
        <v>1</v>
      </c>
      <c r="J123" s="402">
        <f t="shared" ref="J123:P145" si="9">(($Q123-$I123)/($Q$121-$I$121))*(J$121-$I$121)+$I123</f>
        <v>1</v>
      </c>
      <c r="K123" s="402">
        <f t="shared" si="8"/>
        <v>1</v>
      </c>
      <c r="L123" s="402">
        <f t="shared" si="8"/>
        <v>1</v>
      </c>
      <c r="M123" s="402">
        <f t="shared" si="8"/>
        <v>1</v>
      </c>
      <c r="N123" s="402">
        <f t="shared" si="8"/>
        <v>1</v>
      </c>
      <c r="O123" s="402">
        <f t="shared" si="8"/>
        <v>1</v>
      </c>
      <c r="P123" s="402">
        <f t="shared" si="8"/>
        <v>1</v>
      </c>
      <c r="Q123" s="402">
        <v>1</v>
      </c>
      <c r="R123" s="242"/>
      <c r="W123" s="20" t="s">
        <v>1615</v>
      </c>
      <c r="X123" s="20"/>
    </row>
    <row r="124" spans="1:24" s="65" customFormat="1" ht="15" customHeight="1" outlineLevel="2">
      <c r="A124" s="219"/>
      <c r="B124" s="242"/>
      <c r="C124" s="242"/>
      <c r="D124" s="242" t="s">
        <v>1902</v>
      </c>
      <c r="E124" s="121">
        <v>3</v>
      </c>
      <c r="F124" s="242" t="s">
        <v>1583</v>
      </c>
      <c r="G124" s="242"/>
      <c r="H124" s="242"/>
      <c r="I124" s="402">
        <v>1</v>
      </c>
      <c r="J124" s="402">
        <f t="shared" si="9"/>
        <v>0.98974358974358978</v>
      </c>
      <c r="K124" s="402">
        <f t="shared" si="8"/>
        <v>0.97692307692307689</v>
      </c>
      <c r="L124" s="402">
        <f t="shared" si="8"/>
        <v>0.96410256410256412</v>
      </c>
      <c r="M124" s="402">
        <f t="shared" si="8"/>
        <v>0.95128205128205123</v>
      </c>
      <c r="N124" s="402">
        <f t="shared" si="8"/>
        <v>0.93846153846153846</v>
      </c>
      <c r="O124" s="402">
        <f t="shared" si="8"/>
        <v>0.92564102564102568</v>
      </c>
      <c r="P124" s="402">
        <f t="shared" si="8"/>
        <v>0.9128205128205128</v>
      </c>
      <c r="Q124" s="402">
        <v>0.9</v>
      </c>
      <c r="R124" s="242"/>
      <c r="W124" s="20" t="s">
        <v>1615</v>
      </c>
      <c r="X124" s="20"/>
    </row>
    <row r="125" spans="1:24" s="65" customFormat="1" ht="15" customHeight="1" outlineLevel="2">
      <c r="A125" s="219"/>
      <c r="B125" s="242"/>
      <c r="C125" s="265"/>
      <c r="D125" s="242" t="s">
        <v>1902</v>
      </c>
      <c r="E125" s="121">
        <v>4</v>
      </c>
      <c r="F125" s="242" t="s">
        <v>1583</v>
      </c>
      <c r="G125" s="265"/>
      <c r="H125" s="265"/>
      <c r="I125" s="402">
        <v>1</v>
      </c>
      <c r="J125" s="402">
        <f t="shared" si="9"/>
        <v>0.97948717948717945</v>
      </c>
      <c r="K125" s="402">
        <f t="shared" si="8"/>
        <v>0.9538461538461539</v>
      </c>
      <c r="L125" s="402">
        <f t="shared" si="8"/>
        <v>0.92820512820512824</v>
      </c>
      <c r="M125" s="402">
        <f t="shared" si="8"/>
        <v>0.90256410256410258</v>
      </c>
      <c r="N125" s="402">
        <f t="shared" si="8"/>
        <v>0.87692307692307692</v>
      </c>
      <c r="O125" s="402">
        <f t="shared" si="8"/>
        <v>0.85128205128205137</v>
      </c>
      <c r="P125" s="402">
        <f t="shared" si="8"/>
        <v>0.82564102564102571</v>
      </c>
      <c r="Q125" s="402">
        <v>0.8</v>
      </c>
      <c r="R125" s="242"/>
      <c r="U125" s="20"/>
      <c r="W125" s="20"/>
      <c r="X125" s="20"/>
    </row>
    <row r="126" spans="1:24" s="65" customFormat="1" ht="15" customHeight="1" outlineLevel="2">
      <c r="A126" s="219"/>
      <c r="B126" s="242"/>
      <c r="C126" s="242"/>
      <c r="D126" s="242" t="s">
        <v>1903</v>
      </c>
      <c r="E126" s="121">
        <v>1</v>
      </c>
      <c r="F126" s="242" t="s">
        <v>1583</v>
      </c>
      <c r="G126" s="242"/>
      <c r="H126" s="242"/>
      <c r="I126" s="402">
        <v>1</v>
      </c>
      <c r="J126" s="402">
        <f t="shared" si="9"/>
        <v>1.0102564102564102</v>
      </c>
      <c r="K126" s="402">
        <f t="shared" si="8"/>
        <v>1.023076923076923</v>
      </c>
      <c r="L126" s="402">
        <f t="shared" si="8"/>
        <v>1.035897435897436</v>
      </c>
      <c r="M126" s="402">
        <f t="shared" si="8"/>
        <v>1.0487179487179488</v>
      </c>
      <c r="N126" s="402">
        <f t="shared" si="8"/>
        <v>1.0615384615384615</v>
      </c>
      <c r="O126" s="402">
        <f t="shared" si="8"/>
        <v>1.0743589743589745</v>
      </c>
      <c r="P126" s="402">
        <f t="shared" si="8"/>
        <v>1.0871794871794873</v>
      </c>
      <c r="Q126" s="402">
        <v>1.1000000000000001</v>
      </c>
      <c r="R126" s="242"/>
      <c r="U126" s="20"/>
      <c r="W126" s="20" t="s">
        <v>1615</v>
      </c>
      <c r="X126" s="20"/>
    </row>
    <row r="127" spans="1:24" s="65" customFormat="1" ht="15" customHeight="1" outlineLevel="2">
      <c r="A127" s="219"/>
      <c r="B127" s="242"/>
      <c r="C127" s="242"/>
      <c r="D127" s="242" t="s">
        <v>1903</v>
      </c>
      <c r="E127" s="121">
        <v>2</v>
      </c>
      <c r="F127" s="242" t="s">
        <v>1583</v>
      </c>
      <c r="G127" s="242"/>
      <c r="H127" s="242"/>
      <c r="I127" s="402">
        <v>1</v>
      </c>
      <c r="J127" s="402">
        <f t="shared" si="9"/>
        <v>1</v>
      </c>
      <c r="K127" s="402">
        <f t="shared" si="8"/>
        <v>1</v>
      </c>
      <c r="L127" s="402">
        <f t="shared" si="8"/>
        <v>1</v>
      </c>
      <c r="M127" s="402">
        <f t="shared" si="8"/>
        <v>1</v>
      </c>
      <c r="N127" s="402">
        <f t="shared" si="8"/>
        <v>1</v>
      </c>
      <c r="O127" s="402">
        <f t="shared" si="8"/>
        <v>1</v>
      </c>
      <c r="P127" s="402">
        <f t="shared" si="8"/>
        <v>1</v>
      </c>
      <c r="Q127" s="402">
        <v>1</v>
      </c>
      <c r="R127" s="242"/>
      <c r="U127" s="20"/>
      <c r="W127" s="20" t="s">
        <v>1615</v>
      </c>
      <c r="X127" s="20"/>
    </row>
    <row r="128" spans="1:24" s="65" customFormat="1" ht="15" customHeight="1" outlineLevel="2">
      <c r="A128" s="219"/>
      <c r="B128" s="242"/>
      <c r="C128" s="242"/>
      <c r="D128" s="242" t="s">
        <v>1903</v>
      </c>
      <c r="E128" s="121">
        <v>3</v>
      </c>
      <c r="F128" s="242" t="s">
        <v>1583</v>
      </c>
      <c r="G128" s="242"/>
      <c r="H128" s="242"/>
      <c r="I128" s="402">
        <v>1</v>
      </c>
      <c r="J128" s="402">
        <f t="shared" si="9"/>
        <v>0.98974358974358978</v>
      </c>
      <c r="K128" s="402">
        <f t="shared" si="8"/>
        <v>0.97692307692307689</v>
      </c>
      <c r="L128" s="402">
        <f t="shared" si="8"/>
        <v>0.96410256410256412</v>
      </c>
      <c r="M128" s="402">
        <f t="shared" si="8"/>
        <v>0.95128205128205123</v>
      </c>
      <c r="N128" s="402">
        <f t="shared" si="8"/>
        <v>0.93846153846153846</v>
      </c>
      <c r="O128" s="402">
        <f t="shared" si="8"/>
        <v>0.92564102564102568</v>
      </c>
      <c r="P128" s="402">
        <f t="shared" si="8"/>
        <v>0.9128205128205128</v>
      </c>
      <c r="Q128" s="402">
        <v>0.9</v>
      </c>
      <c r="R128" s="242"/>
      <c r="U128" s="20"/>
      <c r="W128" s="20" t="s">
        <v>1615</v>
      </c>
      <c r="X128" s="20"/>
    </row>
    <row r="129" spans="1:24" s="65" customFormat="1" ht="15" customHeight="1" outlineLevel="2">
      <c r="A129" s="219"/>
      <c r="B129" s="242"/>
      <c r="C129" s="265"/>
      <c r="D129" s="242" t="s">
        <v>1903</v>
      </c>
      <c r="E129" s="121">
        <v>4</v>
      </c>
      <c r="F129" s="242" t="s">
        <v>1583</v>
      </c>
      <c r="G129" s="265"/>
      <c r="H129" s="265"/>
      <c r="I129" s="402">
        <v>1</v>
      </c>
      <c r="J129" s="402">
        <f t="shared" si="9"/>
        <v>0.97948717948717945</v>
      </c>
      <c r="K129" s="402">
        <f t="shared" si="8"/>
        <v>0.9538461538461539</v>
      </c>
      <c r="L129" s="402">
        <f t="shared" si="8"/>
        <v>0.92820512820512824</v>
      </c>
      <c r="M129" s="402">
        <f t="shared" si="8"/>
        <v>0.90256410256410258</v>
      </c>
      <c r="N129" s="402">
        <f t="shared" si="8"/>
        <v>0.87692307692307692</v>
      </c>
      <c r="O129" s="402">
        <f t="shared" si="8"/>
        <v>0.85128205128205137</v>
      </c>
      <c r="P129" s="402">
        <f t="shared" si="8"/>
        <v>0.82564102564102571</v>
      </c>
      <c r="Q129" s="402">
        <v>0.8</v>
      </c>
      <c r="R129" s="242"/>
      <c r="U129" s="20"/>
      <c r="W129" s="20"/>
      <c r="X129" s="20"/>
    </row>
    <row r="130" spans="1:24" s="65" customFormat="1" ht="15" customHeight="1" outlineLevel="2">
      <c r="A130" s="219"/>
      <c r="B130" s="242"/>
      <c r="C130" s="121"/>
      <c r="D130" s="121" t="s">
        <v>1904</v>
      </c>
      <c r="E130" s="121">
        <v>1</v>
      </c>
      <c r="F130" s="242" t="s">
        <v>1580</v>
      </c>
      <c r="G130" s="265"/>
      <c r="H130" s="265"/>
      <c r="I130" s="402">
        <v>1</v>
      </c>
      <c r="J130" s="402">
        <f t="shared" si="9"/>
        <v>1.0102564102564102</v>
      </c>
      <c r="K130" s="402">
        <f t="shared" si="8"/>
        <v>1.023076923076923</v>
      </c>
      <c r="L130" s="402">
        <f t="shared" si="8"/>
        <v>1.035897435897436</v>
      </c>
      <c r="M130" s="402">
        <f t="shared" si="8"/>
        <v>1.0487179487179488</v>
      </c>
      <c r="N130" s="402">
        <f t="shared" si="8"/>
        <v>1.0615384615384615</v>
      </c>
      <c r="O130" s="402">
        <f t="shared" si="8"/>
        <v>1.0743589743589745</v>
      </c>
      <c r="P130" s="402">
        <f t="shared" si="8"/>
        <v>1.0871794871794873</v>
      </c>
      <c r="Q130" s="402">
        <v>1.1000000000000001</v>
      </c>
      <c r="R130" s="242"/>
      <c r="U130" s="20"/>
      <c r="W130" s="20"/>
      <c r="X130" s="20"/>
    </row>
    <row r="131" spans="1:24" s="65" customFormat="1" ht="15" customHeight="1" outlineLevel="2">
      <c r="A131" s="219"/>
      <c r="B131" s="242"/>
      <c r="C131" s="265"/>
      <c r="D131" s="121" t="s">
        <v>1904</v>
      </c>
      <c r="E131" s="121">
        <v>2</v>
      </c>
      <c r="F131" s="242" t="s">
        <v>1580</v>
      </c>
      <c r="G131" s="265"/>
      <c r="H131" s="265"/>
      <c r="I131" s="402">
        <v>1</v>
      </c>
      <c r="J131" s="402">
        <f t="shared" si="9"/>
        <v>1</v>
      </c>
      <c r="K131" s="402">
        <f t="shared" si="8"/>
        <v>1</v>
      </c>
      <c r="L131" s="402">
        <f t="shared" si="8"/>
        <v>1</v>
      </c>
      <c r="M131" s="402">
        <f t="shared" si="8"/>
        <v>1</v>
      </c>
      <c r="N131" s="402">
        <f t="shared" si="8"/>
        <v>1</v>
      </c>
      <c r="O131" s="402">
        <f t="shared" si="8"/>
        <v>1</v>
      </c>
      <c r="P131" s="402">
        <f t="shared" si="8"/>
        <v>1</v>
      </c>
      <c r="Q131" s="402">
        <v>1</v>
      </c>
      <c r="R131" s="242"/>
      <c r="U131" s="20"/>
      <c r="W131" s="20"/>
      <c r="X131" s="20"/>
    </row>
    <row r="132" spans="1:24" s="65" customFormat="1" ht="15" customHeight="1" outlineLevel="2">
      <c r="A132" s="219"/>
      <c r="B132" s="242"/>
      <c r="C132" s="265"/>
      <c r="D132" s="121" t="s">
        <v>1904</v>
      </c>
      <c r="E132" s="121">
        <v>3</v>
      </c>
      <c r="F132" s="242" t="s">
        <v>1580</v>
      </c>
      <c r="G132" s="265"/>
      <c r="H132" s="265"/>
      <c r="I132" s="402">
        <v>1</v>
      </c>
      <c r="J132" s="402">
        <f t="shared" si="9"/>
        <v>0.98974358974358978</v>
      </c>
      <c r="K132" s="402">
        <f t="shared" si="8"/>
        <v>0.97692307692307689</v>
      </c>
      <c r="L132" s="402">
        <f t="shared" si="8"/>
        <v>0.96410256410256412</v>
      </c>
      <c r="M132" s="402">
        <f t="shared" si="8"/>
        <v>0.95128205128205123</v>
      </c>
      <c r="N132" s="402">
        <f t="shared" si="8"/>
        <v>0.93846153846153846</v>
      </c>
      <c r="O132" s="402">
        <f t="shared" si="8"/>
        <v>0.92564102564102568</v>
      </c>
      <c r="P132" s="402">
        <f t="shared" si="8"/>
        <v>0.9128205128205128</v>
      </c>
      <c r="Q132" s="402">
        <v>0.9</v>
      </c>
      <c r="R132" s="242"/>
      <c r="U132" s="20"/>
      <c r="V132" s="20"/>
      <c r="W132" s="20"/>
      <c r="X132" s="20"/>
    </row>
    <row r="133" spans="1:24" s="65" customFormat="1" ht="15" customHeight="1" outlineLevel="2">
      <c r="A133" s="219"/>
      <c r="B133" s="242"/>
      <c r="C133" s="265"/>
      <c r="D133" s="121" t="s">
        <v>1904</v>
      </c>
      <c r="E133" s="121">
        <v>4</v>
      </c>
      <c r="F133" s="242" t="s">
        <v>1580</v>
      </c>
      <c r="G133" s="265"/>
      <c r="H133" s="265"/>
      <c r="I133" s="402">
        <v>1</v>
      </c>
      <c r="J133" s="402">
        <f t="shared" si="9"/>
        <v>0.97948717948717945</v>
      </c>
      <c r="K133" s="402">
        <f t="shared" si="8"/>
        <v>0.9538461538461539</v>
      </c>
      <c r="L133" s="402">
        <f t="shared" si="8"/>
        <v>0.92820512820512824</v>
      </c>
      <c r="M133" s="402">
        <f t="shared" si="8"/>
        <v>0.90256410256410258</v>
      </c>
      <c r="N133" s="402">
        <f t="shared" si="8"/>
        <v>0.87692307692307692</v>
      </c>
      <c r="O133" s="402">
        <f t="shared" si="8"/>
        <v>0.85128205128205137</v>
      </c>
      <c r="P133" s="402">
        <f t="shared" si="8"/>
        <v>0.82564102564102571</v>
      </c>
      <c r="Q133" s="402">
        <v>0.8</v>
      </c>
      <c r="R133" s="242"/>
      <c r="U133" s="20"/>
      <c r="V133" s="20"/>
      <c r="W133" s="20"/>
      <c r="X133" s="20"/>
    </row>
    <row r="134" spans="1:24" s="65" customFormat="1" ht="15" customHeight="1" outlineLevel="2">
      <c r="A134" s="219"/>
      <c r="B134" s="242"/>
      <c r="C134" s="242"/>
      <c r="D134" s="242" t="s">
        <v>1905</v>
      </c>
      <c r="E134" s="121">
        <v>1</v>
      </c>
      <c r="F134" s="242" t="s">
        <v>1580</v>
      </c>
      <c r="G134" s="242"/>
      <c r="H134" s="242"/>
      <c r="I134" s="402">
        <v>1</v>
      </c>
      <c r="J134" s="402">
        <f t="shared" si="9"/>
        <v>1.0102564102564102</v>
      </c>
      <c r="K134" s="402">
        <f t="shared" si="8"/>
        <v>1.023076923076923</v>
      </c>
      <c r="L134" s="402">
        <f t="shared" si="8"/>
        <v>1.035897435897436</v>
      </c>
      <c r="M134" s="402">
        <f t="shared" si="8"/>
        <v>1.0487179487179488</v>
      </c>
      <c r="N134" s="402">
        <f t="shared" si="8"/>
        <v>1.0615384615384615</v>
      </c>
      <c r="O134" s="402">
        <f t="shared" si="8"/>
        <v>1.0743589743589745</v>
      </c>
      <c r="P134" s="402">
        <f t="shared" si="8"/>
        <v>1.0871794871794873</v>
      </c>
      <c r="Q134" s="402">
        <v>1.1000000000000001</v>
      </c>
      <c r="R134" s="242"/>
      <c r="U134" s="20"/>
      <c r="V134" s="20"/>
      <c r="W134" s="20" t="s">
        <v>1615</v>
      </c>
      <c r="X134" s="20"/>
    </row>
    <row r="135" spans="1:24" s="65" customFormat="1" ht="15" customHeight="1" outlineLevel="2">
      <c r="A135" s="219"/>
      <c r="B135" s="242"/>
      <c r="C135" s="242"/>
      <c r="D135" s="242" t="s">
        <v>1905</v>
      </c>
      <c r="E135" s="121">
        <v>2</v>
      </c>
      <c r="F135" s="242" t="s">
        <v>1580</v>
      </c>
      <c r="G135" s="242"/>
      <c r="H135" s="242"/>
      <c r="I135" s="402">
        <v>1</v>
      </c>
      <c r="J135" s="402">
        <f t="shared" si="9"/>
        <v>1</v>
      </c>
      <c r="K135" s="402">
        <f t="shared" si="8"/>
        <v>1</v>
      </c>
      <c r="L135" s="402">
        <f t="shared" si="8"/>
        <v>1</v>
      </c>
      <c r="M135" s="402">
        <f t="shared" si="8"/>
        <v>1</v>
      </c>
      <c r="N135" s="402">
        <f t="shared" si="8"/>
        <v>1</v>
      </c>
      <c r="O135" s="402">
        <f t="shared" si="8"/>
        <v>1</v>
      </c>
      <c r="P135" s="402">
        <f t="shared" si="8"/>
        <v>1</v>
      </c>
      <c r="Q135" s="402">
        <v>1</v>
      </c>
      <c r="R135" s="242"/>
      <c r="U135" s="20"/>
      <c r="V135" s="20"/>
      <c r="W135" s="20" t="s">
        <v>1615</v>
      </c>
      <c r="X135" s="20"/>
    </row>
    <row r="136" spans="1:24" s="65" customFormat="1" ht="15" customHeight="1" outlineLevel="2">
      <c r="A136" s="219"/>
      <c r="B136" s="242"/>
      <c r="C136" s="242"/>
      <c r="D136" s="242" t="s">
        <v>1905</v>
      </c>
      <c r="E136" s="121">
        <v>3</v>
      </c>
      <c r="F136" s="242" t="s">
        <v>1580</v>
      </c>
      <c r="G136" s="242"/>
      <c r="H136" s="242"/>
      <c r="I136" s="402">
        <v>1</v>
      </c>
      <c r="J136" s="402">
        <f t="shared" si="9"/>
        <v>0.98974358974358978</v>
      </c>
      <c r="K136" s="402">
        <f t="shared" si="8"/>
        <v>0.97692307692307689</v>
      </c>
      <c r="L136" s="402">
        <f t="shared" si="8"/>
        <v>0.96410256410256412</v>
      </c>
      <c r="M136" s="402">
        <f t="shared" si="8"/>
        <v>0.95128205128205123</v>
      </c>
      <c r="N136" s="402">
        <f t="shared" si="8"/>
        <v>0.93846153846153846</v>
      </c>
      <c r="O136" s="402">
        <f t="shared" si="8"/>
        <v>0.92564102564102568</v>
      </c>
      <c r="P136" s="402">
        <f t="shared" si="8"/>
        <v>0.9128205128205128</v>
      </c>
      <c r="Q136" s="402">
        <v>0.9</v>
      </c>
      <c r="R136" s="242"/>
      <c r="U136" s="20"/>
      <c r="V136" s="20"/>
      <c r="W136" s="20" t="s">
        <v>1615</v>
      </c>
      <c r="X136" s="20"/>
    </row>
    <row r="137" spans="1:24" s="65" customFormat="1" ht="15" customHeight="1" outlineLevel="2">
      <c r="A137" s="219"/>
      <c r="B137" s="242"/>
      <c r="C137" s="265"/>
      <c r="D137" s="242" t="s">
        <v>1905</v>
      </c>
      <c r="E137" s="121">
        <v>4</v>
      </c>
      <c r="F137" s="242" t="s">
        <v>1580</v>
      </c>
      <c r="G137" s="265"/>
      <c r="H137" s="265"/>
      <c r="I137" s="402">
        <v>1</v>
      </c>
      <c r="J137" s="402">
        <f t="shared" si="9"/>
        <v>0.97948717948717945</v>
      </c>
      <c r="K137" s="402">
        <f t="shared" si="8"/>
        <v>0.9538461538461539</v>
      </c>
      <c r="L137" s="402">
        <f t="shared" si="8"/>
        <v>0.92820512820512824</v>
      </c>
      <c r="M137" s="402">
        <f t="shared" si="8"/>
        <v>0.90256410256410258</v>
      </c>
      <c r="N137" s="402">
        <f t="shared" si="8"/>
        <v>0.87692307692307692</v>
      </c>
      <c r="O137" s="402">
        <f t="shared" si="8"/>
        <v>0.85128205128205137</v>
      </c>
      <c r="P137" s="402">
        <f t="shared" si="8"/>
        <v>0.82564102564102571</v>
      </c>
      <c r="Q137" s="402">
        <v>0.8</v>
      </c>
      <c r="R137" s="242"/>
      <c r="U137" s="20"/>
      <c r="V137" s="20"/>
      <c r="W137" s="20"/>
      <c r="X137" s="20"/>
    </row>
    <row r="138" spans="1:24" s="65" customFormat="1" ht="15" customHeight="1" outlineLevel="2">
      <c r="A138" s="219"/>
      <c r="B138" s="242"/>
      <c r="C138" s="242"/>
      <c r="D138" s="242" t="s">
        <v>1906</v>
      </c>
      <c r="E138" s="121">
        <v>1</v>
      </c>
      <c r="F138" s="242" t="s">
        <v>1580</v>
      </c>
      <c r="G138" s="242"/>
      <c r="H138" s="242"/>
      <c r="I138" s="402">
        <v>1</v>
      </c>
      <c r="J138" s="402">
        <f t="shared" si="9"/>
        <v>1.0102564102564102</v>
      </c>
      <c r="K138" s="402">
        <f t="shared" si="8"/>
        <v>1.023076923076923</v>
      </c>
      <c r="L138" s="402">
        <f t="shared" si="8"/>
        <v>1.035897435897436</v>
      </c>
      <c r="M138" s="402">
        <f t="shared" si="8"/>
        <v>1.0487179487179488</v>
      </c>
      <c r="N138" s="402">
        <f t="shared" si="8"/>
        <v>1.0615384615384615</v>
      </c>
      <c r="O138" s="402">
        <f t="shared" si="8"/>
        <v>1.0743589743589745</v>
      </c>
      <c r="P138" s="402">
        <f t="shared" si="8"/>
        <v>1.0871794871794873</v>
      </c>
      <c r="Q138" s="402">
        <v>1.1000000000000001</v>
      </c>
      <c r="R138" s="242"/>
      <c r="U138" s="20"/>
      <c r="V138" s="20"/>
      <c r="W138" s="20" t="s">
        <v>1615</v>
      </c>
      <c r="X138" s="20"/>
    </row>
    <row r="139" spans="1:24" s="65" customFormat="1" ht="15" customHeight="1" outlineLevel="2">
      <c r="A139" s="219"/>
      <c r="B139" s="242"/>
      <c r="C139" s="242"/>
      <c r="D139" s="242" t="s">
        <v>1906</v>
      </c>
      <c r="E139" s="121">
        <v>2</v>
      </c>
      <c r="F139" s="242" t="s">
        <v>1580</v>
      </c>
      <c r="G139" s="242"/>
      <c r="H139" s="242"/>
      <c r="I139" s="402">
        <v>1</v>
      </c>
      <c r="J139" s="402">
        <f t="shared" si="9"/>
        <v>1</v>
      </c>
      <c r="K139" s="402">
        <f t="shared" si="8"/>
        <v>1</v>
      </c>
      <c r="L139" s="402">
        <f t="shared" si="8"/>
        <v>1</v>
      </c>
      <c r="M139" s="402">
        <f t="shared" si="8"/>
        <v>1</v>
      </c>
      <c r="N139" s="402">
        <f t="shared" si="8"/>
        <v>1</v>
      </c>
      <c r="O139" s="402">
        <f t="shared" si="8"/>
        <v>1</v>
      </c>
      <c r="P139" s="402">
        <f t="shared" si="8"/>
        <v>1</v>
      </c>
      <c r="Q139" s="402">
        <v>1</v>
      </c>
      <c r="R139" s="242"/>
      <c r="U139" s="20"/>
      <c r="V139" s="20"/>
      <c r="W139" s="20" t="s">
        <v>1615</v>
      </c>
      <c r="X139" s="20"/>
    </row>
    <row r="140" spans="1:24" s="65" customFormat="1" ht="15" customHeight="1" outlineLevel="2">
      <c r="A140" s="219"/>
      <c r="B140" s="242"/>
      <c r="C140" s="242"/>
      <c r="D140" s="242" t="s">
        <v>1906</v>
      </c>
      <c r="E140" s="121">
        <v>3</v>
      </c>
      <c r="F140" s="242" t="s">
        <v>1580</v>
      </c>
      <c r="G140" s="242"/>
      <c r="H140" s="242"/>
      <c r="I140" s="402">
        <v>1</v>
      </c>
      <c r="J140" s="402">
        <f t="shared" si="9"/>
        <v>0.98974358974358978</v>
      </c>
      <c r="K140" s="402">
        <f t="shared" si="8"/>
        <v>0.97692307692307689</v>
      </c>
      <c r="L140" s="402">
        <f t="shared" si="8"/>
        <v>0.96410256410256412</v>
      </c>
      <c r="M140" s="402">
        <f t="shared" si="8"/>
        <v>0.95128205128205123</v>
      </c>
      <c r="N140" s="402">
        <f t="shared" si="8"/>
        <v>0.93846153846153846</v>
      </c>
      <c r="O140" s="402">
        <f t="shared" si="8"/>
        <v>0.92564102564102568</v>
      </c>
      <c r="P140" s="402">
        <f t="shared" si="8"/>
        <v>0.9128205128205128</v>
      </c>
      <c r="Q140" s="402">
        <v>0.9</v>
      </c>
      <c r="R140" s="242"/>
      <c r="U140" s="20"/>
      <c r="V140" s="20"/>
      <c r="W140" s="20" t="s">
        <v>1615</v>
      </c>
      <c r="X140" s="20"/>
    </row>
    <row r="141" spans="1:24" s="65" customFormat="1" ht="15" customHeight="1" outlineLevel="2">
      <c r="A141" s="219"/>
      <c r="B141" s="242"/>
      <c r="C141" s="265"/>
      <c r="D141" s="242" t="s">
        <v>1906</v>
      </c>
      <c r="E141" s="121">
        <v>4</v>
      </c>
      <c r="F141" s="242" t="s">
        <v>1580</v>
      </c>
      <c r="G141" s="265"/>
      <c r="H141" s="265"/>
      <c r="I141" s="402">
        <v>1</v>
      </c>
      <c r="J141" s="402">
        <f t="shared" si="9"/>
        <v>0.97948717948717945</v>
      </c>
      <c r="K141" s="402">
        <f t="shared" si="8"/>
        <v>0.9538461538461539</v>
      </c>
      <c r="L141" s="402">
        <f t="shared" si="8"/>
        <v>0.92820512820512824</v>
      </c>
      <c r="M141" s="402">
        <f t="shared" si="8"/>
        <v>0.90256410256410258</v>
      </c>
      <c r="N141" s="402">
        <f t="shared" si="8"/>
        <v>0.87692307692307692</v>
      </c>
      <c r="O141" s="402">
        <f t="shared" si="8"/>
        <v>0.85128205128205137</v>
      </c>
      <c r="P141" s="402">
        <f t="shared" si="8"/>
        <v>0.82564102564102571</v>
      </c>
      <c r="Q141" s="402">
        <v>0.8</v>
      </c>
      <c r="R141" s="242"/>
      <c r="U141" s="20"/>
      <c r="V141" s="20"/>
      <c r="W141" s="20"/>
      <c r="X141" s="20"/>
    </row>
    <row r="142" spans="1:24" s="65" customFormat="1" ht="15" customHeight="1" outlineLevel="2">
      <c r="A142" s="219"/>
      <c r="B142" s="242"/>
      <c r="C142" s="242"/>
      <c r="D142" s="242" t="s">
        <v>1907</v>
      </c>
      <c r="E142" s="121">
        <v>1</v>
      </c>
      <c r="F142" s="242" t="s">
        <v>1588</v>
      </c>
      <c r="G142" s="242"/>
      <c r="H142" s="242"/>
      <c r="I142" s="402">
        <v>1</v>
      </c>
      <c r="J142" s="402">
        <f t="shared" si="9"/>
        <v>1.0102564102564102</v>
      </c>
      <c r="K142" s="402">
        <f t="shared" si="8"/>
        <v>1.023076923076923</v>
      </c>
      <c r="L142" s="402">
        <f t="shared" si="8"/>
        <v>1.035897435897436</v>
      </c>
      <c r="M142" s="402">
        <f t="shared" si="8"/>
        <v>1.0487179487179488</v>
      </c>
      <c r="N142" s="402">
        <f t="shared" si="8"/>
        <v>1.0615384615384615</v>
      </c>
      <c r="O142" s="402">
        <f t="shared" si="8"/>
        <v>1.0743589743589745</v>
      </c>
      <c r="P142" s="402">
        <f t="shared" si="8"/>
        <v>1.0871794871794873</v>
      </c>
      <c r="Q142" s="402">
        <v>1.1000000000000001</v>
      </c>
      <c r="R142" s="242"/>
      <c r="U142" s="20"/>
      <c r="V142" s="20"/>
      <c r="W142" s="20" t="s">
        <v>1615</v>
      </c>
      <c r="X142" s="20"/>
    </row>
    <row r="143" spans="1:24" s="65" customFormat="1" ht="15" customHeight="1" outlineLevel="2">
      <c r="A143" s="219"/>
      <c r="B143" s="242"/>
      <c r="C143" s="242"/>
      <c r="D143" s="242" t="s">
        <v>1907</v>
      </c>
      <c r="E143" s="121">
        <v>2</v>
      </c>
      <c r="F143" s="242" t="s">
        <v>1588</v>
      </c>
      <c r="G143" s="242"/>
      <c r="H143" s="242"/>
      <c r="I143" s="402">
        <v>1</v>
      </c>
      <c r="J143" s="402">
        <f t="shared" si="9"/>
        <v>1</v>
      </c>
      <c r="K143" s="402">
        <f t="shared" si="9"/>
        <v>1</v>
      </c>
      <c r="L143" s="402">
        <f t="shared" si="9"/>
        <v>1</v>
      </c>
      <c r="M143" s="402">
        <f t="shared" si="9"/>
        <v>1</v>
      </c>
      <c r="N143" s="402">
        <f t="shared" si="9"/>
        <v>1</v>
      </c>
      <c r="O143" s="402">
        <f t="shared" si="9"/>
        <v>1</v>
      </c>
      <c r="P143" s="402">
        <f t="shared" si="9"/>
        <v>1</v>
      </c>
      <c r="Q143" s="402">
        <v>1</v>
      </c>
      <c r="R143" s="242"/>
      <c r="U143" s="20"/>
      <c r="V143" s="20"/>
      <c r="W143" s="20" t="s">
        <v>1615</v>
      </c>
      <c r="X143" s="20"/>
    </row>
    <row r="144" spans="1:24" s="65" customFormat="1" ht="15" customHeight="1" outlineLevel="2">
      <c r="A144" s="219"/>
      <c r="B144" s="242"/>
      <c r="C144" s="242"/>
      <c r="D144" s="242" t="s">
        <v>1907</v>
      </c>
      <c r="E144" s="121">
        <v>3</v>
      </c>
      <c r="F144" s="242" t="s">
        <v>1588</v>
      </c>
      <c r="G144" s="242"/>
      <c r="H144" s="242"/>
      <c r="I144" s="402">
        <v>1</v>
      </c>
      <c r="J144" s="402">
        <f t="shared" si="9"/>
        <v>0.98974358974358978</v>
      </c>
      <c r="K144" s="402">
        <f t="shared" si="9"/>
        <v>0.97692307692307689</v>
      </c>
      <c r="L144" s="402">
        <f t="shared" si="9"/>
        <v>0.96410256410256412</v>
      </c>
      <c r="M144" s="402">
        <f t="shared" si="9"/>
        <v>0.95128205128205123</v>
      </c>
      <c r="N144" s="402">
        <f t="shared" si="9"/>
        <v>0.93846153846153846</v>
      </c>
      <c r="O144" s="402">
        <f t="shared" si="9"/>
        <v>0.92564102564102568</v>
      </c>
      <c r="P144" s="402">
        <f t="shared" si="9"/>
        <v>0.9128205128205128</v>
      </c>
      <c r="Q144" s="402">
        <v>0.9</v>
      </c>
      <c r="R144" s="242"/>
      <c r="U144" s="20"/>
      <c r="V144" s="20"/>
      <c r="W144" s="20" t="s">
        <v>1615</v>
      </c>
      <c r="X144" s="20"/>
    </row>
    <row r="145" spans="1:24" s="65" customFormat="1" ht="15" customHeight="1" outlineLevel="2">
      <c r="A145" s="219"/>
      <c r="B145" s="242"/>
      <c r="C145" s="265"/>
      <c r="D145" s="242" t="s">
        <v>1907</v>
      </c>
      <c r="E145" s="121">
        <v>4</v>
      </c>
      <c r="F145" s="242" t="s">
        <v>1588</v>
      </c>
      <c r="G145" s="265"/>
      <c r="H145" s="265"/>
      <c r="I145" s="402">
        <v>1</v>
      </c>
      <c r="J145" s="402">
        <f t="shared" si="9"/>
        <v>0.97948717948717945</v>
      </c>
      <c r="K145" s="402">
        <f t="shared" si="9"/>
        <v>0.9538461538461539</v>
      </c>
      <c r="L145" s="402">
        <f t="shared" si="9"/>
        <v>0.92820512820512824</v>
      </c>
      <c r="M145" s="402">
        <f t="shared" si="9"/>
        <v>0.90256410256410258</v>
      </c>
      <c r="N145" s="402">
        <f t="shared" si="9"/>
        <v>0.87692307692307692</v>
      </c>
      <c r="O145" s="402">
        <f t="shared" si="9"/>
        <v>0.85128205128205137</v>
      </c>
      <c r="P145" s="402">
        <f t="shared" si="9"/>
        <v>0.82564102564102571</v>
      </c>
      <c r="Q145" s="402">
        <v>0.8</v>
      </c>
      <c r="R145" s="242"/>
      <c r="U145" s="20"/>
      <c r="V145" s="20"/>
      <c r="W145" s="20"/>
      <c r="X145" s="20"/>
    </row>
    <row r="146" spans="1:24" s="65" customFormat="1" ht="15" customHeight="1" outlineLevel="2">
      <c r="A146" s="219"/>
      <c r="B146" s="242"/>
      <c r="C146" s="242"/>
      <c r="D146" s="242" t="s">
        <v>1908</v>
      </c>
      <c r="E146" s="121">
        <v>1</v>
      </c>
      <c r="F146" s="242" t="s">
        <v>1588</v>
      </c>
      <c r="G146" s="242"/>
      <c r="H146" s="242"/>
      <c r="I146" s="402">
        <v>1</v>
      </c>
      <c r="J146" s="402">
        <f t="shared" ref="J146:P166" si="10">(($Q146-$I146)/($Q$121-$I$121))*(J$121-$I$121)+$I146</f>
        <v>1.0102564102564102</v>
      </c>
      <c r="K146" s="402">
        <f t="shared" si="10"/>
        <v>1.023076923076923</v>
      </c>
      <c r="L146" s="402">
        <f t="shared" si="10"/>
        <v>1.035897435897436</v>
      </c>
      <c r="M146" s="402">
        <f t="shared" si="10"/>
        <v>1.0487179487179488</v>
      </c>
      <c r="N146" s="402">
        <f t="shared" si="10"/>
        <v>1.0615384615384615</v>
      </c>
      <c r="O146" s="402">
        <f t="shared" si="10"/>
        <v>1.0743589743589745</v>
      </c>
      <c r="P146" s="402">
        <f t="shared" si="10"/>
        <v>1.0871794871794873</v>
      </c>
      <c r="Q146" s="402">
        <v>1.1000000000000001</v>
      </c>
      <c r="R146" s="242"/>
      <c r="U146" s="20"/>
      <c r="V146" s="20"/>
      <c r="W146" s="20" t="s">
        <v>1615</v>
      </c>
      <c r="X146" s="20"/>
    </row>
    <row r="147" spans="1:24" s="65" customFormat="1" ht="15" customHeight="1" outlineLevel="2">
      <c r="A147" s="219"/>
      <c r="B147" s="242"/>
      <c r="C147" s="242"/>
      <c r="D147" s="242" t="s">
        <v>1908</v>
      </c>
      <c r="E147" s="121">
        <v>2</v>
      </c>
      <c r="F147" s="242" t="s">
        <v>1588</v>
      </c>
      <c r="G147" s="242"/>
      <c r="H147" s="242"/>
      <c r="I147" s="402">
        <v>1</v>
      </c>
      <c r="J147" s="402">
        <f t="shared" si="10"/>
        <v>1</v>
      </c>
      <c r="K147" s="402">
        <f t="shared" si="10"/>
        <v>1</v>
      </c>
      <c r="L147" s="402">
        <f t="shared" si="10"/>
        <v>1</v>
      </c>
      <c r="M147" s="402">
        <f t="shared" si="10"/>
        <v>1</v>
      </c>
      <c r="N147" s="402">
        <f t="shared" si="10"/>
        <v>1</v>
      </c>
      <c r="O147" s="402">
        <f t="shared" si="10"/>
        <v>1</v>
      </c>
      <c r="P147" s="402">
        <f t="shared" si="10"/>
        <v>1</v>
      </c>
      <c r="Q147" s="402">
        <v>1</v>
      </c>
      <c r="R147" s="242"/>
      <c r="U147" s="20"/>
      <c r="V147" s="20"/>
      <c r="W147" s="20" t="s">
        <v>1615</v>
      </c>
      <c r="X147" s="20"/>
    </row>
    <row r="148" spans="1:24" s="65" customFormat="1" ht="15" customHeight="1" outlineLevel="2">
      <c r="A148" s="219"/>
      <c r="B148" s="242"/>
      <c r="C148" s="242"/>
      <c r="D148" s="242" t="s">
        <v>1908</v>
      </c>
      <c r="E148" s="121">
        <v>3</v>
      </c>
      <c r="F148" s="242" t="s">
        <v>1588</v>
      </c>
      <c r="G148" s="242"/>
      <c r="H148" s="242"/>
      <c r="I148" s="402">
        <v>1</v>
      </c>
      <c r="J148" s="402">
        <f t="shared" si="10"/>
        <v>0.98974358974358978</v>
      </c>
      <c r="K148" s="402">
        <f t="shared" si="10"/>
        <v>0.97692307692307689</v>
      </c>
      <c r="L148" s="402">
        <f t="shared" si="10"/>
        <v>0.96410256410256412</v>
      </c>
      <c r="M148" s="402">
        <f t="shared" si="10"/>
        <v>0.95128205128205123</v>
      </c>
      <c r="N148" s="402">
        <f t="shared" si="10"/>
        <v>0.93846153846153846</v>
      </c>
      <c r="O148" s="402">
        <f t="shared" si="10"/>
        <v>0.92564102564102568</v>
      </c>
      <c r="P148" s="402">
        <f t="shared" si="10"/>
        <v>0.9128205128205128</v>
      </c>
      <c r="Q148" s="402">
        <v>0.9</v>
      </c>
      <c r="R148" s="242"/>
      <c r="U148" s="20"/>
      <c r="V148" s="20"/>
      <c r="W148" s="20" t="s">
        <v>1615</v>
      </c>
      <c r="X148" s="20"/>
    </row>
    <row r="149" spans="1:24" s="65" customFormat="1" ht="15" customHeight="1" outlineLevel="2">
      <c r="A149" s="219"/>
      <c r="B149" s="242"/>
      <c r="C149" s="265"/>
      <c r="D149" s="242" t="s">
        <v>1908</v>
      </c>
      <c r="E149" s="121">
        <v>4</v>
      </c>
      <c r="F149" s="242" t="s">
        <v>1588</v>
      </c>
      <c r="G149" s="265"/>
      <c r="H149" s="265"/>
      <c r="I149" s="402">
        <v>1</v>
      </c>
      <c r="J149" s="402">
        <f t="shared" si="10"/>
        <v>0.97948717948717945</v>
      </c>
      <c r="K149" s="402">
        <f t="shared" si="10"/>
        <v>0.9538461538461539</v>
      </c>
      <c r="L149" s="402">
        <f t="shared" si="10"/>
        <v>0.92820512820512824</v>
      </c>
      <c r="M149" s="402">
        <f t="shared" si="10"/>
        <v>0.90256410256410258</v>
      </c>
      <c r="N149" s="402">
        <f t="shared" si="10"/>
        <v>0.87692307692307692</v>
      </c>
      <c r="O149" s="402">
        <f t="shared" si="10"/>
        <v>0.85128205128205137</v>
      </c>
      <c r="P149" s="402">
        <f t="shared" si="10"/>
        <v>0.82564102564102571</v>
      </c>
      <c r="Q149" s="402">
        <v>0.8</v>
      </c>
      <c r="R149" s="242"/>
      <c r="U149" s="20"/>
      <c r="V149" s="20"/>
      <c r="W149" s="20"/>
      <c r="X149" s="20"/>
    </row>
    <row r="150" spans="1:24" s="65" customFormat="1" ht="15" customHeight="1" outlineLevel="2">
      <c r="A150" s="219"/>
      <c r="B150" s="242"/>
      <c r="C150" s="242"/>
      <c r="D150" s="242" t="s">
        <v>1909</v>
      </c>
      <c r="E150" s="121">
        <v>1</v>
      </c>
      <c r="F150" s="242" t="s">
        <v>1588</v>
      </c>
      <c r="G150" s="242"/>
      <c r="H150" s="242"/>
      <c r="I150" s="402">
        <v>1</v>
      </c>
      <c r="J150" s="402">
        <f t="shared" si="10"/>
        <v>1.0102564102564102</v>
      </c>
      <c r="K150" s="402">
        <f t="shared" si="10"/>
        <v>1.023076923076923</v>
      </c>
      <c r="L150" s="402">
        <f t="shared" si="10"/>
        <v>1.035897435897436</v>
      </c>
      <c r="M150" s="402">
        <f t="shared" si="10"/>
        <v>1.0487179487179488</v>
      </c>
      <c r="N150" s="402">
        <f t="shared" si="10"/>
        <v>1.0615384615384615</v>
      </c>
      <c r="O150" s="402">
        <f t="shared" si="10"/>
        <v>1.0743589743589745</v>
      </c>
      <c r="P150" s="402">
        <f t="shared" si="10"/>
        <v>1.0871794871794873</v>
      </c>
      <c r="Q150" s="402">
        <v>1.1000000000000001</v>
      </c>
      <c r="R150" s="242"/>
      <c r="U150" s="20"/>
      <c r="V150" s="20"/>
      <c r="W150" s="20" t="s">
        <v>1615</v>
      </c>
      <c r="X150" s="20"/>
    </row>
    <row r="151" spans="1:24" s="65" customFormat="1" ht="15" customHeight="1" outlineLevel="2">
      <c r="A151" s="219"/>
      <c r="B151" s="242"/>
      <c r="C151" s="242"/>
      <c r="D151" s="242" t="s">
        <v>1909</v>
      </c>
      <c r="E151" s="121">
        <v>2</v>
      </c>
      <c r="F151" s="242" t="s">
        <v>1588</v>
      </c>
      <c r="G151" s="242"/>
      <c r="H151" s="242"/>
      <c r="I151" s="402">
        <v>1</v>
      </c>
      <c r="J151" s="402">
        <f t="shared" si="10"/>
        <v>1</v>
      </c>
      <c r="K151" s="402">
        <f t="shared" si="10"/>
        <v>1</v>
      </c>
      <c r="L151" s="402">
        <f t="shared" si="10"/>
        <v>1</v>
      </c>
      <c r="M151" s="402">
        <f t="shared" si="10"/>
        <v>1</v>
      </c>
      <c r="N151" s="402">
        <f t="shared" si="10"/>
        <v>1</v>
      </c>
      <c r="O151" s="402">
        <f t="shared" si="10"/>
        <v>1</v>
      </c>
      <c r="P151" s="402">
        <f t="shared" si="10"/>
        <v>1</v>
      </c>
      <c r="Q151" s="402">
        <v>1</v>
      </c>
      <c r="R151" s="242"/>
      <c r="U151" s="20"/>
      <c r="V151" s="20"/>
      <c r="W151" s="20" t="s">
        <v>1615</v>
      </c>
      <c r="X151" s="20"/>
    </row>
    <row r="152" spans="1:24" s="65" customFormat="1" ht="15" customHeight="1" outlineLevel="2">
      <c r="A152" s="219"/>
      <c r="B152" s="242"/>
      <c r="C152" s="242"/>
      <c r="D152" s="242" t="s">
        <v>1909</v>
      </c>
      <c r="E152" s="121">
        <v>3</v>
      </c>
      <c r="F152" s="242" t="s">
        <v>1588</v>
      </c>
      <c r="G152" s="242"/>
      <c r="H152" s="242"/>
      <c r="I152" s="402">
        <v>1</v>
      </c>
      <c r="J152" s="402">
        <f t="shared" si="10"/>
        <v>0.98974358974358978</v>
      </c>
      <c r="K152" s="402">
        <f t="shared" si="10"/>
        <v>0.97692307692307689</v>
      </c>
      <c r="L152" s="402">
        <f t="shared" si="10"/>
        <v>0.96410256410256412</v>
      </c>
      <c r="M152" s="402">
        <f t="shared" si="10"/>
        <v>0.95128205128205123</v>
      </c>
      <c r="N152" s="402">
        <f t="shared" si="10"/>
        <v>0.93846153846153846</v>
      </c>
      <c r="O152" s="402">
        <f t="shared" si="10"/>
        <v>0.92564102564102568</v>
      </c>
      <c r="P152" s="402">
        <f t="shared" si="10"/>
        <v>0.9128205128205128</v>
      </c>
      <c r="Q152" s="402">
        <v>0.9</v>
      </c>
      <c r="R152" s="242"/>
      <c r="U152" s="20"/>
      <c r="V152" s="20"/>
      <c r="W152" s="20" t="s">
        <v>1615</v>
      </c>
      <c r="X152" s="20"/>
    </row>
    <row r="153" spans="1:24" s="65" customFormat="1" ht="15" customHeight="1" outlineLevel="2">
      <c r="A153" s="219"/>
      <c r="B153" s="242"/>
      <c r="C153" s="265"/>
      <c r="D153" s="242" t="s">
        <v>1909</v>
      </c>
      <c r="E153" s="121">
        <v>4</v>
      </c>
      <c r="F153" s="242" t="s">
        <v>1588</v>
      </c>
      <c r="G153" s="265"/>
      <c r="H153" s="265"/>
      <c r="I153" s="402">
        <v>1</v>
      </c>
      <c r="J153" s="402">
        <f t="shared" si="10"/>
        <v>0.97948717948717945</v>
      </c>
      <c r="K153" s="402">
        <f t="shared" si="10"/>
        <v>0.9538461538461539</v>
      </c>
      <c r="L153" s="402">
        <f t="shared" si="10"/>
        <v>0.92820512820512824</v>
      </c>
      <c r="M153" s="402">
        <f t="shared" si="10"/>
        <v>0.90256410256410258</v>
      </c>
      <c r="N153" s="402">
        <f t="shared" si="10"/>
        <v>0.87692307692307692</v>
      </c>
      <c r="O153" s="402">
        <f t="shared" si="10"/>
        <v>0.85128205128205137</v>
      </c>
      <c r="P153" s="402">
        <f t="shared" si="10"/>
        <v>0.82564102564102571</v>
      </c>
      <c r="Q153" s="402">
        <v>0.8</v>
      </c>
      <c r="R153" s="242"/>
      <c r="U153" s="20"/>
      <c r="V153" s="20"/>
      <c r="W153" s="20"/>
      <c r="X153" s="20"/>
    </row>
    <row r="154" spans="1:24" s="65" customFormat="1" ht="15" customHeight="1" outlineLevel="2">
      <c r="A154" s="219"/>
      <c r="B154" s="242"/>
      <c r="C154" s="121"/>
      <c r="D154" s="121" t="s">
        <v>1910</v>
      </c>
      <c r="E154" s="121">
        <v>1</v>
      </c>
      <c r="F154" s="242" t="s">
        <v>51</v>
      </c>
      <c r="G154" s="265"/>
      <c r="H154" s="265"/>
      <c r="I154" s="402">
        <v>1</v>
      </c>
      <c r="J154" s="402">
        <f t="shared" si="10"/>
        <v>1.0102564102564102</v>
      </c>
      <c r="K154" s="402">
        <f t="shared" si="10"/>
        <v>1.023076923076923</v>
      </c>
      <c r="L154" s="402">
        <f t="shared" si="10"/>
        <v>1.035897435897436</v>
      </c>
      <c r="M154" s="402">
        <f t="shared" si="10"/>
        <v>1.0487179487179488</v>
      </c>
      <c r="N154" s="402">
        <f t="shared" si="10"/>
        <v>1.0615384615384615</v>
      </c>
      <c r="O154" s="402">
        <f t="shared" si="10"/>
        <v>1.0743589743589745</v>
      </c>
      <c r="P154" s="402">
        <f t="shared" si="10"/>
        <v>1.0871794871794873</v>
      </c>
      <c r="Q154" s="402">
        <v>1.1000000000000001</v>
      </c>
      <c r="R154" s="242"/>
      <c r="U154" s="20"/>
      <c r="V154" s="20"/>
      <c r="W154" s="20"/>
      <c r="X154" s="20"/>
    </row>
    <row r="155" spans="1:24" s="65" customFormat="1" ht="15" customHeight="1" outlineLevel="2">
      <c r="A155" s="219"/>
      <c r="B155" s="242"/>
      <c r="C155" s="265"/>
      <c r="D155" s="121" t="s">
        <v>1910</v>
      </c>
      <c r="E155" s="121">
        <v>2</v>
      </c>
      <c r="F155" s="242" t="s">
        <v>51</v>
      </c>
      <c r="G155" s="265"/>
      <c r="H155" s="265"/>
      <c r="I155" s="402">
        <v>1</v>
      </c>
      <c r="J155" s="402">
        <f t="shared" si="10"/>
        <v>1</v>
      </c>
      <c r="K155" s="402">
        <f t="shared" si="10"/>
        <v>1</v>
      </c>
      <c r="L155" s="402">
        <f t="shared" si="10"/>
        <v>1</v>
      </c>
      <c r="M155" s="402">
        <f t="shared" si="10"/>
        <v>1</v>
      </c>
      <c r="N155" s="402">
        <f t="shared" si="10"/>
        <v>1</v>
      </c>
      <c r="O155" s="402">
        <f t="shared" si="10"/>
        <v>1</v>
      </c>
      <c r="P155" s="402">
        <f t="shared" si="10"/>
        <v>1</v>
      </c>
      <c r="Q155" s="402">
        <v>1</v>
      </c>
      <c r="R155" s="242"/>
      <c r="U155" s="20"/>
      <c r="V155" s="20"/>
      <c r="W155" s="20"/>
      <c r="X155" s="20"/>
    </row>
    <row r="156" spans="1:24" s="65" customFormat="1" ht="15" customHeight="1" outlineLevel="2">
      <c r="A156" s="219"/>
      <c r="B156" s="242"/>
      <c r="C156" s="265"/>
      <c r="D156" s="121" t="s">
        <v>1910</v>
      </c>
      <c r="E156" s="121">
        <v>3</v>
      </c>
      <c r="F156" s="242" t="s">
        <v>51</v>
      </c>
      <c r="G156" s="265"/>
      <c r="H156" s="265"/>
      <c r="I156" s="402">
        <v>1</v>
      </c>
      <c r="J156" s="402">
        <f t="shared" si="10"/>
        <v>0.98974358974358978</v>
      </c>
      <c r="K156" s="402">
        <f t="shared" si="10"/>
        <v>0.97692307692307689</v>
      </c>
      <c r="L156" s="402">
        <f t="shared" si="10"/>
        <v>0.96410256410256412</v>
      </c>
      <c r="M156" s="402">
        <f t="shared" si="10"/>
        <v>0.95128205128205123</v>
      </c>
      <c r="N156" s="402">
        <f t="shared" si="10"/>
        <v>0.93846153846153846</v>
      </c>
      <c r="O156" s="402">
        <f t="shared" si="10"/>
        <v>0.92564102564102568</v>
      </c>
      <c r="P156" s="402">
        <f t="shared" si="10"/>
        <v>0.9128205128205128</v>
      </c>
      <c r="Q156" s="402">
        <v>0.9</v>
      </c>
      <c r="R156" s="242"/>
      <c r="U156" s="20"/>
      <c r="V156" s="20"/>
      <c r="W156" s="20"/>
      <c r="X156" s="20"/>
    </row>
    <row r="157" spans="1:24" s="65" customFormat="1" ht="15" customHeight="1" outlineLevel="2">
      <c r="A157" s="219"/>
      <c r="B157" s="242"/>
      <c r="C157" s="265"/>
      <c r="D157" s="121" t="s">
        <v>1910</v>
      </c>
      <c r="E157" s="121">
        <v>4</v>
      </c>
      <c r="F157" s="242" t="s">
        <v>51</v>
      </c>
      <c r="G157" s="265"/>
      <c r="H157" s="265"/>
      <c r="I157" s="402">
        <v>1</v>
      </c>
      <c r="J157" s="402">
        <f t="shared" si="10"/>
        <v>0.97948717948717945</v>
      </c>
      <c r="K157" s="402">
        <f t="shared" si="10"/>
        <v>0.9538461538461539</v>
      </c>
      <c r="L157" s="402">
        <f t="shared" si="10"/>
        <v>0.92820512820512824</v>
      </c>
      <c r="M157" s="402">
        <f t="shared" si="10"/>
        <v>0.90256410256410258</v>
      </c>
      <c r="N157" s="402">
        <f t="shared" si="10"/>
        <v>0.87692307692307692</v>
      </c>
      <c r="O157" s="402">
        <f t="shared" si="10"/>
        <v>0.85128205128205137</v>
      </c>
      <c r="P157" s="402">
        <f t="shared" si="10"/>
        <v>0.82564102564102571</v>
      </c>
      <c r="Q157" s="402">
        <v>0.8</v>
      </c>
      <c r="R157" s="242"/>
      <c r="U157" s="20"/>
      <c r="V157" s="20"/>
      <c r="W157" s="20"/>
      <c r="X157" s="20"/>
    </row>
    <row r="158" spans="1:24" s="65" customFormat="1" ht="15" customHeight="1" outlineLevel="2">
      <c r="A158" s="219"/>
      <c r="B158" s="242"/>
      <c r="C158" s="242"/>
      <c r="D158" s="242" t="s">
        <v>1911</v>
      </c>
      <c r="E158" s="121">
        <v>1</v>
      </c>
      <c r="F158" s="242" t="s">
        <v>51</v>
      </c>
      <c r="G158" s="242"/>
      <c r="H158" s="242"/>
      <c r="I158" s="402">
        <v>1</v>
      </c>
      <c r="J158" s="402">
        <f t="shared" si="10"/>
        <v>1.0102564102564102</v>
      </c>
      <c r="K158" s="402">
        <f t="shared" si="10"/>
        <v>1.023076923076923</v>
      </c>
      <c r="L158" s="402">
        <f t="shared" si="10"/>
        <v>1.035897435897436</v>
      </c>
      <c r="M158" s="402">
        <f t="shared" si="10"/>
        <v>1.0487179487179488</v>
      </c>
      <c r="N158" s="402">
        <f t="shared" si="10"/>
        <v>1.0615384615384615</v>
      </c>
      <c r="O158" s="402">
        <f t="shared" si="10"/>
        <v>1.0743589743589745</v>
      </c>
      <c r="P158" s="402">
        <f t="shared" si="10"/>
        <v>1.0871794871794873</v>
      </c>
      <c r="Q158" s="402">
        <v>1.1000000000000001</v>
      </c>
      <c r="R158" s="242"/>
      <c r="U158" s="20"/>
      <c r="V158" s="20"/>
      <c r="W158" s="20" t="s">
        <v>1615</v>
      </c>
      <c r="X158" s="20"/>
    </row>
    <row r="159" spans="1:24" s="65" customFormat="1" ht="15" customHeight="1" outlineLevel="2">
      <c r="A159" s="219"/>
      <c r="B159" s="242"/>
      <c r="C159" s="242"/>
      <c r="D159" s="242" t="s">
        <v>1911</v>
      </c>
      <c r="E159" s="121">
        <v>2</v>
      </c>
      <c r="F159" s="242" t="s">
        <v>51</v>
      </c>
      <c r="G159" s="242"/>
      <c r="H159" s="242"/>
      <c r="I159" s="402">
        <v>1</v>
      </c>
      <c r="J159" s="402">
        <f t="shared" si="10"/>
        <v>1</v>
      </c>
      <c r="K159" s="402">
        <f t="shared" si="10"/>
        <v>1</v>
      </c>
      <c r="L159" s="402">
        <f t="shared" si="10"/>
        <v>1</v>
      </c>
      <c r="M159" s="402">
        <f t="shared" si="10"/>
        <v>1</v>
      </c>
      <c r="N159" s="402">
        <f t="shared" si="10"/>
        <v>1</v>
      </c>
      <c r="O159" s="402">
        <f t="shared" si="10"/>
        <v>1</v>
      </c>
      <c r="P159" s="402">
        <f t="shared" si="10"/>
        <v>1</v>
      </c>
      <c r="Q159" s="402">
        <v>1</v>
      </c>
      <c r="R159" s="242"/>
      <c r="U159" s="20"/>
      <c r="V159" s="20"/>
      <c r="W159" s="20" t="s">
        <v>1615</v>
      </c>
      <c r="X159" s="20"/>
    </row>
    <row r="160" spans="1:24" s="65" customFormat="1" ht="15" customHeight="1" outlineLevel="2">
      <c r="A160" s="219"/>
      <c r="B160" s="242"/>
      <c r="C160" s="242"/>
      <c r="D160" s="242" t="s">
        <v>1911</v>
      </c>
      <c r="E160" s="121">
        <v>3</v>
      </c>
      <c r="F160" s="242" t="s">
        <v>51</v>
      </c>
      <c r="G160" s="242"/>
      <c r="H160" s="242"/>
      <c r="I160" s="402">
        <v>1</v>
      </c>
      <c r="J160" s="402">
        <f t="shared" si="10"/>
        <v>0.98974358974358978</v>
      </c>
      <c r="K160" s="402">
        <f t="shared" si="10"/>
        <v>0.97692307692307689</v>
      </c>
      <c r="L160" s="402">
        <f t="shared" si="10"/>
        <v>0.96410256410256412</v>
      </c>
      <c r="M160" s="402">
        <f t="shared" si="10"/>
        <v>0.95128205128205123</v>
      </c>
      <c r="N160" s="402">
        <f t="shared" si="10"/>
        <v>0.93846153846153846</v>
      </c>
      <c r="O160" s="402">
        <f t="shared" si="10"/>
        <v>0.92564102564102568</v>
      </c>
      <c r="P160" s="402">
        <f t="shared" si="10"/>
        <v>0.9128205128205128</v>
      </c>
      <c r="Q160" s="402">
        <v>0.9</v>
      </c>
      <c r="R160" s="242"/>
      <c r="U160" s="20"/>
      <c r="V160" s="20"/>
      <c r="W160" s="20" t="s">
        <v>1615</v>
      </c>
      <c r="X160" s="20"/>
    </row>
    <row r="161" spans="1:24" s="65" customFormat="1" ht="15" customHeight="1" outlineLevel="2">
      <c r="A161" s="219"/>
      <c r="B161" s="242"/>
      <c r="C161" s="265"/>
      <c r="D161" s="242" t="s">
        <v>1911</v>
      </c>
      <c r="E161" s="121">
        <v>4</v>
      </c>
      <c r="F161" s="242" t="s">
        <v>51</v>
      </c>
      <c r="G161" s="265"/>
      <c r="H161" s="265"/>
      <c r="I161" s="402">
        <v>1</v>
      </c>
      <c r="J161" s="402">
        <f t="shared" si="10"/>
        <v>0.97948717948717945</v>
      </c>
      <c r="K161" s="402">
        <f t="shared" si="10"/>
        <v>0.9538461538461539</v>
      </c>
      <c r="L161" s="402">
        <f t="shared" si="10"/>
        <v>0.92820512820512824</v>
      </c>
      <c r="M161" s="402">
        <f t="shared" si="10"/>
        <v>0.90256410256410258</v>
      </c>
      <c r="N161" s="402">
        <f t="shared" si="10"/>
        <v>0.87692307692307692</v>
      </c>
      <c r="O161" s="402">
        <f t="shared" si="10"/>
        <v>0.85128205128205137</v>
      </c>
      <c r="P161" s="402">
        <f t="shared" si="10"/>
        <v>0.82564102564102571</v>
      </c>
      <c r="Q161" s="402">
        <v>0.8</v>
      </c>
      <c r="R161" s="242"/>
      <c r="U161" s="20"/>
      <c r="V161" s="20"/>
      <c r="W161" s="20"/>
      <c r="X161" s="20"/>
    </row>
    <row r="162" spans="1:24" s="65" customFormat="1" ht="15" customHeight="1" outlineLevel="2">
      <c r="A162" s="219"/>
      <c r="B162" s="242"/>
      <c r="C162" s="242"/>
      <c r="D162" s="242" t="s">
        <v>1912</v>
      </c>
      <c r="E162" s="121">
        <v>1</v>
      </c>
      <c r="F162" s="242" t="s">
        <v>51</v>
      </c>
      <c r="G162" s="242"/>
      <c r="H162" s="242"/>
      <c r="I162" s="402">
        <v>1</v>
      </c>
      <c r="J162" s="402">
        <f t="shared" si="10"/>
        <v>1.0102564102564102</v>
      </c>
      <c r="K162" s="402">
        <f t="shared" si="10"/>
        <v>1.023076923076923</v>
      </c>
      <c r="L162" s="402">
        <f t="shared" si="10"/>
        <v>1.035897435897436</v>
      </c>
      <c r="M162" s="402">
        <f t="shared" si="10"/>
        <v>1.0487179487179488</v>
      </c>
      <c r="N162" s="402">
        <f t="shared" si="10"/>
        <v>1.0615384615384615</v>
      </c>
      <c r="O162" s="402">
        <f t="shared" si="10"/>
        <v>1.0743589743589745</v>
      </c>
      <c r="P162" s="402">
        <f t="shared" si="10"/>
        <v>1.0871794871794873</v>
      </c>
      <c r="Q162" s="402">
        <v>1.1000000000000001</v>
      </c>
      <c r="R162" s="242"/>
      <c r="T162" s="20"/>
      <c r="U162" s="20"/>
      <c r="V162" s="20"/>
      <c r="W162" s="20" t="s">
        <v>1615</v>
      </c>
      <c r="X162" s="20"/>
    </row>
    <row r="163" spans="1:24" s="65" customFormat="1" ht="15" customHeight="1" outlineLevel="2">
      <c r="A163" s="219"/>
      <c r="B163" s="242"/>
      <c r="C163" s="242"/>
      <c r="D163" s="242" t="s">
        <v>1912</v>
      </c>
      <c r="E163" s="121">
        <v>2</v>
      </c>
      <c r="F163" s="242" t="s">
        <v>51</v>
      </c>
      <c r="G163" s="242"/>
      <c r="H163" s="242"/>
      <c r="I163" s="402">
        <v>1</v>
      </c>
      <c r="J163" s="402">
        <f t="shared" si="10"/>
        <v>1</v>
      </c>
      <c r="K163" s="402">
        <f t="shared" si="10"/>
        <v>1</v>
      </c>
      <c r="L163" s="402">
        <f t="shared" si="10"/>
        <v>1</v>
      </c>
      <c r="M163" s="402">
        <f t="shared" si="10"/>
        <v>1</v>
      </c>
      <c r="N163" s="402">
        <f t="shared" si="10"/>
        <v>1</v>
      </c>
      <c r="O163" s="402">
        <f t="shared" si="10"/>
        <v>1</v>
      </c>
      <c r="P163" s="402">
        <f t="shared" si="10"/>
        <v>1</v>
      </c>
      <c r="Q163" s="402">
        <v>1</v>
      </c>
      <c r="R163" s="242"/>
      <c r="T163" s="20"/>
      <c r="U163" s="20"/>
      <c r="V163" s="20"/>
      <c r="W163" s="20" t="s">
        <v>1615</v>
      </c>
      <c r="X163" s="20"/>
    </row>
    <row r="164" spans="1:24" s="65" customFormat="1" ht="15" customHeight="1" outlineLevel="2">
      <c r="A164" s="219"/>
      <c r="B164" s="242"/>
      <c r="C164" s="242"/>
      <c r="D164" s="242" t="s">
        <v>1912</v>
      </c>
      <c r="E164" s="121">
        <v>3</v>
      </c>
      <c r="F164" s="242" t="s">
        <v>51</v>
      </c>
      <c r="G164" s="242"/>
      <c r="H164" s="242"/>
      <c r="I164" s="402">
        <v>1</v>
      </c>
      <c r="J164" s="402">
        <f t="shared" si="10"/>
        <v>0.98974358974358978</v>
      </c>
      <c r="K164" s="402">
        <f t="shared" si="10"/>
        <v>0.97692307692307689</v>
      </c>
      <c r="L164" s="402">
        <f t="shared" si="10"/>
        <v>0.96410256410256412</v>
      </c>
      <c r="M164" s="402">
        <f t="shared" si="10"/>
        <v>0.95128205128205123</v>
      </c>
      <c r="N164" s="402">
        <f t="shared" si="10"/>
        <v>0.93846153846153846</v>
      </c>
      <c r="O164" s="402">
        <f t="shared" si="10"/>
        <v>0.92564102564102568</v>
      </c>
      <c r="P164" s="402">
        <f t="shared" si="10"/>
        <v>0.9128205128205128</v>
      </c>
      <c r="Q164" s="402">
        <v>0.9</v>
      </c>
      <c r="R164" s="242"/>
      <c r="T164" s="20"/>
      <c r="U164" s="20"/>
      <c r="V164" s="20"/>
      <c r="W164" s="20" t="s">
        <v>1615</v>
      </c>
      <c r="X164" s="20"/>
    </row>
    <row r="165" spans="1:24" s="65" customFormat="1" ht="15" customHeight="1" outlineLevel="2">
      <c r="A165" s="219"/>
      <c r="B165" s="242"/>
      <c r="C165" s="265"/>
      <c r="D165" s="242" t="s">
        <v>1912</v>
      </c>
      <c r="E165" s="121">
        <v>4</v>
      </c>
      <c r="F165" s="242" t="s">
        <v>51</v>
      </c>
      <c r="G165" s="265"/>
      <c r="H165" s="265"/>
      <c r="I165" s="402">
        <v>1</v>
      </c>
      <c r="J165" s="402">
        <f t="shared" si="10"/>
        <v>0.97948717948717945</v>
      </c>
      <c r="K165" s="402">
        <f t="shared" si="10"/>
        <v>0.9538461538461539</v>
      </c>
      <c r="L165" s="402">
        <f t="shared" si="10"/>
        <v>0.92820512820512824</v>
      </c>
      <c r="M165" s="402">
        <f t="shared" si="10"/>
        <v>0.90256410256410258</v>
      </c>
      <c r="N165" s="402">
        <f t="shared" si="10"/>
        <v>0.87692307692307692</v>
      </c>
      <c r="O165" s="402">
        <f t="shared" si="10"/>
        <v>0.85128205128205137</v>
      </c>
      <c r="P165" s="402">
        <f t="shared" si="10"/>
        <v>0.82564102564102571</v>
      </c>
      <c r="Q165" s="402">
        <v>0.8</v>
      </c>
      <c r="R165" s="242"/>
      <c r="T165" s="20"/>
      <c r="U165" s="20"/>
      <c r="V165" s="20"/>
      <c r="W165" s="20"/>
      <c r="X165" s="20"/>
    </row>
    <row r="166" spans="1:24" s="65" customFormat="1" ht="15" customHeight="1" outlineLevel="2">
      <c r="A166" s="219"/>
      <c r="B166" s="242"/>
      <c r="C166" s="242"/>
      <c r="D166" s="242" t="s">
        <v>1913</v>
      </c>
      <c r="E166" s="121">
        <v>1</v>
      </c>
      <c r="F166" s="242" t="s">
        <v>1894</v>
      </c>
      <c r="G166" s="242"/>
      <c r="H166" s="242"/>
      <c r="I166" s="402">
        <v>1</v>
      </c>
      <c r="J166" s="402">
        <f t="shared" si="10"/>
        <v>1.0102564102564102</v>
      </c>
      <c r="K166" s="402">
        <f t="shared" si="10"/>
        <v>1.023076923076923</v>
      </c>
      <c r="L166" s="402">
        <f t="shared" si="10"/>
        <v>1.035897435897436</v>
      </c>
      <c r="M166" s="402">
        <f t="shared" si="10"/>
        <v>1.0487179487179488</v>
      </c>
      <c r="N166" s="402">
        <f t="shared" si="10"/>
        <v>1.0615384615384615</v>
      </c>
      <c r="O166" s="402">
        <f t="shared" si="10"/>
        <v>1.0743589743589745</v>
      </c>
      <c r="P166" s="402">
        <f t="shared" si="10"/>
        <v>1.0871794871794873</v>
      </c>
      <c r="Q166" s="402">
        <v>1.1000000000000001</v>
      </c>
      <c r="R166" s="242"/>
      <c r="T166" s="20"/>
      <c r="U166" s="20"/>
      <c r="V166" s="20"/>
      <c r="W166" s="20" t="s">
        <v>1615</v>
      </c>
      <c r="X166" s="20"/>
    </row>
    <row r="167" spans="1:24" s="65" customFormat="1" ht="15" customHeight="1" outlineLevel="2">
      <c r="A167" s="219"/>
      <c r="B167" s="242"/>
      <c r="C167" s="242"/>
      <c r="D167" s="242" t="s">
        <v>1913</v>
      </c>
      <c r="E167" s="121">
        <v>2</v>
      </c>
      <c r="F167" s="242" t="s">
        <v>1894</v>
      </c>
      <c r="G167" s="242"/>
      <c r="H167" s="242"/>
      <c r="I167" s="402">
        <v>1</v>
      </c>
      <c r="J167" s="402">
        <f t="shared" ref="J167:P177" si="11">(($Q167-$I167)/($Q$121-$I$121))*(J$121-$I$121)+$I167</f>
        <v>1</v>
      </c>
      <c r="K167" s="402">
        <f t="shared" si="11"/>
        <v>1</v>
      </c>
      <c r="L167" s="402">
        <f t="shared" si="11"/>
        <v>1</v>
      </c>
      <c r="M167" s="402">
        <f t="shared" si="11"/>
        <v>1</v>
      </c>
      <c r="N167" s="402">
        <f t="shared" si="11"/>
        <v>1</v>
      </c>
      <c r="O167" s="402">
        <f t="shared" si="11"/>
        <v>1</v>
      </c>
      <c r="P167" s="402">
        <f t="shared" si="11"/>
        <v>1</v>
      </c>
      <c r="Q167" s="402">
        <v>1</v>
      </c>
      <c r="R167" s="242"/>
      <c r="T167" s="20"/>
      <c r="U167" s="20"/>
      <c r="V167" s="20"/>
      <c r="W167" s="20" t="s">
        <v>1615</v>
      </c>
      <c r="X167" s="20"/>
    </row>
    <row r="168" spans="1:24" s="65" customFormat="1" ht="15" customHeight="1" outlineLevel="2">
      <c r="A168" s="219"/>
      <c r="B168" s="242"/>
      <c r="C168" s="242"/>
      <c r="D168" s="242" t="s">
        <v>1913</v>
      </c>
      <c r="E168" s="121">
        <v>3</v>
      </c>
      <c r="F168" s="242" t="s">
        <v>1894</v>
      </c>
      <c r="G168" s="242"/>
      <c r="H168" s="242"/>
      <c r="I168" s="402">
        <v>1</v>
      </c>
      <c r="J168" s="402">
        <f t="shared" si="11"/>
        <v>0.98974358974358978</v>
      </c>
      <c r="K168" s="402">
        <f t="shared" si="11"/>
        <v>0.97692307692307689</v>
      </c>
      <c r="L168" s="402">
        <f t="shared" si="11"/>
        <v>0.96410256410256412</v>
      </c>
      <c r="M168" s="402">
        <f t="shared" si="11"/>
        <v>0.95128205128205123</v>
      </c>
      <c r="N168" s="402">
        <f t="shared" si="11"/>
        <v>0.93846153846153846</v>
      </c>
      <c r="O168" s="402">
        <f t="shared" si="11"/>
        <v>0.92564102564102568</v>
      </c>
      <c r="P168" s="402">
        <f t="shared" si="11"/>
        <v>0.9128205128205128</v>
      </c>
      <c r="Q168" s="402">
        <v>0.9</v>
      </c>
      <c r="R168" s="242"/>
      <c r="T168" s="20"/>
      <c r="U168" s="20"/>
      <c r="V168" s="20"/>
      <c r="W168" s="20" t="s">
        <v>1615</v>
      </c>
      <c r="X168" s="20"/>
    </row>
    <row r="169" spans="1:24" s="65" customFormat="1" ht="15" customHeight="1" outlineLevel="2">
      <c r="A169" s="219"/>
      <c r="B169" s="242"/>
      <c r="C169" s="265"/>
      <c r="D169" s="242" t="s">
        <v>1913</v>
      </c>
      <c r="E169" s="121">
        <v>4</v>
      </c>
      <c r="F169" s="242" t="s">
        <v>1894</v>
      </c>
      <c r="G169" s="265"/>
      <c r="H169" s="265"/>
      <c r="I169" s="402">
        <v>1</v>
      </c>
      <c r="J169" s="402">
        <f t="shared" si="11"/>
        <v>0.97948717948717945</v>
      </c>
      <c r="K169" s="402">
        <f t="shared" si="11"/>
        <v>0.9538461538461539</v>
      </c>
      <c r="L169" s="402">
        <f t="shared" si="11"/>
        <v>0.92820512820512824</v>
      </c>
      <c r="M169" s="402">
        <f t="shared" si="11"/>
        <v>0.90256410256410258</v>
      </c>
      <c r="N169" s="402">
        <f t="shared" si="11"/>
        <v>0.87692307692307692</v>
      </c>
      <c r="O169" s="402">
        <f t="shared" si="11"/>
        <v>0.85128205128205137</v>
      </c>
      <c r="P169" s="402">
        <f t="shared" si="11"/>
        <v>0.82564102564102571</v>
      </c>
      <c r="Q169" s="402">
        <v>0.8</v>
      </c>
      <c r="R169" s="242"/>
      <c r="T169" s="20"/>
      <c r="U169" s="20"/>
      <c r="V169" s="20"/>
      <c r="W169" s="20"/>
      <c r="X169" s="20"/>
    </row>
    <row r="170" spans="1:24" s="65" customFormat="1" ht="15" customHeight="1" outlineLevel="2">
      <c r="A170" s="219"/>
      <c r="B170" s="242"/>
      <c r="C170" s="242"/>
      <c r="D170" s="242" t="s">
        <v>2163</v>
      </c>
      <c r="E170" s="121">
        <v>1</v>
      </c>
      <c r="F170" s="242"/>
      <c r="G170" s="242"/>
      <c r="H170" s="242"/>
      <c r="I170" s="402">
        <v>0</v>
      </c>
      <c r="J170" s="402">
        <f t="shared" si="11"/>
        <v>0</v>
      </c>
      <c r="K170" s="402">
        <f t="shared" si="11"/>
        <v>0</v>
      </c>
      <c r="L170" s="402">
        <f t="shared" si="11"/>
        <v>0</v>
      </c>
      <c r="M170" s="402">
        <f t="shared" si="11"/>
        <v>0</v>
      </c>
      <c r="N170" s="402">
        <f t="shared" si="11"/>
        <v>0</v>
      </c>
      <c r="O170" s="402">
        <f t="shared" si="11"/>
        <v>0</v>
      </c>
      <c r="P170" s="402">
        <f t="shared" si="11"/>
        <v>0</v>
      </c>
      <c r="Q170" s="402">
        <v>0</v>
      </c>
      <c r="R170" s="242"/>
      <c r="T170" s="20"/>
      <c r="U170" s="20"/>
      <c r="V170" s="20"/>
      <c r="W170" s="20" t="s">
        <v>1461</v>
      </c>
      <c r="X170" s="20"/>
    </row>
    <row r="171" spans="1:24" s="65" customFormat="1" ht="15" customHeight="1" outlineLevel="2">
      <c r="A171" s="219"/>
      <c r="B171" s="242"/>
      <c r="C171" s="242"/>
      <c r="D171" s="242" t="s">
        <v>2163</v>
      </c>
      <c r="E171" s="121">
        <v>2</v>
      </c>
      <c r="F171" s="242"/>
      <c r="G171" s="242"/>
      <c r="H171" s="242"/>
      <c r="I171" s="402">
        <f>I170</f>
        <v>0</v>
      </c>
      <c r="J171" s="402">
        <f t="shared" si="11"/>
        <v>2.5641025641025641E-3</v>
      </c>
      <c r="K171" s="402">
        <f t="shared" si="11"/>
        <v>5.7692307692307696E-3</v>
      </c>
      <c r="L171" s="402">
        <f t="shared" si="11"/>
        <v>8.9743589743589737E-3</v>
      </c>
      <c r="M171" s="402">
        <f t="shared" si="11"/>
        <v>1.217948717948718E-2</v>
      </c>
      <c r="N171" s="402">
        <f t="shared" si="11"/>
        <v>1.5384615384615385E-2</v>
      </c>
      <c r="O171" s="402">
        <f t="shared" si="11"/>
        <v>1.858974358974359E-2</v>
      </c>
      <c r="P171" s="402">
        <f t="shared" si="11"/>
        <v>2.1794871794871794E-2</v>
      </c>
      <c r="Q171" s="402">
        <v>2.5000000000000001E-2</v>
      </c>
      <c r="R171" s="242"/>
      <c r="T171" s="20"/>
      <c r="U171" s="20"/>
      <c r="V171" s="20"/>
      <c r="W171" s="20" t="s">
        <v>1461</v>
      </c>
      <c r="X171" s="20"/>
    </row>
    <row r="172" spans="1:24" s="65" customFormat="1" ht="15" customHeight="1" outlineLevel="2">
      <c r="A172" s="219"/>
      <c r="B172" s="242"/>
      <c r="C172" s="242"/>
      <c r="D172" s="242" t="s">
        <v>2163</v>
      </c>
      <c r="E172" s="121">
        <v>3</v>
      </c>
      <c r="F172" s="242"/>
      <c r="G172" s="242"/>
      <c r="H172" s="242"/>
      <c r="I172" s="402">
        <f>I171</f>
        <v>0</v>
      </c>
      <c r="J172" s="402">
        <f t="shared" si="11"/>
        <v>5.1282051282051282E-3</v>
      </c>
      <c r="K172" s="402">
        <f t="shared" si="11"/>
        <v>1.1538461538461539E-2</v>
      </c>
      <c r="L172" s="402">
        <f t="shared" si="11"/>
        <v>1.7948717948717947E-2</v>
      </c>
      <c r="M172" s="402">
        <f t="shared" si="11"/>
        <v>2.4358974358974359E-2</v>
      </c>
      <c r="N172" s="402">
        <f t="shared" si="11"/>
        <v>3.0769230769230771E-2</v>
      </c>
      <c r="O172" s="402">
        <f t="shared" si="11"/>
        <v>3.7179487179487179E-2</v>
      </c>
      <c r="P172" s="402">
        <f t="shared" si="11"/>
        <v>4.3589743589743588E-2</v>
      </c>
      <c r="Q172" s="402">
        <v>0.05</v>
      </c>
      <c r="R172" s="242"/>
      <c r="T172" s="20"/>
      <c r="U172" s="20"/>
      <c r="V172" s="20"/>
      <c r="W172" s="20" t="s">
        <v>1461</v>
      </c>
      <c r="X172" s="20"/>
    </row>
    <row r="173" spans="1:24" s="65" customFormat="1" ht="15" customHeight="1" outlineLevel="2">
      <c r="A173" s="219"/>
      <c r="B173" s="242"/>
      <c r="C173" s="242"/>
      <c r="D173" s="242" t="s">
        <v>2163</v>
      </c>
      <c r="E173" s="121">
        <v>4</v>
      </c>
      <c r="F173" s="242"/>
      <c r="G173" s="242"/>
      <c r="H173" s="242"/>
      <c r="I173" s="402">
        <f>I172</f>
        <v>0</v>
      </c>
      <c r="J173" s="402">
        <f t="shared" si="11"/>
        <v>1.0256410256410256E-2</v>
      </c>
      <c r="K173" s="402">
        <f t="shared" si="11"/>
        <v>2.3076923076923078E-2</v>
      </c>
      <c r="L173" s="402">
        <f t="shared" si="11"/>
        <v>3.5897435897435895E-2</v>
      </c>
      <c r="M173" s="402">
        <f t="shared" si="11"/>
        <v>4.8717948717948718E-2</v>
      </c>
      <c r="N173" s="402">
        <f t="shared" si="11"/>
        <v>6.1538461538461542E-2</v>
      </c>
      <c r="O173" s="402">
        <f t="shared" si="11"/>
        <v>7.4358974358974358E-2</v>
      </c>
      <c r="P173" s="402">
        <f t="shared" si="11"/>
        <v>8.7179487179487175E-2</v>
      </c>
      <c r="Q173" s="402">
        <v>0.1</v>
      </c>
      <c r="R173" s="242"/>
      <c r="T173" s="20"/>
      <c r="U173" s="20"/>
      <c r="V173" s="20"/>
      <c r="W173" s="20" t="s">
        <v>1461</v>
      </c>
      <c r="X173" s="20"/>
    </row>
    <row r="174" spans="1:24" s="65" customFormat="1" ht="15" customHeight="1" outlineLevel="2">
      <c r="A174" s="219"/>
      <c r="B174" s="242"/>
      <c r="C174" s="242"/>
      <c r="D174" s="242" t="s">
        <v>1914</v>
      </c>
      <c r="E174" s="121">
        <v>1</v>
      </c>
      <c r="F174" s="242"/>
      <c r="G174" s="242"/>
      <c r="H174" s="242"/>
      <c r="I174" s="402">
        <v>0</v>
      </c>
      <c r="J174" s="402">
        <f t="shared" si="11"/>
        <v>0</v>
      </c>
      <c r="K174" s="402">
        <f t="shared" si="11"/>
        <v>0</v>
      </c>
      <c r="L174" s="402">
        <f t="shared" si="11"/>
        <v>0</v>
      </c>
      <c r="M174" s="402">
        <f t="shared" si="11"/>
        <v>0</v>
      </c>
      <c r="N174" s="402">
        <f t="shared" si="11"/>
        <v>0</v>
      </c>
      <c r="O174" s="402">
        <f t="shared" si="11"/>
        <v>0</v>
      </c>
      <c r="P174" s="402">
        <f t="shared" si="11"/>
        <v>0</v>
      </c>
      <c r="Q174" s="402">
        <v>0</v>
      </c>
      <c r="R174" s="242"/>
      <c r="T174" s="20"/>
      <c r="U174" s="20"/>
      <c r="V174" s="20"/>
      <c r="W174" s="20" t="s">
        <v>1461</v>
      </c>
      <c r="X174" s="20"/>
    </row>
    <row r="175" spans="1:24" s="65" customFormat="1" ht="15" customHeight="1" outlineLevel="2">
      <c r="A175" s="219"/>
      <c r="B175" s="242"/>
      <c r="C175" s="242"/>
      <c r="D175" s="242" t="s">
        <v>1914</v>
      </c>
      <c r="E175" s="121">
        <v>2</v>
      </c>
      <c r="F175" s="242"/>
      <c r="G175" s="242"/>
      <c r="H175" s="242"/>
      <c r="I175" s="402">
        <v>0</v>
      </c>
      <c r="J175" s="402">
        <f t="shared" si="11"/>
        <v>2.5641025641025641E-3</v>
      </c>
      <c r="K175" s="402">
        <f t="shared" si="11"/>
        <v>5.7692307692307696E-3</v>
      </c>
      <c r="L175" s="402">
        <f t="shared" si="11"/>
        <v>8.9743589743589737E-3</v>
      </c>
      <c r="M175" s="402">
        <f t="shared" si="11"/>
        <v>1.217948717948718E-2</v>
      </c>
      <c r="N175" s="402">
        <f t="shared" si="11"/>
        <v>1.5384615384615385E-2</v>
      </c>
      <c r="O175" s="402">
        <f t="shared" si="11"/>
        <v>1.858974358974359E-2</v>
      </c>
      <c r="P175" s="402">
        <f t="shared" si="11"/>
        <v>2.1794871794871794E-2</v>
      </c>
      <c r="Q175" s="402">
        <v>2.5000000000000001E-2</v>
      </c>
      <c r="R175" s="242"/>
      <c r="T175" s="20"/>
      <c r="U175" s="20"/>
      <c r="V175" s="20"/>
      <c r="W175" s="20" t="s">
        <v>1461</v>
      </c>
      <c r="X175" s="20"/>
    </row>
    <row r="176" spans="1:24" s="65" customFormat="1" ht="15" customHeight="1" outlineLevel="2">
      <c r="A176" s="219"/>
      <c r="B176" s="242"/>
      <c r="C176" s="242"/>
      <c r="D176" s="242" t="s">
        <v>1914</v>
      </c>
      <c r="E176" s="121">
        <v>3</v>
      </c>
      <c r="F176" s="242"/>
      <c r="G176" s="242"/>
      <c r="H176" s="242"/>
      <c r="I176" s="402">
        <v>0</v>
      </c>
      <c r="J176" s="402">
        <f t="shared" si="11"/>
        <v>5.1282051282051282E-3</v>
      </c>
      <c r="K176" s="402">
        <f t="shared" si="11"/>
        <v>1.1538461538461539E-2</v>
      </c>
      <c r="L176" s="402">
        <f t="shared" si="11"/>
        <v>1.7948717948717947E-2</v>
      </c>
      <c r="M176" s="402">
        <f t="shared" si="11"/>
        <v>2.4358974358974359E-2</v>
      </c>
      <c r="N176" s="402">
        <f t="shared" si="11"/>
        <v>3.0769230769230771E-2</v>
      </c>
      <c r="O176" s="402">
        <f t="shared" si="11"/>
        <v>3.7179487179487179E-2</v>
      </c>
      <c r="P176" s="402">
        <f t="shared" si="11"/>
        <v>4.3589743589743588E-2</v>
      </c>
      <c r="Q176" s="402">
        <v>0.05</v>
      </c>
      <c r="R176" s="242"/>
      <c r="T176" s="20"/>
      <c r="U176" s="20"/>
      <c r="V176" s="20"/>
      <c r="W176" s="20" t="s">
        <v>1461</v>
      </c>
      <c r="X176" s="20"/>
    </row>
    <row r="177" spans="1:27" s="65" customFormat="1" ht="15" customHeight="1" outlineLevel="2" thickBot="1">
      <c r="A177" s="219"/>
      <c r="B177" s="242"/>
      <c r="C177" s="162"/>
      <c r="D177" s="162" t="s">
        <v>1914</v>
      </c>
      <c r="E177" s="162">
        <v>4</v>
      </c>
      <c r="F177" s="162"/>
      <c r="G177" s="162"/>
      <c r="H177" s="162"/>
      <c r="I177" s="288">
        <v>0</v>
      </c>
      <c r="J177" s="288">
        <f t="shared" si="11"/>
        <v>1.0256410256410256E-2</v>
      </c>
      <c r="K177" s="288">
        <f t="shared" si="11"/>
        <v>2.3076923076923078E-2</v>
      </c>
      <c r="L177" s="288">
        <f t="shared" si="11"/>
        <v>3.5897435897435895E-2</v>
      </c>
      <c r="M177" s="288">
        <f t="shared" si="11"/>
        <v>4.8717948717948718E-2</v>
      </c>
      <c r="N177" s="288">
        <f t="shared" si="11"/>
        <v>6.1538461538461542E-2</v>
      </c>
      <c r="O177" s="288">
        <f t="shared" si="11"/>
        <v>7.4358974358974358E-2</v>
      </c>
      <c r="P177" s="288">
        <f t="shared" si="11"/>
        <v>8.7179487179487175E-2</v>
      </c>
      <c r="Q177" s="288">
        <v>0.1</v>
      </c>
      <c r="R177" s="242"/>
      <c r="T177" s="20"/>
      <c r="U177" s="20"/>
      <c r="V177" s="20"/>
      <c r="W177" s="20" t="s">
        <v>1461</v>
      </c>
      <c r="X177" s="20"/>
    </row>
    <row r="178" spans="1:27" s="65" customFormat="1" ht="15" customHeight="1" outlineLevel="2">
      <c r="A178" s="219"/>
      <c r="B178" s="242"/>
      <c r="C178" s="242"/>
      <c r="D178" s="242"/>
      <c r="E178" s="121"/>
      <c r="F178" s="242"/>
      <c r="G178" s="242"/>
      <c r="H178" s="242"/>
      <c r="I178" s="242"/>
      <c r="J178" s="242"/>
      <c r="K178" s="242"/>
      <c r="L178" s="242"/>
      <c r="M178" s="242"/>
      <c r="N178" s="242"/>
      <c r="O178" s="242"/>
      <c r="P178" s="242"/>
      <c r="Q178" s="242"/>
      <c r="R178" s="242"/>
      <c r="T178" s="20"/>
      <c r="U178" s="20"/>
      <c r="V178" s="20"/>
      <c r="W178" s="20"/>
      <c r="X178" s="20"/>
    </row>
    <row r="179" spans="1:27" s="65" customFormat="1" ht="15" customHeight="1" outlineLevel="1">
      <c r="A179" s="219"/>
      <c r="B179" s="242"/>
      <c r="C179" s="244" t="s">
        <v>1780</v>
      </c>
      <c r="D179" s="242"/>
      <c r="E179" s="121"/>
      <c r="F179" s="242"/>
      <c r="G179" s="242"/>
      <c r="H179" s="242"/>
      <c r="I179" s="242"/>
      <c r="J179" s="242"/>
      <c r="K179" s="242"/>
      <c r="L179" s="242"/>
      <c r="M179" s="242"/>
      <c r="N179" s="242"/>
      <c r="O179" s="242"/>
      <c r="P179" s="242"/>
      <c r="Q179" s="242" t="s">
        <v>511</v>
      </c>
      <c r="R179" s="242"/>
      <c r="T179" s="20"/>
      <c r="U179" s="20"/>
      <c r="V179" s="20"/>
      <c r="W179" s="20"/>
      <c r="X179" s="20"/>
    </row>
    <row r="180" spans="1:27" s="65" customFormat="1" ht="15" customHeight="1" outlineLevel="2">
      <c r="A180" s="219"/>
      <c r="B180" s="242"/>
      <c r="C180" s="242"/>
      <c r="D180" s="242"/>
      <c r="E180" s="121"/>
      <c r="F180" s="242"/>
      <c r="G180" s="242"/>
      <c r="H180" s="242"/>
      <c r="I180" s="242"/>
      <c r="J180" s="242"/>
      <c r="K180" s="242"/>
      <c r="L180" s="242"/>
      <c r="M180" s="242"/>
      <c r="N180" s="242"/>
      <c r="O180" s="242"/>
      <c r="P180" s="242"/>
      <c r="Q180" s="242"/>
      <c r="R180" s="242"/>
      <c r="T180" s="20"/>
      <c r="U180" s="20"/>
      <c r="V180" s="20"/>
      <c r="W180" s="20"/>
      <c r="X180" s="20"/>
    </row>
    <row r="181" spans="1:27" s="65" customFormat="1" ht="15" customHeight="1" outlineLevel="2">
      <c r="A181" s="219"/>
      <c r="B181" s="242"/>
      <c r="C181" s="242" t="s">
        <v>454</v>
      </c>
      <c r="D181" s="242" t="s">
        <v>241</v>
      </c>
      <c r="E181" s="121" t="s">
        <v>207</v>
      </c>
      <c r="F181" s="242" t="s">
        <v>274</v>
      </c>
      <c r="G181" s="242" t="s">
        <v>509</v>
      </c>
      <c r="H181" s="242" t="s">
        <v>510</v>
      </c>
      <c r="I181" s="183" t="s">
        <v>1107</v>
      </c>
      <c r="J181" s="242" t="s">
        <v>210</v>
      </c>
      <c r="K181" s="242" t="s">
        <v>211</v>
      </c>
      <c r="L181" s="242" t="s">
        <v>212</v>
      </c>
      <c r="M181" s="242" t="s">
        <v>213</v>
      </c>
      <c r="N181" s="242" t="s">
        <v>214</v>
      </c>
      <c r="O181" s="242" t="s">
        <v>215</v>
      </c>
      <c r="P181" s="242" t="s">
        <v>216</v>
      </c>
      <c r="Q181" s="242" t="s">
        <v>217</v>
      </c>
      <c r="R181" s="121"/>
      <c r="T181" s="179" t="str">
        <f>$T$6</f>
        <v>Source</v>
      </c>
      <c r="U181" s="179" t="str">
        <f>$U$6</f>
        <v>Link</v>
      </c>
      <c r="V181" s="179" t="str">
        <f>$V$6</f>
        <v>Risk (Green, Amber/Green, Amber, Red/Amber, Red)</v>
      </c>
      <c r="W181" s="179" t="s">
        <v>869</v>
      </c>
      <c r="X181" s="179" t="str">
        <f>$X$6</f>
        <v>Comment author</v>
      </c>
      <c r="Y181" s="353" t="s">
        <v>1464</v>
      </c>
      <c r="Z181" s="354" t="s">
        <v>1465</v>
      </c>
      <c r="AA181" s="354" t="s">
        <v>1466</v>
      </c>
    </row>
    <row r="182" spans="1:27" s="65" customFormat="1" ht="15" customHeight="1" outlineLevel="2">
      <c r="A182" s="219"/>
      <c r="B182" s="242"/>
      <c r="C182" s="242"/>
      <c r="D182" s="242" t="s">
        <v>1616</v>
      </c>
      <c r="E182" s="121">
        <v>1</v>
      </c>
      <c r="F182" s="242" t="s">
        <v>1637</v>
      </c>
      <c r="G182" s="242"/>
      <c r="H182" s="242"/>
      <c r="I182" s="402">
        <v>1</v>
      </c>
      <c r="J182" s="402">
        <f t="shared" ref="J182:P218" si="12">(($Q182-$I182)/($Q$121-$I$121))*(J$121-$I$121)+$I182</f>
        <v>1</v>
      </c>
      <c r="K182" s="402">
        <f t="shared" si="12"/>
        <v>1</v>
      </c>
      <c r="L182" s="402">
        <f t="shared" si="12"/>
        <v>1</v>
      </c>
      <c r="M182" s="402">
        <f t="shared" si="12"/>
        <v>1</v>
      </c>
      <c r="N182" s="402">
        <f t="shared" si="12"/>
        <v>1</v>
      </c>
      <c r="O182" s="402">
        <f t="shared" si="12"/>
        <v>1</v>
      </c>
      <c r="P182" s="402">
        <f t="shared" si="12"/>
        <v>1</v>
      </c>
      <c r="Q182" s="402">
        <f>1-Y182</f>
        <v>1</v>
      </c>
      <c r="R182" s="121"/>
      <c r="T182" s="214" t="s">
        <v>2164</v>
      </c>
      <c r="U182" s="20"/>
      <c r="V182" s="20"/>
      <c r="W182" s="214" t="s">
        <v>2165</v>
      </c>
      <c r="X182" s="20"/>
      <c r="Y182" s="355">
        <f>Z182*80%*30%</f>
        <v>0</v>
      </c>
      <c r="Z182" s="356">
        <f>(AA182-$AA$182)/(100%-$AA$182)</f>
        <v>0</v>
      </c>
      <c r="AA182" s="356">
        <v>0.2</v>
      </c>
    </row>
    <row r="183" spans="1:27" s="65" customFormat="1" ht="15" customHeight="1" outlineLevel="2">
      <c r="A183" s="219"/>
      <c r="B183" s="242"/>
      <c r="C183" s="242"/>
      <c r="D183" s="242" t="s">
        <v>1616</v>
      </c>
      <c r="E183" s="121">
        <v>2</v>
      </c>
      <c r="F183" s="242" t="s">
        <v>1637</v>
      </c>
      <c r="G183" s="242"/>
      <c r="H183" s="242"/>
      <c r="I183" s="402">
        <v>1</v>
      </c>
      <c r="J183" s="402">
        <f t="shared" si="12"/>
        <v>0.99692307692307691</v>
      </c>
      <c r="K183" s="402">
        <f t="shared" si="12"/>
        <v>0.99307692307692308</v>
      </c>
      <c r="L183" s="402">
        <f t="shared" si="12"/>
        <v>0.98923076923076925</v>
      </c>
      <c r="M183" s="402">
        <f t="shared" si="12"/>
        <v>0.98538461538461541</v>
      </c>
      <c r="N183" s="402">
        <f t="shared" si="12"/>
        <v>0.98153846153846147</v>
      </c>
      <c r="O183" s="402">
        <f t="shared" si="12"/>
        <v>0.97769230769230764</v>
      </c>
      <c r="P183" s="402">
        <f t="shared" si="12"/>
        <v>0.97384615384615381</v>
      </c>
      <c r="Q183" s="402">
        <f>1-Y183</f>
        <v>0.97</v>
      </c>
      <c r="R183" s="121"/>
      <c r="T183" s="214" t="s">
        <v>2164</v>
      </c>
      <c r="U183" s="20"/>
      <c r="V183" s="20"/>
      <c r="W183" s="214" t="s">
        <v>2165</v>
      </c>
      <c r="X183" s="20"/>
      <c r="Y183" s="355">
        <f>Z183*80%*30%</f>
        <v>2.9999999999999992E-2</v>
      </c>
      <c r="Z183" s="356">
        <f>(AA183-$AA$182)/(100%-$AA$182)</f>
        <v>0.12499999999999997</v>
      </c>
      <c r="AA183" s="356">
        <v>0.3</v>
      </c>
    </row>
    <row r="184" spans="1:27" s="65" customFormat="1" ht="15" customHeight="1" outlineLevel="2">
      <c r="A184" s="219"/>
      <c r="B184" s="242"/>
      <c r="C184" s="242"/>
      <c r="D184" s="242" t="s">
        <v>1616</v>
      </c>
      <c r="E184" s="121">
        <v>3</v>
      </c>
      <c r="F184" s="242" t="s">
        <v>1637</v>
      </c>
      <c r="G184" s="242"/>
      <c r="H184" s="242"/>
      <c r="I184" s="402">
        <v>1</v>
      </c>
      <c r="J184" s="402">
        <f t="shared" si="12"/>
        <v>0.99384615384615382</v>
      </c>
      <c r="K184" s="402">
        <f t="shared" si="12"/>
        <v>0.98615384615384616</v>
      </c>
      <c r="L184" s="402">
        <f t="shared" si="12"/>
        <v>0.97846153846153849</v>
      </c>
      <c r="M184" s="402">
        <f t="shared" si="12"/>
        <v>0.97076923076923072</v>
      </c>
      <c r="N184" s="402">
        <f t="shared" si="12"/>
        <v>0.96307692307692305</v>
      </c>
      <c r="O184" s="402">
        <f t="shared" si="12"/>
        <v>0.95538461538461539</v>
      </c>
      <c r="P184" s="402">
        <f t="shared" si="12"/>
        <v>0.94769230769230761</v>
      </c>
      <c r="Q184" s="402">
        <f>1-Y184</f>
        <v>0.94</v>
      </c>
      <c r="R184" s="121"/>
      <c r="T184" s="214" t="s">
        <v>2164</v>
      </c>
      <c r="U184" s="20"/>
      <c r="V184" s="20"/>
      <c r="W184" s="214" t="s">
        <v>2165</v>
      </c>
      <c r="X184" s="20"/>
      <c r="Y184" s="355">
        <f>Z184*80%*30%</f>
        <v>0.06</v>
      </c>
      <c r="Z184" s="356">
        <f>(AA184-$AA$182)/(100%-$AA$182)</f>
        <v>0.25</v>
      </c>
      <c r="AA184" s="356">
        <v>0.4</v>
      </c>
    </row>
    <row r="185" spans="1:27" s="65" customFormat="1" ht="15" customHeight="1" outlineLevel="2">
      <c r="A185" s="219"/>
      <c r="B185" s="242"/>
      <c r="C185" s="242"/>
      <c r="D185" s="242" t="s">
        <v>1616</v>
      </c>
      <c r="E185" s="121">
        <v>4</v>
      </c>
      <c r="F185" s="242" t="s">
        <v>1637</v>
      </c>
      <c r="G185" s="242"/>
      <c r="H185" s="242"/>
      <c r="I185" s="402">
        <v>1</v>
      </c>
      <c r="J185" s="402">
        <f t="shared" si="12"/>
        <v>0.99076923076923074</v>
      </c>
      <c r="K185" s="402">
        <f t="shared" si="12"/>
        <v>0.97923076923076924</v>
      </c>
      <c r="L185" s="402">
        <f t="shared" si="12"/>
        <v>0.96769230769230774</v>
      </c>
      <c r="M185" s="402">
        <f t="shared" si="12"/>
        <v>0.95615384615384613</v>
      </c>
      <c r="N185" s="402">
        <f t="shared" si="12"/>
        <v>0.94461538461538463</v>
      </c>
      <c r="O185" s="402">
        <f t="shared" si="12"/>
        <v>0.93307692307692314</v>
      </c>
      <c r="P185" s="402">
        <f t="shared" si="12"/>
        <v>0.92153846153846153</v>
      </c>
      <c r="Q185" s="402">
        <f>1-Y185</f>
        <v>0.91</v>
      </c>
      <c r="R185" s="121"/>
      <c r="T185" s="214" t="s">
        <v>2164</v>
      </c>
      <c r="U185" s="20"/>
      <c r="V185" s="20"/>
      <c r="W185" s="214" t="s">
        <v>2165</v>
      </c>
      <c r="X185" s="20"/>
      <c r="Y185" s="355">
        <f>Z185*80%*30%</f>
        <v>0.09</v>
      </c>
      <c r="Z185" s="356">
        <f>(AA185-$AA$182)/(100%-$AA$182)</f>
        <v>0.37499999999999994</v>
      </c>
      <c r="AA185" s="356">
        <v>0.5</v>
      </c>
    </row>
    <row r="186" spans="1:27" s="65" customFormat="1" ht="15" customHeight="1" outlineLevel="2">
      <c r="A186" s="219"/>
      <c r="B186" s="242"/>
      <c r="C186" s="242"/>
      <c r="D186" s="242" t="s">
        <v>1617</v>
      </c>
      <c r="E186" s="121">
        <v>1</v>
      </c>
      <c r="F186" s="242" t="s">
        <v>1637</v>
      </c>
      <c r="G186" s="242"/>
      <c r="H186" s="242"/>
      <c r="I186" s="402">
        <v>1</v>
      </c>
      <c r="J186" s="402">
        <f t="shared" si="12"/>
        <v>1</v>
      </c>
      <c r="K186" s="402">
        <f t="shared" si="12"/>
        <v>1</v>
      </c>
      <c r="L186" s="402">
        <f t="shared" si="12"/>
        <v>1</v>
      </c>
      <c r="M186" s="402">
        <f t="shared" si="12"/>
        <v>1</v>
      </c>
      <c r="N186" s="402">
        <f t="shared" si="12"/>
        <v>1</v>
      </c>
      <c r="O186" s="402">
        <f t="shared" si="12"/>
        <v>1</v>
      </c>
      <c r="P186" s="402">
        <f t="shared" si="12"/>
        <v>1</v>
      </c>
      <c r="Q186" s="402">
        <v>1</v>
      </c>
      <c r="R186" s="121"/>
      <c r="T186" s="20"/>
      <c r="U186" s="20"/>
      <c r="V186" s="20"/>
      <c r="W186" s="20" t="s">
        <v>1462</v>
      </c>
      <c r="X186" s="20"/>
    </row>
    <row r="187" spans="1:27" s="65" customFormat="1" ht="15" customHeight="1" outlineLevel="2">
      <c r="A187" s="219"/>
      <c r="B187" s="242"/>
      <c r="C187" s="242"/>
      <c r="D187" s="242" t="s">
        <v>1617</v>
      </c>
      <c r="E187" s="121">
        <v>2</v>
      </c>
      <c r="F187" s="242" t="s">
        <v>1637</v>
      </c>
      <c r="G187" s="242"/>
      <c r="H187" s="242"/>
      <c r="I187" s="402">
        <v>1</v>
      </c>
      <c r="J187" s="402">
        <f t="shared" si="12"/>
        <v>0.98974358974358978</v>
      </c>
      <c r="K187" s="402">
        <f t="shared" si="12"/>
        <v>0.97692307692307689</v>
      </c>
      <c r="L187" s="402">
        <f t="shared" si="12"/>
        <v>0.96410256410256412</v>
      </c>
      <c r="M187" s="402">
        <f t="shared" si="12"/>
        <v>0.95128205128205123</v>
      </c>
      <c r="N187" s="402">
        <f t="shared" si="12"/>
        <v>0.93846153846153846</v>
      </c>
      <c r="O187" s="402">
        <f t="shared" si="12"/>
        <v>0.92564102564102568</v>
      </c>
      <c r="P187" s="402">
        <f t="shared" si="12"/>
        <v>0.9128205128205128</v>
      </c>
      <c r="Q187" s="402">
        <v>0.9</v>
      </c>
      <c r="R187" s="121"/>
      <c r="T187" s="20"/>
      <c r="U187" s="20"/>
      <c r="V187" s="20"/>
      <c r="W187" s="20" t="s">
        <v>1462</v>
      </c>
      <c r="X187" s="20"/>
    </row>
    <row r="188" spans="1:27" s="65" customFormat="1" ht="15" customHeight="1" outlineLevel="2">
      <c r="A188" s="219"/>
      <c r="B188" s="242"/>
      <c r="C188" s="242"/>
      <c r="D188" s="242" t="s">
        <v>1617</v>
      </c>
      <c r="E188" s="121">
        <v>3</v>
      </c>
      <c r="F188" s="242" t="s">
        <v>1637</v>
      </c>
      <c r="G188" s="242"/>
      <c r="H188" s="242"/>
      <c r="I188" s="402">
        <v>1</v>
      </c>
      <c r="J188" s="402">
        <f t="shared" si="12"/>
        <v>0.97948717948717945</v>
      </c>
      <c r="K188" s="402">
        <f t="shared" si="12"/>
        <v>0.9538461538461539</v>
      </c>
      <c r="L188" s="402">
        <f t="shared" si="12"/>
        <v>0.92820512820512824</v>
      </c>
      <c r="M188" s="402">
        <f t="shared" si="12"/>
        <v>0.90256410256410258</v>
      </c>
      <c r="N188" s="402">
        <f t="shared" si="12"/>
        <v>0.87692307692307692</v>
      </c>
      <c r="O188" s="402">
        <f t="shared" si="12"/>
        <v>0.85128205128205137</v>
      </c>
      <c r="P188" s="402">
        <f t="shared" si="12"/>
        <v>0.82564102564102571</v>
      </c>
      <c r="Q188" s="402">
        <v>0.8</v>
      </c>
      <c r="R188" s="121"/>
      <c r="T188" s="20"/>
      <c r="U188" s="20"/>
      <c r="V188" s="20"/>
      <c r="W188" s="20" t="s">
        <v>1462</v>
      </c>
      <c r="X188" s="20"/>
    </row>
    <row r="189" spans="1:27" s="65" customFormat="1" ht="15" customHeight="1" outlineLevel="2">
      <c r="A189" s="219"/>
      <c r="B189" s="242"/>
      <c r="C189" s="242"/>
      <c r="D189" s="242" t="s">
        <v>1617</v>
      </c>
      <c r="E189" s="121">
        <v>4</v>
      </c>
      <c r="F189" s="242" t="s">
        <v>1637</v>
      </c>
      <c r="G189" s="242"/>
      <c r="H189" s="242"/>
      <c r="I189" s="402">
        <v>1</v>
      </c>
      <c r="J189" s="402">
        <f t="shared" si="12"/>
        <v>0.96923076923076923</v>
      </c>
      <c r="K189" s="402">
        <f t="shared" si="12"/>
        <v>0.93076923076923079</v>
      </c>
      <c r="L189" s="402">
        <f t="shared" si="12"/>
        <v>0.89230769230769225</v>
      </c>
      <c r="M189" s="402">
        <f t="shared" si="12"/>
        <v>0.85384615384615381</v>
      </c>
      <c r="N189" s="402">
        <f t="shared" si="12"/>
        <v>0.81538461538461537</v>
      </c>
      <c r="O189" s="402">
        <f t="shared" si="12"/>
        <v>0.77692307692307683</v>
      </c>
      <c r="P189" s="402">
        <f t="shared" si="12"/>
        <v>0.73846153846153839</v>
      </c>
      <c r="Q189" s="402">
        <v>0.7</v>
      </c>
      <c r="R189" s="121"/>
      <c r="T189" s="20"/>
      <c r="U189" s="20"/>
      <c r="V189" s="20"/>
      <c r="W189" s="20" t="s">
        <v>1462</v>
      </c>
      <c r="X189" s="20"/>
    </row>
    <row r="190" spans="1:27" s="65" customFormat="1" ht="15" customHeight="1" outlineLevel="2">
      <c r="A190" s="219"/>
      <c r="B190" s="242"/>
      <c r="C190" s="242"/>
      <c r="D190" s="242" t="s">
        <v>1618</v>
      </c>
      <c r="E190" s="121">
        <v>1</v>
      </c>
      <c r="F190" s="242" t="s">
        <v>1637</v>
      </c>
      <c r="G190" s="242"/>
      <c r="H190" s="242"/>
      <c r="I190" s="402">
        <v>0.29354080221300138</v>
      </c>
      <c r="J190" s="402">
        <f t="shared" si="12"/>
        <v>0.30445969429371922</v>
      </c>
      <c r="K190" s="402">
        <f t="shared" si="12"/>
        <v>0.31810830939461643</v>
      </c>
      <c r="L190" s="402">
        <f t="shared" si="12"/>
        <v>0.33175692449551369</v>
      </c>
      <c r="M190" s="402">
        <f t="shared" si="12"/>
        <v>0.34540553959641096</v>
      </c>
      <c r="N190" s="402">
        <f t="shared" si="12"/>
        <v>0.35905415469730823</v>
      </c>
      <c r="O190" s="402">
        <f t="shared" si="12"/>
        <v>0.37270276979820549</v>
      </c>
      <c r="P190" s="402">
        <f t="shared" si="12"/>
        <v>0.38635138489910276</v>
      </c>
      <c r="Q190" s="402">
        <v>0.4</v>
      </c>
      <c r="R190" s="121"/>
      <c r="T190" s="20"/>
      <c r="U190" s="20"/>
      <c r="V190" s="20"/>
      <c r="W190" s="20" t="s">
        <v>1462</v>
      </c>
      <c r="X190" s="20"/>
    </row>
    <row r="191" spans="1:27" s="65" customFormat="1" ht="15" customHeight="1" outlineLevel="2">
      <c r="A191" s="219"/>
      <c r="B191" s="242"/>
      <c r="C191" s="242"/>
      <c r="D191" s="242" t="s">
        <v>1618</v>
      </c>
      <c r="E191" s="121">
        <v>2</v>
      </c>
      <c r="F191" s="242" t="s">
        <v>1637</v>
      </c>
      <c r="G191" s="242"/>
      <c r="H191" s="242"/>
      <c r="I191" s="402">
        <v>0.29354080221300138</v>
      </c>
      <c r="J191" s="402">
        <f t="shared" si="12"/>
        <v>0.31471610455012944</v>
      </c>
      <c r="K191" s="402">
        <f t="shared" si="12"/>
        <v>0.34118523247153953</v>
      </c>
      <c r="L191" s="402">
        <f t="shared" si="12"/>
        <v>0.36765436039294963</v>
      </c>
      <c r="M191" s="402">
        <f t="shared" si="12"/>
        <v>0.39412348831435967</v>
      </c>
      <c r="N191" s="402">
        <f t="shared" si="12"/>
        <v>0.42059261623576977</v>
      </c>
      <c r="O191" s="402">
        <f t="shared" si="12"/>
        <v>0.44706174415717981</v>
      </c>
      <c r="P191" s="402">
        <f t="shared" si="12"/>
        <v>0.4735308720785899</v>
      </c>
      <c r="Q191" s="402">
        <v>0.5</v>
      </c>
      <c r="R191" s="121"/>
      <c r="T191" s="20"/>
      <c r="U191" s="20"/>
      <c r="V191" s="20"/>
      <c r="W191" s="20" t="s">
        <v>1462</v>
      </c>
      <c r="X191" s="20"/>
    </row>
    <row r="192" spans="1:27" s="65" customFormat="1" ht="15" customHeight="1" outlineLevel="2">
      <c r="A192" s="219"/>
      <c r="B192" s="242"/>
      <c r="C192" s="242"/>
      <c r="D192" s="242" t="s">
        <v>1618</v>
      </c>
      <c r="E192" s="121">
        <v>3</v>
      </c>
      <c r="F192" s="242" t="s">
        <v>1637</v>
      </c>
      <c r="G192" s="242"/>
      <c r="H192" s="242"/>
      <c r="I192" s="402">
        <v>0.29354080221300138</v>
      </c>
      <c r="J192" s="402">
        <f t="shared" si="12"/>
        <v>0.32497251480653971</v>
      </c>
      <c r="K192" s="402">
        <f t="shared" si="12"/>
        <v>0.36426215554846259</v>
      </c>
      <c r="L192" s="402">
        <f t="shared" si="12"/>
        <v>0.40355179629038551</v>
      </c>
      <c r="M192" s="402">
        <f t="shared" si="12"/>
        <v>0.44284143703230838</v>
      </c>
      <c r="N192" s="402">
        <f t="shared" si="12"/>
        <v>0.48213107777423125</v>
      </c>
      <c r="O192" s="402">
        <f t="shared" si="12"/>
        <v>0.52142071851615412</v>
      </c>
      <c r="P192" s="402">
        <f t="shared" si="12"/>
        <v>0.56071035925807711</v>
      </c>
      <c r="Q192" s="402">
        <v>0.6</v>
      </c>
      <c r="R192" s="121"/>
      <c r="T192" s="20"/>
      <c r="U192" s="20"/>
      <c r="V192" s="20"/>
      <c r="W192" s="20" t="s">
        <v>1462</v>
      </c>
      <c r="X192" s="20"/>
    </row>
    <row r="193" spans="1:24" s="65" customFormat="1" ht="15" customHeight="1" outlineLevel="2">
      <c r="A193" s="219"/>
      <c r="B193" s="242"/>
      <c r="C193" s="242"/>
      <c r="D193" s="242" t="s">
        <v>1618</v>
      </c>
      <c r="E193" s="121">
        <v>4</v>
      </c>
      <c r="F193" s="242" t="s">
        <v>1637</v>
      </c>
      <c r="G193" s="242"/>
      <c r="H193" s="242"/>
      <c r="I193" s="402">
        <v>0.29354080221300138</v>
      </c>
      <c r="J193" s="402">
        <f t="shared" si="12"/>
        <v>0.29933148916551405</v>
      </c>
      <c r="K193" s="402">
        <f t="shared" si="12"/>
        <v>0.30656984785615493</v>
      </c>
      <c r="L193" s="402">
        <f t="shared" si="12"/>
        <v>0.31380820654679575</v>
      </c>
      <c r="M193" s="402">
        <f t="shared" si="12"/>
        <v>0.32104656523743658</v>
      </c>
      <c r="N193" s="402">
        <f t="shared" si="12"/>
        <v>0.32828492392807745</v>
      </c>
      <c r="O193" s="402">
        <f t="shared" si="12"/>
        <v>0.33552328261871828</v>
      </c>
      <c r="P193" s="402">
        <f t="shared" si="12"/>
        <v>0.34276164130935916</v>
      </c>
      <c r="Q193" s="402">
        <v>0.35</v>
      </c>
      <c r="R193" s="121"/>
      <c r="T193" s="20"/>
      <c r="U193" s="20"/>
      <c r="V193" s="20"/>
      <c r="W193" s="20" t="s">
        <v>1462</v>
      </c>
      <c r="X193" s="20"/>
    </row>
    <row r="194" spans="1:24" s="65" customFormat="1" ht="15" customHeight="1" outlineLevel="2">
      <c r="A194" s="219"/>
      <c r="B194" s="242"/>
      <c r="C194" s="265"/>
      <c r="D194" s="242" t="s">
        <v>1873</v>
      </c>
      <c r="E194" s="121">
        <v>1</v>
      </c>
      <c r="F194" s="242" t="s">
        <v>1418</v>
      </c>
      <c r="G194" s="265"/>
      <c r="H194" s="265"/>
      <c r="I194" s="402">
        <v>1</v>
      </c>
      <c r="J194" s="402">
        <f t="shared" si="12"/>
        <v>1</v>
      </c>
      <c r="K194" s="402">
        <f t="shared" si="12"/>
        <v>1</v>
      </c>
      <c r="L194" s="402">
        <f t="shared" si="12"/>
        <v>1</v>
      </c>
      <c r="M194" s="402">
        <f t="shared" si="12"/>
        <v>1</v>
      </c>
      <c r="N194" s="402">
        <f t="shared" si="12"/>
        <v>1</v>
      </c>
      <c r="O194" s="402">
        <f t="shared" si="12"/>
        <v>1</v>
      </c>
      <c r="P194" s="402">
        <f t="shared" si="12"/>
        <v>1</v>
      </c>
      <c r="Q194" s="402">
        <v>1</v>
      </c>
      <c r="R194" s="121"/>
      <c r="T194" s="20"/>
      <c r="U194" s="20"/>
      <c r="V194" s="20"/>
      <c r="W194" s="20"/>
      <c r="X194" s="20"/>
    </row>
    <row r="195" spans="1:24" s="65" customFormat="1" ht="15" customHeight="1" outlineLevel="2">
      <c r="A195" s="219"/>
      <c r="B195" s="242"/>
      <c r="C195" s="265"/>
      <c r="D195" s="242" t="s">
        <v>1873</v>
      </c>
      <c r="E195" s="121">
        <v>2</v>
      </c>
      <c r="F195" s="242" t="s">
        <v>1418</v>
      </c>
      <c r="G195" s="265"/>
      <c r="H195" s="265"/>
      <c r="I195" s="402">
        <v>1</v>
      </c>
      <c r="J195" s="402">
        <f t="shared" si="12"/>
        <v>0.98974358974358978</v>
      </c>
      <c r="K195" s="402">
        <f t="shared" si="12"/>
        <v>0.97692307692307689</v>
      </c>
      <c r="L195" s="402">
        <f t="shared" si="12"/>
        <v>0.96410256410256412</v>
      </c>
      <c r="M195" s="402">
        <f t="shared" si="12"/>
        <v>0.95128205128205123</v>
      </c>
      <c r="N195" s="402">
        <f t="shared" si="12"/>
        <v>0.93846153846153846</v>
      </c>
      <c r="O195" s="402">
        <f t="shared" si="12"/>
        <v>0.92564102564102568</v>
      </c>
      <c r="P195" s="402">
        <f t="shared" si="12"/>
        <v>0.9128205128205128</v>
      </c>
      <c r="Q195" s="402">
        <v>0.9</v>
      </c>
      <c r="R195" s="121"/>
      <c r="T195" s="20"/>
      <c r="U195" s="20"/>
      <c r="V195" s="20"/>
      <c r="W195" s="20"/>
      <c r="X195" s="20"/>
    </row>
    <row r="196" spans="1:24" s="65" customFormat="1" ht="15" customHeight="1" outlineLevel="2">
      <c r="A196" s="219"/>
      <c r="B196" s="242"/>
      <c r="C196" s="265"/>
      <c r="D196" s="242" t="s">
        <v>1873</v>
      </c>
      <c r="E196" s="121">
        <v>3</v>
      </c>
      <c r="F196" s="242" t="s">
        <v>1418</v>
      </c>
      <c r="G196" s="265"/>
      <c r="H196" s="265"/>
      <c r="I196" s="402">
        <v>1</v>
      </c>
      <c r="J196" s="402">
        <f t="shared" si="12"/>
        <v>0.97948717948717945</v>
      </c>
      <c r="K196" s="402">
        <f t="shared" si="12"/>
        <v>0.9538461538461539</v>
      </c>
      <c r="L196" s="402">
        <f t="shared" si="12"/>
        <v>0.92820512820512824</v>
      </c>
      <c r="M196" s="402">
        <f t="shared" si="12"/>
        <v>0.90256410256410258</v>
      </c>
      <c r="N196" s="402">
        <f t="shared" si="12"/>
        <v>0.87692307692307692</v>
      </c>
      <c r="O196" s="402">
        <f t="shared" si="12"/>
        <v>0.85128205128205137</v>
      </c>
      <c r="P196" s="402">
        <f t="shared" si="12"/>
        <v>0.82564102564102571</v>
      </c>
      <c r="Q196" s="402">
        <v>0.8</v>
      </c>
      <c r="R196" s="121"/>
      <c r="T196" s="20"/>
      <c r="U196" s="20"/>
      <c r="V196" s="20"/>
      <c r="W196" s="20"/>
      <c r="X196" s="20"/>
    </row>
    <row r="197" spans="1:24" s="65" customFormat="1" ht="15" customHeight="1" outlineLevel="2">
      <c r="A197" s="219"/>
      <c r="B197" s="242"/>
      <c r="C197" s="265"/>
      <c r="D197" s="242" t="s">
        <v>1873</v>
      </c>
      <c r="E197" s="121">
        <v>4</v>
      </c>
      <c r="F197" s="242" t="s">
        <v>1418</v>
      </c>
      <c r="G197" s="265"/>
      <c r="H197" s="265"/>
      <c r="I197" s="402">
        <v>1</v>
      </c>
      <c r="J197" s="402">
        <f t="shared" si="12"/>
        <v>0.96923076923076923</v>
      </c>
      <c r="K197" s="402">
        <f t="shared" si="12"/>
        <v>0.93076923076923079</v>
      </c>
      <c r="L197" s="402">
        <f t="shared" si="12"/>
        <v>0.89230769230769225</v>
      </c>
      <c r="M197" s="402">
        <f t="shared" si="12"/>
        <v>0.85384615384615381</v>
      </c>
      <c r="N197" s="402">
        <f t="shared" si="12"/>
        <v>0.81538461538461537</v>
      </c>
      <c r="O197" s="402">
        <f t="shared" si="12"/>
        <v>0.77692307692307683</v>
      </c>
      <c r="P197" s="402">
        <f t="shared" si="12"/>
        <v>0.73846153846153839</v>
      </c>
      <c r="Q197" s="402">
        <v>0.7</v>
      </c>
      <c r="R197" s="121"/>
      <c r="T197" s="20"/>
      <c r="U197" s="20"/>
      <c r="V197" s="20"/>
      <c r="W197" s="20"/>
      <c r="X197" s="20"/>
    </row>
    <row r="198" spans="1:24" s="65" customFormat="1" ht="15" customHeight="1" outlineLevel="2">
      <c r="A198" s="219"/>
      <c r="B198" s="242"/>
      <c r="C198" s="265"/>
      <c r="D198" s="242" t="s">
        <v>1878</v>
      </c>
      <c r="E198" s="121">
        <v>1</v>
      </c>
      <c r="F198" s="242" t="s">
        <v>1418</v>
      </c>
      <c r="G198" s="265"/>
      <c r="H198" s="265"/>
      <c r="I198" s="402">
        <v>1</v>
      </c>
      <c r="J198" s="402">
        <f t="shared" si="12"/>
        <v>1</v>
      </c>
      <c r="K198" s="402">
        <f t="shared" si="12"/>
        <v>1</v>
      </c>
      <c r="L198" s="402">
        <f t="shared" si="12"/>
        <v>1</v>
      </c>
      <c r="M198" s="402">
        <f t="shared" si="12"/>
        <v>1</v>
      </c>
      <c r="N198" s="402">
        <f t="shared" si="12"/>
        <v>1</v>
      </c>
      <c r="O198" s="402">
        <f t="shared" si="12"/>
        <v>1</v>
      </c>
      <c r="P198" s="402">
        <f t="shared" si="12"/>
        <v>1</v>
      </c>
      <c r="Q198" s="402">
        <v>1</v>
      </c>
      <c r="R198" s="121"/>
      <c r="T198" s="20"/>
      <c r="U198" s="20"/>
      <c r="V198" s="20"/>
      <c r="W198" s="20"/>
      <c r="X198" s="20"/>
    </row>
    <row r="199" spans="1:24" s="65" customFormat="1" ht="15" customHeight="1" outlineLevel="2">
      <c r="A199" s="219"/>
      <c r="B199" s="242"/>
      <c r="C199" s="265"/>
      <c r="D199" s="242" t="s">
        <v>1878</v>
      </c>
      <c r="E199" s="121">
        <v>2</v>
      </c>
      <c r="F199" s="242" t="s">
        <v>1418</v>
      </c>
      <c r="G199" s="265"/>
      <c r="H199" s="265"/>
      <c r="I199" s="402">
        <v>1</v>
      </c>
      <c r="J199" s="402">
        <f t="shared" si="12"/>
        <v>0.98974358974358978</v>
      </c>
      <c r="K199" s="402">
        <f t="shared" si="12"/>
        <v>0.97692307692307689</v>
      </c>
      <c r="L199" s="402">
        <f t="shared" si="12"/>
        <v>0.96410256410256412</v>
      </c>
      <c r="M199" s="402">
        <f t="shared" si="12"/>
        <v>0.95128205128205123</v>
      </c>
      <c r="N199" s="402">
        <f t="shared" si="12"/>
        <v>0.93846153846153846</v>
      </c>
      <c r="O199" s="402">
        <f t="shared" si="12"/>
        <v>0.92564102564102568</v>
      </c>
      <c r="P199" s="402">
        <f t="shared" si="12"/>
        <v>0.9128205128205128</v>
      </c>
      <c r="Q199" s="402">
        <v>0.9</v>
      </c>
      <c r="R199" s="121"/>
      <c r="T199" s="20"/>
      <c r="U199" s="20"/>
      <c r="V199" s="20"/>
      <c r="W199" s="20"/>
      <c r="X199" s="20"/>
    </row>
    <row r="200" spans="1:24" s="65" customFormat="1" ht="15" customHeight="1" outlineLevel="2">
      <c r="A200" s="219"/>
      <c r="B200" s="242"/>
      <c r="C200" s="265"/>
      <c r="D200" s="242" t="s">
        <v>1878</v>
      </c>
      <c r="E200" s="121">
        <v>3</v>
      </c>
      <c r="F200" s="242" t="s">
        <v>1418</v>
      </c>
      <c r="G200" s="265"/>
      <c r="H200" s="265"/>
      <c r="I200" s="402">
        <v>1</v>
      </c>
      <c r="J200" s="402">
        <f t="shared" si="12"/>
        <v>0.97948717948717945</v>
      </c>
      <c r="K200" s="402">
        <f t="shared" si="12"/>
        <v>0.9538461538461539</v>
      </c>
      <c r="L200" s="402">
        <f t="shared" si="12"/>
        <v>0.92820512820512824</v>
      </c>
      <c r="M200" s="402">
        <f t="shared" si="12"/>
        <v>0.90256410256410258</v>
      </c>
      <c r="N200" s="402">
        <f t="shared" si="12"/>
        <v>0.87692307692307692</v>
      </c>
      <c r="O200" s="402">
        <f t="shared" si="12"/>
        <v>0.85128205128205137</v>
      </c>
      <c r="P200" s="402">
        <f t="shared" si="12"/>
        <v>0.82564102564102571</v>
      </c>
      <c r="Q200" s="402">
        <v>0.8</v>
      </c>
      <c r="R200" s="121"/>
      <c r="T200" s="20"/>
      <c r="U200" s="20"/>
      <c r="V200" s="20"/>
      <c r="W200" s="20"/>
      <c r="X200" s="20"/>
    </row>
    <row r="201" spans="1:24" s="65" customFormat="1" ht="15" customHeight="1" outlineLevel="2">
      <c r="A201" s="219"/>
      <c r="B201" s="242"/>
      <c r="C201" s="265"/>
      <c r="D201" s="242" t="s">
        <v>1878</v>
      </c>
      <c r="E201" s="121">
        <v>4</v>
      </c>
      <c r="F201" s="242" t="s">
        <v>1418</v>
      </c>
      <c r="G201" s="265"/>
      <c r="H201" s="265"/>
      <c r="I201" s="402">
        <v>1</v>
      </c>
      <c r="J201" s="402">
        <f t="shared" si="12"/>
        <v>0.96923076923076923</v>
      </c>
      <c r="K201" s="402">
        <f t="shared" si="12"/>
        <v>0.93076923076923079</v>
      </c>
      <c r="L201" s="402">
        <f t="shared" si="12"/>
        <v>0.89230769230769225</v>
      </c>
      <c r="M201" s="402">
        <f t="shared" si="12"/>
        <v>0.85384615384615381</v>
      </c>
      <c r="N201" s="402">
        <f t="shared" si="12"/>
        <v>0.81538461538461537</v>
      </c>
      <c r="O201" s="402">
        <f t="shared" si="12"/>
        <v>0.77692307692307683</v>
      </c>
      <c r="P201" s="402">
        <f t="shared" si="12"/>
        <v>0.73846153846153839</v>
      </c>
      <c r="Q201" s="402">
        <v>0.7</v>
      </c>
      <c r="R201" s="121"/>
      <c r="T201" s="20"/>
      <c r="U201" s="20"/>
      <c r="V201" s="20"/>
      <c r="W201" s="20"/>
      <c r="X201" s="20"/>
    </row>
    <row r="202" spans="1:24" s="65" customFormat="1" ht="15" customHeight="1" outlineLevel="2">
      <c r="A202" s="219"/>
      <c r="B202" s="242"/>
      <c r="C202" s="265"/>
      <c r="D202" s="242" t="s">
        <v>1883</v>
      </c>
      <c r="E202" s="121">
        <v>1</v>
      </c>
      <c r="F202" s="242" t="s">
        <v>1418</v>
      </c>
      <c r="G202" s="265"/>
      <c r="H202" s="265"/>
      <c r="I202" s="402">
        <v>0.52127006898921802</v>
      </c>
      <c r="J202" s="402">
        <f t="shared" si="12"/>
        <v>0.50883211319545207</v>
      </c>
      <c r="K202" s="402">
        <f t="shared" si="12"/>
        <v>0.49328466845324465</v>
      </c>
      <c r="L202" s="402">
        <f t="shared" si="12"/>
        <v>0.47773722371103722</v>
      </c>
      <c r="M202" s="402">
        <f t="shared" si="12"/>
        <v>0.46218977896882973</v>
      </c>
      <c r="N202" s="402">
        <f t="shared" si="12"/>
        <v>0.44664233422662236</v>
      </c>
      <c r="O202" s="402">
        <f t="shared" si="12"/>
        <v>0.43109488948441488</v>
      </c>
      <c r="P202" s="402">
        <f t="shared" si="12"/>
        <v>0.41554744474220745</v>
      </c>
      <c r="Q202" s="402">
        <v>0.4</v>
      </c>
      <c r="R202" s="121"/>
      <c r="T202" s="20"/>
      <c r="U202" s="20"/>
      <c r="V202" s="20"/>
      <c r="W202" s="20"/>
      <c r="X202" s="20"/>
    </row>
    <row r="203" spans="1:24" s="65" customFormat="1" ht="15" customHeight="1" outlineLevel="2">
      <c r="A203" s="219"/>
      <c r="B203" s="242"/>
      <c r="C203" s="265"/>
      <c r="D203" s="242" t="s">
        <v>1883</v>
      </c>
      <c r="E203" s="121">
        <v>2</v>
      </c>
      <c r="F203" s="242" t="s">
        <v>1418</v>
      </c>
      <c r="G203" s="265"/>
      <c r="H203" s="265"/>
      <c r="I203" s="402">
        <v>0.52127006898921802</v>
      </c>
      <c r="J203" s="402">
        <f t="shared" si="12"/>
        <v>0.51908852345186229</v>
      </c>
      <c r="K203" s="402">
        <f t="shared" si="12"/>
        <v>0.5163615915301677</v>
      </c>
      <c r="L203" s="402">
        <f t="shared" si="12"/>
        <v>0.5136346596084731</v>
      </c>
      <c r="M203" s="402">
        <f t="shared" si="12"/>
        <v>0.5109077276867785</v>
      </c>
      <c r="N203" s="402">
        <f t="shared" si="12"/>
        <v>0.5081807957650839</v>
      </c>
      <c r="O203" s="402">
        <f t="shared" si="12"/>
        <v>0.5054538638433892</v>
      </c>
      <c r="P203" s="402">
        <f t="shared" si="12"/>
        <v>0.5027269319216946</v>
      </c>
      <c r="Q203" s="402">
        <v>0.5</v>
      </c>
      <c r="R203" s="121"/>
      <c r="T203" s="20"/>
      <c r="U203" s="20"/>
      <c r="V203" s="20"/>
      <c r="W203" s="20"/>
      <c r="X203" s="20"/>
    </row>
    <row r="204" spans="1:24" s="65" customFormat="1" ht="15" customHeight="1" outlineLevel="2">
      <c r="A204" s="219"/>
      <c r="B204" s="242"/>
      <c r="C204" s="265"/>
      <c r="D204" s="242" t="s">
        <v>1883</v>
      </c>
      <c r="E204" s="121">
        <v>3</v>
      </c>
      <c r="F204" s="242" t="s">
        <v>1418</v>
      </c>
      <c r="G204" s="265"/>
      <c r="H204" s="265"/>
      <c r="I204" s="402">
        <v>0.52127006898921802</v>
      </c>
      <c r="J204" s="402">
        <f t="shared" si="12"/>
        <v>0.52934493370827262</v>
      </c>
      <c r="K204" s="402">
        <f t="shared" si="12"/>
        <v>0.5394385146070908</v>
      </c>
      <c r="L204" s="402">
        <f t="shared" si="12"/>
        <v>0.54953209550590898</v>
      </c>
      <c r="M204" s="402">
        <f t="shared" si="12"/>
        <v>0.55962567640472716</v>
      </c>
      <c r="N204" s="402">
        <f t="shared" si="12"/>
        <v>0.56971925730354533</v>
      </c>
      <c r="O204" s="402">
        <f t="shared" si="12"/>
        <v>0.57981283820236362</v>
      </c>
      <c r="P204" s="402">
        <f t="shared" si="12"/>
        <v>0.5899064191011818</v>
      </c>
      <c r="Q204" s="402">
        <v>0.6</v>
      </c>
      <c r="R204" s="121"/>
      <c r="T204" s="20"/>
      <c r="U204" s="20"/>
      <c r="V204" s="20"/>
      <c r="W204" s="20"/>
      <c r="X204" s="20"/>
    </row>
    <row r="205" spans="1:24" s="65" customFormat="1" ht="15" customHeight="1" outlineLevel="2">
      <c r="A205" s="219"/>
      <c r="B205" s="242"/>
      <c r="C205" s="265"/>
      <c r="D205" s="242" t="s">
        <v>1883</v>
      </c>
      <c r="E205" s="121">
        <v>4</v>
      </c>
      <c r="F205" s="242" t="s">
        <v>1418</v>
      </c>
      <c r="G205" s="265"/>
      <c r="H205" s="265"/>
      <c r="I205" s="402">
        <v>0.52127006898921802</v>
      </c>
      <c r="J205" s="402">
        <f t="shared" si="12"/>
        <v>0.50370390806724696</v>
      </c>
      <c r="K205" s="402">
        <f t="shared" si="12"/>
        <v>0.48174620691478309</v>
      </c>
      <c r="L205" s="402">
        <f t="shared" si="12"/>
        <v>0.45978850576231922</v>
      </c>
      <c r="M205" s="402">
        <f t="shared" si="12"/>
        <v>0.43783080460985535</v>
      </c>
      <c r="N205" s="402">
        <f t="shared" si="12"/>
        <v>0.41587310345739154</v>
      </c>
      <c r="O205" s="402">
        <f t="shared" si="12"/>
        <v>0.39391540230492772</v>
      </c>
      <c r="P205" s="402">
        <f t="shared" si="12"/>
        <v>0.37195770115246385</v>
      </c>
      <c r="Q205" s="402">
        <v>0.35</v>
      </c>
      <c r="R205" s="121"/>
      <c r="T205" s="20"/>
      <c r="U205" s="20"/>
      <c r="V205" s="20"/>
      <c r="W205" s="20"/>
      <c r="X205" s="20"/>
    </row>
    <row r="206" spans="1:24" s="65" customFormat="1" ht="15" customHeight="1" outlineLevel="2">
      <c r="A206" s="219"/>
      <c r="B206" s="242"/>
      <c r="C206" s="265"/>
      <c r="D206" s="242" t="s">
        <v>1874</v>
      </c>
      <c r="E206" s="121">
        <v>1</v>
      </c>
      <c r="F206" s="242" t="s">
        <v>1435</v>
      </c>
      <c r="G206" s="265"/>
      <c r="H206" s="265"/>
      <c r="I206" s="402">
        <v>1</v>
      </c>
      <c r="J206" s="402">
        <f t="shared" si="12"/>
        <v>1</v>
      </c>
      <c r="K206" s="402">
        <f t="shared" si="12"/>
        <v>1</v>
      </c>
      <c r="L206" s="402">
        <f t="shared" si="12"/>
        <v>1</v>
      </c>
      <c r="M206" s="402">
        <f t="shared" si="12"/>
        <v>1</v>
      </c>
      <c r="N206" s="402">
        <f t="shared" si="12"/>
        <v>1</v>
      </c>
      <c r="O206" s="402">
        <f t="shared" si="12"/>
        <v>1</v>
      </c>
      <c r="P206" s="402">
        <f t="shared" si="12"/>
        <v>1</v>
      </c>
      <c r="Q206" s="402">
        <v>1</v>
      </c>
      <c r="R206" s="242"/>
      <c r="T206" s="20"/>
      <c r="U206" s="20"/>
      <c r="V206" s="20"/>
      <c r="W206" s="20"/>
      <c r="X206" s="20"/>
    </row>
    <row r="207" spans="1:24" s="65" customFormat="1" ht="15" customHeight="1" outlineLevel="2">
      <c r="A207" s="219"/>
      <c r="B207" s="242"/>
      <c r="C207" s="265"/>
      <c r="D207" s="242" t="s">
        <v>1874</v>
      </c>
      <c r="E207" s="121">
        <v>2</v>
      </c>
      <c r="F207" s="242" t="s">
        <v>1435</v>
      </c>
      <c r="G207" s="265"/>
      <c r="H207" s="265"/>
      <c r="I207" s="402">
        <v>1</v>
      </c>
      <c r="J207" s="402">
        <f t="shared" si="12"/>
        <v>0.98974358974358978</v>
      </c>
      <c r="K207" s="402">
        <f t="shared" si="12"/>
        <v>0.97692307692307689</v>
      </c>
      <c r="L207" s="402">
        <f t="shared" si="12"/>
        <v>0.96410256410256412</v>
      </c>
      <c r="M207" s="402">
        <f t="shared" si="12"/>
        <v>0.95128205128205123</v>
      </c>
      <c r="N207" s="402">
        <f t="shared" si="12"/>
        <v>0.93846153846153846</v>
      </c>
      <c r="O207" s="402">
        <f t="shared" si="12"/>
        <v>0.92564102564102568</v>
      </c>
      <c r="P207" s="402">
        <f t="shared" si="12"/>
        <v>0.9128205128205128</v>
      </c>
      <c r="Q207" s="402">
        <v>0.9</v>
      </c>
      <c r="R207" s="242"/>
      <c r="T207" s="20"/>
      <c r="U207" s="20"/>
      <c r="V207" s="20"/>
      <c r="W207" s="20"/>
      <c r="X207" s="20"/>
    </row>
    <row r="208" spans="1:24" s="65" customFormat="1" ht="15" customHeight="1" outlineLevel="2">
      <c r="A208" s="219"/>
      <c r="B208" s="242"/>
      <c r="C208" s="265"/>
      <c r="D208" s="242" t="s">
        <v>1874</v>
      </c>
      <c r="E208" s="121">
        <v>3</v>
      </c>
      <c r="F208" s="242" t="s">
        <v>1435</v>
      </c>
      <c r="G208" s="265"/>
      <c r="H208" s="265"/>
      <c r="I208" s="402">
        <v>1</v>
      </c>
      <c r="J208" s="402">
        <f t="shared" si="12"/>
        <v>0.97948717948717945</v>
      </c>
      <c r="K208" s="402">
        <f t="shared" si="12"/>
        <v>0.9538461538461539</v>
      </c>
      <c r="L208" s="402">
        <f t="shared" si="12"/>
        <v>0.92820512820512824</v>
      </c>
      <c r="M208" s="402">
        <f t="shared" si="12"/>
        <v>0.90256410256410258</v>
      </c>
      <c r="N208" s="402">
        <f t="shared" si="12"/>
        <v>0.87692307692307692</v>
      </c>
      <c r="O208" s="402">
        <f t="shared" si="12"/>
        <v>0.85128205128205137</v>
      </c>
      <c r="P208" s="402">
        <f t="shared" si="12"/>
        <v>0.82564102564102571</v>
      </c>
      <c r="Q208" s="402">
        <v>0.8</v>
      </c>
      <c r="R208" s="242"/>
      <c r="T208" s="20"/>
      <c r="U208" s="20"/>
      <c r="V208" s="20"/>
      <c r="W208" s="20"/>
      <c r="X208" s="20"/>
    </row>
    <row r="209" spans="1:24" s="65" customFormat="1" ht="15" customHeight="1" outlineLevel="2">
      <c r="A209" s="219"/>
      <c r="B209" s="242"/>
      <c r="C209" s="265"/>
      <c r="D209" s="242" t="s">
        <v>1874</v>
      </c>
      <c r="E209" s="121">
        <v>4</v>
      </c>
      <c r="F209" s="242" t="s">
        <v>1435</v>
      </c>
      <c r="G209" s="265"/>
      <c r="H209" s="265"/>
      <c r="I209" s="402">
        <v>1</v>
      </c>
      <c r="J209" s="402">
        <f t="shared" si="12"/>
        <v>0.96923076923076923</v>
      </c>
      <c r="K209" s="402">
        <f t="shared" si="12"/>
        <v>0.93076923076923079</v>
      </c>
      <c r="L209" s="402">
        <f t="shared" si="12"/>
        <v>0.89230769230769225</v>
      </c>
      <c r="M209" s="402">
        <f t="shared" si="12"/>
        <v>0.85384615384615381</v>
      </c>
      <c r="N209" s="402">
        <f t="shared" si="12"/>
        <v>0.81538461538461537</v>
      </c>
      <c r="O209" s="402">
        <f t="shared" si="12"/>
        <v>0.77692307692307683</v>
      </c>
      <c r="P209" s="402">
        <f t="shared" si="12"/>
        <v>0.73846153846153839</v>
      </c>
      <c r="Q209" s="402">
        <v>0.7</v>
      </c>
      <c r="R209" s="242"/>
      <c r="T209" s="20"/>
      <c r="U209" s="20"/>
      <c r="V209" s="20"/>
      <c r="W209" s="20"/>
      <c r="X209" s="20"/>
    </row>
    <row r="210" spans="1:24" s="65" customFormat="1" ht="15" customHeight="1" outlineLevel="2">
      <c r="A210" s="219"/>
      <c r="B210" s="242"/>
      <c r="C210" s="265"/>
      <c r="D210" s="242" t="s">
        <v>1879</v>
      </c>
      <c r="E210" s="121">
        <v>1</v>
      </c>
      <c r="F210" s="242" t="s">
        <v>1435</v>
      </c>
      <c r="G210" s="265"/>
      <c r="H210" s="265"/>
      <c r="I210" s="402">
        <v>1</v>
      </c>
      <c r="J210" s="402">
        <f t="shared" si="12"/>
        <v>1</v>
      </c>
      <c r="K210" s="402">
        <f t="shared" si="12"/>
        <v>1</v>
      </c>
      <c r="L210" s="402">
        <f t="shared" si="12"/>
        <v>1</v>
      </c>
      <c r="M210" s="402">
        <f t="shared" si="12"/>
        <v>1</v>
      </c>
      <c r="N210" s="402">
        <f t="shared" si="12"/>
        <v>1</v>
      </c>
      <c r="O210" s="402">
        <f t="shared" si="12"/>
        <v>1</v>
      </c>
      <c r="P210" s="402">
        <f t="shared" si="12"/>
        <v>1</v>
      </c>
      <c r="Q210" s="402">
        <v>1</v>
      </c>
      <c r="R210" s="242"/>
      <c r="T210" s="20"/>
      <c r="U210" s="20"/>
      <c r="V210" s="20"/>
      <c r="W210" s="20"/>
      <c r="X210" s="20"/>
    </row>
    <row r="211" spans="1:24" s="65" customFormat="1" ht="15" customHeight="1" outlineLevel="2">
      <c r="A211" s="219"/>
      <c r="B211" s="242"/>
      <c r="C211" s="265"/>
      <c r="D211" s="242" t="s">
        <v>1879</v>
      </c>
      <c r="E211" s="121">
        <v>2</v>
      </c>
      <c r="F211" s="242" t="s">
        <v>1435</v>
      </c>
      <c r="G211" s="265"/>
      <c r="H211" s="265"/>
      <c r="I211" s="402">
        <v>1</v>
      </c>
      <c r="J211" s="402">
        <f t="shared" si="12"/>
        <v>0.98974358974358978</v>
      </c>
      <c r="K211" s="402">
        <f t="shared" si="12"/>
        <v>0.97692307692307689</v>
      </c>
      <c r="L211" s="402">
        <f t="shared" si="12"/>
        <v>0.96410256410256412</v>
      </c>
      <c r="M211" s="402">
        <f t="shared" si="12"/>
        <v>0.95128205128205123</v>
      </c>
      <c r="N211" s="402">
        <f t="shared" si="12"/>
        <v>0.93846153846153846</v>
      </c>
      <c r="O211" s="402">
        <f t="shared" si="12"/>
        <v>0.92564102564102568</v>
      </c>
      <c r="P211" s="402">
        <f t="shared" si="12"/>
        <v>0.9128205128205128</v>
      </c>
      <c r="Q211" s="402">
        <v>0.9</v>
      </c>
      <c r="R211" s="242"/>
      <c r="T211" s="20"/>
      <c r="U211" s="20"/>
      <c r="V211" s="20"/>
      <c r="W211" s="20"/>
      <c r="X211" s="20"/>
    </row>
    <row r="212" spans="1:24" s="65" customFormat="1" ht="15" customHeight="1" outlineLevel="2">
      <c r="A212" s="219"/>
      <c r="B212" s="242"/>
      <c r="C212" s="265"/>
      <c r="D212" s="242" t="s">
        <v>1879</v>
      </c>
      <c r="E212" s="121">
        <v>3</v>
      </c>
      <c r="F212" s="242" t="s">
        <v>1435</v>
      </c>
      <c r="G212" s="265"/>
      <c r="H212" s="265"/>
      <c r="I212" s="402">
        <v>1</v>
      </c>
      <c r="J212" s="402">
        <f t="shared" si="12"/>
        <v>0.97948717948717945</v>
      </c>
      <c r="K212" s="402">
        <f t="shared" si="12"/>
        <v>0.9538461538461539</v>
      </c>
      <c r="L212" s="402">
        <f t="shared" si="12"/>
        <v>0.92820512820512824</v>
      </c>
      <c r="M212" s="402">
        <f t="shared" si="12"/>
        <v>0.90256410256410258</v>
      </c>
      <c r="N212" s="402">
        <f t="shared" si="12"/>
        <v>0.87692307692307692</v>
      </c>
      <c r="O212" s="402">
        <f t="shared" si="12"/>
        <v>0.85128205128205137</v>
      </c>
      <c r="P212" s="402">
        <f t="shared" si="12"/>
        <v>0.82564102564102571</v>
      </c>
      <c r="Q212" s="402">
        <v>0.8</v>
      </c>
      <c r="R212" s="242"/>
      <c r="T212" s="20"/>
      <c r="U212" s="20"/>
      <c r="V212" s="20"/>
      <c r="W212" s="20"/>
      <c r="X212" s="20"/>
    </row>
    <row r="213" spans="1:24" s="65" customFormat="1" ht="15" customHeight="1" outlineLevel="2">
      <c r="A213" s="219"/>
      <c r="B213" s="242"/>
      <c r="C213" s="265"/>
      <c r="D213" s="242" t="s">
        <v>1879</v>
      </c>
      <c r="E213" s="121">
        <v>4</v>
      </c>
      <c r="F213" s="242" t="s">
        <v>1435</v>
      </c>
      <c r="G213" s="265"/>
      <c r="H213" s="265"/>
      <c r="I213" s="402">
        <v>1</v>
      </c>
      <c r="J213" s="402">
        <f t="shared" si="12"/>
        <v>0.96923076923076923</v>
      </c>
      <c r="K213" s="402">
        <f t="shared" si="12"/>
        <v>0.93076923076923079</v>
      </c>
      <c r="L213" s="402">
        <f t="shared" si="12"/>
        <v>0.89230769230769225</v>
      </c>
      <c r="M213" s="402">
        <f t="shared" si="12"/>
        <v>0.85384615384615381</v>
      </c>
      <c r="N213" s="402">
        <f t="shared" si="12"/>
        <v>0.81538461538461537</v>
      </c>
      <c r="O213" s="402">
        <f t="shared" si="12"/>
        <v>0.77692307692307683</v>
      </c>
      <c r="P213" s="402">
        <f t="shared" si="12"/>
        <v>0.73846153846153839</v>
      </c>
      <c r="Q213" s="402">
        <v>0.7</v>
      </c>
      <c r="R213" s="242"/>
      <c r="T213" s="20"/>
      <c r="U213" s="20"/>
      <c r="V213" s="20"/>
      <c r="W213" s="20"/>
      <c r="X213" s="20"/>
    </row>
    <row r="214" spans="1:24" s="65" customFormat="1" ht="15" customHeight="1" outlineLevel="2">
      <c r="A214" s="219"/>
      <c r="B214" s="242"/>
      <c r="C214" s="265"/>
      <c r="D214" s="242" t="s">
        <v>1884</v>
      </c>
      <c r="E214" s="121">
        <v>1</v>
      </c>
      <c r="F214" s="242" t="s">
        <v>1435</v>
      </c>
      <c r="G214" s="265"/>
      <c r="H214" s="265"/>
      <c r="I214" s="402">
        <v>0</v>
      </c>
      <c r="J214" s="402">
        <f t="shared" si="12"/>
        <v>4.1025641025641026E-2</v>
      </c>
      <c r="K214" s="402">
        <f t="shared" si="12"/>
        <v>9.2307692307692313E-2</v>
      </c>
      <c r="L214" s="402">
        <f t="shared" si="12"/>
        <v>0.14358974358974358</v>
      </c>
      <c r="M214" s="402">
        <f t="shared" si="12"/>
        <v>0.19487179487179487</v>
      </c>
      <c r="N214" s="402">
        <f t="shared" si="12"/>
        <v>0.24615384615384617</v>
      </c>
      <c r="O214" s="402">
        <f t="shared" si="12"/>
        <v>0.29743589743589743</v>
      </c>
      <c r="P214" s="402">
        <f t="shared" si="12"/>
        <v>0.3487179487179487</v>
      </c>
      <c r="Q214" s="402">
        <v>0.4</v>
      </c>
      <c r="R214" s="242"/>
      <c r="T214" s="20"/>
      <c r="U214" s="20"/>
      <c r="V214" s="20"/>
      <c r="W214" s="20"/>
      <c r="X214" s="20"/>
    </row>
    <row r="215" spans="1:24" s="65" customFormat="1" ht="15" customHeight="1" outlineLevel="2">
      <c r="A215" s="219"/>
      <c r="B215" s="242"/>
      <c r="C215" s="265"/>
      <c r="D215" s="242" t="s">
        <v>1884</v>
      </c>
      <c r="E215" s="121">
        <v>2</v>
      </c>
      <c r="F215" s="242" t="s">
        <v>1435</v>
      </c>
      <c r="G215" s="265"/>
      <c r="H215" s="265"/>
      <c r="I215" s="402">
        <v>0</v>
      </c>
      <c r="J215" s="402">
        <f t="shared" si="12"/>
        <v>5.128205128205128E-2</v>
      </c>
      <c r="K215" s="402">
        <f t="shared" si="12"/>
        <v>0.11538461538461538</v>
      </c>
      <c r="L215" s="402">
        <f t="shared" si="12"/>
        <v>0.17948717948717949</v>
      </c>
      <c r="M215" s="402">
        <f t="shared" si="12"/>
        <v>0.24358974358974358</v>
      </c>
      <c r="N215" s="402">
        <f t="shared" si="12"/>
        <v>0.30769230769230771</v>
      </c>
      <c r="O215" s="402">
        <f t="shared" si="12"/>
        <v>0.37179487179487181</v>
      </c>
      <c r="P215" s="402">
        <f t="shared" si="12"/>
        <v>0.4358974358974359</v>
      </c>
      <c r="Q215" s="402">
        <v>0.5</v>
      </c>
      <c r="R215" s="242"/>
      <c r="T215" s="20"/>
      <c r="U215" s="20"/>
      <c r="V215" s="20"/>
      <c r="W215" s="20"/>
      <c r="X215" s="20"/>
    </row>
    <row r="216" spans="1:24" s="65" customFormat="1" ht="15" customHeight="1" outlineLevel="2">
      <c r="A216" s="219"/>
      <c r="B216" s="242"/>
      <c r="C216" s="265"/>
      <c r="D216" s="242" t="s">
        <v>1884</v>
      </c>
      <c r="E216" s="121">
        <v>3</v>
      </c>
      <c r="F216" s="242" t="s">
        <v>1435</v>
      </c>
      <c r="G216" s="265"/>
      <c r="H216" s="265"/>
      <c r="I216" s="402">
        <v>0</v>
      </c>
      <c r="J216" s="402">
        <f t="shared" si="12"/>
        <v>6.1538461538461535E-2</v>
      </c>
      <c r="K216" s="402">
        <f t="shared" si="12"/>
        <v>0.13846153846153844</v>
      </c>
      <c r="L216" s="402">
        <f t="shared" si="12"/>
        <v>0.21538461538461537</v>
      </c>
      <c r="M216" s="402">
        <f t="shared" si="12"/>
        <v>0.29230769230769227</v>
      </c>
      <c r="N216" s="402">
        <f t="shared" si="12"/>
        <v>0.3692307692307692</v>
      </c>
      <c r="O216" s="402">
        <f t="shared" si="12"/>
        <v>0.44615384615384612</v>
      </c>
      <c r="P216" s="402">
        <f t="shared" si="12"/>
        <v>0.52307692307692299</v>
      </c>
      <c r="Q216" s="402">
        <v>0.6</v>
      </c>
      <c r="R216" s="242"/>
      <c r="T216" s="20"/>
      <c r="U216" s="20"/>
      <c r="V216" s="20"/>
      <c r="W216" s="20"/>
      <c r="X216" s="20"/>
    </row>
    <row r="217" spans="1:24" s="65" customFormat="1" ht="15" customHeight="1" outlineLevel="2">
      <c r="A217" s="219"/>
      <c r="B217" s="242"/>
      <c r="C217" s="265"/>
      <c r="D217" s="242" t="s">
        <v>1884</v>
      </c>
      <c r="E217" s="121">
        <v>4</v>
      </c>
      <c r="F217" s="242" t="s">
        <v>1435</v>
      </c>
      <c r="G217" s="265"/>
      <c r="H217" s="265"/>
      <c r="I217" s="402">
        <v>0</v>
      </c>
      <c r="J217" s="402">
        <f t="shared" si="12"/>
        <v>3.5897435897435895E-2</v>
      </c>
      <c r="K217" s="402">
        <f t="shared" si="12"/>
        <v>8.076923076923076E-2</v>
      </c>
      <c r="L217" s="402">
        <f t="shared" si="12"/>
        <v>0.12564102564102564</v>
      </c>
      <c r="M217" s="402">
        <f t="shared" si="12"/>
        <v>0.17051282051282049</v>
      </c>
      <c r="N217" s="402">
        <f t="shared" si="12"/>
        <v>0.21538461538461537</v>
      </c>
      <c r="O217" s="402">
        <f t="shared" si="12"/>
        <v>0.26025641025641022</v>
      </c>
      <c r="P217" s="402">
        <f t="shared" si="12"/>
        <v>0.3051282051282051</v>
      </c>
      <c r="Q217" s="402">
        <v>0.35</v>
      </c>
      <c r="R217" s="242"/>
      <c r="T217" s="20"/>
      <c r="U217" s="20"/>
      <c r="V217" s="20"/>
      <c r="W217" s="20"/>
      <c r="X217" s="20"/>
    </row>
    <row r="218" spans="1:24" s="65" customFormat="1" ht="15" customHeight="1" outlineLevel="2">
      <c r="A218" s="219"/>
      <c r="B218" s="242"/>
      <c r="C218" s="265"/>
      <c r="D218" s="242" t="s">
        <v>1875</v>
      </c>
      <c r="E218" s="121">
        <v>1</v>
      </c>
      <c r="F218" s="242" t="s">
        <v>1447</v>
      </c>
      <c r="G218" s="265"/>
      <c r="H218" s="265"/>
      <c r="I218" s="402">
        <v>1</v>
      </c>
      <c r="J218" s="402">
        <f t="shared" si="12"/>
        <v>1</v>
      </c>
      <c r="K218" s="402">
        <f t="shared" si="12"/>
        <v>1</v>
      </c>
      <c r="L218" s="402">
        <f t="shared" si="12"/>
        <v>1</v>
      </c>
      <c r="M218" s="402">
        <f t="shared" ref="J218:P253" si="13">(($Q218-$I218)/($Q$121-$I$121))*(M$121-$I$121)+$I218</f>
        <v>1</v>
      </c>
      <c r="N218" s="402">
        <f t="shared" si="13"/>
        <v>1</v>
      </c>
      <c r="O218" s="402">
        <f t="shared" si="13"/>
        <v>1</v>
      </c>
      <c r="P218" s="402">
        <f t="shared" si="13"/>
        <v>1</v>
      </c>
      <c r="Q218" s="402">
        <v>1</v>
      </c>
      <c r="R218" s="242"/>
      <c r="T218" s="20"/>
      <c r="U218" s="20"/>
      <c r="V218" s="20"/>
      <c r="W218" s="20"/>
      <c r="X218" s="20"/>
    </row>
    <row r="219" spans="1:24" s="65" customFormat="1" ht="15" customHeight="1" outlineLevel="2">
      <c r="A219" s="219"/>
      <c r="B219" s="242"/>
      <c r="C219" s="265"/>
      <c r="D219" s="242" t="s">
        <v>1875</v>
      </c>
      <c r="E219" s="121">
        <v>2</v>
      </c>
      <c r="F219" s="242" t="s">
        <v>1447</v>
      </c>
      <c r="G219" s="265"/>
      <c r="H219" s="265"/>
      <c r="I219" s="402">
        <v>1</v>
      </c>
      <c r="J219" s="402">
        <f t="shared" si="13"/>
        <v>0.98974358974358978</v>
      </c>
      <c r="K219" s="402">
        <f t="shared" si="13"/>
        <v>0.97692307692307689</v>
      </c>
      <c r="L219" s="402">
        <f t="shared" si="13"/>
        <v>0.96410256410256412</v>
      </c>
      <c r="M219" s="402">
        <f t="shared" si="13"/>
        <v>0.95128205128205123</v>
      </c>
      <c r="N219" s="402">
        <f t="shared" si="13"/>
        <v>0.93846153846153846</v>
      </c>
      <c r="O219" s="402">
        <f t="shared" si="13"/>
        <v>0.92564102564102568</v>
      </c>
      <c r="P219" s="402">
        <f t="shared" si="13"/>
        <v>0.9128205128205128</v>
      </c>
      <c r="Q219" s="402">
        <v>0.9</v>
      </c>
      <c r="R219" s="242"/>
      <c r="T219" s="20"/>
      <c r="U219" s="20"/>
      <c r="V219" s="20"/>
      <c r="W219" s="20"/>
      <c r="X219" s="20"/>
    </row>
    <row r="220" spans="1:24" s="65" customFormat="1" ht="15" customHeight="1" outlineLevel="2">
      <c r="A220" s="219"/>
      <c r="B220" s="242"/>
      <c r="C220" s="265"/>
      <c r="D220" s="242" t="s">
        <v>1875</v>
      </c>
      <c r="E220" s="121">
        <v>3</v>
      </c>
      <c r="F220" s="242" t="s">
        <v>1447</v>
      </c>
      <c r="G220" s="265"/>
      <c r="H220" s="265"/>
      <c r="I220" s="402">
        <v>1</v>
      </c>
      <c r="J220" s="402">
        <f t="shared" si="13"/>
        <v>0.97948717948717945</v>
      </c>
      <c r="K220" s="402">
        <f t="shared" si="13"/>
        <v>0.9538461538461539</v>
      </c>
      <c r="L220" s="402">
        <f t="shared" si="13"/>
        <v>0.92820512820512824</v>
      </c>
      <c r="M220" s="402">
        <f t="shared" si="13"/>
        <v>0.90256410256410258</v>
      </c>
      <c r="N220" s="402">
        <f t="shared" si="13"/>
        <v>0.87692307692307692</v>
      </c>
      <c r="O220" s="402">
        <f t="shared" si="13"/>
        <v>0.85128205128205137</v>
      </c>
      <c r="P220" s="402">
        <f t="shared" si="13"/>
        <v>0.82564102564102571</v>
      </c>
      <c r="Q220" s="402">
        <v>0.8</v>
      </c>
      <c r="R220" s="242"/>
      <c r="T220" s="20"/>
      <c r="U220" s="20"/>
      <c r="V220" s="20"/>
      <c r="W220" s="20"/>
      <c r="X220" s="20"/>
    </row>
    <row r="221" spans="1:24" s="65" customFormat="1" ht="15" customHeight="1" outlineLevel="2">
      <c r="A221" s="219"/>
      <c r="B221" s="242"/>
      <c r="C221" s="265"/>
      <c r="D221" s="242" t="s">
        <v>1875</v>
      </c>
      <c r="E221" s="121">
        <v>4</v>
      </c>
      <c r="F221" s="242" t="s">
        <v>1447</v>
      </c>
      <c r="G221" s="265"/>
      <c r="H221" s="265"/>
      <c r="I221" s="402">
        <v>1</v>
      </c>
      <c r="J221" s="402">
        <f t="shared" si="13"/>
        <v>0.96923076923076923</v>
      </c>
      <c r="K221" s="402">
        <f t="shared" si="13"/>
        <v>0.93076923076923079</v>
      </c>
      <c r="L221" s="402">
        <f t="shared" si="13"/>
        <v>0.89230769230769225</v>
      </c>
      <c r="M221" s="402">
        <f t="shared" si="13"/>
        <v>0.85384615384615381</v>
      </c>
      <c r="N221" s="402">
        <f t="shared" si="13"/>
        <v>0.81538461538461537</v>
      </c>
      <c r="O221" s="402">
        <f t="shared" si="13"/>
        <v>0.77692307692307683</v>
      </c>
      <c r="P221" s="402">
        <f t="shared" si="13"/>
        <v>0.73846153846153839</v>
      </c>
      <c r="Q221" s="402">
        <v>0.7</v>
      </c>
      <c r="R221" s="242"/>
      <c r="T221" s="20"/>
      <c r="U221" s="20"/>
      <c r="V221" s="20"/>
      <c r="W221" s="20"/>
      <c r="X221" s="20"/>
    </row>
    <row r="222" spans="1:24" s="65" customFormat="1" ht="15" customHeight="1" outlineLevel="2">
      <c r="A222" s="219"/>
      <c r="B222" s="242"/>
      <c r="C222" s="265"/>
      <c r="D222" s="242" t="s">
        <v>1880</v>
      </c>
      <c r="E222" s="121">
        <v>1</v>
      </c>
      <c r="F222" s="242" t="s">
        <v>1447</v>
      </c>
      <c r="G222" s="265"/>
      <c r="H222" s="265"/>
      <c r="I222" s="402">
        <v>1</v>
      </c>
      <c r="J222" s="402">
        <f t="shared" si="13"/>
        <v>1</v>
      </c>
      <c r="K222" s="402">
        <f t="shared" si="13"/>
        <v>1</v>
      </c>
      <c r="L222" s="402">
        <f t="shared" si="13"/>
        <v>1</v>
      </c>
      <c r="M222" s="402">
        <f t="shared" si="13"/>
        <v>1</v>
      </c>
      <c r="N222" s="402">
        <f t="shared" si="13"/>
        <v>1</v>
      </c>
      <c r="O222" s="402">
        <f t="shared" si="13"/>
        <v>1</v>
      </c>
      <c r="P222" s="402">
        <f t="shared" si="13"/>
        <v>1</v>
      </c>
      <c r="Q222" s="402">
        <v>1</v>
      </c>
      <c r="R222" s="242"/>
      <c r="T222" s="20"/>
      <c r="U222" s="20"/>
      <c r="V222" s="20"/>
      <c r="W222" s="20"/>
      <c r="X222" s="20"/>
    </row>
    <row r="223" spans="1:24" s="65" customFormat="1" ht="15" customHeight="1" outlineLevel="2">
      <c r="A223" s="219"/>
      <c r="B223" s="242"/>
      <c r="C223" s="265"/>
      <c r="D223" s="242" t="s">
        <v>1880</v>
      </c>
      <c r="E223" s="121">
        <v>2</v>
      </c>
      <c r="F223" s="242" t="s">
        <v>1447</v>
      </c>
      <c r="G223" s="265"/>
      <c r="H223" s="265"/>
      <c r="I223" s="402">
        <v>1</v>
      </c>
      <c r="J223" s="402">
        <f t="shared" si="13"/>
        <v>0.98974358974358978</v>
      </c>
      <c r="K223" s="402">
        <f t="shared" si="13"/>
        <v>0.97692307692307689</v>
      </c>
      <c r="L223" s="402">
        <f t="shared" si="13"/>
        <v>0.96410256410256412</v>
      </c>
      <c r="M223" s="402">
        <f t="shared" si="13"/>
        <v>0.95128205128205123</v>
      </c>
      <c r="N223" s="402">
        <f t="shared" si="13"/>
        <v>0.93846153846153846</v>
      </c>
      <c r="O223" s="402">
        <f t="shared" si="13"/>
        <v>0.92564102564102568</v>
      </c>
      <c r="P223" s="402">
        <f t="shared" si="13"/>
        <v>0.9128205128205128</v>
      </c>
      <c r="Q223" s="402">
        <v>0.9</v>
      </c>
      <c r="R223" s="242"/>
      <c r="T223" s="20"/>
      <c r="U223" s="20"/>
      <c r="V223" s="20"/>
      <c r="W223" s="20"/>
      <c r="X223" s="20"/>
    </row>
    <row r="224" spans="1:24" s="65" customFormat="1" ht="15" customHeight="1" outlineLevel="2">
      <c r="A224" s="219"/>
      <c r="B224" s="242"/>
      <c r="C224" s="265"/>
      <c r="D224" s="242" t="s">
        <v>1880</v>
      </c>
      <c r="E224" s="121">
        <v>3</v>
      </c>
      <c r="F224" s="242" t="s">
        <v>1447</v>
      </c>
      <c r="G224" s="265"/>
      <c r="H224" s="265"/>
      <c r="I224" s="402">
        <v>1</v>
      </c>
      <c r="J224" s="402">
        <f t="shared" si="13"/>
        <v>0.97948717948717945</v>
      </c>
      <c r="K224" s="402">
        <f t="shared" si="13"/>
        <v>0.9538461538461539</v>
      </c>
      <c r="L224" s="402">
        <f t="shared" si="13"/>
        <v>0.92820512820512824</v>
      </c>
      <c r="M224" s="402">
        <f t="shared" si="13"/>
        <v>0.90256410256410258</v>
      </c>
      <c r="N224" s="402">
        <f t="shared" si="13"/>
        <v>0.87692307692307692</v>
      </c>
      <c r="O224" s="402">
        <f t="shared" si="13"/>
        <v>0.85128205128205137</v>
      </c>
      <c r="P224" s="402">
        <f t="shared" si="13"/>
        <v>0.82564102564102571</v>
      </c>
      <c r="Q224" s="402">
        <v>0.8</v>
      </c>
      <c r="R224" s="242"/>
      <c r="T224" s="20"/>
      <c r="U224" s="20"/>
      <c r="V224" s="20"/>
      <c r="W224" s="20"/>
      <c r="X224" s="20"/>
    </row>
    <row r="225" spans="1:24" s="65" customFormat="1" ht="15" customHeight="1" outlineLevel="2">
      <c r="A225" s="219"/>
      <c r="B225" s="242"/>
      <c r="C225" s="265"/>
      <c r="D225" s="242" t="s">
        <v>1880</v>
      </c>
      <c r="E225" s="121">
        <v>4</v>
      </c>
      <c r="F225" s="242" t="s">
        <v>1447</v>
      </c>
      <c r="G225" s="265"/>
      <c r="H225" s="265"/>
      <c r="I225" s="402">
        <v>1</v>
      </c>
      <c r="J225" s="402">
        <f t="shared" si="13"/>
        <v>0.96923076923076923</v>
      </c>
      <c r="K225" s="402">
        <f t="shared" si="13"/>
        <v>0.93076923076923079</v>
      </c>
      <c r="L225" s="402">
        <f t="shared" si="13"/>
        <v>0.89230769230769225</v>
      </c>
      <c r="M225" s="402">
        <f t="shared" si="13"/>
        <v>0.85384615384615381</v>
      </c>
      <c r="N225" s="402">
        <f t="shared" si="13"/>
        <v>0.81538461538461537</v>
      </c>
      <c r="O225" s="402">
        <f t="shared" si="13"/>
        <v>0.77692307692307683</v>
      </c>
      <c r="P225" s="402">
        <f t="shared" si="13"/>
        <v>0.73846153846153839</v>
      </c>
      <c r="Q225" s="402">
        <v>0.7</v>
      </c>
      <c r="R225" s="242"/>
      <c r="T225" s="20"/>
      <c r="U225" s="20"/>
      <c r="V225" s="20"/>
      <c r="W225" s="20"/>
      <c r="X225" s="20"/>
    </row>
    <row r="226" spans="1:24" s="65" customFormat="1" ht="15" customHeight="1" outlineLevel="2">
      <c r="A226" s="219"/>
      <c r="B226" s="242"/>
      <c r="C226" s="265"/>
      <c r="D226" s="242" t="s">
        <v>1885</v>
      </c>
      <c r="E226" s="121">
        <v>1</v>
      </c>
      <c r="F226" s="242" t="s">
        <v>1447</v>
      </c>
      <c r="G226" s="265"/>
      <c r="H226" s="265"/>
      <c r="I226" s="402">
        <v>0.34042230654178207</v>
      </c>
      <c r="J226" s="402">
        <f t="shared" si="13"/>
        <v>0.34653283920416339</v>
      </c>
      <c r="K226" s="402">
        <f t="shared" si="13"/>
        <v>0.35417100503214005</v>
      </c>
      <c r="L226" s="402">
        <f t="shared" si="13"/>
        <v>0.36180917086011671</v>
      </c>
      <c r="M226" s="402">
        <f t="shared" si="13"/>
        <v>0.36944733668809338</v>
      </c>
      <c r="N226" s="402">
        <f t="shared" si="13"/>
        <v>0.37708550251607004</v>
      </c>
      <c r="O226" s="402">
        <f t="shared" si="13"/>
        <v>0.3847236683440467</v>
      </c>
      <c r="P226" s="402">
        <f t="shared" si="13"/>
        <v>0.39236183417202336</v>
      </c>
      <c r="Q226" s="402">
        <v>0.4</v>
      </c>
      <c r="R226" s="242"/>
      <c r="T226" s="20"/>
      <c r="U226" s="20"/>
      <c r="V226" s="20"/>
      <c r="W226" s="20"/>
      <c r="X226" s="20"/>
    </row>
    <row r="227" spans="1:24" s="65" customFormat="1" ht="15" customHeight="1" outlineLevel="2">
      <c r="A227" s="219"/>
      <c r="B227" s="242"/>
      <c r="C227" s="265"/>
      <c r="D227" s="242" t="s">
        <v>1885</v>
      </c>
      <c r="E227" s="121">
        <v>2</v>
      </c>
      <c r="F227" s="242" t="s">
        <v>1447</v>
      </c>
      <c r="G227" s="265"/>
      <c r="H227" s="265"/>
      <c r="I227" s="402">
        <v>0.34042230654178207</v>
      </c>
      <c r="J227" s="402">
        <f t="shared" si="13"/>
        <v>0.35678924946057367</v>
      </c>
      <c r="K227" s="402">
        <f t="shared" si="13"/>
        <v>0.37724792810906316</v>
      </c>
      <c r="L227" s="402">
        <f t="shared" si="13"/>
        <v>0.39770660675755259</v>
      </c>
      <c r="M227" s="402">
        <f t="shared" si="13"/>
        <v>0.41816528540604209</v>
      </c>
      <c r="N227" s="402">
        <f t="shared" si="13"/>
        <v>0.43862396405453158</v>
      </c>
      <c r="O227" s="402">
        <f t="shared" si="13"/>
        <v>0.45908264270302107</v>
      </c>
      <c r="P227" s="402">
        <f t="shared" si="13"/>
        <v>0.47954132135151051</v>
      </c>
      <c r="Q227" s="402">
        <v>0.5</v>
      </c>
      <c r="R227" s="242"/>
      <c r="T227" s="20"/>
      <c r="U227" s="20"/>
      <c r="V227" s="20"/>
      <c r="W227" s="20"/>
      <c r="X227" s="20"/>
    </row>
    <row r="228" spans="1:24" s="65" customFormat="1" ht="15" customHeight="1" outlineLevel="2">
      <c r="A228" s="219"/>
      <c r="B228" s="242"/>
      <c r="C228" s="265"/>
      <c r="D228" s="242" t="s">
        <v>1885</v>
      </c>
      <c r="E228" s="121">
        <v>3</v>
      </c>
      <c r="F228" s="242" t="s">
        <v>1447</v>
      </c>
      <c r="G228" s="265"/>
      <c r="H228" s="265"/>
      <c r="I228" s="402">
        <v>0.34042230654178207</v>
      </c>
      <c r="J228" s="402">
        <f t="shared" si="13"/>
        <v>0.36704565971698389</v>
      </c>
      <c r="K228" s="402">
        <f t="shared" si="13"/>
        <v>0.40032485118598621</v>
      </c>
      <c r="L228" s="402">
        <f t="shared" si="13"/>
        <v>0.43360404265498853</v>
      </c>
      <c r="M228" s="402">
        <f t="shared" si="13"/>
        <v>0.4668832341239908</v>
      </c>
      <c r="N228" s="402">
        <f t="shared" si="13"/>
        <v>0.50016242559299307</v>
      </c>
      <c r="O228" s="402">
        <f t="shared" si="13"/>
        <v>0.53344161706199533</v>
      </c>
      <c r="P228" s="402">
        <f t="shared" si="13"/>
        <v>0.56672080853099771</v>
      </c>
      <c r="Q228" s="402">
        <v>0.6</v>
      </c>
      <c r="R228" s="242"/>
      <c r="T228" s="20"/>
      <c r="U228" s="20"/>
      <c r="V228" s="20"/>
      <c r="W228" s="20"/>
      <c r="X228" s="20"/>
    </row>
    <row r="229" spans="1:24" s="65" customFormat="1" ht="15" customHeight="1" outlineLevel="2">
      <c r="A229" s="219"/>
      <c r="B229" s="242"/>
      <c r="C229" s="265"/>
      <c r="D229" s="242" t="s">
        <v>1885</v>
      </c>
      <c r="E229" s="121">
        <v>4</v>
      </c>
      <c r="F229" s="242" t="s">
        <v>1447</v>
      </c>
      <c r="G229" s="265"/>
      <c r="H229" s="265"/>
      <c r="I229" s="402">
        <v>0.34042230654178207</v>
      </c>
      <c r="J229" s="402">
        <f t="shared" si="13"/>
        <v>0.34140463407595828</v>
      </c>
      <c r="K229" s="402">
        <f t="shared" si="13"/>
        <v>0.3426325434936785</v>
      </c>
      <c r="L229" s="402">
        <f t="shared" si="13"/>
        <v>0.34386045291139877</v>
      </c>
      <c r="M229" s="402">
        <f t="shared" si="13"/>
        <v>0.34508836232911899</v>
      </c>
      <c r="N229" s="402">
        <f t="shared" si="13"/>
        <v>0.34631627174683927</v>
      </c>
      <c r="O229" s="402">
        <f t="shared" si="13"/>
        <v>0.34754418116455948</v>
      </c>
      <c r="P229" s="402">
        <f t="shared" si="13"/>
        <v>0.34877209058227976</v>
      </c>
      <c r="Q229" s="402">
        <v>0.35</v>
      </c>
      <c r="R229" s="242"/>
      <c r="T229" s="20"/>
      <c r="U229" s="20"/>
      <c r="V229" s="20"/>
      <c r="W229" s="20"/>
      <c r="X229" s="20"/>
    </row>
    <row r="230" spans="1:24" s="65" customFormat="1" ht="15" customHeight="1" outlineLevel="2">
      <c r="A230" s="219"/>
      <c r="B230" s="242"/>
      <c r="C230" s="265"/>
      <c r="D230" s="242" t="s">
        <v>1876</v>
      </c>
      <c r="E230" s="121">
        <v>1</v>
      </c>
      <c r="F230" s="242" t="s">
        <v>1426</v>
      </c>
      <c r="G230" s="265"/>
      <c r="H230" s="265"/>
      <c r="I230" s="402">
        <v>1</v>
      </c>
      <c r="J230" s="402">
        <f t="shared" si="13"/>
        <v>1</v>
      </c>
      <c r="K230" s="402">
        <f t="shared" si="13"/>
        <v>1</v>
      </c>
      <c r="L230" s="402">
        <f t="shared" si="13"/>
        <v>1</v>
      </c>
      <c r="M230" s="402">
        <f t="shared" si="13"/>
        <v>1</v>
      </c>
      <c r="N230" s="402">
        <f t="shared" si="13"/>
        <v>1</v>
      </c>
      <c r="O230" s="402">
        <f t="shared" si="13"/>
        <v>1</v>
      </c>
      <c r="P230" s="402">
        <f t="shared" si="13"/>
        <v>1</v>
      </c>
      <c r="Q230" s="402">
        <v>1</v>
      </c>
      <c r="R230" s="242"/>
      <c r="T230" s="20"/>
      <c r="U230" s="20"/>
      <c r="V230" s="20"/>
      <c r="W230" s="20"/>
      <c r="X230" s="20"/>
    </row>
    <row r="231" spans="1:24" s="65" customFormat="1" ht="15" customHeight="1" outlineLevel="2">
      <c r="A231" s="219"/>
      <c r="B231" s="242"/>
      <c r="C231" s="265"/>
      <c r="D231" s="242" t="s">
        <v>1876</v>
      </c>
      <c r="E231" s="121">
        <v>2</v>
      </c>
      <c r="F231" s="242" t="s">
        <v>1426</v>
      </c>
      <c r="G231" s="265"/>
      <c r="H231" s="265"/>
      <c r="I231" s="402">
        <v>1</v>
      </c>
      <c r="J231" s="402">
        <f t="shared" si="13"/>
        <v>0.98974358974358978</v>
      </c>
      <c r="K231" s="402">
        <f t="shared" si="13"/>
        <v>0.97692307692307689</v>
      </c>
      <c r="L231" s="402">
        <f t="shared" si="13"/>
        <v>0.96410256410256412</v>
      </c>
      <c r="M231" s="402">
        <f t="shared" si="13"/>
        <v>0.95128205128205123</v>
      </c>
      <c r="N231" s="402">
        <f t="shared" si="13"/>
        <v>0.93846153846153846</v>
      </c>
      <c r="O231" s="402">
        <f t="shared" si="13"/>
        <v>0.92564102564102568</v>
      </c>
      <c r="P231" s="402">
        <f t="shared" si="13"/>
        <v>0.9128205128205128</v>
      </c>
      <c r="Q231" s="402">
        <v>0.9</v>
      </c>
      <c r="R231" s="242"/>
      <c r="T231" s="20"/>
      <c r="U231" s="20"/>
      <c r="V231" s="20"/>
      <c r="W231" s="20"/>
      <c r="X231" s="20"/>
    </row>
    <row r="232" spans="1:24" s="65" customFormat="1" ht="15" customHeight="1" outlineLevel="2">
      <c r="A232" s="219"/>
      <c r="B232" s="242"/>
      <c r="C232" s="265"/>
      <c r="D232" s="242" t="s">
        <v>1876</v>
      </c>
      <c r="E232" s="121">
        <v>3</v>
      </c>
      <c r="F232" s="242" t="s">
        <v>1426</v>
      </c>
      <c r="G232" s="265"/>
      <c r="H232" s="265"/>
      <c r="I232" s="402">
        <v>1</v>
      </c>
      <c r="J232" s="402">
        <f t="shared" si="13"/>
        <v>0.97948717948717945</v>
      </c>
      <c r="K232" s="402">
        <f t="shared" si="13"/>
        <v>0.9538461538461539</v>
      </c>
      <c r="L232" s="402">
        <f t="shared" si="13"/>
        <v>0.92820512820512824</v>
      </c>
      <c r="M232" s="402">
        <f t="shared" si="13"/>
        <v>0.90256410256410258</v>
      </c>
      <c r="N232" s="402">
        <f t="shared" si="13"/>
        <v>0.87692307692307692</v>
      </c>
      <c r="O232" s="402">
        <f t="shared" si="13"/>
        <v>0.85128205128205137</v>
      </c>
      <c r="P232" s="402">
        <f t="shared" si="13"/>
        <v>0.82564102564102571</v>
      </c>
      <c r="Q232" s="402">
        <v>0.8</v>
      </c>
      <c r="R232" s="242"/>
      <c r="T232" s="20"/>
      <c r="U232" s="20"/>
      <c r="V232" s="20"/>
      <c r="W232" s="20"/>
      <c r="X232" s="20"/>
    </row>
    <row r="233" spans="1:24" s="65" customFormat="1" ht="15" customHeight="1" outlineLevel="2">
      <c r="A233" s="219"/>
      <c r="B233" s="242"/>
      <c r="C233" s="265"/>
      <c r="D233" s="242" t="s">
        <v>1876</v>
      </c>
      <c r="E233" s="121">
        <v>4</v>
      </c>
      <c r="F233" s="242" t="s">
        <v>1426</v>
      </c>
      <c r="G233" s="265"/>
      <c r="H233" s="265"/>
      <c r="I233" s="402">
        <v>1</v>
      </c>
      <c r="J233" s="402">
        <f t="shared" si="13"/>
        <v>0.96923076923076923</v>
      </c>
      <c r="K233" s="402">
        <f t="shared" si="13"/>
        <v>0.93076923076923079</v>
      </c>
      <c r="L233" s="402">
        <f t="shared" si="13"/>
        <v>0.89230769230769225</v>
      </c>
      <c r="M233" s="402">
        <f t="shared" si="13"/>
        <v>0.85384615384615381</v>
      </c>
      <c r="N233" s="402">
        <f t="shared" si="13"/>
        <v>0.81538461538461537</v>
      </c>
      <c r="O233" s="402">
        <f t="shared" si="13"/>
        <v>0.77692307692307683</v>
      </c>
      <c r="P233" s="402">
        <f t="shared" si="13"/>
        <v>0.73846153846153839</v>
      </c>
      <c r="Q233" s="402">
        <v>0.7</v>
      </c>
      <c r="R233" s="242"/>
      <c r="T233" s="20"/>
      <c r="U233" s="20"/>
      <c r="V233" s="20"/>
      <c r="W233" s="20"/>
      <c r="X233" s="20"/>
    </row>
    <row r="234" spans="1:24" s="65" customFormat="1" ht="15" customHeight="1" outlineLevel="2">
      <c r="A234" s="219"/>
      <c r="B234" s="242"/>
      <c r="C234" s="265"/>
      <c r="D234" s="242" t="s">
        <v>1881</v>
      </c>
      <c r="E234" s="121">
        <v>1</v>
      </c>
      <c r="F234" s="242" t="s">
        <v>1426</v>
      </c>
      <c r="G234" s="265"/>
      <c r="H234" s="265"/>
      <c r="I234" s="402">
        <v>1</v>
      </c>
      <c r="J234" s="402">
        <f t="shared" si="13"/>
        <v>1</v>
      </c>
      <c r="K234" s="402">
        <f t="shared" si="13"/>
        <v>1</v>
      </c>
      <c r="L234" s="402">
        <f t="shared" si="13"/>
        <v>1</v>
      </c>
      <c r="M234" s="402">
        <f t="shared" si="13"/>
        <v>1</v>
      </c>
      <c r="N234" s="402">
        <f t="shared" si="13"/>
        <v>1</v>
      </c>
      <c r="O234" s="402">
        <f t="shared" si="13"/>
        <v>1</v>
      </c>
      <c r="P234" s="402">
        <f t="shared" si="13"/>
        <v>1</v>
      </c>
      <c r="Q234" s="402">
        <v>1</v>
      </c>
      <c r="R234" s="242"/>
      <c r="T234" s="20"/>
      <c r="U234" s="20"/>
      <c r="V234" s="20"/>
      <c r="W234" s="20"/>
      <c r="X234" s="20"/>
    </row>
    <row r="235" spans="1:24" s="65" customFormat="1" ht="15" customHeight="1" outlineLevel="2">
      <c r="A235" s="219"/>
      <c r="B235" s="242"/>
      <c r="C235" s="265"/>
      <c r="D235" s="242" t="s">
        <v>1881</v>
      </c>
      <c r="E235" s="121">
        <v>2</v>
      </c>
      <c r="F235" s="242" t="s">
        <v>1426</v>
      </c>
      <c r="G235" s="265"/>
      <c r="H235" s="265"/>
      <c r="I235" s="402">
        <v>1</v>
      </c>
      <c r="J235" s="402">
        <f t="shared" si="13"/>
        <v>0.98974358974358978</v>
      </c>
      <c r="K235" s="402">
        <f t="shared" si="13"/>
        <v>0.97692307692307689</v>
      </c>
      <c r="L235" s="402">
        <f t="shared" si="13"/>
        <v>0.96410256410256412</v>
      </c>
      <c r="M235" s="402">
        <f t="shared" si="13"/>
        <v>0.95128205128205123</v>
      </c>
      <c r="N235" s="402">
        <f t="shared" si="13"/>
        <v>0.93846153846153846</v>
      </c>
      <c r="O235" s="402">
        <f t="shared" si="13"/>
        <v>0.92564102564102568</v>
      </c>
      <c r="P235" s="402">
        <f t="shared" si="13"/>
        <v>0.9128205128205128</v>
      </c>
      <c r="Q235" s="402">
        <v>0.9</v>
      </c>
      <c r="R235" s="242"/>
      <c r="T235" s="20"/>
      <c r="U235" s="20"/>
      <c r="V235" s="20"/>
      <c r="W235" s="20"/>
      <c r="X235" s="20"/>
    </row>
    <row r="236" spans="1:24" s="65" customFormat="1" ht="15" customHeight="1" outlineLevel="2">
      <c r="A236" s="219"/>
      <c r="B236" s="242"/>
      <c r="C236" s="265"/>
      <c r="D236" s="242" t="s">
        <v>1881</v>
      </c>
      <c r="E236" s="121">
        <v>3</v>
      </c>
      <c r="F236" s="242" t="s">
        <v>1426</v>
      </c>
      <c r="G236" s="265"/>
      <c r="H236" s="265"/>
      <c r="I236" s="402">
        <v>1</v>
      </c>
      <c r="J236" s="402">
        <f t="shared" si="13"/>
        <v>0.97948717948717945</v>
      </c>
      <c r="K236" s="402">
        <f t="shared" si="13"/>
        <v>0.9538461538461539</v>
      </c>
      <c r="L236" s="402">
        <f t="shared" si="13"/>
        <v>0.92820512820512824</v>
      </c>
      <c r="M236" s="402">
        <f t="shared" si="13"/>
        <v>0.90256410256410258</v>
      </c>
      <c r="N236" s="402">
        <f t="shared" si="13"/>
        <v>0.87692307692307692</v>
      </c>
      <c r="O236" s="402">
        <f t="shared" si="13"/>
        <v>0.85128205128205137</v>
      </c>
      <c r="P236" s="402">
        <f t="shared" si="13"/>
        <v>0.82564102564102571</v>
      </c>
      <c r="Q236" s="402">
        <v>0.8</v>
      </c>
      <c r="R236" s="242"/>
      <c r="T236" s="20"/>
      <c r="U236" s="20"/>
      <c r="V236" s="20"/>
      <c r="W236" s="20"/>
      <c r="X236" s="20"/>
    </row>
    <row r="237" spans="1:24" s="65" customFormat="1" ht="15" customHeight="1" outlineLevel="2">
      <c r="A237" s="219"/>
      <c r="B237" s="242"/>
      <c r="C237" s="265"/>
      <c r="D237" s="242" t="s">
        <v>1881</v>
      </c>
      <c r="E237" s="121">
        <v>4</v>
      </c>
      <c r="F237" s="242" t="s">
        <v>1426</v>
      </c>
      <c r="G237" s="265"/>
      <c r="H237" s="265"/>
      <c r="I237" s="402">
        <v>1</v>
      </c>
      <c r="J237" s="402">
        <f t="shared" si="13"/>
        <v>0.96923076923076923</v>
      </c>
      <c r="K237" s="402">
        <f t="shared" si="13"/>
        <v>0.93076923076923079</v>
      </c>
      <c r="L237" s="402">
        <f t="shared" si="13"/>
        <v>0.89230769230769225</v>
      </c>
      <c r="M237" s="402">
        <f t="shared" si="13"/>
        <v>0.85384615384615381</v>
      </c>
      <c r="N237" s="402">
        <f t="shared" si="13"/>
        <v>0.81538461538461537</v>
      </c>
      <c r="O237" s="402">
        <f t="shared" si="13"/>
        <v>0.77692307692307683</v>
      </c>
      <c r="P237" s="402">
        <f t="shared" si="13"/>
        <v>0.73846153846153839</v>
      </c>
      <c r="Q237" s="402">
        <v>0.7</v>
      </c>
      <c r="R237" s="242"/>
      <c r="T237" s="20"/>
      <c r="U237" s="20"/>
      <c r="V237" s="20"/>
      <c r="W237" s="20"/>
      <c r="X237" s="20"/>
    </row>
    <row r="238" spans="1:24" s="65" customFormat="1" ht="15" customHeight="1" outlineLevel="2">
      <c r="A238" s="219"/>
      <c r="B238" s="242"/>
      <c r="C238" s="265"/>
      <c r="D238" s="242" t="s">
        <v>1886</v>
      </c>
      <c r="E238" s="121">
        <v>1</v>
      </c>
      <c r="F238" s="242" t="s">
        <v>1426</v>
      </c>
      <c r="G238" s="265"/>
      <c r="H238" s="265"/>
      <c r="I238" s="402">
        <v>0</v>
      </c>
      <c r="J238" s="402">
        <f t="shared" si="13"/>
        <v>4.1025641025641026E-2</v>
      </c>
      <c r="K238" s="402">
        <f t="shared" si="13"/>
        <v>9.2307692307692313E-2</v>
      </c>
      <c r="L238" s="402">
        <f t="shared" si="13"/>
        <v>0.14358974358974358</v>
      </c>
      <c r="M238" s="402">
        <f t="shared" si="13"/>
        <v>0.19487179487179487</v>
      </c>
      <c r="N238" s="402">
        <f t="shared" si="13"/>
        <v>0.24615384615384617</v>
      </c>
      <c r="O238" s="402">
        <f t="shared" si="13"/>
        <v>0.29743589743589743</v>
      </c>
      <c r="P238" s="402">
        <f t="shared" si="13"/>
        <v>0.3487179487179487</v>
      </c>
      <c r="Q238" s="402">
        <v>0.4</v>
      </c>
      <c r="R238" s="242"/>
      <c r="T238" s="20"/>
      <c r="U238" s="20"/>
      <c r="V238" s="20"/>
      <c r="W238" s="20"/>
      <c r="X238" s="20"/>
    </row>
    <row r="239" spans="1:24" s="65" customFormat="1" ht="15" customHeight="1" outlineLevel="2">
      <c r="A239" s="219"/>
      <c r="B239" s="242"/>
      <c r="C239" s="265"/>
      <c r="D239" s="242" t="s">
        <v>1886</v>
      </c>
      <c r="E239" s="121">
        <v>2</v>
      </c>
      <c r="F239" s="242" t="s">
        <v>1426</v>
      </c>
      <c r="G239" s="265"/>
      <c r="H239" s="265"/>
      <c r="I239" s="402">
        <v>0</v>
      </c>
      <c r="J239" s="402">
        <f t="shared" si="13"/>
        <v>5.128205128205128E-2</v>
      </c>
      <c r="K239" s="402">
        <f t="shared" si="13"/>
        <v>0.11538461538461538</v>
      </c>
      <c r="L239" s="402">
        <f t="shared" si="13"/>
        <v>0.17948717948717949</v>
      </c>
      <c r="M239" s="402">
        <f t="shared" si="13"/>
        <v>0.24358974358974358</v>
      </c>
      <c r="N239" s="402">
        <f t="shared" si="13"/>
        <v>0.30769230769230771</v>
      </c>
      <c r="O239" s="402">
        <f t="shared" si="13"/>
        <v>0.37179487179487181</v>
      </c>
      <c r="P239" s="402">
        <f t="shared" si="13"/>
        <v>0.4358974358974359</v>
      </c>
      <c r="Q239" s="402">
        <v>0.5</v>
      </c>
      <c r="R239" s="242"/>
      <c r="T239" s="20"/>
      <c r="U239" s="20"/>
      <c r="V239" s="20"/>
      <c r="W239" s="20"/>
      <c r="X239" s="20"/>
    </row>
    <row r="240" spans="1:24" s="65" customFormat="1" ht="15" customHeight="1" outlineLevel="2">
      <c r="A240" s="219"/>
      <c r="B240" s="242"/>
      <c r="C240" s="265"/>
      <c r="D240" s="242" t="s">
        <v>1886</v>
      </c>
      <c r="E240" s="121">
        <v>3</v>
      </c>
      <c r="F240" s="242" t="s">
        <v>1426</v>
      </c>
      <c r="G240" s="265"/>
      <c r="H240" s="265"/>
      <c r="I240" s="402">
        <v>0</v>
      </c>
      <c r="J240" s="402">
        <f t="shared" si="13"/>
        <v>6.1538461538461535E-2</v>
      </c>
      <c r="K240" s="402">
        <f t="shared" si="13"/>
        <v>0.13846153846153844</v>
      </c>
      <c r="L240" s="402">
        <f t="shared" si="13"/>
        <v>0.21538461538461537</v>
      </c>
      <c r="M240" s="402">
        <f t="shared" si="13"/>
        <v>0.29230769230769227</v>
      </c>
      <c r="N240" s="402">
        <f t="shared" si="13"/>
        <v>0.3692307692307692</v>
      </c>
      <c r="O240" s="402">
        <f t="shared" si="13"/>
        <v>0.44615384615384612</v>
      </c>
      <c r="P240" s="402">
        <f t="shared" si="13"/>
        <v>0.52307692307692299</v>
      </c>
      <c r="Q240" s="402">
        <v>0.6</v>
      </c>
      <c r="R240" s="242"/>
      <c r="T240" s="20"/>
      <c r="U240" s="20"/>
      <c r="V240" s="20"/>
      <c r="W240" s="20"/>
      <c r="X240" s="20"/>
    </row>
    <row r="241" spans="1:24" s="65" customFormat="1" ht="15" customHeight="1" outlineLevel="2">
      <c r="A241" s="219"/>
      <c r="B241" s="242"/>
      <c r="C241" s="265"/>
      <c r="D241" s="242" t="s">
        <v>1886</v>
      </c>
      <c r="E241" s="121">
        <v>4</v>
      </c>
      <c r="F241" s="242" t="s">
        <v>1426</v>
      </c>
      <c r="G241" s="265"/>
      <c r="H241" s="265"/>
      <c r="I241" s="402">
        <v>0</v>
      </c>
      <c r="J241" s="402">
        <f t="shared" si="13"/>
        <v>3.5897435897435895E-2</v>
      </c>
      <c r="K241" s="402">
        <f t="shared" si="13"/>
        <v>8.076923076923076E-2</v>
      </c>
      <c r="L241" s="402">
        <f t="shared" si="13"/>
        <v>0.12564102564102564</v>
      </c>
      <c r="M241" s="402">
        <f t="shared" si="13"/>
        <v>0.17051282051282049</v>
      </c>
      <c r="N241" s="402">
        <f t="shared" si="13"/>
        <v>0.21538461538461537</v>
      </c>
      <c r="O241" s="402">
        <f t="shared" si="13"/>
        <v>0.26025641025641022</v>
      </c>
      <c r="P241" s="402">
        <f t="shared" si="13"/>
        <v>0.3051282051282051</v>
      </c>
      <c r="Q241" s="402">
        <v>0.35</v>
      </c>
      <c r="R241" s="242"/>
      <c r="T241" s="20"/>
      <c r="U241" s="20"/>
      <c r="V241" s="20"/>
      <c r="W241" s="20"/>
      <c r="X241" s="20"/>
    </row>
    <row r="242" spans="1:24" s="65" customFormat="1" ht="15" customHeight="1" outlineLevel="2">
      <c r="A242" s="219"/>
      <c r="B242" s="242"/>
      <c r="C242" s="265"/>
      <c r="D242" s="242" t="s">
        <v>1877</v>
      </c>
      <c r="E242" s="121">
        <v>1</v>
      </c>
      <c r="F242" s="242" t="s">
        <v>1457</v>
      </c>
      <c r="G242" s="265"/>
      <c r="H242" s="265"/>
      <c r="I242" s="402">
        <v>1</v>
      </c>
      <c r="J242" s="402">
        <f t="shared" si="13"/>
        <v>1</v>
      </c>
      <c r="K242" s="402">
        <f t="shared" si="13"/>
        <v>1</v>
      </c>
      <c r="L242" s="402">
        <f t="shared" si="13"/>
        <v>1</v>
      </c>
      <c r="M242" s="402">
        <f t="shared" si="13"/>
        <v>1</v>
      </c>
      <c r="N242" s="402">
        <f t="shared" si="13"/>
        <v>1</v>
      </c>
      <c r="O242" s="402">
        <f t="shared" si="13"/>
        <v>1</v>
      </c>
      <c r="P242" s="402">
        <f t="shared" si="13"/>
        <v>1</v>
      </c>
      <c r="Q242" s="402">
        <v>1</v>
      </c>
      <c r="R242" s="242"/>
      <c r="T242" s="20"/>
      <c r="U242" s="20"/>
      <c r="V242" s="20"/>
      <c r="W242" s="20"/>
      <c r="X242" s="20"/>
    </row>
    <row r="243" spans="1:24" s="65" customFormat="1" ht="15" customHeight="1" outlineLevel="2">
      <c r="A243" s="219"/>
      <c r="B243" s="242"/>
      <c r="C243" s="265"/>
      <c r="D243" s="242" t="s">
        <v>1877</v>
      </c>
      <c r="E243" s="121">
        <v>2</v>
      </c>
      <c r="F243" s="242" t="s">
        <v>1457</v>
      </c>
      <c r="G243" s="265"/>
      <c r="H243" s="265"/>
      <c r="I243" s="402">
        <v>1</v>
      </c>
      <c r="J243" s="402">
        <f t="shared" si="13"/>
        <v>0.98974358974358978</v>
      </c>
      <c r="K243" s="402">
        <f t="shared" si="13"/>
        <v>0.97692307692307689</v>
      </c>
      <c r="L243" s="402">
        <f t="shared" si="13"/>
        <v>0.96410256410256412</v>
      </c>
      <c r="M243" s="402">
        <f t="shared" si="13"/>
        <v>0.95128205128205123</v>
      </c>
      <c r="N243" s="402">
        <f t="shared" si="13"/>
        <v>0.93846153846153846</v>
      </c>
      <c r="O243" s="402">
        <f t="shared" si="13"/>
        <v>0.92564102564102568</v>
      </c>
      <c r="P243" s="402">
        <f t="shared" si="13"/>
        <v>0.9128205128205128</v>
      </c>
      <c r="Q243" s="402">
        <v>0.9</v>
      </c>
      <c r="R243" s="242"/>
      <c r="T243" s="20"/>
      <c r="U243" s="20"/>
      <c r="V243" s="20"/>
      <c r="W243" s="20"/>
      <c r="X243" s="20"/>
    </row>
    <row r="244" spans="1:24" s="65" customFormat="1" ht="15" customHeight="1" outlineLevel="2">
      <c r="A244" s="219"/>
      <c r="B244" s="242"/>
      <c r="C244" s="265"/>
      <c r="D244" s="242" t="s">
        <v>1877</v>
      </c>
      <c r="E244" s="121">
        <v>3</v>
      </c>
      <c r="F244" s="242" t="s">
        <v>1457</v>
      </c>
      <c r="G244" s="265"/>
      <c r="H244" s="265"/>
      <c r="I244" s="402">
        <v>1</v>
      </c>
      <c r="J244" s="402">
        <f t="shared" si="13"/>
        <v>0.97948717948717945</v>
      </c>
      <c r="K244" s="402">
        <f t="shared" si="13"/>
        <v>0.9538461538461539</v>
      </c>
      <c r="L244" s="402">
        <f t="shared" si="13"/>
        <v>0.92820512820512824</v>
      </c>
      <c r="M244" s="402">
        <f t="shared" si="13"/>
        <v>0.90256410256410258</v>
      </c>
      <c r="N244" s="402">
        <f t="shared" si="13"/>
        <v>0.87692307692307692</v>
      </c>
      <c r="O244" s="402">
        <f t="shared" si="13"/>
        <v>0.85128205128205137</v>
      </c>
      <c r="P244" s="402">
        <f t="shared" si="13"/>
        <v>0.82564102564102571</v>
      </c>
      <c r="Q244" s="402">
        <v>0.8</v>
      </c>
      <c r="R244" s="242"/>
      <c r="T244" s="20"/>
      <c r="U244" s="20"/>
      <c r="V244" s="20"/>
      <c r="W244" s="20"/>
      <c r="X244" s="20"/>
    </row>
    <row r="245" spans="1:24" s="65" customFormat="1" ht="15" customHeight="1" outlineLevel="2">
      <c r="A245" s="219"/>
      <c r="B245" s="242"/>
      <c r="C245" s="265"/>
      <c r="D245" s="242" t="s">
        <v>1877</v>
      </c>
      <c r="E245" s="121">
        <v>4</v>
      </c>
      <c r="F245" s="242" t="s">
        <v>1457</v>
      </c>
      <c r="G245" s="265"/>
      <c r="H245" s="265"/>
      <c r="I245" s="402">
        <v>1</v>
      </c>
      <c r="J245" s="402">
        <f t="shared" si="13"/>
        <v>0.96923076923076923</v>
      </c>
      <c r="K245" s="402">
        <f t="shared" si="13"/>
        <v>0.93076923076923079</v>
      </c>
      <c r="L245" s="402">
        <f t="shared" si="13"/>
        <v>0.89230769230769225</v>
      </c>
      <c r="M245" s="402">
        <f t="shared" si="13"/>
        <v>0.85384615384615381</v>
      </c>
      <c r="N245" s="402">
        <f t="shared" si="13"/>
        <v>0.81538461538461537</v>
      </c>
      <c r="O245" s="402">
        <f t="shared" si="13"/>
        <v>0.77692307692307683</v>
      </c>
      <c r="P245" s="402">
        <f t="shared" si="13"/>
        <v>0.73846153846153839</v>
      </c>
      <c r="Q245" s="402">
        <v>0.7</v>
      </c>
      <c r="R245" s="242"/>
      <c r="T245" s="20"/>
      <c r="U245" s="20"/>
      <c r="V245" s="20"/>
      <c r="W245" s="20"/>
      <c r="X245" s="20"/>
    </row>
    <row r="246" spans="1:24" s="65" customFormat="1" ht="15" customHeight="1" outlineLevel="2">
      <c r="A246" s="219"/>
      <c r="B246" s="242"/>
      <c r="C246" s="265"/>
      <c r="D246" s="242" t="s">
        <v>1882</v>
      </c>
      <c r="E246" s="121">
        <v>1</v>
      </c>
      <c r="F246" s="242" t="s">
        <v>1457</v>
      </c>
      <c r="G246" s="265"/>
      <c r="H246" s="265"/>
      <c r="I246" s="402">
        <v>1</v>
      </c>
      <c r="J246" s="402">
        <f t="shared" si="13"/>
        <v>1</v>
      </c>
      <c r="K246" s="402">
        <f t="shared" si="13"/>
        <v>1</v>
      </c>
      <c r="L246" s="402">
        <f t="shared" si="13"/>
        <v>1</v>
      </c>
      <c r="M246" s="402">
        <f t="shared" si="13"/>
        <v>1</v>
      </c>
      <c r="N246" s="402">
        <f t="shared" si="13"/>
        <v>1</v>
      </c>
      <c r="O246" s="402">
        <f t="shared" si="13"/>
        <v>1</v>
      </c>
      <c r="P246" s="402">
        <f t="shared" si="13"/>
        <v>1</v>
      </c>
      <c r="Q246" s="402">
        <v>1</v>
      </c>
      <c r="R246" s="242"/>
      <c r="T246" s="20"/>
      <c r="U246" s="20"/>
      <c r="V246" s="20"/>
      <c r="W246" s="20"/>
      <c r="X246" s="20"/>
    </row>
    <row r="247" spans="1:24" s="65" customFormat="1" ht="15" customHeight="1" outlineLevel="2">
      <c r="A247" s="219"/>
      <c r="B247" s="242"/>
      <c r="C247" s="265"/>
      <c r="D247" s="242" t="s">
        <v>1882</v>
      </c>
      <c r="E247" s="121">
        <v>2</v>
      </c>
      <c r="F247" s="242" t="s">
        <v>1457</v>
      </c>
      <c r="G247" s="265"/>
      <c r="H247" s="265"/>
      <c r="I247" s="402">
        <v>1</v>
      </c>
      <c r="J247" s="402">
        <f t="shared" si="13"/>
        <v>0.98974358974358978</v>
      </c>
      <c r="K247" s="402">
        <f t="shared" si="13"/>
        <v>0.97692307692307689</v>
      </c>
      <c r="L247" s="402">
        <f t="shared" si="13"/>
        <v>0.96410256410256412</v>
      </c>
      <c r="M247" s="402">
        <f t="shared" si="13"/>
        <v>0.95128205128205123</v>
      </c>
      <c r="N247" s="402">
        <f t="shared" si="13"/>
        <v>0.93846153846153846</v>
      </c>
      <c r="O247" s="402">
        <f t="shared" si="13"/>
        <v>0.92564102564102568</v>
      </c>
      <c r="P247" s="402">
        <f t="shared" si="13"/>
        <v>0.9128205128205128</v>
      </c>
      <c r="Q247" s="402">
        <v>0.9</v>
      </c>
      <c r="R247" s="242"/>
      <c r="T247" s="20"/>
      <c r="U247" s="20"/>
      <c r="V247" s="20"/>
      <c r="W247" s="20"/>
      <c r="X247" s="20"/>
    </row>
    <row r="248" spans="1:24" s="65" customFormat="1" ht="15" customHeight="1" outlineLevel="2">
      <c r="A248" s="219"/>
      <c r="B248" s="242"/>
      <c r="C248" s="265"/>
      <c r="D248" s="242" t="s">
        <v>1882</v>
      </c>
      <c r="E248" s="121">
        <v>3</v>
      </c>
      <c r="F248" s="242" t="s">
        <v>1457</v>
      </c>
      <c r="G248" s="265"/>
      <c r="H248" s="265"/>
      <c r="I248" s="402">
        <v>1</v>
      </c>
      <c r="J248" s="402">
        <f t="shared" si="13"/>
        <v>0.97948717948717945</v>
      </c>
      <c r="K248" s="402">
        <f t="shared" si="13"/>
        <v>0.9538461538461539</v>
      </c>
      <c r="L248" s="402">
        <f t="shared" si="13"/>
        <v>0.92820512820512824</v>
      </c>
      <c r="M248" s="402">
        <f t="shared" si="13"/>
        <v>0.90256410256410258</v>
      </c>
      <c r="N248" s="402">
        <f t="shared" si="13"/>
        <v>0.87692307692307692</v>
      </c>
      <c r="O248" s="402">
        <f t="shared" si="13"/>
        <v>0.85128205128205137</v>
      </c>
      <c r="P248" s="402">
        <f t="shared" si="13"/>
        <v>0.82564102564102571</v>
      </c>
      <c r="Q248" s="402">
        <v>0.8</v>
      </c>
      <c r="R248" s="242"/>
      <c r="T248" s="20"/>
      <c r="U248" s="20"/>
      <c r="V248" s="20"/>
      <c r="W248" s="20"/>
      <c r="X248" s="20"/>
    </row>
    <row r="249" spans="1:24" s="65" customFormat="1" ht="15" customHeight="1" outlineLevel="2">
      <c r="A249" s="219"/>
      <c r="B249" s="242"/>
      <c r="C249" s="265"/>
      <c r="D249" s="242" t="s">
        <v>1882</v>
      </c>
      <c r="E249" s="121">
        <v>4</v>
      </c>
      <c r="F249" s="242" t="s">
        <v>1457</v>
      </c>
      <c r="G249" s="265"/>
      <c r="H249" s="265"/>
      <c r="I249" s="402">
        <v>1</v>
      </c>
      <c r="J249" s="402">
        <f t="shared" si="13"/>
        <v>0.96923076923076923</v>
      </c>
      <c r="K249" s="402">
        <f t="shared" si="13"/>
        <v>0.93076923076923079</v>
      </c>
      <c r="L249" s="402">
        <f t="shared" si="13"/>
        <v>0.89230769230769225</v>
      </c>
      <c r="M249" s="402">
        <f t="shared" si="13"/>
        <v>0.85384615384615381</v>
      </c>
      <c r="N249" s="402">
        <f t="shared" si="13"/>
        <v>0.81538461538461537</v>
      </c>
      <c r="O249" s="402">
        <f t="shared" si="13"/>
        <v>0.77692307692307683</v>
      </c>
      <c r="P249" s="402">
        <f t="shared" si="13"/>
        <v>0.73846153846153839</v>
      </c>
      <c r="Q249" s="402">
        <v>0.7</v>
      </c>
      <c r="R249" s="242"/>
      <c r="T249" s="20"/>
      <c r="U249" s="20"/>
      <c r="V249" s="20"/>
      <c r="W249" s="20"/>
      <c r="X249" s="20"/>
    </row>
    <row r="250" spans="1:24" s="65" customFormat="1" ht="15" customHeight="1" outlineLevel="2">
      <c r="A250" s="219"/>
      <c r="B250" s="242"/>
      <c r="C250" s="265"/>
      <c r="D250" s="242" t="s">
        <v>1887</v>
      </c>
      <c r="E250" s="121">
        <v>1</v>
      </c>
      <c r="F250" s="242" t="s">
        <v>1457</v>
      </c>
      <c r="G250" s="265"/>
      <c r="H250" s="265"/>
      <c r="I250" s="402">
        <v>0</v>
      </c>
      <c r="J250" s="402">
        <f t="shared" si="13"/>
        <v>4.1025641025641026E-2</v>
      </c>
      <c r="K250" s="402">
        <f t="shared" si="13"/>
        <v>9.2307692307692313E-2</v>
      </c>
      <c r="L250" s="402">
        <f t="shared" si="13"/>
        <v>0.14358974358974358</v>
      </c>
      <c r="M250" s="402">
        <f t="shared" si="13"/>
        <v>0.19487179487179487</v>
      </c>
      <c r="N250" s="402">
        <f t="shared" si="13"/>
        <v>0.24615384615384617</v>
      </c>
      <c r="O250" s="402">
        <f t="shared" si="13"/>
        <v>0.29743589743589743</v>
      </c>
      <c r="P250" s="402">
        <f t="shared" si="13"/>
        <v>0.3487179487179487</v>
      </c>
      <c r="Q250" s="402">
        <v>0.4</v>
      </c>
      <c r="R250" s="242"/>
      <c r="T250" s="20"/>
      <c r="U250" s="20"/>
      <c r="V250" s="20"/>
      <c r="W250" s="20"/>
      <c r="X250" s="20"/>
    </row>
    <row r="251" spans="1:24" s="65" customFormat="1" ht="15" customHeight="1" outlineLevel="2">
      <c r="A251" s="219"/>
      <c r="B251" s="242"/>
      <c r="C251" s="265"/>
      <c r="D251" s="242" t="s">
        <v>1887</v>
      </c>
      <c r="E251" s="121">
        <v>2</v>
      </c>
      <c r="F251" s="242" t="s">
        <v>1457</v>
      </c>
      <c r="G251" s="265"/>
      <c r="H251" s="265"/>
      <c r="I251" s="402">
        <v>0</v>
      </c>
      <c r="J251" s="402">
        <f t="shared" si="13"/>
        <v>5.128205128205128E-2</v>
      </c>
      <c r="K251" s="402">
        <f t="shared" si="13"/>
        <v>0.11538461538461538</v>
      </c>
      <c r="L251" s="402">
        <f t="shared" si="13"/>
        <v>0.17948717948717949</v>
      </c>
      <c r="M251" s="402">
        <f t="shared" si="13"/>
        <v>0.24358974358974358</v>
      </c>
      <c r="N251" s="402">
        <f t="shared" si="13"/>
        <v>0.30769230769230771</v>
      </c>
      <c r="O251" s="402">
        <f t="shared" si="13"/>
        <v>0.37179487179487181</v>
      </c>
      <c r="P251" s="402">
        <f t="shared" si="13"/>
        <v>0.4358974358974359</v>
      </c>
      <c r="Q251" s="402">
        <v>0.5</v>
      </c>
      <c r="R251" s="242"/>
      <c r="T251" s="20"/>
      <c r="U251" s="20"/>
      <c r="V251" s="20"/>
      <c r="W251" s="20"/>
      <c r="X251" s="20"/>
    </row>
    <row r="252" spans="1:24" s="65" customFormat="1" ht="15" customHeight="1" outlineLevel="2">
      <c r="A252" s="219"/>
      <c r="B252" s="242"/>
      <c r="C252" s="265"/>
      <c r="D252" s="242" t="s">
        <v>1887</v>
      </c>
      <c r="E252" s="121">
        <v>3</v>
      </c>
      <c r="F252" s="242" t="s">
        <v>1457</v>
      </c>
      <c r="G252" s="265"/>
      <c r="H252" s="265"/>
      <c r="I252" s="402">
        <v>0</v>
      </c>
      <c r="J252" s="402">
        <f t="shared" si="13"/>
        <v>6.1538461538461535E-2</v>
      </c>
      <c r="K252" s="402">
        <f t="shared" si="13"/>
        <v>0.13846153846153844</v>
      </c>
      <c r="L252" s="402">
        <f t="shared" si="13"/>
        <v>0.21538461538461537</v>
      </c>
      <c r="M252" s="402">
        <f t="shared" si="13"/>
        <v>0.29230769230769227</v>
      </c>
      <c r="N252" s="402">
        <f t="shared" si="13"/>
        <v>0.3692307692307692</v>
      </c>
      <c r="O252" s="402">
        <f t="shared" si="13"/>
        <v>0.44615384615384612</v>
      </c>
      <c r="P252" s="402">
        <f t="shared" si="13"/>
        <v>0.52307692307692299</v>
      </c>
      <c r="Q252" s="402">
        <v>0.6</v>
      </c>
      <c r="R252" s="242"/>
      <c r="T252" s="20"/>
      <c r="U252" s="20"/>
      <c r="V252" s="20"/>
      <c r="W252" s="20"/>
      <c r="X252" s="20"/>
    </row>
    <row r="253" spans="1:24" s="65" customFormat="1" ht="15" customHeight="1" outlineLevel="2">
      <c r="A253" s="219"/>
      <c r="B253" s="242"/>
      <c r="C253" s="265"/>
      <c r="D253" s="242" t="s">
        <v>1887</v>
      </c>
      <c r="E253" s="121">
        <v>4</v>
      </c>
      <c r="F253" s="242" t="s">
        <v>1457</v>
      </c>
      <c r="G253" s="265"/>
      <c r="H253" s="265"/>
      <c r="I253" s="402">
        <v>0</v>
      </c>
      <c r="J253" s="402">
        <f t="shared" si="13"/>
        <v>3.5897435897435895E-2</v>
      </c>
      <c r="K253" s="402">
        <f t="shared" si="13"/>
        <v>8.076923076923076E-2</v>
      </c>
      <c r="L253" s="402">
        <f t="shared" si="13"/>
        <v>0.12564102564102564</v>
      </c>
      <c r="M253" s="402">
        <f t="shared" si="13"/>
        <v>0.17051282051282049</v>
      </c>
      <c r="N253" s="402">
        <f t="shared" si="13"/>
        <v>0.21538461538461537</v>
      </c>
      <c r="O253" s="402">
        <f t="shared" si="13"/>
        <v>0.26025641025641022</v>
      </c>
      <c r="P253" s="402">
        <f t="shared" si="13"/>
        <v>0.3051282051282051</v>
      </c>
      <c r="Q253" s="402">
        <v>0.35</v>
      </c>
      <c r="R253" s="242"/>
      <c r="T253" s="20"/>
      <c r="U253" s="20"/>
      <c r="V253" s="20"/>
      <c r="W253" s="20"/>
      <c r="X253" s="20"/>
    </row>
    <row r="254" spans="1:24" s="65" customFormat="1" ht="15" customHeight="1" outlineLevel="2">
      <c r="A254" s="219"/>
      <c r="B254" s="242"/>
      <c r="C254" s="242"/>
      <c r="D254" s="242"/>
      <c r="E254" s="121"/>
      <c r="F254" s="242"/>
      <c r="G254" s="242"/>
      <c r="H254" s="242"/>
      <c r="I254" s="242"/>
      <c r="J254" s="242"/>
      <c r="K254" s="242"/>
      <c r="L254" s="242"/>
      <c r="M254" s="242"/>
      <c r="N254" s="242"/>
      <c r="O254" s="242"/>
      <c r="P254" s="242"/>
      <c r="Q254" s="242"/>
      <c r="R254" s="242"/>
      <c r="T254" s="20"/>
      <c r="U254" s="20"/>
      <c r="V254" s="20"/>
      <c r="W254" s="20"/>
      <c r="X254" s="20"/>
    </row>
    <row r="255" spans="1:24" s="65" customFormat="1" ht="15" customHeight="1" outlineLevel="1">
      <c r="A255" s="219"/>
      <c r="B255" s="242"/>
      <c r="C255" s="244" t="s">
        <v>1463</v>
      </c>
      <c r="D255" s="242"/>
      <c r="E255" s="121"/>
      <c r="F255" s="242"/>
      <c r="G255" s="242"/>
      <c r="H255" s="242"/>
      <c r="I255" s="242"/>
      <c r="J255" s="242"/>
      <c r="K255" s="242"/>
      <c r="L255" s="242"/>
      <c r="M255" s="242"/>
      <c r="N255" s="242"/>
      <c r="O255" s="242"/>
      <c r="P255" s="242"/>
      <c r="Q255" s="242"/>
      <c r="R255" s="242"/>
      <c r="T255" s="179" t="str">
        <f>$T$6</f>
        <v>Source</v>
      </c>
      <c r="U255" s="179" t="str">
        <f>$U$6</f>
        <v>Link</v>
      </c>
      <c r="V255" s="179" t="str">
        <f>$V$6</f>
        <v>Risk (Green, Amber/Green, Amber, Red/Amber, Red)</v>
      </c>
      <c r="W255" s="179" t="s">
        <v>869</v>
      </c>
      <c r="X255" s="179" t="str">
        <f>$X$6</f>
        <v>Comment author</v>
      </c>
    </row>
    <row r="256" spans="1:24" s="65" customFormat="1" ht="15" customHeight="1" outlineLevel="2">
      <c r="A256" s="219"/>
      <c r="B256" s="242"/>
      <c r="C256" s="244"/>
      <c r="D256" s="242"/>
      <c r="E256" s="121"/>
      <c r="F256" s="242"/>
      <c r="G256" s="242"/>
      <c r="H256" s="242"/>
      <c r="I256" s="242"/>
      <c r="J256" s="242"/>
      <c r="K256" s="242"/>
      <c r="L256" s="242"/>
      <c r="M256" s="242"/>
      <c r="N256" s="242"/>
      <c r="O256" s="242"/>
      <c r="P256" s="242"/>
      <c r="Q256" s="242"/>
      <c r="R256" s="242"/>
      <c r="T256" s="20"/>
      <c r="U256" s="20"/>
      <c r="V256" s="20"/>
      <c r="W256" s="20"/>
      <c r="X256" s="20"/>
    </row>
    <row r="257" spans="1:25" s="65" customFormat="1" ht="15" customHeight="1" outlineLevel="2">
      <c r="A257" s="219"/>
      <c r="B257" s="242"/>
      <c r="C257" s="244" t="s">
        <v>1646</v>
      </c>
      <c r="D257" s="242"/>
      <c r="E257" s="242"/>
      <c r="F257" s="242"/>
      <c r="G257" s="242"/>
      <c r="H257" s="242"/>
      <c r="I257" s="242"/>
      <c r="J257" s="242"/>
      <c r="K257" s="242"/>
      <c r="L257" s="242"/>
      <c r="M257" s="242"/>
      <c r="N257" s="242"/>
      <c r="O257" s="242"/>
      <c r="P257" s="242"/>
      <c r="Q257" s="242" t="s">
        <v>511</v>
      </c>
      <c r="R257" s="242"/>
      <c r="T257" s="20"/>
      <c r="U257" s="20"/>
      <c r="V257" s="20"/>
      <c r="W257" s="20"/>
      <c r="X257" s="20"/>
    </row>
    <row r="258" spans="1:25" s="65" customFormat="1" ht="15" customHeight="1" outlineLevel="2">
      <c r="A258" s="219"/>
      <c r="B258" s="242"/>
      <c r="C258" s="242"/>
      <c r="D258" s="242"/>
      <c r="E258" s="242"/>
      <c r="F258" s="242"/>
      <c r="G258" s="242"/>
      <c r="H258" s="242"/>
      <c r="I258" s="242"/>
      <c r="J258" s="242"/>
      <c r="K258" s="242"/>
      <c r="L258" s="242"/>
      <c r="M258" s="242"/>
      <c r="N258" s="242"/>
      <c r="O258" s="242"/>
      <c r="P258" s="242"/>
      <c r="Q258" s="242"/>
      <c r="R258" s="242"/>
      <c r="T258" s="20"/>
      <c r="U258" s="20"/>
      <c r="V258" s="20"/>
      <c r="W258" s="20"/>
      <c r="X258" s="20"/>
    </row>
    <row r="259" spans="1:25" s="65" customFormat="1" ht="15" customHeight="1" outlineLevel="2">
      <c r="A259" s="219"/>
      <c r="B259" s="242"/>
      <c r="C259" s="247" t="s">
        <v>454</v>
      </c>
      <c r="D259" s="247" t="s">
        <v>241</v>
      </c>
      <c r="E259" s="121" t="s">
        <v>207</v>
      </c>
      <c r="F259" s="247" t="s">
        <v>274</v>
      </c>
      <c r="G259" s="247" t="s">
        <v>509</v>
      </c>
      <c r="H259" s="247" t="s">
        <v>510</v>
      </c>
      <c r="I259" s="183" t="s">
        <v>1107</v>
      </c>
      <c r="J259" s="247" t="s">
        <v>210</v>
      </c>
      <c r="K259" s="247" t="s">
        <v>211</v>
      </c>
      <c r="L259" s="247" t="s">
        <v>212</v>
      </c>
      <c r="M259" s="247" t="s">
        <v>213</v>
      </c>
      <c r="N259" s="247" t="s">
        <v>214</v>
      </c>
      <c r="O259" s="247" t="s">
        <v>215</v>
      </c>
      <c r="P259" s="247" t="s">
        <v>216</v>
      </c>
      <c r="Q259" s="247" t="s">
        <v>217</v>
      </c>
      <c r="R259" s="242"/>
      <c r="T259" s="179" t="str">
        <f>$T$6</f>
        <v>Source</v>
      </c>
      <c r="U259" s="179" t="str">
        <f>$U$6</f>
        <v>Link</v>
      </c>
      <c r="V259" s="179" t="str">
        <f>$V$6</f>
        <v>Risk (Green, Amber/Green, Amber, Red/Amber, Red)</v>
      </c>
      <c r="W259" s="179" t="s">
        <v>869</v>
      </c>
      <c r="X259" s="179" t="str">
        <f>$X$6</f>
        <v>Comment author</v>
      </c>
    </row>
    <row r="260" spans="1:25" s="65" customFormat="1" ht="15" customHeight="1" outlineLevel="2">
      <c r="A260" s="219"/>
      <c r="B260" s="242"/>
      <c r="C260" s="242" t="s">
        <v>1376</v>
      </c>
      <c r="D260" s="121" t="str">
        <f>INDEX(Regional.Technologies[Description],MATCH($B$2&amp;"."&amp;G.30.levels.ProcessImprovements[[#This Row],[Technology code]],Regional.Technologies[Code],0))</f>
        <v>Global Electricity use in the Oxygen steel technology</v>
      </c>
      <c r="E260" s="121">
        <v>1</v>
      </c>
      <c r="F260" s="242" t="s">
        <v>1611</v>
      </c>
      <c r="G260" s="242"/>
      <c r="H260" s="242"/>
      <c r="I260" s="402">
        <v>0</v>
      </c>
      <c r="J260" s="402">
        <f t="shared" ref="J260:P296" si="14">(($Q260-$I260)/($Q$121-$I$121))*(J$121-$I$121)+$I260</f>
        <v>0</v>
      </c>
      <c r="K260" s="402">
        <f t="shared" si="14"/>
        <v>0</v>
      </c>
      <c r="L260" s="402">
        <f t="shared" si="14"/>
        <v>0</v>
      </c>
      <c r="M260" s="402">
        <f t="shared" si="14"/>
        <v>0</v>
      </c>
      <c r="N260" s="402">
        <f t="shared" si="14"/>
        <v>0</v>
      </c>
      <c r="O260" s="402">
        <f t="shared" si="14"/>
        <v>0</v>
      </c>
      <c r="P260" s="402">
        <f t="shared" si="14"/>
        <v>0</v>
      </c>
      <c r="Q260" s="402">
        <v>0</v>
      </c>
      <c r="R260" s="242"/>
      <c r="T260" s="214" t="s">
        <v>2164</v>
      </c>
      <c r="U260" s="20"/>
      <c r="V260" s="20"/>
      <c r="W260" s="214" t="s">
        <v>2166</v>
      </c>
      <c r="X260" s="20"/>
      <c r="Y260" s="355"/>
    </row>
    <row r="261" spans="1:25" s="65" customFormat="1" ht="15" customHeight="1" outlineLevel="2">
      <c r="A261" s="219"/>
      <c r="B261" s="242"/>
      <c r="C261" s="242" t="s">
        <v>1376</v>
      </c>
      <c r="D261" s="121" t="str">
        <f>INDEX(Regional.Technologies[Description],MATCH($B$2&amp;"."&amp;G.30.levels.ProcessImprovements[[#This Row],[Technology code]],Regional.Technologies[Code],0))</f>
        <v>Global Electricity use in the Oxygen steel technology</v>
      </c>
      <c r="E261" s="121">
        <v>2</v>
      </c>
      <c r="F261" s="242" t="s">
        <v>1611</v>
      </c>
      <c r="G261" s="242"/>
      <c r="H261" s="242"/>
      <c r="I261" s="402">
        <v>0</v>
      </c>
      <c r="J261" s="402">
        <f t="shared" si="14"/>
        <v>2.564102564102564E-2</v>
      </c>
      <c r="K261" s="402">
        <f t="shared" si="14"/>
        <v>5.7692307692307689E-2</v>
      </c>
      <c r="L261" s="402">
        <f t="shared" si="14"/>
        <v>8.9743589743589744E-2</v>
      </c>
      <c r="M261" s="402">
        <f t="shared" si="14"/>
        <v>0.12179487179487179</v>
      </c>
      <c r="N261" s="402">
        <f t="shared" si="14"/>
        <v>0.15384615384615385</v>
      </c>
      <c r="O261" s="402">
        <f t="shared" si="14"/>
        <v>0.1858974358974359</v>
      </c>
      <c r="P261" s="402">
        <f t="shared" si="14"/>
        <v>0.21794871794871795</v>
      </c>
      <c r="Q261" s="402">
        <v>0.25</v>
      </c>
      <c r="R261" s="242"/>
      <c r="T261" s="214" t="s">
        <v>2164</v>
      </c>
      <c r="U261" s="20"/>
      <c r="V261" s="20"/>
      <c r="W261" s="20"/>
      <c r="X261" s="20"/>
    </row>
    <row r="262" spans="1:25" s="65" customFormat="1" ht="15" customHeight="1" outlineLevel="2">
      <c r="A262" s="219"/>
      <c r="B262" s="242"/>
      <c r="C262" s="242" t="s">
        <v>1376</v>
      </c>
      <c r="D262" s="121" t="str">
        <f>INDEX(Regional.Technologies[Description],MATCH($B$2&amp;"."&amp;G.30.levels.ProcessImprovements[[#This Row],[Technology code]],Regional.Technologies[Code],0))</f>
        <v>Global Electricity use in the Oxygen steel technology</v>
      </c>
      <c r="E262" s="121">
        <v>3</v>
      </c>
      <c r="F262" s="242" t="s">
        <v>1611</v>
      </c>
      <c r="G262" s="242"/>
      <c r="H262" s="242"/>
      <c r="I262" s="402">
        <v>0</v>
      </c>
      <c r="J262" s="402">
        <f t="shared" si="14"/>
        <v>5.128205128205128E-2</v>
      </c>
      <c r="K262" s="402">
        <f t="shared" si="14"/>
        <v>0.11538461538461538</v>
      </c>
      <c r="L262" s="402">
        <f t="shared" si="14"/>
        <v>0.17948717948717949</v>
      </c>
      <c r="M262" s="402">
        <f t="shared" si="14"/>
        <v>0.24358974358974358</v>
      </c>
      <c r="N262" s="402">
        <f t="shared" si="14"/>
        <v>0.30769230769230771</v>
      </c>
      <c r="O262" s="402">
        <f t="shared" si="14"/>
        <v>0.37179487179487181</v>
      </c>
      <c r="P262" s="402">
        <f t="shared" si="14"/>
        <v>0.4358974358974359</v>
      </c>
      <c r="Q262" s="402">
        <v>0.5</v>
      </c>
      <c r="R262" s="242"/>
      <c r="T262" s="214" t="s">
        <v>2164</v>
      </c>
      <c r="U262" s="20"/>
      <c r="V262" s="20"/>
      <c r="W262" s="20"/>
      <c r="X262" s="20"/>
    </row>
    <row r="263" spans="1:25" s="65" customFormat="1" ht="15" customHeight="1" outlineLevel="2">
      <c r="A263" s="219"/>
      <c r="B263" s="242"/>
      <c r="C263" s="242" t="s">
        <v>1376</v>
      </c>
      <c r="D263" s="121" t="str">
        <f>INDEX(Regional.Technologies[Description],MATCH($B$2&amp;"."&amp;G.30.levels.ProcessImprovements[[#This Row],[Technology code]],Regional.Technologies[Code],0))</f>
        <v>Global Electricity use in the Oxygen steel technology</v>
      </c>
      <c r="E263" s="121">
        <v>4</v>
      </c>
      <c r="F263" s="242" t="s">
        <v>1611</v>
      </c>
      <c r="G263" s="242"/>
      <c r="H263" s="242"/>
      <c r="I263" s="402">
        <v>0</v>
      </c>
      <c r="J263" s="402">
        <f t="shared" si="14"/>
        <v>0.10256410256410256</v>
      </c>
      <c r="K263" s="402">
        <f t="shared" si="14"/>
        <v>0.23076923076923075</v>
      </c>
      <c r="L263" s="402">
        <f t="shared" si="14"/>
        <v>0.35897435897435898</v>
      </c>
      <c r="M263" s="402">
        <f t="shared" si="14"/>
        <v>0.48717948717948717</v>
      </c>
      <c r="N263" s="402">
        <f t="shared" si="14"/>
        <v>0.61538461538461542</v>
      </c>
      <c r="O263" s="402">
        <f t="shared" si="14"/>
        <v>0.74358974358974361</v>
      </c>
      <c r="P263" s="402">
        <f t="shared" si="14"/>
        <v>0.87179487179487181</v>
      </c>
      <c r="Q263" s="402">
        <v>1</v>
      </c>
      <c r="R263" s="242"/>
      <c r="T263" s="214" t="s">
        <v>2164</v>
      </c>
      <c r="U263" s="20"/>
      <c r="V263" s="20"/>
      <c r="W263" s="20"/>
      <c r="X263" s="20"/>
    </row>
    <row r="264" spans="1:25" s="65" customFormat="1" ht="15" customHeight="1" outlineLevel="2">
      <c r="A264" s="219"/>
      <c r="B264" s="242"/>
      <c r="C264" s="242" t="s">
        <v>1798</v>
      </c>
      <c r="D264" s="121" t="str">
        <f>INDEX(Regional.Technologies[Description],MATCH($B$2&amp;"."&amp;G.30.levels.ProcessImprovements[[#This Row],[Technology code]],Regional.Technologies[Code],0))</f>
        <v>Global Coal use in the Oxygen steel technology</v>
      </c>
      <c r="E264" s="121">
        <v>1</v>
      </c>
      <c r="F264" s="242" t="s">
        <v>1611</v>
      </c>
      <c r="G264" s="242"/>
      <c r="H264" s="242"/>
      <c r="I264" s="402">
        <v>0</v>
      </c>
      <c r="J264" s="402">
        <f t="shared" si="14"/>
        <v>0</v>
      </c>
      <c r="K264" s="402">
        <f t="shared" si="14"/>
        <v>0</v>
      </c>
      <c r="L264" s="402">
        <f t="shared" si="14"/>
        <v>0</v>
      </c>
      <c r="M264" s="402">
        <f t="shared" si="14"/>
        <v>0</v>
      </c>
      <c r="N264" s="402">
        <f t="shared" si="14"/>
        <v>0</v>
      </c>
      <c r="O264" s="402">
        <f t="shared" si="14"/>
        <v>0</v>
      </c>
      <c r="P264" s="402">
        <f t="shared" si="14"/>
        <v>0</v>
      </c>
      <c r="Q264" s="402">
        <v>0</v>
      </c>
      <c r="R264" s="242"/>
      <c r="T264" s="214" t="s">
        <v>2164</v>
      </c>
      <c r="U264" s="20"/>
      <c r="V264" s="20"/>
      <c r="W264" s="20"/>
      <c r="X264" s="20"/>
    </row>
    <row r="265" spans="1:25" s="65" customFormat="1" ht="15" customHeight="1" outlineLevel="2">
      <c r="A265" s="219"/>
      <c r="B265" s="242"/>
      <c r="C265" s="242" t="s">
        <v>1798</v>
      </c>
      <c r="D265" s="121" t="str">
        <f>INDEX(Regional.Technologies[Description],MATCH($B$2&amp;"."&amp;G.30.levels.ProcessImprovements[[#This Row],[Technology code]],Regional.Technologies[Code],0))</f>
        <v>Global Coal use in the Oxygen steel technology</v>
      </c>
      <c r="E265" s="121">
        <v>2</v>
      </c>
      <c r="F265" s="242" t="s">
        <v>1611</v>
      </c>
      <c r="G265" s="242"/>
      <c r="H265" s="242"/>
      <c r="I265" s="402">
        <v>0</v>
      </c>
      <c r="J265" s="402">
        <f t="shared" si="14"/>
        <v>2.564102564102564E-2</v>
      </c>
      <c r="K265" s="402">
        <f t="shared" si="14"/>
        <v>5.7692307692307689E-2</v>
      </c>
      <c r="L265" s="402">
        <f t="shared" si="14"/>
        <v>8.9743589743589744E-2</v>
      </c>
      <c r="M265" s="402">
        <f t="shared" si="14"/>
        <v>0.12179487179487179</v>
      </c>
      <c r="N265" s="402">
        <f t="shared" si="14"/>
        <v>0.15384615384615385</v>
      </c>
      <c r="O265" s="402">
        <f t="shared" si="14"/>
        <v>0.1858974358974359</v>
      </c>
      <c r="P265" s="402">
        <f t="shared" si="14"/>
        <v>0.21794871794871795</v>
      </c>
      <c r="Q265" s="402">
        <v>0.25</v>
      </c>
      <c r="R265" s="242"/>
      <c r="T265" s="214" t="s">
        <v>2164</v>
      </c>
      <c r="U265" s="20"/>
      <c r="V265" s="20"/>
      <c r="W265" s="20"/>
      <c r="X265" s="20"/>
    </row>
    <row r="266" spans="1:25" s="65" customFormat="1" ht="15" customHeight="1" outlineLevel="2">
      <c r="A266" s="219"/>
      <c r="B266" s="242"/>
      <c r="C266" s="242" t="s">
        <v>1798</v>
      </c>
      <c r="D266" s="121" t="str">
        <f>INDEX(Regional.Technologies[Description],MATCH($B$2&amp;"."&amp;G.30.levels.ProcessImprovements[[#This Row],[Technology code]],Regional.Technologies[Code],0))</f>
        <v>Global Coal use in the Oxygen steel technology</v>
      </c>
      <c r="E266" s="121">
        <v>3</v>
      </c>
      <c r="F266" s="242" t="s">
        <v>1611</v>
      </c>
      <c r="G266" s="242"/>
      <c r="H266" s="242"/>
      <c r="I266" s="402">
        <v>0</v>
      </c>
      <c r="J266" s="402">
        <f t="shared" si="14"/>
        <v>5.128205128205128E-2</v>
      </c>
      <c r="K266" s="402">
        <f t="shared" si="14"/>
        <v>0.11538461538461538</v>
      </c>
      <c r="L266" s="402">
        <f t="shared" si="14"/>
        <v>0.17948717948717949</v>
      </c>
      <c r="M266" s="402">
        <f t="shared" si="14"/>
        <v>0.24358974358974358</v>
      </c>
      <c r="N266" s="402">
        <f t="shared" si="14"/>
        <v>0.30769230769230771</v>
      </c>
      <c r="O266" s="402">
        <f t="shared" si="14"/>
        <v>0.37179487179487181</v>
      </c>
      <c r="P266" s="402">
        <f t="shared" si="14"/>
        <v>0.4358974358974359</v>
      </c>
      <c r="Q266" s="402">
        <v>0.5</v>
      </c>
      <c r="R266" s="242"/>
      <c r="T266" s="214" t="s">
        <v>2164</v>
      </c>
      <c r="U266" s="20"/>
      <c r="V266" s="20"/>
      <c r="W266" s="20"/>
      <c r="X266" s="20"/>
    </row>
    <row r="267" spans="1:25" s="65" customFormat="1" ht="15" customHeight="1" outlineLevel="2">
      <c r="A267" s="219"/>
      <c r="B267" s="242"/>
      <c r="C267" s="242" t="s">
        <v>1798</v>
      </c>
      <c r="D267" s="121" t="str">
        <f>INDEX(Regional.Technologies[Description],MATCH($B$2&amp;"."&amp;G.30.levels.ProcessImprovements[[#This Row],[Technology code]],Regional.Technologies[Code],0))</f>
        <v>Global Coal use in the Oxygen steel technology</v>
      </c>
      <c r="E267" s="121">
        <v>4</v>
      </c>
      <c r="F267" s="242" t="s">
        <v>1611</v>
      </c>
      <c r="G267" s="242"/>
      <c r="H267" s="242"/>
      <c r="I267" s="402">
        <v>0</v>
      </c>
      <c r="J267" s="402">
        <f t="shared" si="14"/>
        <v>0.10256410256410256</v>
      </c>
      <c r="K267" s="402">
        <f t="shared" si="14"/>
        <v>0.23076923076923075</v>
      </c>
      <c r="L267" s="402">
        <f t="shared" si="14"/>
        <v>0.35897435897435898</v>
      </c>
      <c r="M267" s="402">
        <f t="shared" si="14"/>
        <v>0.48717948717948717</v>
      </c>
      <c r="N267" s="402">
        <f t="shared" si="14"/>
        <v>0.61538461538461542</v>
      </c>
      <c r="O267" s="402">
        <f t="shared" si="14"/>
        <v>0.74358974358974361</v>
      </c>
      <c r="P267" s="402">
        <f t="shared" si="14"/>
        <v>0.87179487179487181</v>
      </c>
      <c r="Q267" s="402">
        <v>1</v>
      </c>
      <c r="R267" s="242"/>
      <c r="T267" s="214" t="s">
        <v>2164</v>
      </c>
      <c r="U267" s="20"/>
      <c r="V267" s="20"/>
      <c r="W267" s="20"/>
      <c r="X267" s="20"/>
    </row>
    <row r="268" spans="1:25" s="65" customFormat="1" ht="15" customHeight="1" outlineLevel="2">
      <c r="A268" s="219"/>
      <c r="B268" s="242"/>
      <c r="C268" s="242" t="s">
        <v>1799</v>
      </c>
      <c r="D268" s="121" t="str">
        <f>INDEX(Regional.Technologies[Description],MATCH($B$2&amp;"."&amp;G.30.levels.ProcessImprovements[[#This Row],[Technology code]],Regional.Technologies[Code],0))</f>
        <v>Global Oil use in the Oxygen steel technology</v>
      </c>
      <c r="E268" s="121">
        <v>1</v>
      </c>
      <c r="F268" s="242" t="s">
        <v>1611</v>
      </c>
      <c r="G268" s="242"/>
      <c r="H268" s="242"/>
      <c r="I268" s="402">
        <v>0</v>
      </c>
      <c r="J268" s="402">
        <f t="shared" si="14"/>
        <v>0</v>
      </c>
      <c r="K268" s="402">
        <f t="shared" si="14"/>
        <v>0</v>
      </c>
      <c r="L268" s="402">
        <f t="shared" si="14"/>
        <v>0</v>
      </c>
      <c r="M268" s="402">
        <f t="shared" si="14"/>
        <v>0</v>
      </c>
      <c r="N268" s="402">
        <f t="shared" si="14"/>
        <v>0</v>
      </c>
      <c r="O268" s="402">
        <f t="shared" si="14"/>
        <v>0</v>
      </c>
      <c r="P268" s="402">
        <f t="shared" si="14"/>
        <v>0</v>
      </c>
      <c r="Q268" s="402">
        <v>0</v>
      </c>
      <c r="R268" s="242"/>
      <c r="T268" s="214" t="s">
        <v>2164</v>
      </c>
      <c r="U268" s="20"/>
      <c r="V268" s="20"/>
      <c r="W268" s="20"/>
      <c r="X268" s="20"/>
    </row>
    <row r="269" spans="1:25" s="65" customFormat="1" ht="15" customHeight="1" outlineLevel="2">
      <c r="A269" s="219"/>
      <c r="B269" s="242"/>
      <c r="C269" s="242" t="s">
        <v>1799</v>
      </c>
      <c r="D269" s="121" t="str">
        <f>INDEX(Regional.Technologies[Description],MATCH($B$2&amp;"."&amp;G.30.levels.ProcessImprovements[[#This Row],[Technology code]],Regional.Technologies[Code],0))</f>
        <v>Global Oil use in the Oxygen steel technology</v>
      </c>
      <c r="E269" s="121">
        <v>2</v>
      </c>
      <c r="F269" s="242" t="s">
        <v>1611</v>
      </c>
      <c r="G269" s="242"/>
      <c r="H269" s="242"/>
      <c r="I269" s="402">
        <v>0</v>
      </c>
      <c r="J269" s="402">
        <f t="shared" si="14"/>
        <v>2.564102564102564E-2</v>
      </c>
      <c r="K269" s="402">
        <f t="shared" si="14"/>
        <v>5.7692307692307689E-2</v>
      </c>
      <c r="L269" s="402">
        <f t="shared" si="14"/>
        <v>8.9743589743589744E-2</v>
      </c>
      <c r="M269" s="402">
        <f t="shared" si="14"/>
        <v>0.12179487179487179</v>
      </c>
      <c r="N269" s="402">
        <f t="shared" si="14"/>
        <v>0.15384615384615385</v>
      </c>
      <c r="O269" s="402">
        <f t="shared" si="14"/>
        <v>0.1858974358974359</v>
      </c>
      <c r="P269" s="402">
        <f t="shared" si="14"/>
        <v>0.21794871794871795</v>
      </c>
      <c r="Q269" s="402">
        <v>0.25</v>
      </c>
      <c r="R269" s="242"/>
      <c r="T269" s="214" t="s">
        <v>2164</v>
      </c>
      <c r="U269" s="20"/>
      <c r="V269" s="20"/>
      <c r="W269" s="20"/>
      <c r="X269" s="20"/>
    </row>
    <row r="270" spans="1:25" s="65" customFormat="1" ht="15" customHeight="1" outlineLevel="2">
      <c r="A270" s="219"/>
      <c r="B270" s="242"/>
      <c r="C270" s="242" t="s">
        <v>1799</v>
      </c>
      <c r="D270" s="121" t="str">
        <f>INDEX(Regional.Technologies[Description],MATCH($B$2&amp;"."&amp;G.30.levels.ProcessImprovements[[#This Row],[Technology code]],Regional.Technologies[Code],0))</f>
        <v>Global Oil use in the Oxygen steel technology</v>
      </c>
      <c r="E270" s="121">
        <v>3</v>
      </c>
      <c r="F270" s="242" t="s">
        <v>1611</v>
      </c>
      <c r="G270" s="242"/>
      <c r="H270" s="242"/>
      <c r="I270" s="402">
        <v>0</v>
      </c>
      <c r="J270" s="402">
        <f t="shared" si="14"/>
        <v>5.128205128205128E-2</v>
      </c>
      <c r="K270" s="402">
        <f t="shared" si="14"/>
        <v>0.11538461538461538</v>
      </c>
      <c r="L270" s="402">
        <f t="shared" si="14"/>
        <v>0.17948717948717949</v>
      </c>
      <c r="M270" s="402">
        <f t="shared" si="14"/>
        <v>0.24358974358974358</v>
      </c>
      <c r="N270" s="402">
        <f t="shared" si="14"/>
        <v>0.30769230769230771</v>
      </c>
      <c r="O270" s="402">
        <f t="shared" si="14"/>
        <v>0.37179487179487181</v>
      </c>
      <c r="P270" s="402">
        <f t="shared" si="14"/>
        <v>0.4358974358974359</v>
      </c>
      <c r="Q270" s="402">
        <v>0.5</v>
      </c>
      <c r="R270" s="242"/>
      <c r="T270" s="214" t="s">
        <v>2164</v>
      </c>
      <c r="U270" s="20"/>
      <c r="V270" s="20"/>
      <c r="W270" s="20"/>
      <c r="X270" s="20"/>
    </row>
    <row r="271" spans="1:25" s="65" customFormat="1" ht="15" customHeight="1" outlineLevel="2">
      <c r="A271" s="219"/>
      <c r="B271" s="242"/>
      <c r="C271" s="242" t="s">
        <v>1799</v>
      </c>
      <c r="D271" s="121" t="str">
        <f>INDEX(Regional.Technologies[Description],MATCH($B$2&amp;"."&amp;G.30.levels.ProcessImprovements[[#This Row],[Technology code]],Regional.Technologies[Code],0))</f>
        <v>Global Oil use in the Oxygen steel technology</v>
      </c>
      <c r="E271" s="121">
        <v>4</v>
      </c>
      <c r="F271" s="242" t="s">
        <v>1611</v>
      </c>
      <c r="G271" s="242"/>
      <c r="H271" s="242"/>
      <c r="I271" s="402">
        <v>0</v>
      </c>
      <c r="J271" s="402">
        <f t="shared" si="14"/>
        <v>0.10256410256410256</v>
      </c>
      <c r="K271" s="402">
        <f t="shared" si="14"/>
        <v>0.23076923076923075</v>
      </c>
      <c r="L271" s="402">
        <f t="shared" si="14"/>
        <v>0.35897435897435898</v>
      </c>
      <c r="M271" s="402">
        <f t="shared" si="14"/>
        <v>0.48717948717948717</v>
      </c>
      <c r="N271" s="402">
        <f t="shared" si="14"/>
        <v>0.61538461538461542</v>
      </c>
      <c r="O271" s="402">
        <f t="shared" si="14"/>
        <v>0.74358974358974361</v>
      </c>
      <c r="P271" s="402">
        <f t="shared" si="14"/>
        <v>0.87179487179487181</v>
      </c>
      <c r="Q271" s="402">
        <v>1</v>
      </c>
      <c r="R271" s="242"/>
      <c r="T271" s="214" t="s">
        <v>2164</v>
      </c>
      <c r="U271" s="20"/>
      <c r="V271" s="20"/>
      <c r="W271" s="20"/>
      <c r="X271" s="20"/>
    </row>
    <row r="272" spans="1:25" s="65" customFormat="1" ht="15" customHeight="1" outlineLevel="2">
      <c r="A272" s="219"/>
      <c r="B272" s="242"/>
      <c r="C272" s="242" t="s">
        <v>1800</v>
      </c>
      <c r="D272" s="121" t="str">
        <f>INDEX(Regional.Technologies[Description],MATCH($B$2&amp;"."&amp;G.30.levels.ProcessImprovements[[#This Row],[Technology code]],Regional.Technologies[Code],0))</f>
        <v>Global Natural Gas use in the Oxygen steel technology</v>
      </c>
      <c r="E272" s="121">
        <v>1</v>
      </c>
      <c r="F272" s="242" t="s">
        <v>1611</v>
      </c>
      <c r="G272" s="242"/>
      <c r="H272" s="242"/>
      <c r="I272" s="402">
        <v>0</v>
      </c>
      <c r="J272" s="402">
        <f t="shared" si="14"/>
        <v>0</v>
      </c>
      <c r="K272" s="402">
        <f t="shared" si="14"/>
        <v>0</v>
      </c>
      <c r="L272" s="402">
        <f t="shared" si="14"/>
        <v>0</v>
      </c>
      <c r="M272" s="402">
        <f t="shared" si="14"/>
        <v>0</v>
      </c>
      <c r="N272" s="402">
        <f t="shared" si="14"/>
        <v>0</v>
      </c>
      <c r="O272" s="402">
        <f t="shared" si="14"/>
        <v>0</v>
      </c>
      <c r="P272" s="402">
        <f t="shared" si="14"/>
        <v>0</v>
      </c>
      <c r="Q272" s="402">
        <v>0</v>
      </c>
      <c r="R272" s="242"/>
      <c r="T272" s="214" t="s">
        <v>2164</v>
      </c>
      <c r="U272" s="20"/>
      <c r="V272" s="20"/>
      <c r="W272" s="20"/>
      <c r="X272" s="20"/>
    </row>
    <row r="273" spans="1:24" s="65" customFormat="1" ht="15" customHeight="1" outlineLevel="2">
      <c r="A273" s="219"/>
      <c r="B273" s="242"/>
      <c r="C273" s="242" t="s">
        <v>1800</v>
      </c>
      <c r="D273" s="121" t="str">
        <f>INDEX(Regional.Technologies[Description],MATCH($B$2&amp;"."&amp;G.30.levels.ProcessImprovements[[#This Row],[Technology code]],Regional.Technologies[Code],0))</f>
        <v>Global Natural Gas use in the Oxygen steel technology</v>
      </c>
      <c r="E273" s="121">
        <v>2</v>
      </c>
      <c r="F273" s="242" t="s">
        <v>1611</v>
      </c>
      <c r="G273" s="242"/>
      <c r="H273" s="242"/>
      <c r="I273" s="402">
        <v>0</v>
      </c>
      <c r="J273" s="402">
        <f t="shared" si="14"/>
        <v>2.564102564102564E-2</v>
      </c>
      <c r="K273" s="402">
        <f t="shared" si="14"/>
        <v>5.7692307692307689E-2</v>
      </c>
      <c r="L273" s="402">
        <f t="shared" si="14"/>
        <v>8.9743589743589744E-2</v>
      </c>
      <c r="M273" s="402">
        <f t="shared" si="14"/>
        <v>0.12179487179487179</v>
      </c>
      <c r="N273" s="402">
        <f t="shared" si="14"/>
        <v>0.15384615384615385</v>
      </c>
      <c r="O273" s="402">
        <f t="shared" si="14"/>
        <v>0.1858974358974359</v>
      </c>
      <c r="P273" s="402">
        <f t="shared" si="14"/>
        <v>0.21794871794871795</v>
      </c>
      <c r="Q273" s="402">
        <v>0.25</v>
      </c>
      <c r="R273" s="242"/>
      <c r="T273" s="214" t="s">
        <v>2164</v>
      </c>
      <c r="U273" s="20"/>
      <c r="V273" s="20"/>
      <c r="W273" s="20"/>
      <c r="X273" s="20"/>
    </row>
    <row r="274" spans="1:24" s="65" customFormat="1" ht="15" customHeight="1" outlineLevel="2">
      <c r="A274" s="219"/>
      <c r="B274" s="242"/>
      <c r="C274" s="242" t="s">
        <v>1800</v>
      </c>
      <c r="D274" s="121" t="str">
        <f>INDEX(Regional.Technologies[Description],MATCH($B$2&amp;"."&amp;G.30.levels.ProcessImprovements[[#This Row],[Technology code]],Regional.Technologies[Code],0))</f>
        <v>Global Natural Gas use in the Oxygen steel technology</v>
      </c>
      <c r="E274" s="121">
        <v>3</v>
      </c>
      <c r="F274" s="242" t="s">
        <v>1611</v>
      </c>
      <c r="G274" s="242"/>
      <c r="H274" s="242"/>
      <c r="I274" s="402">
        <v>0</v>
      </c>
      <c r="J274" s="402">
        <f t="shared" si="14"/>
        <v>5.128205128205128E-2</v>
      </c>
      <c r="K274" s="402">
        <f t="shared" si="14"/>
        <v>0.11538461538461538</v>
      </c>
      <c r="L274" s="402">
        <f t="shared" si="14"/>
        <v>0.17948717948717949</v>
      </c>
      <c r="M274" s="402">
        <f t="shared" si="14"/>
        <v>0.24358974358974358</v>
      </c>
      <c r="N274" s="402">
        <f t="shared" si="14"/>
        <v>0.30769230769230771</v>
      </c>
      <c r="O274" s="402">
        <f t="shared" si="14"/>
        <v>0.37179487179487181</v>
      </c>
      <c r="P274" s="402">
        <f t="shared" si="14"/>
        <v>0.4358974358974359</v>
      </c>
      <c r="Q274" s="402">
        <v>0.5</v>
      </c>
      <c r="R274" s="242"/>
      <c r="T274" s="214" t="s">
        <v>2164</v>
      </c>
      <c r="U274" s="20"/>
      <c r="V274" s="20"/>
      <c r="W274" s="20"/>
      <c r="X274" s="20"/>
    </row>
    <row r="275" spans="1:24" s="65" customFormat="1" ht="15" customHeight="1" outlineLevel="2">
      <c r="A275" s="219"/>
      <c r="B275" s="121"/>
      <c r="C275" s="242" t="s">
        <v>1800</v>
      </c>
      <c r="D275" s="121" t="str">
        <f>INDEX(Regional.Technologies[Description],MATCH($B$2&amp;"."&amp;G.30.levels.ProcessImprovements[[#This Row],[Technology code]],Regional.Technologies[Code],0))</f>
        <v>Global Natural Gas use in the Oxygen steel technology</v>
      </c>
      <c r="E275" s="121">
        <v>4</v>
      </c>
      <c r="F275" s="242" t="s">
        <v>1611</v>
      </c>
      <c r="G275" s="242"/>
      <c r="H275" s="242"/>
      <c r="I275" s="402">
        <v>0</v>
      </c>
      <c r="J275" s="402">
        <f t="shared" si="14"/>
        <v>0.10256410256410256</v>
      </c>
      <c r="K275" s="402">
        <f t="shared" si="14"/>
        <v>0.23076923076923075</v>
      </c>
      <c r="L275" s="402">
        <f t="shared" si="14"/>
        <v>0.35897435897435898</v>
      </c>
      <c r="M275" s="402">
        <f t="shared" si="14"/>
        <v>0.48717948717948717</v>
      </c>
      <c r="N275" s="402">
        <f t="shared" si="14"/>
        <v>0.61538461538461542</v>
      </c>
      <c r="O275" s="402">
        <f t="shared" si="14"/>
        <v>0.74358974358974361</v>
      </c>
      <c r="P275" s="402">
        <f t="shared" si="14"/>
        <v>0.87179487179487181</v>
      </c>
      <c r="Q275" s="402">
        <v>1</v>
      </c>
      <c r="R275" s="242"/>
      <c r="T275" s="214" t="s">
        <v>2164</v>
      </c>
      <c r="U275" s="20"/>
      <c r="V275" s="20"/>
      <c r="W275" s="20"/>
      <c r="X275" s="20"/>
    </row>
    <row r="276" spans="1:24" s="65" customFormat="1" ht="15" customHeight="1" outlineLevel="2">
      <c r="A276" s="219"/>
      <c r="B276" s="121"/>
      <c r="C276" s="242" t="s">
        <v>1802</v>
      </c>
      <c r="D276" s="121" t="str">
        <f>INDEX(Regional.Technologies[Description],MATCH($B$2&amp;"."&amp;G.30.levels.ProcessImprovements[[#This Row],[Technology code]],Regional.Technologies[Code],0))</f>
        <v>Global Solid Hydrocarbons use in the Oxygen steel technology</v>
      </c>
      <c r="E276" s="121">
        <v>1</v>
      </c>
      <c r="F276" s="242" t="s">
        <v>1611</v>
      </c>
      <c r="G276" s="242"/>
      <c r="H276" s="242"/>
      <c r="I276" s="402">
        <v>0</v>
      </c>
      <c r="J276" s="402">
        <f t="shared" si="14"/>
        <v>0</v>
      </c>
      <c r="K276" s="402">
        <f t="shared" si="14"/>
        <v>0</v>
      </c>
      <c r="L276" s="402">
        <f t="shared" si="14"/>
        <v>0</v>
      </c>
      <c r="M276" s="402">
        <f t="shared" si="14"/>
        <v>0</v>
      </c>
      <c r="N276" s="402">
        <f t="shared" si="14"/>
        <v>0</v>
      </c>
      <c r="O276" s="402">
        <f t="shared" si="14"/>
        <v>0</v>
      </c>
      <c r="P276" s="402">
        <f t="shared" si="14"/>
        <v>0</v>
      </c>
      <c r="Q276" s="402">
        <v>0</v>
      </c>
      <c r="R276" s="242"/>
      <c r="T276" s="214" t="s">
        <v>2164</v>
      </c>
      <c r="U276" s="20"/>
      <c r="V276" s="20"/>
      <c r="W276" s="20"/>
      <c r="X276" s="20"/>
    </row>
    <row r="277" spans="1:24" s="65" customFormat="1" ht="15" customHeight="1" outlineLevel="2">
      <c r="A277" s="219"/>
      <c r="B277" s="121"/>
      <c r="C277" s="242" t="s">
        <v>1802</v>
      </c>
      <c r="D277" s="121" t="str">
        <f>INDEX(Regional.Technologies[Description],MATCH($B$2&amp;"."&amp;G.30.levels.ProcessImprovements[[#This Row],[Technology code]],Regional.Technologies[Code],0))</f>
        <v>Global Solid Hydrocarbons use in the Oxygen steel technology</v>
      </c>
      <c r="E277" s="121">
        <v>2</v>
      </c>
      <c r="F277" s="242" t="s">
        <v>1611</v>
      </c>
      <c r="G277" s="242"/>
      <c r="H277" s="242"/>
      <c r="I277" s="402">
        <v>0</v>
      </c>
      <c r="J277" s="402">
        <f t="shared" si="14"/>
        <v>2.564102564102564E-2</v>
      </c>
      <c r="K277" s="402">
        <f t="shared" si="14"/>
        <v>5.7692307692307689E-2</v>
      </c>
      <c r="L277" s="402">
        <f t="shared" si="14"/>
        <v>8.9743589743589744E-2</v>
      </c>
      <c r="M277" s="402">
        <f t="shared" si="14"/>
        <v>0.12179487179487179</v>
      </c>
      <c r="N277" s="402">
        <f t="shared" si="14"/>
        <v>0.15384615384615385</v>
      </c>
      <c r="O277" s="402">
        <f t="shared" si="14"/>
        <v>0.1858974358974359</v>
      </c>
      <c r="P277" s="402">
        <f t="shared" si="14"/>
        <v>0.21794871794871795</v>
      </c>
      <c r="Q277" s="402">
        <v>0.25</v>
      </c>
      <c r="R277" s="242"/>
      <c r="T277" s="214" t="s">
        <v>2164</v>
      </c>
      <c r="U277" s="20"/>
      <c r="V277" s="20"/>
      <c r="W277" s="20"/>
      <c r="X277" s="20"/>
    </row>
    <row r="278" spans="1:24" s="65" customFormat="1" ht="15" customHeight="1" outlineLevel="2">
      <c r="A278" s="219"/>
      <c r="B278" s="121"/>
      <c r="C278" s="242" t="s">
        <v>1802</v>
      </c>
      <c r="D278" s="121" t="str">
        <f>INDEX(Regional.Technologies[Description],MATCH($B$2&amp;"."&amp;G.30.levels.ProcessImprovements[[#This Row],[Technology code]],Regional.Technologies[Code],0))</f>
        <v>Global Solid Hydrocarbons use in the Oxygen steel technology</v>
      </c>
      <c r="E278" s="121">
        <v>3</v>
      </c>
      <c r="F278" s="242" t="s">
        <v>1611</v>
      </c>
      <c r="G278" s="242"/>
      <c r="H278" s="242"/>
      <c r="I278" s="402">
        <v>0</v>
      </c>
      <c r="J278" s="402">
        <f t="shared" si="14"/>
        <v>5.128205128205128E-2</v>
      </c>
      <c r="K278" s="402">
        <f t="shared" si="14"/>
        <v>0.11538461538461538</v>
      </c>
      <c r="L278" s="402">
        <f t="shared" si="14"/>
        <v>0.17948717948717949</v>
      </c>
      <c r="M278" s="402">
        <f t="shared" si="14"/>
        <v>0.24358974358974358</v>
      </c>
      <c r="N278" s="402">
        <f t="shared" si="14"/>
        <v>0.30769230769230771</v>
      </c>
      <c r="O278" s="402">
        <f t="shared" si="14"/>
        <v>0.37179487179487181</v>
      </c>
      <c r="P278" s="402">
        <f t="shared" si="14"/>
        <v>0.4358974358974359</v>
      </c>
      <c r="Q278" s="402">
        <v>0.5</v>
      </c>
      <c r="R278" s="242"/>
      <c r="T278" s="214" t="s">
        <v>2164</v>
      </c>
      <c r="U278" s="20"/>
      <c r="V278" s="20"/>
      <c r="W278" s="20"/>
      <c r="X278" s="20"/>
    </row>
    <row r="279" spans="1:24" s="65" customFormat="1" ht="15" customHeight="1" outlineLevel="2">
      <c r="A279" s="219"/>
      <c r="B279" s="121"/>
      <c r="C279" s="242" t="s">
        <v>1802</v>
      </c>
      <c r="D279" s="121" t="str">
        <f>INDEX(Regional.Technologies[Description],MATCH($B$2&amp;"."&amp;G.30.levels.ProcessImprovements[[#This Row],[Technology code]],Regional.Technologies[Code],0))</f>
        <v>Global Solid Hydrocarbons use in the Oxygen steel technology</v>
      </c>
      <c r="E279" s="121">
        <v>4</v>
      </c>
      <c r="F279" s="242" t="s">
        <v>1611</v>
      </c>
      <c r="G279" s="242"/>
      <c r="H279" s="242"/>
      <c r="I279" s="402">
        <v>0</v>
      </c>
      <c r="J279" s="402">
        <f t="shared" si="14"/>
        <v>0.10256410256410256</v>
      </c>
      <c r="K279" s="402">
        <f t="shared" si="14"/>
        <v>0.23076923076923075</v>
      </c>
      <c r="L279" s="402">
        <f t="shared" si="14"/>
        <v>0.35897435897435898</v>
      </c>
      <c r="M279" s="402">
        <f t="shared" si="14"/>
        <v>0.48717948717948717</v>
      </c>
      <c r="N279" s="402">
        <f t="shared" si="14"/>
        <v>0.61538461538461542</v>
      </c>
      <c r="O279" s="402">
        <f t="shared" si="14"/>
        <v>0.74358974358974361</v>
      </c>
      <c r="P279" s="402">
        <f t="shared" si="14"/>
        <v>0.87179487179487181</v>
      </c>
      <c r="Q279" s="402">
        <v>1</v>
      </c>
      <c r="R279" s="242"/>
      <c r="T279" s="214" t="s">
        <v>2164</v>
      </c>
      <c r="U279" s="20"/>
      <c r="V279" s="20"/>
      <c r="W279" s="20"/>
      <c r="X279" s="20"/>
    </row>
    <row r="280" spans="1:24" s="65" customFormat="1" ht="15" customHeight="1" outlineLevel="2">
      <c r="A280" s="219"/>
      <c r="B280" s="121"/>
      <c r="C280" s="242" t="s">
        <v>1635</v>
      </c>
      <c r="D280" s="121" t="str">
        <f>INDEX(Regional.Technologies[Description],MATCH($B$2&amp;"."&amp;G.30.levels.ProcessImprovements[[#This Row],[Technology code]],Regional.Technologies[Code],0))</f>
        <v>Global Heat use in the Oxygen steel technology</v>
      </c>
      <c r="E280" s="121">
        <v>1</v>
      </c>
      <c r="F280" s="242" t="s">
        <v>1611</v>
      </c>
      <c r="G280" s="242"/>
      <c r="H280" s="242"/>
      <c r="I280" s="402">
        <v>0</v>
      </c>
      <c r="J280" s="402">
        <f t="shared" si="14"/>
        <v>0</v>
      </c>
      <c r="K280" s="402">
        <f t="shared" si="14"/>
        <v>0</v>
      </c>
      <c r="L280" s="402">
        <f t="shared" si="14"/>
        <v>0</v>
      </c>
      <c r="M280" s="402">
        <f t="shared" si="14"/>
        <v>0</v>
      </c>
      <c r="N280" s="402">
        <f t="shared" si="14"/>
        <v>0</v>
      </c>
      <c r="O280" s="402">
        <f t="shared" si="14"/>
        <v>0</v>
      </c>
      <c r="P280" s="402">
        <f t="shared" si="14"/>
        <v>0</v>
      </c>
      <c r="Q280" s="402">
        <v>0</v>
      </c>
      <c r="R280" s="242"/>
      <c r="T280" s="214" t="s">
        <v>2164</v>
      </c>
      <c r="U280" s="20"/>
      <c r="V280" s="20"/>
      <c r="W280" s="20"/>
      <c r="X280" s="20"/>
    </row>
    <row r="281" spans="1:24" s="65" customFormat="1" ht="15" customHeight="1" outlineLevel="2">
      <c r="A281" s="219"/>
      <c r="B281" s="121"/>
      <c r="C281" s="242" t="s">
        <v>1635</v>
      </c>
      <c r="D281" s="121" t="str">
        <f>INDEX(Regional.Technologies[Description],MATCH($B$2&amp;"."&amp;G.30.levels.ProcessImprovements[[#This Row],[Technology code]],Regional.Technologies[Code],0))</f>
        <v>Global Heat use in the Oxygen steel technology</v>
      </c>
      <c r="E281" s="121">
        <v>2</v>
      </c>
      <c r="F281" s="242" t="s">
        <v>1611</v>
      </c>
      <c r="G281" s="242"/>
      <c r="H281" s="242"/>
      <c r="I281" s="402">
        <v>0</v>
      </c>
      <c r="J281" s="402">
        <f t="shared" si="14"/>
        <v>2.564102564102564E-2</v>
      </c>
      <c r="K281" s="402">
        <f t="shared" si="14"/>
        <v>5.7692307692307689E-2</v>
      </c>
      <c r="L281" s="402">
        <f t="shared" si="14"/>
        <v>8.9743589743589744E-2</v>
      </c>
      <c r="M281" s="402">
        <f t="shared" si="14"/>
        <v>0.12179487179487179</v>
      </c>
      <c r="N281" s="402">
        <f t="shared" si="14"/>
        <v>0.15384615384615385</v>
      </c>
      <c r="O281" s="402">
        <f t="shared" si="14"/>
        <v>0.1858974358974359</v>
      </c>
      <c r="P281" s="402">
        <f t="shared" si="14"/>
        <v>0.21794871794871795</v>
      </c>
      <c r="Q281" s="402">
        <v>0.25</v>
      </c>
      <c r="R281" s="242"/>
      <c r="T281" s="214" t="s">
        <v>2164</v>
      </c>
      <c r="U281" s="20"/>
      <c r="V281" s="20"/>
      <c r="W281" s="20"/>
      <c r="X281" s="20"/>
    </row>
    <row r="282" spans="1:24" s="65" customFormat="1" ht="15" customHeight="1" outlineLevel="2">
      <c r="A282" s="219"/>
      <c r="B282" s="121"/>
      <c r="C282" s="242" t="s">
        <v>1635</v>
      </c>
      <c r="D282" s="121" t="str">
        <f>INDEX(Regional.Technologies[Description],MATCH($B$2&amp;"."&amp;G.30.levels.ProcessImprovements[[#This Row],[Technology code]],Regional.Technologies[Code],0))</f>
        <v>Global Heat use in the Oxygen steel technology</v>
      </c>
      <c r="E282" s="121">
        <v>3</v>
      </c>
      <c r="F282" s="242" t="s">
        <v>1611</v>
      </c>
      <c r="G282" s="242"/>
      <c r="H282" s="242"/>
      <c r="I282" s="402">
        <v>0</v>
      </c>
      <c r="J282" s="402">
        <f t="shared" si="14"/>
        <v>5.128205128205128E-2</v>
      </c>
      <c r="K282" s="402">
        <f t="shared" si="14"/>
        <v>0.11538461538461538</v>
      </c>
      <c r="L282" s="402">
        <f t="shared" si="14"/>
        <v>0.17948717948717949</v>
      </c>
      <c r="M282" s="402">
        <f t="shared" si="14"/>
        <v>0.24358974358974358</v>
      </c>
      <c r="N282" s="402">
        <f t="shared" si="14"/>
        <v>0.30769230769230771</v>
      </c>
      <c r="O282" s="402">
        <f t="shared" si="14"/>
        <v>0.37179487179487181</v>
      </c>
      <c r="P282" s="402">
        <f t="shared" si="14"/>
        <v>0.4358974358974359</v>
      </c>
      <c r="Q282" s="402">
        <v>0.5</v>
      </c>
      <c r="R282" s="242"/>
      <c r="T282" s="214" t="s">
        <v>2164</v>
      </c>
      <c r="U282" s="20"/>
      <c r="V282" s="20"/>
      <c r="W282" s="20"/>
      <c r="X282" s="20"/>
    </row>
    <row r="283" spans="1:24" s="65" customFormat="1" ht="15" customHeight="1" outlineLevel="2">
      <c r="A283" s="219"/>
      <c r="B283" s="121"/>
      <c r="C283" s="242" t="s">
        <v>1635</v>
      </c>
      <c r="D283" s="121" t="str">
        <f>INDEX(Regional.Technologies[Description],MATCH($B$2&amp;"."&amp;G.30.levels.ProcessImprovements[[#This Row],[Technology code]],Regional.Technologies[Code],0))</f>
        <v>Global Heat use in the Oxygen steel technology</v>
      </c>
      <c r="E283" s="121">
        <v>4</v>
      </c>
      <c r="F283" s="242" t="s">
        <v>1611</v>
      </c>
      <c r="G283" s="242"/>
      <c r="H283" s="242"/>
      <c r="I283" s="402">
        <v>0</v>
      </c>
      <c r="J283" s="402">
        <f t="shared" si="14"/>
        <v>0.10256410256410256</v>
      </c>
      <c r="K283" s="402">
        <f t="shared" si="14"/>
        <v>0.23076923076923075</v>
      </c>
      <c r="L283" s="402">
        <f t="shared" si="14"/>
        <v>0.35897435897435898</v>
      </c>
      <c r="M283" s="402">
        <f t="shared" si="14"/>
        <v>0.48717948717948717</v>
      </c>
      <c r="N283" s="402">
        <f t="shared" si="14"/>
        <v>0.61538461538461542</v>
      </c>
      <c r="O283" s="402">
        <f t="shared" si="14"/>
        <v>0.74358974358974361</v>
      </c>
      <c r="P283" s="402">
        <f t="shared" si="14"/>
        <v>0.87179487179487181</v>
      </c>
      <c r="Q283" s="402">
        <v>1</v>
      </c>
      <c r="R283" s="242"/>
      <c r="T283" s="214" t="s">
        <v>2164</v>
      </c>
      <c r="U283" s="20"/>
      <c r="V283" s="20"/>
      <c r="W283" s="20"/>
      <c r="X283" s="20"/>
    </row>
    <row r="284" spans="1:24" s="65" customFormat="1" ht="15" customHeight="1" outlineLevel="2">
      <c r="A284" s="219"/>
      <c r="B284" s="121"/>
      <c r="C284" s="242" t="s">
        <v>1639</v>
      </c>
      <c r="D284" s="121" t="str">
        <f>INDEX(Regional.Technologies[Description],MATCH($B$2&amp;"."&amp;G.30.levels.ProcessImprovements[[#This Row],[Technology code]],Regional.Technologies[Code],0))</f>
        <v>Global Electricity use in the Primary Aluminium technology</v>
      </c>
      <c r="E284" s="121">
        <v>1</v>
      </c>
      <c r="F284" s="242" t="s">
        <v>1915</v>
      </c>
      <c r="G284" s="242"/>
      <c r="H284" s="242"/>
      <c r="I284" s="402">
        <v>0</v>
      </c>
      <c r="J284" s="402">
        <f t="shared" si="14"/>
        <v>0</v>
      </c>
      <c r="K284" s="402">
        <f t="shared" si="14"/>
        <v>0</v>
      </c>
      <c r="L284" s="402">
        <f t="shared" si="14"/>
        <v>0</v>
      </c>
      <c r="M284" s="402">
        <f t="shared" si="14"/>
        <v>0</v>
      </c>
      <c r="N284" s="402">
        <f t="shared" si="14"/>
        <v>0</v>
      </c>
      <c r="O284" s="402">
        <f t="shared" si="14"/>
        <v>0</v>
      </c>
      <c r="P284" s="402">
        <f t="shared" si="14"/>
        <v>0</v>
      </c>
      <c r="Q284" s="402">
        <v>0</v>
      </c>
      <c r="R284" s="242"/>
      <c r="T284" s="20"/>
      <c r="U284" s="20"/>
      <c r="V284" s="20"/>
      <c r="W284" s="20"/>
      <c r="X284" s="20"/>
    </row>
    <row r="285" spans="1:24" s="65" customFormat="1" ht="15" customHeight="1" outlineLevel="2">
      <c r="A285" s="219"/>
      <c r="B285" s="121"/>
      <c r="C285" s="242" t="s">
        <v>1639</v>
      </c>
      <c r="D285" s="121" t="str">
        <f>INDEX(Regional.Technologies[Description],MATCH($B$2&amp;"."&amp;G.30.levels.ProcessImprovements[[#This Row],[Technology code]],Regional.Technologies[Code],0))</f>
        <v>Global Electricity use in the Primary Aluminium technology</v>
      </c>
      <c r="E285" s="121">
        <v>2</v>
      </c>
      <c r="F285" s="242" t="s">
        <v>1915</v>
      </c>
      <c r="G285" s="242"/>
      <c r="H285" s="242"/>
      <c r="I285" s="402">
        <v>0</v>
      </c>
      <c r="J285" s="402">
        <f t="shared" si="14"/>
        <v>2.0512820512820513E-2</v>
      </c>
      <c r="K285" s="402">
        <f t="shared" si="14"/>
        <v>4.6153846153846156E-2</v>
      </c>
      <c r="L285" s="402">
        <f t="shared" si="14"/>
        <v>7.179487179487179E-2</v>
      </c>
      <c r="M285" s="402">
        <f t="shared" si="14"/>
        <v>9.7435897435897437E-2</v>
      </c>
      <c r="N285" s="402">
        <f t="shared" si="14"/>
        <v>0.12307692307692308</v>
      </c>
      <c r="O285" s="402">
        <f t="shared" si="14"/>
        <v>0.14871794871794872</v>
      </c>
      <c r="P285" s="402">
        <f t="shared" si="14"/>
        <v>0.17435897435897435</v>
      </c>
      <c r="Q285" s="402">
        <v>0.2</v>
      </c>
      <c r="R285" s="242"/>
      <c r="T285" s="20"/>
      <c r="U285" s="20"/>
      <c r="V285" s="20"/>
      <c r="W285" s="20"/>
      <c r="X285" s="20"/>
    </row>
    <row r="286" spans="1:24" s="65" customFormat="1" ht="15" customHeight="1" outlineLevel="2">
      <c r="A286" s="219"/>
      <c r="B286" s="121"/>
      <c r="C286" s="242" t="s">
        <v>1639</v>
      </c>
      <c r="D286" s="121" t="str">
        <f>INDEX(Regional.Technologies[Description],MATCH($B$2&amp;"."&amp;G.30.levels.ProcessImprovements[[#This Row],[Technology code]],Regional.Technologies[Code],0))</f>
        <v>Global Electricity use in the Primary Aluminium technology</v>
      </c>
      <c r="E286" s="121">
        <v>3</v>
      </c>
      <c r="F286" s="242" t="s">
        <v>1915</v>
      </c>
      <c r="G286" s="242"/>
      <c r="H286" s="242"/>
      <c r="I286" s="402">
        <v>0</v>
      </c>
      <c r="J286" s="402">
        <f t="shared" si="14"/>
        <v>3.0769230769230767E-2</v>
      </c>
      <c r="K286" s="402">
        <f t="shared" si="14"/>
        <v>6.9230769230769221E-2</v>
      </c>
      <c r="L286" s="402">
        <f t="shared" si="14"/>
        <v>0.10769230769230768</v>
      </c>
      <c r="M286" s="402">
        <f t="shared" si="14"/>
        <v>0.14615384615384613</v>
      </c>
      <c r="N286" s="402">
        <f t="shared" si="14"/>
        <v>0.1846153846153846</v>
      </c>
      <c r="O286" s="402">
        <f t="shared" si="14"/>
        <v>0.22307692307692306</v>
      </c>
      <c r="P286" s="402">
        <f t="shared" si="14"/>
        <v>0.2615384615384615</v>
      </c>
      <c r="Q286" s="402">
        <v>0.3</v>
      </c>
      <c r="R286" s="242"/>
      <c r="T286" s="20"/>
      <c r="U286" s="20"/>
      <c r="V286" s="20"/>
      <c r="W286" s="20"/>
      <c r="X286" s="20"/>
    </row>
    <row r="287" spans="1:24" s="65" customFormat="1" ht="15" customHeight="1" outlineLevel="2">
      <c r="A287" s="219"/>
      <c r="B287" s="121"/>
      <c r="C287" s="242" t="s">
        <v>1639</v>
      </c>
      <c r="D287" s="121" t="str">
        <f>INDEX(Regional.Technologies[Description],MATCH($B$2&amp;"."&amp;G.30.levels.ProcessImprovements[[#This Row],[Technology code]],Regional.Technologies[Code],0))</f>
        <v>Global Electricity use in the Primary Aluminium technology</v>
      </c>
      <c r="E287" s="121">
        <v>4</v>
      </c>
      <c r="F287" s="242" t="s">
        <v>1915</v>
      </c>
      <c r="G287" s="242"/>
      <c r="H287" s="242"/>
      <c r="I287" s="402">
        <v>0</v>
      </c>
      <c r="J287" s="402">
        <f t="shared" si="14"/>
        <v>4.1025641025641026E-2</v>
      </c>
      <c r="K287" s="402">
        <f t="shared" si="14"/>
        <v>9.2307692307692313E-2</v>
      </c>
      <c r="L287" s="402">
        <f t="shared" si="14"/>
        <v>0.14358974358974358</v>
      </c>
      <c r="M287" s="402">
        <f t="shared" si="14"/>
        <v>0.19487179487179487</v>
      </c>
      <c r="N287" s="402">
        <f t="shared" si="14"/>
        <v>0.24615384615384617</v>
      </c>
      <c r="O287" s="402">
        <f t="shared" si="14"/>
        <v>0.29743589743589743</v>
      </c>
      <c r="P287" s="402">
        <f t="shared" si="14"/>
        <v>0.3487179487179487</v>
      </c>
      <c r="Q287" s="402">
        <v>0.4</v>
      </c>
      <c r="R287" s="242"/>
      <c r="T287" s="20"/>
      <c r="U287" s="20"/>
      <c r="V287" s="20"/>
      <c r="W287" s="20"/>
      <c r="X287" s="20"/>
    </row>
    <row r="288" spans="1:24" s="65" customFormat="1" ht="15" customHeight="1" outlineLevel="2">
      <c r="A288" s="219"/>
      <c r="B288" s="121"/>
      <c r="C288" s="242" t="s">
        <v>1813</v>
      </c>
      <c r="D288" s="121" t="str">
        <f>INDEX(Regional.Technologies[Description],MATCH($B$2&amp;"."&amp;G.30.levels.ProcessImprovements[[#This Row],[Technology code]],Regional.Technologies[Code],0))</f>
        <v>Global Coal use in the Primary Aluminium technology</v>
      </c>
      <c r="E288" s="121">
        <v>1</v>
      </c>
      <c r="F288" s="242" t="s">
        <v>1915</v>
      </c>
      <c r="G288" s="242"/>
      <c r="H288" s="242"/>
      <c r="I288" s="402">
        <v>0</v>
      </c>
      <c r="J288" s="402">
        <f t="shared" si="14"/>
        <v>0</v>
      </c>
      <c r="K288" s="402">
        <f t="shared" si="14"/>
        <v>0</v>
      </c>
      <c r="L288" s="402">
        <f t="shared" si="14"/>
        <v>0</v>
      </c>
      <c r="M288" s="402">
        <f t="shared" si="14"/>
        <v>0</v>
      </c>
      <c r="N288" s="402">
        <f t="shared" si="14"/>
        <v>0</v>
      </c>
      <c r="O288" s="402">
        <f t="shared" si="14"/>
        <v>0</v>
      </c>
      <c r="P288" s="402">
        <f t="shared" si="14"/>
        <v>0</v>
      </c>
      <c r="Q288" s="402">
        <v>0</v>
      </c>
      <c r="R288" s="242"/>
      <c r="T288" s="20"/>
      <c r="U288" s="20"/>
      <c r="V288" s="20"/>
      <c r="W288" s="20"/>
      <c r="X288" s="20"/>
    </row>
    <row r="289" spans="1:24" s="65" customFormat="1" ht="15" customHeight="1" outlineLevel="2">
      <c r="A289" s="219"/>
      <c r="B289" s="121"/>
      <c r="C289" s="242" t="s">
        <v>1813</v>
      </c>
      <c r="D289" s="121" t="str">
        <f>INDEX(Regional.Technologies[Description],MATCH($B$2&amp;"."&amp;G.30.levels.ProcessImprovements[[#This Row],[Technology code]],Regional.Technologies[Code],0))</f>
        <v>Global Coal use in the Primary Aluminium technology</v>
      </c>
      <c r="E289" s="121">
        <v>2</v>
      </c>
      <c r="F289" s="242" t="s">
        <v>1915</v>
      </c>
      <c r="G289" s="242"/>
      <c r="H289" s="242"/>
      <c r="I289" s="402">
        <v>0</v>
      </c>
      <c r="J289" s="402">
        <f t="shared" si="14"/>
        <v>2.0512820512820513E-2</v>
      </c>
      <c r="K289" s="402">
        <f t="shared" si="14"/>
        <v>4.6153846153846156E-2</v>
      </c>
      <c r="L289" s="402">
        <f t="shared" si="14"/>
        <v>7.179487179487179E-2</v>
      </c>
      <c r="M289" s="402">
        <f t="shared" si="14"/>
        <v>9.7435897435897437E-2</v>
      </c>
      <c r="N289" s="402">
        <f t="shared" si="14"/>
        <v>0.12307692307692308</v>
      </c>
      <c r="O289" s="402">
        <f t="shared" si="14"/>
        <v>0.14871794871794872</v>
      </c>
      <c r="P289" s="402">
        <f t="shared" si="14"/>
        <v>0.17435897435897435</v>
      </c>
      <c r="Q289" s="402">
        <v>0.2</v>
      </c>
      <c r="R289" s="242"/>
      <c r="T289" s="20"/>
      <c r="U289" s="20"/>
      <c r="V289" s="20"/>
      <c r="W289" s="20"/>
      <c r="X289" s="20"/>
    </row>
    <row r="290" spans="1:24" s="65" customFormat="1" ht="15" customHeight="1" outlineLevel="2">
      <c r="A290" s="219"/>
      <c r="B290" s="121"/>
      <c r="C290" s="242" t="s">
        <v>1813</v>
      </c>
      <c r="D290" s="121" t="str">
        <f>INDEX(Regional.Technologies[Description],MATCH($B$2&amp;"."&amp;G.30.levels.ProcessImprovements[[#This Row],[Technology code]],Regional.Technologies[Code],0))</f>
        <v>Global Coal use in the Primary Aluminium technology</v>
      </c>
      <c r="E290" s="121">
        <v>3</v>
      </c>
      <c r="F290" s="242" t="s">
        <v>1915</v>
      </c>
      <c r="G290" s="242"/>
      <c r="H290" s="242"/>
      <c r="I290" s="402">
        <v>0</v>
      </c>
      <c r="J290" s="402">
        <f t="shared" si="14"/>
        <v>3.0769230769230767E-2</v>
      </c>
      <c r="K290" s="402">
        <f t="shared" si="14"/>
        <v>6.9230769230769221E-2</v>
      </c>
      <c r="L290" s="402">
        <f t="shared" si="14"/>
        <v>0.10769230769230768</v>
      </c>
      <c r="M290" s="402">
        <f t="shared" si="14"/>
        <v>0.14615384615384613</v>
      </c>
      <c r="N290" s="402">
        <f t="shared" si="14"/>
        <v>0.1846153846153846</v>
      </c>
      <c r="O290" s="402">
        <f t="shared" si="14"/>
        <v>0.22307692307692306</v>
      </c>
      <c r="P290" s="402">
        <f t="shared" si="14"/>
        <v>0.2615384615384615</v>
      </c>
      <c r="Q290" s="402">
        <v>0.3</v>
      </c>
      <c r="R290" s="242"/>
      <c r="T290" s="20"/>
      <c r="U290" s="20"/>
      <c r="V290" s="20"/>
      <c r="W290" s="20"/>
      <c r="X290" s="20"/>
    </row>
    <row r="291" spans="1:24" s="65" customFormat="1" ht="15" customHeight="1" outlineLevel="2">
      <c r="A291" s="219"/>
      <c r="B291" s="121"/>
      <c r="C291" s="242" t="s">
        <v>1813</v>
      </c>
      <c r="D291" s="121" t="str">
        <f>INDEX(Regional.Technologies[Description],MATCH($B$2&amp;"."&amp;G.30.levels.ProcessImprovements[[#This Row],[Technology code]],Regional.Technologies[Code],0))</f>
        <v>Global Coal use in the Primary Aluminium technology</v>
      </c>
      <c r="E291" s="121">
        <v>4</v>
      </c>
      <c r="F291" s="242" t="s">
        <v>1915</v>
      </c>
      <c r="G291" s="242"/>
      <c r="H291" s="242"/>
      <c r="I291" s="402">
        <v>0</v>
      </c>
      <c r="J291" s="402">
        <f t="shared" si="14"/>
        <v>4.1025641025641026E-2</v>
      </c>
      <c r="K291" s="402">
        <f t="shared" si="14"/>
        <v>9.2307692307692313E-2</v>
      </c>
      <c r="L291" s="402">
        <f t="shared" si="14"/>
        <v>0.14358974358974358</v>
      </c>
      <c r="M291" s="402">
        <f t="shared" si="14"/>
        <v>0.19487179487179487</v>
      </c>
      <c r="N291" s="402">
        <f t="shared" si="14"/>
        <v>0.24615384615384617</v>
      </c>
      <c r="O291" s="402">
        <f t="shared" si="14"/>
        <v>0.29743589743589743</v>
      </c>
      <c r="P291" s="402">
        <f t="shared" si="14"/>
        <v>0.3487179487179487</v>
      </c>
      <c r="Q291" s="402">
        <v>0.4</v>
      </c>
      <c r="R291" s="242"/>
      <c r="T291" s="20"/>
      <c r="U291" s="20"/>
      <c r="V291" s="20"/>
      <c r="W291" s="20"/>
      <c r="X291" s="20"/>
    </row>
    <row r="292" spans="1:24" s="65" customFormat="1" ht="15" customHeight="1" outlineLevel="2">
      <c r="A292" s="219"/>
      <c r="B292" s="121"/>
      <c r="C292" s="242" t="s">
        <v>1814</v>
      </c>
      <c r="D292" s="121" t="str">
        <f>INDEX(Regional.Technologies[Description],MATCH($B$2&amp;"."&amp;G.30.levels.ProcessImprovements[[#This Row],[Technology code]],Regional.Technologies[Code],0))</f>
        <v>Global Oil use in the Primary Aluminium technology</v>
      </c>
      <c r="E292" s="121">
        <v>1</v>
      </c>
      <c r="F292" s="242" t="s">
        <v>1915</v>
      </c>
      <c r="G292" s="242"/>
      <c r="H292" s="242"/>
      <c r="I292" s="402">
        <v>0</v>
      </c>
      <c r="J292" s="402">
        <f t="shared" si="14"/>
        <v>0</v>
      </c>
      <c r="K292" s="402">
        <f t="shared" si="14"/>
        <v>0</v>
      </c>
      <c r="L292" s="402">
        <f t="shared" si="14"/>
        <v>0</v>
      </c>
      <c r="M292" s="402">
        <f t="shared" si="14"/>
        <v>0</v>
      </c>
      <c r="N292" s="402">
        <f t="shared" si="14"/>
        <v>0</v>
      </c>
      <c r="O292" s="402">
        <f t="shared" si="14"/>
        <v>0</v>
      </c>
      <c r="P292" s="402">
        <f t="shared" si="14"/>
        <v>0</v>
      </c>
      <c r="Q292" s="402">
        <v>0</v>
      </c>
      <c r="R292" s="242"/>
      <c r="T292" s="20"/>
      <c r="U292" s="20"/>
      <c r="V292" s="20"/>
      <c r="W292" s="20"/>
      <c r="X292" s="20"/>
    </row>
    <row r="293" spans="1:24" s="65" customFormat="1" ht="15" customHeight="1" outlineLevel="2">
      <c r="A293" s="219"/>
      <c r="B293" s="121"/>
      <c r="C293" s="242" t="s">
        <v>1814</v>
      </c>
      <c r="D293" s="121" t="str">
        <f>INDEX(Regional.Technologies[Description],MATCH($B$2&amp;"."&amp;G.30.levels.ProcessImprovements[[#This Row],[Technology code]],Regional.Technologies[Code],0))</f>
        <v>Global Oil use in the Primary Aluminium technology</v>
      </c>
      <c r="E293" s="121">
        <v>2</v>
      </c>
      <c r="F293" s="242" t="s">
        <v>1915</v>
      </c>
      <c r="G293" s="242"/>
      <c r="H293" s="242"/>
      <c r="I293" s="402">
        <v>0</v>
      </c>
      <c r="J293" s="402">
        <f t="shared" si="14"/>
        <v>2.0512820512820513E-2</v>
      </c>
      <c r="K293" s="402">
        <f t="shared" si="14"/>
        <v>4.6153846153846156E-2</v>
      </c>
      <c r="L293" s="402">
        <f t="shared" si="14"/>
        <v>7.179487179487179E-2</v>
      </c>
      <c r="M293" s="402">
        <f t="shared" si="14"/>
        <v>9.7435897435897437E-2</v>
      </c>
      <c r="N293" s="402">
        <f t="shared" si="14"/>
        <v>0.12307692307692308</v>
      </c>
      <c r="O293" s="402">
        <f t="shared" si="14"/>
        <v>0.14871794871794872</v>
      </c>
      <c r="P293" s="402">
        <f t="shared" si="14"/>
        <v>0.17435897435897435</v>
      </c>
      <c r="Q293" s="402">
        <v>0.2</v>
      </c>
      <c r="R293" s="242"/>
      <c r="T293" s="20"/>
      <c r="U293" s="20"/>
      <c r="V293" s="20"/>
      <c r="W293" s="20"/>
      <c r="X293" s="20"/>
    </row>
    <row r="294" spans="1:24" s="65" customFormat="1" ht="15" customHeight="1" outlineLevel="2">
      <c r="A294" s="219"/>
      <c r="B294" s="121"/>
      <c r="C294" s="242" t="s">
        <v>1814</v>
      </c>
      <c r="D294" s="121" t="str">
        <f>INDEX(Regional.Technologies[Description],MATCH($B$2&amp;"."&amp;G.30.levels.ProcessImprovements[[#This Row],[Technology code]],Regional.Technologies[Code],0))</f>
        <v>Global Oil use in the Primary Aluminium technology</v>
      </c>
      <c r="E294" s="121">
        <v>3</v>
      </c>
      <c r="F294" s="242" t="s">
        <v>1915</v>
      </c>
      <c r="G294" s="242"/>
      <c r="H294" s="242"/>
      <c r="I294" s="402">
        <v>0</v>
      </c>
      <c r="J294" s="402">
        <f t="shared" si="14"/>
        <v>3.0769230769230767E-2</v>
      </c>
      <c r="K294" s="402">
        <f t="shared" si="14"/>
        <v>6.9230769230769221E-2</v>
      </c>
      <c r="L294" s="402">
        <f t="shared" si="14"/>
        <v>0.10769230769230768</v>
      </c>
      <c r="M294" s="402">
        <f t="shared" si="14"/>
        <v>0.14615384615384613</v>
      </c>
      <c r="N294" s="402">
        <f t="shared" si="14"/>
        <v>0.1846153846153846</v>
      </c>
      <c r="O294" s="402">
        <f t="shared" si="14"/>
        <v>0.22307692307692306</v>
      </c>
      <c r="P294" s="402">
        <f t="shared" si="14"/>
        <v>0.2615384615384615</v>
      </c>
      <c r="Q294" s="402">
        <v>0.3</v>
      </c>
      <c r="R294" s="242"/>
      <c r="T294" s="20"/>
      <c r="U294" s="20"/>
      <c r="V294" s="20"/>
      <c r="W294" s="20"/>
      <c r="X294" s="20"/>
    </row>
    <row r="295" spans="1:24" s="65" customFormat="1" ht="15" customHeight="1" outlineLevel="2">
      <c r="A295" s="219"/>
      <c r="B295" s="121"/>
      <c r="C295" s="242" t="s">
        <v>1814</v>
      </c>
      <c r="D295" s="121" t="str">
        <f>INDEX(Regional.Technologies[Description],MATCH($B$2&amp;"."&amp;G.30.levels.ProcessImprovements[[#This Row],[Technology code]],Regional.Technologies[Code],0))</f>
        <v>Global Oil use in the Primary Aluminium technology</v>
      </c>
      <c r="E295" s="121">
        <v>4</v>
      </c>
      <c r="F295" s="242" t="s">
        <v>1915</v>
      </c>
      <c r="G295" s="242"/>
      <c r="H295" s="242"/>
      <c r="I295" s="402">
        <v>0</v>
      </c>
      <c r="J295" s="402">
        <f t="shared" si="14"/>
        <v>4.1025641025641026E-2</v>
      </c>
      <c r="K295" s="402">
        <f t="shared" si="14"/>
        <v>9.2307692307692313E-2</v>
      </c>
      <c r="L295" s="402">
        <f t="shared" si="14"/>
        <v>0.14358974358974358</v>
      </c>
      <c r="M295" s="402">
        <f t="shared" si="14"/>
        <v>0.19487179487179487</v>
      </c>
      <c r="N295" s="402">
        <f t="shared" si="14"/>
        <v>0.24615384615384617</v>
      </c>
      <c r="O295" s="402">
        <f t="shared" si="14"/>
        <v>0.29743589743589743</v>
      </c>
      <c r="P295" s="402">
        <f t="shared" si="14"/>
        <v>0.3487179487179487</v>
      </c>
      <c r="Q295" s="402">
        <v>0.4</v>
      </c>
      <c r="R295" s="242"/>
      <c r="T295" s="20"/>
      <c r="U295" s="20"/>
      <c r="V295" s="20"/>
      <c r="W295" s="20"/>
      <c r="X295" s="20"/>
    </row>
    <row r="296" spans="1:24" s="65" customFormat="1" ht="15" customHeight="1" outlineLevel="2">
      <c r="A296" s="219"/>
      <c r="B296" s="121"/>
      <c r="C296" s="242" t="s">
        <v>1815</v>
      </c>
      <c r="D296" s="121" t="str">
        <f>INDEX(Regional.Technologies[Description],MATCH($B$2&amp;"."&amp;G.30.levels.ProcessImprovements[[#This Row],[Technology code]],Regional.Technologies[Code],0))</f>
        <v>Global Natural Gas use in the Primary Aluminium technology</v>
      </c>
      <c r="E296" s="121">
        <v>1</v>
      </c>
      <c r="F296" s="242" t="s">
        <v>1915</v>
      </c>
      <c r="G296" s="242"/>
      <c r="H296" s="242"/>
      <c r="I296" s="402">
        <v>0</v>
      </c>
      <c r="J296" s="402">
        <f t="shared" si="14"/>
        <v>0</v>
      </c>
      <c r="K296" s="402">
        <f t="shared" si="14"/>
        <v>0</v>
      </c>
      <c r="L296" s="402">
        <f t="shared" si="14"/>
        <v>0</v>
      </c>
      <c r="M296" s="402">
        <f t="shared" ref="J296:P332" si="15">(($Q296-$I296)/($Q$121-$I$121))*(M$121-$I$121)+$I296</f>
        <v>0</v>
      </c>
      <c r="N296" s="402">
        <f t="shared" si="15"/>
        <v>0</v>
      </c>
      <c r="O296" s="402">
        <f t="shared" si="15"/>
        <v>0</v>
      </c>
      <c r="P296" s="402">
        <f t="shared" si="15"/>
        <v>0</v>
      </c>
      <c r="Q296" s="402">
        <v>0</v>
      </c>
      <c r="R296" s="242"/>
      <c r="T296" s="20"/>
      <c r="U296" s="20"/>
      <c r="V296" s="20"/>
      <c r="W296" s="20"/>
      <c r="X296" s="20"/>
    </row>
    <row r="297" spans="1:24" s="65" customFormat="1" ht="15" customHeight="1" outlineLevel="2">
      <c r="A297" s="219"/>
      <c r="B297" s="121"/>
      <c r="C297" s="242" t="s">
        <v>1815</v>
      </c>
      <c r="D297" s="121" t="str">
        <f>INDEX(Regional.Technologies[Description],MATCH($B$2&amp;"."&amp;G.30.levels.ProcessImprovements[[#This Row],[Technology code]],Regional.Technologies[Code],0))</f>
        <v>Global Natural Gas use in the Primary Aluminium technology</v>
      </c>
      <c r="E297" s="121">
        <v>2</v>
      </c>
      <c r="F297" s="242" t="s">
        <v>1915</v>
      </c>
      <c r="G297" s="242"/>
      <c r="H297" s="242"/>
      <c r="I297" s="402">
        <v>0</v>
      </c>
      <c r="J297" s="402">
        <f t="shared" si="15"/>
        <v>2.0512820512820513E-2</v>
      </c>
      <c r="K297" s="402">
        <f t="shared" si="15"/>
        <v>4.6153846153846156E-2</v>
      </c>
      <c r="L297" s="402">
        <f t="shared" si="15"/>
        <v>7.179487179487179E-2</v>
      </c>
      <c r="M297" s="402">
        <f t="shared" si="15"/>
        <v>9.7435897435897437E-2</v>
      </c>
      <c r="N297" s="402">
        <f t="shared" si="15"/>
        <v>0.12307692307692308</v>
      </c>
      <c r="O297" s="402">
        <f t="shared" si="15"/>
        <v>0.14871794871794872</v>
      </c>
      <c r="P297" s="402">
        <f t="shared" si="15"/>
        <v>0.17435897435897435</v>
      </c>
      <c r="Q297" s="402">
        <v>0.2</v>
      </c>
      <c r="R297" s="242"/>
      <c r="T297" s="20"/>
      <c r="U297" s="20"/>
      <c r="V297" s="20"/>
      <c r="W297" s="20"/>
      <c r="X297" s="20"/>
    </row>
    <row r="298" spans="1:24" s="65" customFormat="1" ht="15" customHeight="1" outlineLevel="2">
      <c r="A298" s="219"/>
      <c r="B298" s="121"/>
      <c r="C298" s="242" t="s">
        <v>1815</v>
      </c>
      <c r="D298" s="121" t="str">
        <f>INDEX(Regional.Technologies[Description],MATCH($B$2&amp;"."&amp;G.30.levels.ProcessImprovements[[#This Row],[Technology code]],Regional.Technologies[Code],0))</f>
        <v>Global Natural Gas use in the Primary Aluminium technology</v>
      </c>
      <c r="E298" s="121">
        <v>3</v>
      </c>
      <c r="F298" s="242" t="s">
        <v>1915</v>
      </c>
      <c r="G298" s="242"/>
      <c r="H298" s="242"/>
      <c r="I298" s="402">
        <v>0</v>
      </c>
      <c r="J298" s="402">
        <f t="shared" si="15"/>
        <v>3.0769230769230767E-2</v>
      </c>
      <c r="K298" s="402">
        <f t="shared" si="15"/>
        <v>6.9230769230769221E-2</v>
      </c>
      <c r="L298" s="402">
        <f t="shared" si="15"/>
        <v>0.10769230769230768</v>
      </c>
      <c r="M298" s="402">
        <f t="shared" si="15"/>
        <v>0.14615384615384613</v>
      </c>
      <c r="N298" s="402">
        <f t="shared" si="15"/>
        <v>0.1846153846153846</v>
      </c>
      <c r="O298" s="402">
        <f t="shared" si="15"/>
        <v>0.22307692307692306</v>
      </c>
      <c r="P298" s="402">
        <f t="shared" si="15"/>
        <v>0.2615384615384615</v>
      </c>
      <c r="Q298" s="402">
        <v>0.3</v>
      </c>
      <c r="R298" s="242"/>
      <c r="T298" s="20"/>
      <c r="U298" s="20"/>
      <c r="V298" s="20"/>
      <c r="W298" s="20"/>
      <c r="X298" s="20"/>
    </row>
    <row r="299" spans="1:24" s="65" customFormat="1" ht="15" customHeight="1" outlineLevel="2">
      <c r="A299" s="219"/>
      <c r="B299" s="121"/>
      <c r="C299" s="242" t="s">
        <v>1815</v>
      </c>
      <c r="D299" s="121" t="str">
        <f>INDEX(Regional.Technologies[Description],MATCH($B$2&amp;"."&amp;G.30.levels.ProcessImprovements[[#This Row],[Technology code]],Regional.Technologies[Code],0))</f>
        <v>Global Natural Gas use in the Primary Aluminium technology</v>
      </c>
      <c r="E299" s="121">
        <v>4</v>
      </c>
      <c r="F299" s="242" t="s">
        <v>1915</v>
      </c>
      <c r="G299" s="242"/>
      <c r="H299" s="242"/>
      <c r="I299" s="402">
        <v>0</v>
      </c>
      <c r="J299" s="402">
        <f t="shared" si="15"/>
        <v>4.1025641025641026E-2</v>
      </c>
      <c r="K299" s="402">
        <f t="shared" si="15"/>
        <v>9.2307692307692313E-2</v>
      </c>
      <c r="L299" s="402">
        <f t="shared" si="15"/>
        <v>0.14358974358974358</v>
      </c>
      <c r="M299" s="402">
        <f t="shared" si="15"/>
        <v>0.19487179487179487</v>
      </c>
      <c r="N299" s="402">
        <f t="shared" si="15"/>
        <v>0.24615384615384617</v>
      </c>
      <c r="O299" s="402">
        <f t="shared" si="15"/>
        <v>0.29743589743589743</v>
      </c>
      <c r="P299" s="402">
        <f t="shared" si="15"/>
        <v>0.3487179487179487</v>
      </c>
      <c r="Q299" s="402">
        <v>0.4</v>
      </c>
      <c r="R299" s="242"/>
      <c r="T299" s="20"/>
      <c r="U299" s="20"/>
      <c r="V299" s="20"/>
      <c r="W299" s="20"/>
      <c r="X299" s="20"/>
    </row>
    <row r="300" spans="1:24" s="65" customFormat="1" ht="15" customHeight="1" outlineLevel="2">
      <c r="A300" s="219"/>
      <c r="B300" s="121"/>
      <c r="C300" s="242" t="s">
        <v>1816</v>
      </c>
      <c r="D300" s="121" t="str">
        <f>INDEX(Regional.Technologies[Description],MATCH($B$2&amp;"."&amp;G.30.levels.ProcessImprovements[[#This Row],[Technology code]],Regional.Technologies[Code],0))</f>
        <v>Global Solid Hydrocarbons use in the Primary Aluminium technology</v>
      </c>
      <c r="E300" s="121">
        <v>1</v>
      </c>
      <c r="F300" s="242" t="s">
        <v>1915</v>
      </c>
      <c r="G300" s="242"/>
      <c r="H300" s="242"/>
      <c r="I300" s="402">
        <v>0</v>
      </c>
      <c r="J300" s="402">
        <f t="shared" si="15"/>
        <v>0</v>
      </c>
      <c r="K300" s="402">
        <f t="shared" si="15"/>
        <v>0</v>
      </c>
      <c r="L300" s="402">
        <f t="shared" si="15"/>
        <v>0</v>
      </c>
      <c r="M300" s="402">
        <f t="shared" si="15"/>
        <v>0</v>
      </c>
      <c r="N300" s="402">
        <f t="shared" si="15"/>
        <v>0</v>
      </c>
      <c r="O300" s="402">
        <f t="shared" si="15"/>
        <v>0</v>
      </c>
      <c r="P300" s="402">
        <f t="shared" si="15"/>
        <v>0</v>
      </c>
      <c r="Q300" s="402">
        <v>0</v>
      </c>
      <c r="R300" s="242"/>
      <c r="T300" s="20"/>
      <c r="U300" s="20"/>
      <c r="V300" s="20"/>
      <c r="W300" s="20"/>
      <c r="X300" s="20"/>
    </row>
    <row r="301" spans="1:24" s="65" customFormat="1" ht="15" customHeight="1" outlineLevel="2">
      <c r="A301" s="219"/>
      <c r="B301" s="121"/>
      <c r="C301" s="242" t="s">
        <v>1816</v>
      </c>
      <c r="D301" s="121" t="str">
        <f>INDEX(Regional.Technologies[Description],MATCH($B$2&amp;"."&amp;G.30.levels.ProcessImprovements[[#This Row],[Technology code]],Regional.Technologies[Code],0))</f>
        <v>Global Solid Hydrocarbons use in the Primary Aluminium technology</v>
      </c>
      <c r="E301" s="121">
        <v>2</v>
      </c>
      <c r="F301" s="242" t="s">
        <v>1915</v>
      </c>
      <c r="G301" s="242"/>
      <c r="H301" s="242"/>
      <c r="I301" s="402">
        <v>0</v>
      </c>
      <c r="J301" s="402">
        <f t="shared" si="15"/>
        <v>2.0512820512820513E-2</v>
      </c>
      <c r="K301" s="402">
        <f t="shared" si="15"/>
        <v>4.6153846153846156E-2</v>
      </c>
      <c r="L301" s="402">
        <f t="shared" si="15"/>
        <v>7.179487179487179E-2</v>
      </c>
      <c r="M301" s="402">
        <f t="shared" si="15"/>
        <v>9.7435897435897437E-2</v>
      </c>
      <c r="N301" s="402">
        <f t="shared" si="15"/>
        <v>0.12307692307692308</v>
      </c>
      <c r="O301" s="402">
        <f t="shared" si="15"/>
        <v>0.14871794871794872</v>
      </c>
      <c r="P301" s="402">
        <f t="shared" si="15"/>
        <v>0.17435897435897435</v>
      </c>
      <c r="Q301" s="402">
        <v>0.2</v>
      </c>
      <c r="R301" s="242"/>
      <c r="T301" s="20"/>
      <c r="U301" s="20"/>
      <c r="V301" s="20"/>
      <c r="W301" s="20"/>
      <c r="X301" s="20"/>
    </row>
    <row r="302" spans="1:24" s="65" customFormat="1" ht="15" customHeight="1" outlineLevel="2">
      <c r="A302" s="219"/>
      <c r="B302" s="121"/>
      <c r="C302" s="242" t="s">
        <v>1816</v>
      </c>
      <c r="D302" s="121" t="str">
        <f>INDEX(Regional.Technologies[Description],MATCH($B$2&amp;"."&amp;G.30.levels.ProcessImprovements[[#This Row],[Technology code]],Regional.Technologies[Code],0))</f>
        <v>Global Solid Hydrocarbons use in the Primary Aluminium technology</v>
      </c>
      <c r="E302" s="121">
        <v>3</v>
      </c>
      <c r="F302" s="242" t="s">
        <v>1915</v>
      </c>
      <c r="G302" s="242"/>
      <c r="H302" s="242"/>
      <c r="I302" s="402">
        <v>0</v>
      </c>
      <c r="J302" s="402">
        <f t="shared" si="15"/>
        <v>3.0769230769230767E-2</v>
      </c>
      <c r="K302" s="402">
        <f t="shared" si="15"/>
        <v>6.9230769230769221E-2</v>
      </c>
      <c r="L302" s="402">
        <f t="shared" si="15"/>
        <v>0.10769230769230768</v>
      </c>
      <c r="M302" s="402">
        <f t="shared" si="15"/>
        <v>0.14615384615384613</v>
      </c>
      <c r="N302" s="402">
        <f t="shared" si="15"/>
        <v>0.1846153846153846</v>
      </c>
      <c r="O302" s="402">
        <f t="shared" si="15"/>
        <v>0.22307692307692306</v>
      </c>
      <c r="P302" s="402">
        <f t="shared" si="15"/>
        <v>0.2615384615384615</v>
      </c>
      <c r="Q302" s="402">
        <v>0.3</v>
      </c>
      <c r="R302" s="242"/>
      <c r="T302" s="20"/>
      <c r="U302" s="20"/>
      <c r="V302" s="20"/>
      <c r="W302" s="20"/>
      <c r="X302" s="20"/>
    </row>
    <row r="303" spans="1:24" s="65" customFormat="1" ht="15" customHeight="1" outlineLevel="2">
      <c r="A303" s="219"/>
      <c r="B303" s="121"/>
      <c r="C303" s="242" t="s">
        <v>1816</v>
      </c>
      <c r="D303" s="121" t="str">
        <f>INDEX(Regional.Technologies[Description],MATCH($B$2&amp;"."&amp;G.30.levels.ProcessImprovements[[#This Row],[Technology code]],Regional.Technologies[Code],0))</f>
        <v>Global Solid Hydrocarbons use in the Primary Aluminium technology</v>
      </c>
      <c r="E303" s="121">
        <v>4</v>
      </c>
      <c r="F303" s="242" t="s">
        <v>1915</v>
      </c>
      <c r="G303" s="242"/>
      <c r="H303" s="242"/>
      <c r="I303" s="402">
        <v>0</v>
      </c>
      <c r="J303" s="402">
        <f t="shared" si="15"/>
        <v>4.1025641025641026E-2</v>
      </c>
      <c r="K303" s="402">
        <f t="shared" si="15"/>
        <v>9.2307692307692313E-2</v>
      </c>
      <c r="L303" s="402">
        <f t="shared" si="15"/>
        <v>0.14358974358974358</v>
      </c>
      <c r="M303" s="402">
        <f t="shared" si="15"/>
        <v>0.19487179487179487</v>
      </c>
      <c r="N303" s="402">
        <f t="shared" si="15"/>
        <v>0.24615384615384617</v>
      </c>
      <c r="O303" s="402">
        <f t="shared" si="15"/>
        <v>0.29743589743589743</v>
      </c>
      <c r="P303" s="402">
        <f t="shared" si="15"/>
        <v>0.3487179487179487</v>
      </c>
      <c r="Q303" s="402">
        <v>0.4</v>
      </c>
      <c r="R303" s="242"/>
      <c r="T303" s="20"/>
      <c r="U303" s="20"/>
      <c r="V303" s="20"/>
      <c r="W303" s="20"/>
      <c r="X303" s="20"/>
    </row>
    <row r="304" spans="1:24" s="65" customFormat="1" ht="15" customHeight="1" outlineLevel="2">
      <c r="A304" s="219"/>
      <c r="B304" s="121"/>
      <c r="C304" s="242" t="s">
        <v>1640</v>
      </c>
      <c r="D304" s="121" t="str">
        <f>INDEX(Regional.Technologies[Description],MATCH($B$2&amp;"."&amp;G.30.levels.ProcessImprovements[[#This Row],[Technology code]],Regional.Technologies[Code],0))</f>
        <v>Global Heat use in the Primary Aluminium technology</v>
      </c>
      <c r="E304" s="121">
        <v>1</v>
      </c>
      <c r="F304" s="242" t="s">
        <v>1915</v>
      </c>
      <c r="G304" s="242"/>
      <c r="H304" s="242"/>
      <c r="I304" s="402">
        <v>0</v>
      </c>
      <c r="J304" s="402">
        <f t="shared" si="15"/>
        <v>0</v>
      </c>
      <c r="K304" s="402">
        <f t="shared" si="15"/>
        <v>0</v>
      </c>
      <c r="L304" s="402">
        <f t="shared" si="15"/>
        <v>0</v>
      </c>
      <c r="M304" s="402">
        <f t="shared" si="15"/>
        <v>0</v>
      </c>
      <c r="N304" s="402">
        <f t="shared" si="15"/>
        <v>0</v>
      </c>
      <c r="O304" s="402">
        <f t="shared" si="15"/>
        <v>0</v>
      </c>
      <c r="P304" s="402">
        <f t="shared" si="15"/>
        <v>0</v>
      </c>
      <c r="Q304" s="402">
        <v>0</v>
      </c>
      <c r="R304" s="242"/>
      <c r="T304" s="20"/>
      <c r="U304" s="20"/>
      <c r="V304" s="20"/>
      <c r="W304" s="20"/>
      <c r="X304" s="20"/>
    </row>
    <row r="305" spans="1:24" s="65" customFormat="1" ht="15" customHeight="1" outlineLevel="2">
      <c r="A305" s="219"/>
      <c r="B305" s="121"/>
      <c r="C305" s="242" t="s">
        <v>1640</v>
      </c>
      <c r="D305" s="121" t="str">
        <f>INDEX(Regional.Technologies[Description],MATCH($B$2&amp;"."&amp;G.30.levels.ProcessImprovements[[#This Row],[Technology code]],Regional.Technologies[Code],0))</f>
        <v>Global Heat use in the Primary Aluminium technology</v>
      </c>
      <c r="E305" s="121">
        <v>2</v>
      </c>
      <c r="F305" s="242" t="s">
        <v>1915</v>
      </c>
      <c r="G305" s="242"/>
      <c r="H305" s="242"/>
      <c r="I305" s="402">
        <v>0</v>
      </c>
      <c r="J305" s="402">
        <f t="shared" si="15"/>
        <v>2.0512820512820513E-2</v>
      </c>
      <c r="K305" s="402">
        <f t="shared" si="15"/>
        <v>4.6153846153846156E-2</v>
      </c>
      <c r="L305" s="402">
        <f t="shared" si="15"/>
        <v>7.179487179487179E-2</v>
      </c>
      <c r="M305" s="402">
        <f t="shared" si="15"/>
        <v>9.7435897435897437E-2</v>
      </c>
      <c r="N305" s="402">
        <f t="shared" si="15"/>
        <v>0.12307692307692308</v>
      </c>
      <c r="O305" s="402">
        <f t="shared" si="15"/>
        <v>0.14871794871794872</v>
      </c>
      <c r="P305" s="402">
        <f t="shared" si="15"/>
        <v>0.17435897435897435</v>
      </c>
      <c r="Q305" s="402">
        <v>0.2</v>
      </c>
      <c r="R305" s="242"/>
      <c r="T305" s="20"/>
      <c r="U305" s="20"/>
      <c r="V305" s="20"/>
      <c r="W305" s="20"/>
      <c r="X305" s="20"/>
    </row>
    <row r="306" spans="1:24" s="65" customFormat="1" ht="15" customHeight="1" outlineLevel="2">
      <c r="A306" s="219"/>
      <c r="B306" s="121"/>
      <c r="C306" s="242" t="s">
        <v>1640</v>
      </c>
      <c r="D306" s="121" t="str">
        <f>INDEX(Regional.Technologies[Description],MATCH($B$2&amp;"."&amp;G.30.levels.ProcessImprovements[[#This Row],[Technology code]],Regional.Technologies[Code],0))</f>
        <v>Global Heat use in the Primary Aluminium technology</v>
      </c>
      <c r="E306" s="121">
        <v>3</v>
      </c>
      <c r="F306" s="242" t="s">
        <v>1915</v>
      </c>
      <c r="G306" s="242"/>
      <c r="H306" s="242"/>
      <c r="I306" s="402">
        <v>0</v>
      </c>
      <c r="J306" s="402">
        <f t="shared" si="15"/>
        <v>3.0769230769230767E-2</v>
      </c>
      <c r="K306" s="402">
        <f t="shared" si="15"/>
        <v>6.9230769230769221E-2</v>
      </c>
      <c r="L306" s="402">
        <f t="shared" si="15"/>
        <v>0.10769230769230768</v>
      </c>
      <c r="M306" s="402">
        <f t="shared" si="15"/>
        <v>0.14615384615384613</v>
      </c>
      <c r="N306" s="402">
        <f t="shared" si="15"/>
        <v>0.1846153846153846</v>
      </c>
      <c r="O306" s="402">
        <f t="shared" si="15"/>
        <v>0.22307692307692306</v>
      </c>
      <c r="P306" s="402">
        <f t="shared" si="15"/>
        <v>0.2615384615384615</v>
      </c>
      <c r="Q306" s="402">
        <v>0.3</v>
      </c>
      <c r="R306" s="242"/>
      <c r="T306" s="20"/>
      <c r="U306" s="20"/>
      <c r="V306" s="20"/>
      <c r="W306" s="20"/>
      <c r="X306" s="20"/>
    </row>
    <row r="307" spans="1:24" s="65" customFormat="1" ht="15" customHeight="1" outlineLevel="2">
      <c r="A307" s="219"/>
      <c r="B307" s="121"/>
      <c r="C307" s="242" t="s">
        <v>1640</v>
      </c>
      <c r="D307" s="121" t="str">
        <f>INDEX(Regional.Technologies[Description],MATCH($B$2&amp;"."&amp;G.30.levels.ProcessImprovements[[#This Row],[Technology code]],Regional.Technologies[Code],0))</f>
        <v>Global Heat use in the Primary Aluminium technology</v>
      </c>
      <c r="E307" s="121">
        <v>4</v>
      </c>
      <c r="F307" s="242" t="s">
        <v>1915</v>
      </c>
      <c r="G307" s="242"/>
      <c r="H307" s="242"/>
      <c r="I307" s="402">
        <v>0</v>
      </c>
      <c r="J307" s="402">
        <f t="shared" si="15"/>
        <v>4.1025641025641026E-2</v>
      </c>
      <c r="K307" s="402">
        <f t="shared" si="15"/>
        <v>9.2307692307692313E-2</v>
      </c>
      <c r="L307" s="402">
        <f t="shared" si="15"/>
        <v>0.14358974358974358</v>
      </c>
      <c r="M307" s="402">
        <f t="shared" si="15"/>
        <v>0.19487179487179487</v>
      </c>
      <c r="N307" s="402">
        <f t="shared" si="15"/>
        <v>0.24615384615384617</v>
      </c>
      <c r="O307" s="402">
        <f t="shared" si="15"/>
        <v>0.29743589743589743</v>
      </c>
      <c r="P307" s="402">
        <f t="shared" si="15"/>
        <v>0.3487179487179487</v>
      </c>
      <c r="Q307" s="402">
        <v>0.4</v>
      </c>
      <c r="R307" s="242"/>
      <c r="T307" s="20"/>
      <c r="U307" s="20"/>
      <c r="V307" s="20"/>
      <c r="W307" s="20"/>
      <c r="X307" s="20"/>
    </row>
    <row r="308" spans="1:24" s="65" customFormat="1" ht="15" customHeight="1" outlineLevel="2">
      <c r="A308" s="219"/>
      <c r="B308" s="121"/>
      <c r="C308" s="242" t="s">
        <v>1639</v>
      </c>
      <c r="D308" s="121" t="str">
        <f>INDEX(Regional.Technologies[Description],MATCH($B$2&amp;"."&amp;G.30.levels.ProcessImprovements[[#This Row],[Technology code]],Regional.Technologies[Code],0))</f>
        <v>Global Electricity use in the Primary Aluminium technology</v>
      </c>
      <c r="E308" s="121">
        <v>1</v>
      </c>
      <c r="F308" s="242" t="s">
        <v>1916</v>
      </c>
      <c r="G308" s="242"/>
      <c r="H308" s="242"/>
      <c r="I308" s="402">
        <v>0</v>
      </c>
      <c r="J308" s="402">
        <f t="shared" si="15"/>
        <v>0</v>
      </c>
      <c r="K308" s="402">
        <f t="shared" si="15"/>
        <v>0</v>
      </c>
      <c r="L308" s="402">
        <f t="shared" si="15"/>
        <v>0</v>
      </c>
      <c r="M308" s="402">
        <f t="shared" si="15"/>
        <v>0</v>
      </c>
      <c r="N308" s="402">
        <f t="shared" si="15"/>
        <v>0</v>
      </c>
      <c r="O308" s="402">
        <f t="shared" si="15"/>
        <v>0</v>
      </c>
      <c r="P308" s="402">
        <f t="shared" si="15"/>
        <v>0</v>
      </c>
      <c r="Q308" s="402">
        <v>0</v>
      </c>
      <c r="R308" s="242"/>
      <c r="T308" s="20"/>
      <c r="U308" s="20"/>
      <c r="V308" s="20"/>
      <c r="W308" s="20"/>
      <c r="X308" s="20"/>
    </row>
    <row r="309" spans="1:24" s="65" customFormat="1" ht="15" customHeight="1" outlineLevel="2">
      <c r="A309" s="219"/>
      <c r="B309" s="121"/>
      <c r="C309" s="242" t="s">
        <v>1639</v>
      </c>
      <c r="D309" s="121" t="str">
        <f>INDEX(Regional.Technologies[Description],MATCH($B$2&amp;"."&amp;G.30.levels.ProcessImprovements[[#This Row],[Technology code]],Regional.Technologies[Code],0))</f>
        <v>Global Electricity use in the Primary Aluminium technology</v>
      </c>
      <c r="E309" s="121">
        <v>2</v>
      </c>
      <c r="F309" s="242" t="s">
        <v>1916</v>
      </c>
      <c r="G309" s="242"/>
      <c r="H309" s="242"/>
      <c r="I309" s="402">
        <v>0</v>
      </c>
      <c r="J309" s="402">
        <f t="shared" si="15"/>
        <v>2.0512820512820513E-2</v>
      </c>
      <c r="K309" s="402">
        <f t="shared" si="15"/>
        <v>4.6153846153846156E-2</v>
      </c>
      <c r="L309" s="402">
        <f t="shared" si="15"/>
        <v>7.179487179487179E-2</v>
      </c>
      <c r="M309" s="402">
        <f t="shared" si="15"/>
        <v>9.7435897435897437E-2</v>
      </c>
      <c r="N309" s="402">
        <f t="shared" si="15"/>
        <v>0.12307692307692308</v>
      </c>
      <c r="O309" s="402">
        <f t="shared" si="15"/>
        <v>0.14871794871794872</v>
      </c>
      <c r="P309" s="402">
        <f t="shared" si="15"/>
        <v>0.17435897435897435</v>
      </c>
      <c r="Q309" s="402">
        <v>0.2</v>
      </c>
      <c r="R309" s="242"/>
      <c r="T309" s="20"/>
      <c r="U309" s="20"/>
      <c r="V309" s="20"/>
      <c r="W309" s="20"/>
      <c r="X309" s="20"/>
    </row>
    <row r="310" spans="1:24" s="65" customFormat="1" ht="15" customHeight="1" outlineLevel="2">
      <c r="A310" s="219"/>
      <c r="B310" s="121"/>
      <c r="C310" s="242" t="s">
        <v>1639</v>
      </c>
      <c r="D310" s="121" t="str">
        <f>INDEX(Regional.Technologies[Description],MATCH($B$2&amp;"."&amp;G.30.levels.ProcessImprovements[[#This Row],[Technology code]],Regional.Technologies[Code],0))</f>
        <v>Global Electricity use in the Primary Aluminium technology</v>
      </c>
      <c r="E310" s="121">
        <v>3</v>
      </c>
      <c r="F310" s="242" t="s">
        <v>1916</v>
      </c>
      <c r="G310" s="242"/>
      <c r="H310" s="242"/>
      <c r="I310" s="402">
        <v>0</v>
      </c>
      <c r="J310" s="402">
        <f t="shared" si="15"/>
        <v>3.0769230769230767E-2</v>
      </c>
      <c r="K310" s="402">
        <f t="shared" si="15"/>
        <v>6.9230769230769221E-2</v>
      </c>
      <c r="L310" s="402">
        <f t="shared" si="15"/>
        <v>0.10769230769230768</v>
      </c>
      <c r="M310" s="402">
        <f t="shared" si="15"/>
        <v>0.14615384615384613</v>
      </c>
      <c r="N310" s="402">
        <f t="shared" si="15"/>
        <v>0.1846153846153846</v>
      </c>
      <c r="O310" s="402">
        <f t="shared" si="15"/>
        <v>0.22307692307692306</v>
      </c>
      <c r="P310" s="402">
        <f t="shared" si="15"/>
        <v>0.2615384615384615</v>
      </c>
      <c r="Q310" s="402">
        <v>0.3</v>
      </c>
      <c r="R310" s="242"/>
      <c r="T310" s="20"/>
      <c r="U310" s="20"/>
      <c r="V310" s="20"/>
      <c r="W310" s="20"/>
      <c r="X310" s="20"/>
    </row>
    <row r="311" spans="1:24" s="65" customFormat="1" ht="15" customHeight="1" outlineLevel="2">
      <c r="A311" s="219"/>
      <c r="B311" s="121"/>
      <c r="C311" s="242" t="s">
        <v>1639</v>
      </c>
      <c r="D311" s="121" t="str">
        <f>INDEX(Regional.Technologies[Description],MATCH($B$2&amp;"."&amp;G.30.levels.ProcessImprovements[[#This Row],[Technology code]],Regional.Technologies[Code],0))</f>
        <v>Global Electricity use in the Primary Aluminium technology</v>
      </c>
      <c r="E311" s="121">
        <v>4</v>
      </c>
      <c r="F311" s="242" t="s">
        <v>1916</v>
      </c>
      <c r="G311" s="242"/>
      <c r="H311" s="242"/>
      <c r="I311" s="402">
        <v>0</v>
      </c>
      <c r="J311" s="402">
        <f t="shared" si="15"/>
        <v>4.1025641025641026E-2</v>
      </c>
      <c r="K311" s="402">
        <f t="shared" si="15"/>
        <v>9.2307692307692313E-2</v>
      </c>
      <c r="L311" s="402">
        <f t="shared" si="15"/>
        <v>0.14358974358974358</v>
      </c>
      <c r="M311" s="402">
        <f t="shared" si="15"/>
        <v>0.19487179487179487</v>
      </c>
      <c r="N311" s="402">
        <f t="shared" si="15"/>
        <v>0.24615384615384617</v>
      </c>
      <c r="O311" s="402">
        <f t="shared" si="15"/>
        <v>0.29743589743589743</v>
      </c>
      <c r="P311" s="402">
        <f t="shared" si="15"/>
        <v>0.3487179487179487</v>
      </c>
      <c r="Q311" s="402">
        <v>0.4</v>
      </c>
      <c r="R311" s="242"/>
      <c r="T311" s="20"/>
      <c r="U311" s="20"/>
      <c r="V311" s="20"/>
      <c r="W311" s="20"/>
      <c r="X311" s="20"/>
    </row>
    <row r="312" spans="1:24" s="65" customFormat="1" ht="15" customHeight="1" outlineLevel="2">
      <c r="A312" s="219"/>
      <c r="B312" s="121"/>
      <c r="C312" s="242" t="s">
        <v>1813</v>
      </c>
      <c r="D312" s="121" t="str">
        <f>INDEX(Regional.Technologies[Description],MATCH($B$2&amp;"."&amp;G.30.levels.ProcessImprovements[[#This Row],[Technology code]],Regional.Technologies[Code],0))</f>
        <v>Global Coal use in the Primary Aluminium technology</v>
      </c>
      <c r="E312" s="121">
        <v>1</v>
      </c>
      <c r="F312" s="242" t="s">
        <v>1916</v>
      </c>
      <c r="G312" s="242"/>
      <c r="H312" s="242"/>
      <c r="I312" s="402">
        <v>0</v>
      </c>
      <c r="J312" s="402">
        <f t="shared" si="15"/>
        <v>0</v>
      </c>
      <c r="K312" s="402">
        <f t="shared" si="15"/>
        <v>0</v>
      </c>
      <c r="L312" s="402">
        <f t="shared" si="15"/>
        <v>0</v>
      </c>
      <c r="M312" s="402">
        <f t="shared" si="15"/>
        <v>0</v>
      </c>
      <c r="N312" s="402">
        <f t="shared" si="15"/>
        <v>0</v>
      </c>
      <c r="O312" s="402">
        <f t="shared" si="15"/>
        <v>0</v>
      </c>
      <c r="P312" s="402">
        <f t="shared" si="15"/>
        <v>0</v>
      </c>
      <c r="Q312" s="402">
        <v>0</v>
      </c>
      <c r="R312" s="242"/>
      <c r="T312" s="20"/>
      <c r="U312" s="20"/>
      <c r="V312" s="20"/>
      <c r="W312" s="20"/>
      <c r="X312" s="20"/>
    </row>
    <row r="313" spans="1:24" s="65" customFormat="1" ht="15" customHeight="1" outlineLevel="2">
      <c r="A313" s="219"/>
      <c r="B313" s="121"/>
      <c r="C313" s="242" t="s">
        <v>1813</v>
      </c>
      <c r="D313" s="121" t="str">
        <f>INDEX(Regional.Technologies[Description],MATCH($B$2&amp;"."&amp;G.30.levels.ProcessImprovements[[#This Row],[Technology code]],Regional.Technologies[Code],0))</f>
        <v>Global Coal use in the Primary Aluminium technology</v>
      </c>
      <c r="E313" s="121">
        <v>2</v>
      </c>
      <c r="F313" s="242" t="s">
        <v>1916</v>
      </c>
      <c r="G313" s="242"/>
      <c r="H313" s="242"/>
      <c r="I313" s="402">
        <v>0</v>
      </c>
      <c r="J313" s="402">
        <f t="shared" si="15"/>
        <v>2.0512820512820513E-2</v>
      </c>
      <c r="K313" s="402">
        <f t="shared" si="15"/>
        <v>4.6153846153846156E-2</v>
      </c>
      <c r="L313" s="402">
        <f t="shared" si="15"/>
        <v>7.179487179487179E-2</v>
      </c>
      <c r="M313" s="402">
        <f t="shared" si="15"/>
        <v>9.7435897435897437E-2</v>
      </c>
      <c r="N313" s="402">
        <f t="shared" si="15"/>
        <v>0.12307692307692308</v>
      </c>
      <c r="O313" s="402">
        <f t="shared" si="15"/>
        <v>0.14871794871794872</v>
      </c>
      <c r="P313" s="402">
        <f t="shared" si="15"/>
        <v>0.17435897435897435</v>
      </c>
      <c r="Q313" s="402">
        <v>0.2</v>
      </c>
      <c r="R313" s="242"/>
      <c r="T313" s="20"/>
      <c r="U313" s="20"/>
      <c r="V313" s="20"/>
      <c r="W313" s="20"/>
      <c r="X313" s="20"/>
    </row>
    <row r="314" spans="1:24" s="65" customFormat="1" ht="15" customHeight="1" outlineLevel="2">
      <c r="A314" s="219"/>
      <c r="B314" s="121"/>
      <c r="C314" s="242" t="s">
        <v>1813</v>
      </c>
      <c r="D314" s="121" t="str">
        <f>INDEX(Regional.Technologies[Description],MATCH($B$2&amp;"."&amp;G.30.levels.ProcessImprovements[[#This Row],[Technology code]],Regional.Technologies[Code],0))</f>
        <v>Global Coal use in the Primary Aluminium technology</v>
      </c>
      <c r="E314" s="121">
        <v>3</v>
      </c>
      <c r="F314" s="242" t="s">
        <v>1916</v>
      </c>
      <c r="G314" s="242"/>
      <c r="H314" s="242"/>
      <c r="I314" s="402">
        <v>0</v>
      </c>
      <c r="J314" s="402">
        <f t="shared" si="15"/>
        <v>3.0769230769230767E-2</v>
      </c>
      <c r="K314" s="402">
        <f t="shared" si="15"/>
        <v>6.9230769230769221E-2</v>
      </c>
      <c r="L314" s="402">
        <f t="shared" si="15"/>
        <v>0.10769230769230768</v>
      </c>
      <c r="M314" s="402">
        <f t="shared" si="15"/>
        <v>0.14615384615384613</v>
      </c>
      <c r="N314" s="402">
        <f t="shared" si="15"/>
        <v>0.1846153846153846</v>
      </c>
      <c r="O314" s="402">
        <f t="shared" si="15"/>
        <v>0.22307692307692306</v>
      </c>
      <c r="P314" s="402">
        <f t="shared" si="15"/>
        <v>0.2615384615384615</v>
      </c>
      <c r="Q314" s="402">
        <v>0.3</v>
      </c>
      <c r="R314" s="242"/>
      <c r="T314" s="20"/>
      <c r="U314" s="20"/>
      <c r="V314" s="20"/>
      <c r="W314" s="20"/>
      <c r="X314" s="20"/>
    </row>
    <row r="315" spans="1:24" s="65" customFormat="1" ht="15" customHeight="1" outlineLevel="2">
      <c r="A315" s="219"/>
      <c r="B315" s="121"/>
      <c r="C315" s="242" t="s">
        <v>1813</v>
      </c>
      <c r="D315" s="121" t="str">
        <f>INDEX(Regional.Technologies[Description],MATCH($B$2&amp;"."&amp;G.30.levels.ProcessImprovements[[#This Row],[Technology code]],Regional.Technologies[Code],0))</f>
        <v>Global Coal use in the Primary Aluminium technology</v>
      </c>
      <c r="E315" s="121">
        <v>4</v>
      </c>
      <c r="F315" s="242" t="s">
        <v>1916</v>
      </c>
      <c r="G315" s="242"/>
      <c r="H315" s="242"/>
      <c r="I315" s="402">
        <v>0</v>
      </c>
      <c r="J315" s="402">
        <f t="shared" si="15"/>
        <v>4.1025641025641026E-2</v>
      </c>
      <c r="K315" s="402">
        <f t="shared" si="15"/>
        <v>9.2307692307692313E-2</v>
      </c>
      <c r="L315" s="402">
        <f t="shared" si="15"/>
        <v>0.14358974358974358</v>
      </c>
      <c r="M315" s="402">
        <f t="shared" si="15"/>
        <v>0.19487179487179487</v>
      </c>
      <c r="N315" s="402">
        <f t="shared" si="15"/>
        <v>0.24615384615384617</v>
      </c>
      <c r="O315" s="402">
        <f t="shared" si="15"/>
        <v>0.29743589743589743</v>
      </c>
      <c r="P315" s="402">
        <f t="shared" si="15"/>
        <v>0.3487179487179487</v>
      </c>
      <c r="Q315" s="402">
        <v>0.4</v>
      </c>
      <c r="R315" s="242"/>
      <c r="T315" s="20"/>
      <c r="U315" s="20"/>
      <c r="V315" s="20"/>
      <c r="W315" s="20"/>
      <c r="X315" s="20"/>
    </row>
    <row r="316" spans="1:24" s="65" customFormat="1" ht="15" customHeight="1" outlineLevel="2">
      <c r="A316" s="219"/>
      <c r="B316" s="121"/>
      <c r="C316" s="242" t="s">
        <v>1814</v>
      </c>
      <c r="D316" s="121" t="str">
        <f>INDEX(Regional.Technologies[Description],MATCH($B$2&amp;"."&amp;G.30.levels.ProcessImprovements[[#This Row],[Technology code]],Regional.Technologies[Code],0))</f>
        <v>Global Oil use in the Primary Aluminium technology</v>
      </c>
      <c r="E316" s="121">
        <v>1</v>
      </c>
      <c r="F316" s="242" t="s">
        <v>1916</v>
      </c>
      <c r="G316" s="242"/>
      <c r="H316" s="242"/>
      <c r="I316" s="402">
        <v>0</v>
      </c>
      <c r="J316" s="402">
        <f t="shared" si="15"/>
        <v>0</v>
      </c>
      <c r="K316" s="402">
        <f t="shared" si="15"/>
        <v>0</v>
      </c>
      <c r="L316" s="402">
        <f t="shared" si="15"/>
        <v>0</v>
      </c>
      <c r="M316" s="402">
        <f t="shared" si="15"/>
        <v>0</v>
      </c>
      <c r="N316" s="402">
        <f t="shared" si="15"/>
        <v>0</v>
      </c>
      <c r="O316" s="402">
        <f t="shared" si="15"/>
        <v>0</v>
      </c>
      <c r="P316" s="402">
        <f t="shared" si="15"/>
        <v>0</v>
      </c>
      <c r="Q316" s="402">
        <v>0</v>
      </c>
      <c r="R316" s="242"/>
      <c r="T316" s="20"/>
      <c r="U316" s="20"/>
      <c r="V316" s="20"/>
      <c r="W316" s="20"/>
      <c r="X316" s="20"/>
    </row>
    <row r="317" spans="1:24" s="65" customFormat="1" ht="15" customHeight="1" outlineLevel="2">
      <c r="A317" s="219"/>
      <c r="B317" s="121"/>
      <c r="C317" s="242" t="s">
        <v>1814</v>
      </c>
      <c r="D317" s="121" t="str">
        <f>INDEX(Regional.Technologies[Description],MATCH($B$2&amp;"."&amp;G.30.levels.ProcessImprovements[[#This Row],[Technology code]],Regional.Technologies[Code],0))</f>
        <v>Global Oil use in the Primary Aluminium technology</v>
      </c>
      <c r="E317" s="121">
        <v>2</v>
      </c>
      <c r="F317" s="242" t="s">
        <v>1916</v>
      </c>
      <c r="G317" s="242"/>
      <c r="H317" s="242"/>
      <c r="I317" s="402">
        <v>0</v>
      </c>
      <c r="J317" s="402">
        <f t="shared" si="15"/>
        <v>2.0512820512820513E-2</v>
      </c>
      <c r="K317" s="402">
        <f t="shared" si="15"/>
        <v>4.6153846153846156E-2</v>
      </c>
      <c r="L317" s="402">
        <f t="shared" si="15"/>
        <v>7.179487179487179E-2</v>
      </c>
      <c r="M317" s="402">
        <f t="shared" si="15"/>
        <v>9.7435897435897437E-2</v>
      </c>
      <c r="N317" s="402">
        <f t="shared" si="15"/>
        <v>0.12307692307692308</v>
      </c>
      <c r="O317" s="402">
        <f t="shared" si="15"/>
        <v>0.14871794871794872</v>
      </c>
      <c r="P317" s="402">
        <f t="shared" si="15"/>
        <v>0.17435897435897435</v>
      </c>
      <c r="Q317" s="402">
        <v>0.2</v>
      </c>
      <c r="R317" s="242"/>
      <c r="T317" s="20"/>
      <c r="U317" s="20"/>
      <c r="V317" s="20"/>
      <c r="W317" s="20"/>
      <c r="X317" s="20"/>
    </row>
    <row r="318" spans="1:24" s="65" customFormat="1" ht="15" customHeight="1" outlineLevel="2">
      <c r="A318" s="219"/>
      <c r="B318" s="121"/>
      <c r="C318" s="242" t="s">
        <v>1814</v>
      </c>
      <c r="D318" s="121" t="str">
        <f>INDEX(Regional.Technologies[Description],MATCH($B$2&amp;"."&amp;G.30.levels.ProcessImprovements[[#This Row],[Technology code]],Regional.Technologies[Code],0))</f>
        <v>Global Oil use in the Primary Aluminium technology</v>
      </c>
      <c r="E318" s="121">
        <v>3</v>
      </c>
      <c r="F318" s="242" t="s">
        <v>1916</v>
      </c>
      <c r="G318" s="242"/>
      <c r="H318" s="242"/>
      <c r="I318" s="402">
        <v>0</v>
      </c>
      <c r="J318" s="402">
        <f t="shared" si="15"/>
        <v>3.0769230769230767E-2</v>
      </c>
      <c r="K318" s="402">
        <f t="shared" si="15"/>
        <v>6.9230769230769221E-2</v>
      </c>
      <c r="L318" s="402">
        <f t="shared" si="15"/>
        <v>0.10769230769230768</v>
      </c>
      <c r="M318" s="402">
        <f t="shared" si="15"/>
        <v>0.14615384615384613</v>
      </c>
      <c r="N318" s="402">
        <f t="shared" si="15"/>
        <v>0.1846153846153846</v>
      </c>
      <c r="O318" s="402">
        <f t="shared" si="15"/>
        <v>0.22307692307692306</v>
      </c>
      <c r="P318" s="402">
        <f t="shared" si="15"/>
        <v>0.2615384615384615</v>
      </c>
      <c r="Q318" s="402">
        <v>0.3</v>
      </c>
      <c r="R318" s="242"/>
      <c r="T318" s="20"/>
      <c r="U318" s="20"/>
      <c r="V318" s="20"/>
      <c r="W318" s="20"/>
      <c r="X318" s="20"/>
    </row>
    <row r="319" spans="1:24" s="65" customFormat="1" ht="15" customHeight="1" outlineLevel="2">
      <c r="A319" s="219"/>
      <c r="B319" s="121"/>
      <c r="C319" s="242" t="s">
        <v>1814</v>
      </c>
      <c r="D319" s="121" t="str">
        <f>INDEX(Regional.Technologies[Description],MATCH($B$2&amp;"."&amp;G.30.levels.ProcessImprovements[[#This Row],[Technology code]],Regional.Technologies[Code],0))</f>
        <v>Global Oil use in the Primary Aluminium technology</v>
      </c>
      <c r="E319" s="121">
        <v>4</v>
      </c>
      <c r="F319" s="242" t="s">
        <v>1916</v>
      </c>
      <c r="G319" s="242"/>
      <c r="H319" s="242"/>
      <c r="I319" s="402">
        <v>0</v>
      </c>
      <c r="J319" s="402">
        <f t="shared" si="15"/>
        <v>4.1025641025641026E-2</v>
      </c>
      <c r="K319" s="402">
        <f t="shared" si="15"/>
        <v>9.2307692307692313E-2</v>
      </c>
      <c r="L319" s="402">
        <f t="shared" si="15"/>
        <v>0.14358974358974358</v>
      </c>
      <c r="M319" s="402">
        <f t="shared" si="15"/>
        <v>0.19487179487179487</v>
      </c>
      <c r="N319" s="402">
        <f t="shared" si="15"/>
        <v>0.24615384615384617</v>
      </c>
      <c r="O319" s="402">
        <f t="shared" si="15"/>
        <v>0.29743589743589743</v>
      </c>
      <c r="P319" s="402">
        <f t="shared" si="15"/>
        <v>0.3487179487179487</v>
      </c>
      <c r="Q319" s="402">
        <v>0.4</v>
      </c>
      <c r="R319" s="242"/>
      <c r="T319" s="20"/>
      <c r="U319" s="20"/>
      <c r="V319" s="20"/>
      <c r="W319" s="20"/>
      <c r="X319" s="20"/>
    </row>
    <row r="320" spans="1:24" s="65" customFormat="1" ht="15" customHeight="1" outlineLevel="2">
      <c r="A320" s="219"/>
      <c r="B320" s="121"/>
      <c r="C320" s="242" t="s">
        <v>1815</v>
      </c>
      <c r="D320" s="121" t="str">
        <f>INDEX(Regional.Technologies[Description],MATCH($B$2&amp;"."&amp;G.30.levels.ProcessImprovements[[#This Row],[Technology code]],Regional.Technologies[Code],0))</f>
        <v>Global Natural Gas use in the Primary Aluminium technology</v>
      </c>
      <c r="E320" s="121">
        <v>1</v>
      </c>
      <c r="F320" s="242" t="s">
        <v>1916</v>
      </c>
      <c r="G320" s="242"/>
      <c r="H320" s="242"/>
      <c r="I320" s="402">
        <v>0</v>
      </c>
      <c r="J320" s="402">
        <f t="shared" si="15"/>
        <v>0</v>
      </c>
      <c r="K320" s="402">
        <f t="shared" si="15"/>
        <v>0</v>
      </c>
      <c r="L320" s="402">
        <f t="shared" si="15"/>
        <v>0</v>
      </c>
      <c r="M320" s="402">
        <f t="shared" si="15"/>
        <v>0</v>
      </c>
      <c r="N320" s="402">
        <f t="shared" si="15"/>
        <v>0</v>
      </c>
      <c r="O320" s="402">
        <f t="shared" si="15"/>
        <v>0</v>
      </c>
      <c r="P320" s="402">
        <f t="shared" si="15"/>
        <v>0</v>
      </c>
      <c r="Q320" s="402">
        <v>0</v>
      </c>
      <c r="R320" s="242"/>
      <c r="T320" s="20"/>
      <c r="U320" s="20"/>
      <c r="V320" s="20"/>
      <c r="W320" s="20"/>
      <c r="X320" s="20"/>
    </row>
    <row r="321" spans="1:24" s="65" customFormat="1" ht="15" customHeight="1" outlineLevel="2">
      <c r="A321" s="219"/>
      <c r="B321" s="121"/>
      <c r="C321" s="242" t="s">
        <v>1815</v>
      </c>
      <c r="D321" s="121" t="str">
        <f>INDEX(Regional.Technologies[Description],MATCH($B$2&amp;"."&amp;G.30.levels.ProcessImprovements[[#This Row],[Technology code]],Regional.Technologies[Code],0))</f>
        <v>Global Natural Gas use in the Primary Aluminium technology</v>
      </c>
      <c r="E321" s="121">
        <v>2</v>
      </c>
      <c r="F321" s="242" t="s">
        <v>1916</v>
      </c>
      <c r="G321" s="242"/>
      <c r="H321" s="242"/>
      <c r="I321" s="402">
        <v>0</v>
      </c>
      <c r="J321" s="402">
        <f t="shared" si="15"/>
        <v>2.0512820512820513E-2</v>
      </c>
      <c r="K321" s="402">
        <f t="shared" si="15"/>
        <v>4.6153846153846156E-2</v>
      </c>
      <c r="L321" s="402">
        <f t="shared" si="15"/>
        <v>7.179487179487179E-2</v>
      </c>
      <c r="M321" s="402">
        <f t="shared" si="15"/>
        <v>9.7435897435897437E-2</v>
      </c>
      <c r="N321" s="402">
        <f t="shared" si="15"/>
        <v>0.12307692307692308</v>
      </c>
      <c r="O321" s="402">
        <f t="shared" si="15"/>
        <v>0.14871794871794872</v>
      </c>
      <c r="P321" s="402">
        <f t="shared" si="15"/>
        <v>0.17435897435897435</v>
      </c>
      <c r="Q321" s="402">
        <v>0.2</v>
      </c>
      <c r="R321" s="242"/>
      <c r="T321" s="20"/>
      <c r="U321" s="20"/>
      <c r="V321" s="20"/>
      <c r="W321" s="20"/>
      <c r="X321" s="20"/>
    </row>
    <row r="322" spans="1:24" s="65" customFormat="1" ht="15" customHeight="1" outlineLevel="2">
      <c r="A322" s="219"/>
      <c r="B322" s="121"/>
      <c r="C322" s="242" t="s">
        <v>1815</v>
      </c>
      <c r="D322" s="121" t="str">
        <f>INDEX(Regional.Technologies[Description],MATCH($B$2&amp;"."&amp;G.30.levels.ProcessImprovements[[#This Row],[Technology code]],Regional.Technologies[Code],0))</f>
        <v>Global Natural Gas use in the Primary Aluminium technology</v>
      </c>
      <c r="E322" s="121">
        <v>3</v>
      </c>
      <c r="F322" s="242" t="s">
        <v>1916</v>
      </c>
      <c r="G322" s="242"/>
      <c r="H322" s="242"/>
      <c r="I322" s="402">
        <v>0</v>
      </c>
      <c r="J322" s="402">
        <f t="shared" si="15"/>
        <v>3.0769230769230767E-2</v>
      </c>
      <c r="K322" s="402">
        <f t="shared" si="15"/>
        <v>6.9230769230769221E-2</v>
      </c>
      <c r="L322" s="402">
        <f t="shared" si="15"/>
        <v>0.10769230769230768</v>
      </c>
      <c r="M322" s="402">
        <f t="shared" si="15"/>
        <v>0.14615384615384613</v>
      </c>
      <c r="N322" s="402">
        <f t="shared" si="15"/>
        <v>0.1846153846153846</v>
      </c>
      <c r="O322" s="402">
        <f t="shared" si="15"/>
        <v>0.22307692307692306</v>
      </c>
      <c r="P322" s="402">
        <f t="shared" si="15"/>
        <v>0.2615384615384615</v>
      </c>
      <c r="Q322" s="402">
        <v>0.3</v>
      </c>
      <c r="R322" s="242"/>
      <c r="T322" s="20"/>
      <c r="U322" s="20"/>
      <c r="V322" s="20"/>
      <c r="W322" s="20"/>
      <c r="X322" s="20"/>
    </row>
    <row r="323" spans="1:24" s="65" customFormat="1" ht="15" customHeight="1" outlineLevel="2">
      <c r="A323" s="219"/>
      <c r="B323" s="121"/>
      <c r="C323" s="242" t="s">
        <v>1815</v>
      </c>
      <c r="D323" s="121" t="str">
        <f>INDEX(Regional.Technologies[Description],MATCH($B$2&amp;"."&amp;G.30.levels.ProcessImprovements[[#This Row],[Technology code]],Regional.Technologies[Code],0))</f>
        <v>Global Natural Gas use in the Primary Aluminium technology</v>
      </c>
      <c r="E323" s="121">
        <v>4</v>
      </c>
      <c r="F323" s="242" t="s">
        <v>1916</v>
      </c>
      <c r="G323" s="242"/>
      <c r="H323" s="242"/>
      <c r="I323" s="402">
        <v>0</v>
      </c>
      <c r="J323" s="402">
        <f t="shared" si="15"/>
        <v>4.1025641025641026E-2</v>
      </c>
      <c r="K323" s="402">
        <f t="shared" si="15"/>
        <v>9.2307692307692313E-2</v>
      </c>
      <c r="L323" s="402">
        <f t="shared" si="15"/>
        <v>0.14358974358974358</v>
      </c>
      <c r="M323" s="402">
        <f t="shared" si="15"/>
        <v>0.19487179487179487</v>
      </c>
      <c r="N323" s="402">
        <f t="shared" si="15"/>
        <v>0.24615384615384617</v>
      </c>
      <c r="O323" s="402">
        <f t="shared" si="15"/>
        <v>0.29743589743589743</v>
      </c>
      <c r="P323" s="402">
        <f t="shared" si="15"/>
        <v>0.3487179487179487</v>
      </c>
      <c r="Q323" s="402">
        <v>0.4</v>
      </c>
      <c r="R323" s="242"/>
      <c r="T323" s="20"/>
      <c r="U323" s="20"/>
      <c r="V323" s="20"/>
      <c r="W323" s="20"/>
      <c r="X323" s="20"/>
    </row>
    <row r="324" spans="1:24" s="65" customFormat="1" ht="15" customHeight="1" outlineLevel="2">
      <c r="A324" s="219"/>
      <c r="B324" s="121"/>
      <c r="C324" s="242" t="s">
        <v>1816</v>
      </c>
      <c r="D324" s="121" t="str">
        <f>INDEX(Regional.Technologies[Description],MATCH($B$2&amp;"."&amp;G.30.levels.ProcessImprovements[[#This Row],[Technology code]],Regional.Technologies[Code],0))</f>
        <v>Global Solid Hydrocarbons use in the Primary Aluminium technology</v>
      </c>
      <c r="E324" s="121">
        <v>1</v>
      </c>
      <c r="F324" s="242" t="s">
        <v>1916</v>
      </c>
      <c r="G324" s="242"/>
      <c r="H324" s="242"/>
      <c r="I324" s="402">
        <v>0</v>
      </c>
      <c r="J324" s="402">
        <f t="shared" si="15"/>
        <v>0</v>
      </c>
      <c r="K324" s="402">
        <f t="shared" si="15"/>
        <v>0</v>
      </c>
      <c r="L324" s="402">
        <f t="shared" si="15"/>
        <v>0</v>
      </c>
      <c r="M324" s="402">
        <f t="shared" si="15"/>
        <v>0</v>
      </c>
      <c r="N324" s="402">
        <f t="shared" si="15"/>
        <v>0</v>
      </c>
      <c r="O324" s="402">
        <f t="shared" si="15"/>
        <v>0</v>
      </c>
      <c r="P324" s="402">
        <f t="shared" si="15"/>
        <v>0</v>
      </c>
      <c r="Q324" s="402">
        <v>0</v>
      </c>
      <c r="R324" s="242"/>
      <c r="T324" s="20"/>
      <c r="U324" s="20"/>
      <c r="V324" s="20"/>
      <c r="W324" s="20"/>
      <c r="X324" s="20"/>
    </row>
    <row r="325" spans="1:24" s="65" customFormat="1" ht="15" customHeight="1" outlineLevel="2">
      <c r="A325" s="219"/>
      <c r="B325" s="121"/>
      <c r="C325" s="242" t="s">
        <v>1816</v>
      </c>
      <c r="D325" s="121" t="str">
        <f>INDEX(Regional.Technologies[Description],MATCH($B$2&amp;"."&amp;G.30.levels.ProcessImprovements[[#This Row],[Technology code]],Regional.Technologies[Code],0))</f>
        <v>Global Solid Hydrocarbons use in the Primary Aluminium technology</v>
      </c>
      <c r="E325" s="121">
        <v>2</v>
      </c>
      <c r="F325" s="242" t="s">
        <v>1916</v>
      </c>
      <c r="G325" s="242"/>
      <c r="H325" s="242"/>
      <c r="I325" s="402">
        <v>0</v>
      </c>
      <c r="J325" s="402">
        <f t="shared" si="15"/>
        <v>2.0512820512820513E-2</v>
      </c>
      <c r="K325" s="402">
        <f t="shared" si="15"/>
        <v>4.6153846153846156E-2</v>
      </c>
      <c r="L325" s="402">
        <f t="shared" si="15"/>
        <v>7.179487179487179E-2</v>
      </c>
      <c r="M325" s="402">
        <f t="shared" si="15"/>
        <v>9.7435897435897437E-2</v>
      </c>
      <c r="N325" s="402">
        <f t="shared" si="15"/>
        <v>0.12307692307692308</v>
      </c>
      <c r="O325" s="402">
        <f t="shared" si="15"/>
        <v>0.14871794871794872</v>
      </c>
      <c r="P325" s="402">
        <f t="shared" si="15"/>
        <v>0.17435897435897435</v>
      </c>
      <c r="Q325" s="402">
        <v>0.2</v>
      </c>
      <c r="R325" s="242"/>
      <c r="T325" s="20"/>
      <c r="U325" s="20"/>
      <c r="V325" s="20"/>
      <c r="W325" s="20"/>
      <c r="X325" s="20"/>
    </row>
    <row r="326" spans="1:24" s="65" customFormat="1" ht="15" customHeight="1" outlineLevel="2">
      <c r="A326" s="219"/>
      <c r="B326" s="121"/>
      <c r="C326" s="242" t="s">
        <v>1816</v>
      </c>
      <c r="D326" s="121" t="str">
        <f>INDEX(Regional.Technologies[Description],MATCH($B$2&amp;"."&amp;G.30.levels.ProcessImprovements[[#This Row],[Technology code]],Regional.Technologies[Code],0))</f>
        <v>Global Solid Hydrocarbons use in the Primary Aluminium technology</v>
      </c>
      <c r="E326" s="121">
        <v>3</v>
      </c>
      <c r="F326" s="242" t="s">
        <v>1916</v>
      </c>
      <c r="G326" s="242"/>
      <c r="H326" s="242"/>
      <c r="I326" s="402">
        <v>0</v>
      </c>
      <c r="J326" s="402">
        <f t="shared" si="15"/>
        <v>3.0769230769230767E-2</v>
      </c>
      <c r="K326" s="402">
        <f t="shared" si="15"/>
        <v>6.9230769230769221E-2</v>
      </c>
      <c r="L326" s="402">
        <f t="shared" si="15"/>
        <v>0.10769230769230768</v>
      </c>
      <c r="M326" s="402">
        <f t="shared" si="15"/>
        <v>0.14615384615384613</v>
      </c>
      <c r="N326" s="402">
        <f t="shared" si="15"/>
        <v>0.1846153846153846</v>
      </c>
      <c r="O326" s="402">
        <f t="shared" si="15"/>
        <v>0.22307692307692306</v>
      </c>
      <c r="P326" s="402">
        <f t="shared" si="15"/>
        <v>0.2615384615384615</v>
      </c>
      <c r="Q326" s="402">
        <v>0.3</v>
      </c>
      <c r="R326" s="242"/>
      <c r="T326" s="20"/>
      <c r="U326" s="20"/>
      <c r="V326" s="20"/>
      <c r="W326" s="20"/>
      <c r="X326" s="20"/>
    </row>
    <row r="327" spans="1:24" s="65" customFormat="1" ht="15" customHeight="1" outlineLevel="2">
      <c r="A327" s="219"/>
      <c r="B327" s="121"/>
      <c r="C327" s="242" t="s">
        <v>1816</v>
      </c>
      <c r="D327" s="121" t="str">
        <f>INDEX(Regional.Technologies[Description],MATCH($B$2&amp;"."&amp;G.30.levels.ProcessImprovements[[#This Row],[Technology code]],Regional.Technologies[Code],0))</f>
        <v>Global Solid Hydrocarbons use in the Primary Aluminium technology</v>
      </c>
      <c r="E327" s="121">
        <v>4</v>
      </c>
      <c r="F327" s="242" t="s">
        <v>1916</v>
      </c>
      <c r="G327" s="242"/>
      <c r="H327" s="242"/>
      <c r="I327" s="402">
        <v>0</v>
      </c>
      <c r="J327" s="402">
        <f t="shared" si="15"/>
        <v>4.1025641025641026E-2</v>
      </c>
      <c r="K327" s="402">
        <f t="shared" si="15"/>
        <v>9.2307692307692313E-2</v>
      </c>
      <c r="L327" s="402">
        <f t="shared" si="15"/>
        <v>0.14358974358974358</v>
      </c>
      <c r="M327" s="402">
        <f t="shared" si="15"/>
        <v>0.19487179487179487</v>
      </c>
      <c r="N327" s="402">
        <f t="shared" si="15"/>
        <v>0.24615384615384617</v>
      </c>
      <c r="O327" s="402">
        <f t="shared" si="15"/>
        <v>0.29743589743589743</v>
      </c>
      <c r="P327" s="402">
        <f t="shared" si="15"/>
        <v>0.3487179487179487</v>
      </c>
      <c r="Q327" s="402">
        <v>0.4</v>
      </c>
      <c r="R327" s="242"/>
      <c r="T327" s="20"/>
      <c r="U327" s="20"/>
      <c r="V327" s="20"/>
      <c r="W327" s="20"/>
      <c r="X327" s="20"/>
    </row>
    <row r="328" spans="1:24" s="65" customFormat="1" ht="15" customHeight="1" outlineLevel="2">
      <c r="A328" s="219"/>
      <c r="B328" s="121"/>
      <c r="C328" s="242" t="s">
        <v>1640</v>
      </c>
      <c r="D328" s="121" t="str">
        <f>INDEX(Regional.Technologies[Description],MATCH($B$2&amp;"."&amp;G.30.levels.ProcessImprovements[[#This Row],[Technology code]],Regional.Technologies[Code],0))</f>
        <v>Global Heat use in the Primary Aluminium technology</v>
      </c>
      <c r="E328" s="121">
        <v>1</v>
      </c>
      <c r="F328" s="242" t="s">
        <v>1916</v>
      </c>
      <c r="G328" s="242"/>
      <c r="H328" s="242"/>
      <c r="I328" s="402">
        <v>0</v>
      </c>
      <c r="J328" s="402">
        <f t="shared" si="15"/>
        <v>0</v>
      </c>
      <c r="K328" s="402">
        <f t="shared" si="15"/>
        <v>0</v>
      </c>
      <c r="L328" s="402">
        <f t="shared" si="15"/>
        <v>0</v>
      </c>
      <c r="M328" s="402">
        <f t="shared" si="15"/>
        <v>0</v>
      </c>
      <c r="N328" s="402">
        <f t="shared" si="15"/>
        <v>0</v>
      </c>
      <c r="O328" s="402">
        <f t="shared" si="15"/>
        <v>0</v>
      </c>
      <c r="P328" s="402">
        <f t="shared" si="15"/>
        <v>0</v>
      </c>
      <c r="Q328" s="402">
        <v>0</v>
      </c>
      <c r="R328" s="242"/>
      <c r="T328" s="20"/>
      <c r="U328" s="20"/>
      <c r="V328" s="20"/>
      <c r="W328" s="20"/>
      <c r="X328" s="20"/>
    </row>
    <row r="329" spans="1:24" s="65" customFormat="1" ht="15" customHeight="1" outlineLevel="2">
      <c r="A329" s="219"/>
      <c r="B329" s="121"/>
      <c r="C329" s="242" t="s">
        <v>1640</v>
      </c>
      <c r="D329" s="121" t="str">
        <f>INDEX(Regional.Technologies[Description],MATCH($B$2&amp;"."&amp;G.30.levels.ProcessImprovements[[#This Row],[Technology code]],Regional.Technologies[Code],0))</f>
        <v>Global Heat use in the Primary Aluminium technology</v>
      </c>
      <c r="E329" s="121">
        <v>2</v>
      </c>
      <c r="F329" s="242" t="s">
        <v>1916</v>
      </c>
      <c r="G329" s="242"/>
      <c r="H329" s="242"/>
      <c r="I329" s="402">
        <v>0</v>
      </c>
      <c r="J329" s="402">
        <f t="shared" si="15"/>
        <v>2.0512820512820513E-2</v>
      </c>
      <c r="K329" s="402">
        <f t="shared" si="15"/>
        <v>4.6153846153846156E-2</v>
      </c>
      <c r="L329" s="402">
        <f t="shared" si="15"/>
        <v>7.179487179487179E-2</v>
      </c>
      <c r="M329" s="402">
        <f t="shared" si="15"/>
        <v>9.7435897435897437E-2</v>
      </c>
      <c r="N329" s="402">
        <f t="shared" si="15"/>
        <v>0.12307692307692308</v>
      </c>
      <c r="O329" s="402">
        <f t="shared" si="15"/>
        <v>0.14871794871794872</v>
      </c>
      <c r="P329" s="402">
        <f t="shared" si="15"/>
        <v>0.17435897435897435</v>
      </c>
      <c r="Q329" s="402">
        <v>0.2</v>
      </c>
      <c r="R329" s="242"/>
      <c r="T329" s="20"/>
      <c r="U329" s="20"/>
      <c r="V329" s="20"/>
      <c r="W329" s="20"/>
      <c r="X329" s="20"/>
    </row>
    <row r="330" spans="1:24" s="65" customFormat="1" ht="15" customHeight="1" outlineLevel="2">
      <c r="A330" s="219"/>
      <c r="B330" s="121"/>
      <c r="C330" s="242" t="s">
        <v>1640</v>
      </c>
      <c r="D330" s="121" t="str">
        <f>INDEX(Regional.Technologies[Description],MATCH($B$2&amp;"."&amp;G.30.levels.ProcessImprovements[[#This Row],[Technology code]],Regional.Technologies[Code],0))</f>
        <v>Global Heat use in the Primary Aluminium technology</v>
      </c>
      <c r="E330" s="121">
        <v>3</v>
      </c>
      <c r="F330" s="242" t="s">
        <v>1916</v>
      </c>
      <c r="G330" s="242"/>
      <c r="H330" s="242"/>
      <c r="I330" s="402">
        <v>0</v>
      </c>
      <c r="J330" s="402">
        <f t="shared" si="15"/>
        <v>3.0769230769230767E-2</v>
      </c>
      <c r="K330" s="402">
        <f t="shared" si="15"/>
        <v>6.9230769230769221E-2</v>
      </c>
      <c r="L330" s="402">
        <f t="shared" si="15"/>
        <v>0.10769230769230768</v>
      </c>
      <c r="M330" s="402">
        <f t="shared" si="15"/>
        <v>0.14615384615384613</v>
      </c>
      <c r="N330" s="402">
        <f t="shared" si="15"/>
        <v>0.1846153846153846</v>
      </c>
      <c r="O330" s="402">
        <f t="shared" si="15"/>
        <v>0.22307692307692306</v>
      </c>
      <c r="P330" s="402">
        <f t="shared" si="15"/>
        <v>0.2615384615384615</v>
      </c>
      <c r="Q330" s="402">
        <v>0.3</v>
      </c>
      <c r="R330" s="242"/>
      <c r="T330" s="20"/>
      <c r="U330" s="20"/>
      <c r="V330" s="20"/>
      <c r="W330" s="20"/>
      <c r="X330" s="20"/>
    </row>
    <row r="331" spans="1:24" s="65" customFormat="1" ht="15" customHeight="1" outlineLevel="2">
      <c r="A331" s="219"/>
      <c r="B331" s="121"/>
      <c r="C331" s="242" t="s">
        <v>1640</v>
      </c>
      <c r="D331" s="121" t="str">
        <f>INDEX(Regional.Technologies[Description],MATCH($B$2&amp;"."&amp;G.30.levels.ProcessImprovements[[#This Row],[Technology code]],Regional.Technologies[Code],0))</f>
        <v>Global Heat use in the Primary Aluminium technology</v>
      </c>
      <c r="E331" s="121">
        <v>4</v>
      </c>
      <c r="F331" s="242" t="s">
        <v>1916</v>
      </c>
      <c r="G331" s="242"/>
      <c r="H331" s="242"/>
      <c r="I331" s="402">
        <v>0</v>
      </c>
      <c r="J331" s="402">
        <f t="shared" si="15"/>
        <v>4.1025641025641026E-2</v>
      </c>
      <c r="K331" s="402">
        <f t="shared" si="15"/>
        <v>9.2307692307692313E-2</v>
      </c>
      <c r="L331" s="402">
        <f t="shared" si="15"/>
        <v>0.14358974358974358</v>
      </c>
      <c r="M331" s="402">
        <f t="shared" si="15"/>
        <v>0.19487179487179487</v>
      </c>
      <c r="N331" s="402">
        <f t="shared" si="15"/>
        <v>0.24615384615384617</v>
      </c>
      <c r="O331" s="402">
        <f t="shared" si="15"/>
        <v>0.29743589743589743</v>
      </c>
      <c r="P331" s="402">
        <f t="shared" si="15"/>
        <v>0.3487179487179487</v>
      </c>
      <c r="Q331" s="402">
        <v>0.4</v>
      </c>
      <c r="R331" s="242"/>
      <c r="T331" s="20"/>
      <c r="U331" s="20"/>
      <c r="V331" s="20"/>
      <c r="W331" s="20"/>
      <c r="X331" s="20"/>
    </row>
    <row r="332" spans="1:24" s="65" customFormat="1" ht="15" customHeight="1" outlineLevel="2">
      <c r="A332" s="219"/>
      <c r="B332" s="121"/>
      <c r="C332" s="242" t="s">
        <v>1821</v>
      </c>
      <c r="D332" s="121" t="str">
        <f>INDEX(Regional.Technologies[Description],MATCH($B$2&amp;"."&amp;G.30.levels.ProcessImprovements[[#This Row],[Technology code]],Regional.Technologies[Code],0))</f>
        <v>Global Electricity use in the Chemicals: High Value Chemicals  technology</v>
      </c>
      <c r="E332" s="121">
        <v>1</v>
      </c>
      <c r="F332" s="121" t="s">
        <v>1917</v>
      </c>
      <c r="G332" s="242"/>
      <c r="H332" s="242"/>
      <c r="I332" s="402">
        <v>0</v>
      </c>
      <c r="J332" s="402">
        <f t="shared" si="15"/>
        <v>0</v>
      </c>
      <c r="K332" s="402">
        <f t="shared" si="15"/>
        <v>0</v>
      </c>
      <c r="L332" s="402">
        <f t="shared" si="15"/>
        <v>0</v>
      </c>
      <c r="M332" s="402">
        <f t="shared" si="15"/>
        <v>0</v>
      </c>
      <c r="N332" s="402">
        <f t="shared" si="15"/>
        <v>0</v>
      </c>
      <c r="O332" s="402">
        <f t="shared" si="15"/>
        <v>0</v>
      </c>
      <c r="P332" s="402">
        <f t="shared" ref="J332:P369" si="16">(($Q332-$I332)/($Q$121-$I$121))*(P$121-$I$121)+$I332</f>
        <v>0</v>
      </c>
      <c r="Q332" s="402">
        <v>0</v>
      </c>
      <c r="R332" s="242"/>
      <c r="T332" s="20"/>
      <c r="U332" s="20"/>
      <c r="V332" s="20"/>
      <c r="W332" s="20"/>
      <c r="X332" s="20"/>
    </row>
    <row r="333" spans="1:24" s="65" customFormat="1" ht="15" customHeight="1" outlineLevel="2">
      <c r="A333" s="219"/>
      <c r="B333" s="121"/>
      <c r="C333" s="242" t="s">
        <v>1821</v>
      </c>
      <c r="D333" s="121" t="str">
        <f>INDEX(Regional.Technologies[Description],MATCH($B$2&amp;"."&amp;G.30.levels.ProcessImprovements[[#This Row],[Technology code]],Regional.Technologies[Code],0))</f>
        <v>Global Electricity use in the Chemicals: High Value Chemicals  technology</v>
      </c>
      <c r="E333" s="121">
        <v>2</v>
      </c>
      <c r="F333" s="121" t="s">
        <v>1917</v>
      </c>
      <c r="G333" s="242"/>
      <c r="H333" s="242"/>
      <c r="I333" s="402">
        <v>0</v>
      </c>
      <c r="J333" s="402">
        <f t="shared" si="16"/>
        <v>2.0512820512820513E-2</v>
      </c>
      <c r="K333" s="402">
        <f t="shared" si="16"/>
        <v>4.6153846153846156E-2</v>
      </c>
      <c r="L333" s="402">
        <f t="shared" si="16"/>
        <v>7.179487179487179E-2</v>
      </c>
      <c r="M333" s="402">
        <f t="shared" si="16"/>
        <v>9.7435897435897437E-2</v>
      </c>
      <c r="N333" s="402">
        <f t="shared" si="16"/>
        <v>0.12307692307692308</v>
      </c>
      <c r="O333" s="402">
        <f t="shared" si="16"/>
        <v>0.14871794871794872</v>
      </c>
      <c r="P333" s="402">
        <f t="shared" si="16"/>
        <v>0.17435897435897435</v>
      </c>
      <c r="Q333" s="402">
        <v>0.2</v>
      </c>
      <c r="R333" s="242"/>
      <c r="T333" s="20"/>
      <c r="U333" s="20"/>
      <c r="V333" s="20"/>
      <c r="W333" s="20"/>
      <c r="X333" s="20"/>
    </row>
    <row r="334" spans="1:24" s="65" customFormat="1" ht="15" customHeight="1" outlineLevel="2">
      <c r="A334" s="219"/>
      <c r="B334" s="121"/>
      <c r="C334" s="242" t="s">
        <v>1821</v>
      </c>
      <c r="D334" s="121" t="str">
        <f>INDEX(Regional.Technologies[Description],MATCH($B$2&amp;"."&amp;G.30.levels.ProcessImprovements[[#This Row],[Technology code]],Regional.Technologies[Code],0))</f>
        <v>Global Electricity use in the Chemicals: High Value Chemicals  technology</v>
      </c>
      <c r="E334" s="121">
        <v>3</v>
      </c>
      <c r="F334" s="121" t="s">
        <v>1917</v>
      </c>
      <c r="G334" s="242"/>
      <c r="H334" s="242"/>
      <c r="I334" s="402">
        <v>0</v>
      </c>
      <c r="J334" s="402">
        <f t="shared" si="16"/>
        <v>3.0769230769230767E-2</v>
      </c>
      <c r="K334" s="402">
        <f t="shared" si="16"/>
        <v>6.9230769230769221E-2</v>
      </c>
      <c r="L334" s="402">
        <f t="shared" si="16"/>
        <v>0.10769230769230768</v>
      </c>
      <c r="M334" s="402">
        <f t="shared" si="16"/>
        <v>0.14615384615384613</v>
      </c>
      <c r="N334" s="402">
        <f t="shared" si="16"/>
        <v>0.1846153846153846</v>
      </c>
      <c r="O334" s="402">
        <f t="shared" si="16"/>
        <v>0.22307692307692306</v>
      </c>
      <c r="P334" s="402">
        <f t="shared" si="16"/>
        <v>0.2615384615384615</v>
      </c>
      <c r="Q334" s="402">
        <v>0.3</v>
      </c>
      <c r="R334" s="242"/>
      <c r="T334" s="20"/>
      <c r="U334" s="20"/>
      <c r="V334" s="20"/>
      <c r="W334" s="20"/>
      <c r="X334" s="20"/>
    </row>
    <row r="335" spans="1:24" s="65" customFormat="1" ht="15" customHeight="1" outlineLevel="2">
      <c r="A335" s="219"/>
      <c r="B335" s="121"/>
      <c r="C335" s="242" t="s">
        <v>1821</v>
      </c>
      <c r="D335" s="121" t="str">
        <f>INDEX(Regional.Technologies[Description],MATCH($B$2&amp;"."&amp;G.30.levels.ProcessImprovements[[#This Row],[Technology code]],Regional.Technologies[Code],0))</f>
        <v>Global Electricity use in the Chemicals: High Value Chemicals  technology</v>
      </c>
      <c r="E335" s="121">
        <v>4</v>
      </c>
      <c r="F335" s="121" t="s">
        <v>1917</v>
      </c>
      <c r="G335" s="242"/>
      <c r="H335" s="242"/>
      <c r="I335" s="402">
        <v>0</v>
      </c>
      <c r="J335" s="402">
        <f t="shared" si="16"/>
        <v>4.1025641025641026E-2</v>
      </c>
      <c r="K335" s="402">
        <f t="shared" si="16"/>
        <v>9.2307692307692313E-2</v>
      </c>
      <c r="L335" s="402">
        <f t="shared" si="16"/>
        <v>0.14358974358974358</v>
      </c>
      <c r="M335" s="402">
        <f t="shared" si="16"/>
        <v>0.19487179487179487</v>
      </c>
      <c r="N335" s="402">
        <f t="shared" si="16"/>
        <v>0.24615384615384617</v>
      </c>
      <c r="O335" s="402">
        <f t="shared" si="16"/>
        <v>0.29743589743589743</v>
      </c>
      <c r="P335" s="402">
        <f t="shared" si="16"/>
        <v>0.3487179487179487</v>
      </c>
      <c r="Q335" s="402">
        <v>0.4</v>
      </c>
      <c r="R335" s="242"/>
      <c r="T335" s="20"/>
      <c r="U335" s="20"/>
      <c r="V335" s="20"/>
      <c r="W335" s="20"/>
      <c r="X335" s="20"/>
    </row>
    <row r="336" spans="1:24" s="65" customFormat="1" ht="15" customHeight="1" outlineLevel="2">
      <c r="A336" s="219"/>
      <c r="B336" s="121"/>
      <c r="C336" s="242" t="s">
        <v>1822</v>
      </c>
      <c r="D336" s="121" t="str">
        <f>INDEX(Regional.Technologies[Description],MATCH($B$2&amp;"."&amp;G.30.levels.ProcessImprovements[[#This Row],[Technology code]],Regional.Technologies[Code],0))</f>
        <v>Global Coal use in the Chemicals: High Value Chemicals  technology</v>
      </c>
      <c r="E336" s="121">
        <v>1</v>
      </c>
      <c r="F336" s="121" t="s">
        <v>1917</v>
      </c>
      <c r="G336" s="242"/>
      <c r="H336" s="242"/>
      <c r="I336" s="402">
        <v>0</v>
      </c>
      <c r="J336" s="402">
        <f t="shared" si="16"/>
        <v>0</v>
      </c>
      <c r="K336" s="402">
        <f t="shared" si="16"/>
        <v>0</v>
      </c>
      <c r="L336" s="402">
        <f t="shared" si="16"/>
        <v>0</v>
      </c>
      <c r="M336" s="402">
        <f t="shared" si="16"/>
        <v>0</v>
      </c>
      <c r="N336" s="402">
        <f t="shared" si="16"/>
        <v>0</v>
      </c>
      <c r="O336" s="402">
        <f t="shared" si="16"/>
        <v>0</v>
      </c>
      <c r="P336" s="402">
        <f t="shared" si="16"/>
        <v>0</v>
      </c>
      <c r="Q336" s="402">
        <v>0</v>
      </c>
      <c r="R336" s="242"/>
      <c r="T336" s="20"/>
      <c r="U336" s="20"/>
      <c r="V336" s="20"/>
      <c r="W336" s="20"/>
      <c r="X336" s="20"/>
    </row>
    <row r="337" spans="1:24" s="65" customFormat="1" ht="15" customHeight="1" outlineLevel="2">
      <c r="A337" s="219"/>
      <c r="B337" s="121"/>
      <c r="C337" s="242" t="s">
        <v>1822</v>
      </c>
      <c r="D337" s="121" t="str">
        <f>INDEX(Regional.Technologies[Description],MATCH($B$2&amp;"."&amp;G.30.levels.ProcessImprovements[[#This Row],[Technology code]],Regional.Technologies[Code],0))</f>
        <v>Global Coal use in the Chemicals: High Value Chemicals  technology</v>
      </c>
      <c r="E337" s="121">
        <v>2</v>
      </c>
      <c r="F337" s="121" t="s">
        <v>1917</v>
      </c>
      <c r="G337" s="242"/>
      <c r="H337" s="242"/>
      <c r="I337" s="402">
        <v>0</v>
      </c>
      <c r="J337" s="402">
        <f t="shared" si="16"/>
        <v>2.0512820512820513E-2</v>
      </c>
      <c r="K337" s="402">
        <f t="shared" si="16"/>
        <v>4.6153846153846156E-2</v>
      </c>
      <c r="L337" s="402">
        <f t="shared" si="16"/>
        <v>7.179487179487179E-2</v>
      </c>
      <c r="M337" s="402">
        <f t="shared" si="16"/>
        <v>9.7435897435897437E-2</v>
      </c>
      <c r="N337" s="402">
        <f t="shared" si="16"/>
        <v>0.12307692307692308</v>
      </c>
      <c r="O337" s="402">
        <f t="shared" si="16"/>
        <v>0.14871794871794872</v>
      </c>
      <c r="P337" s="402">
        <f t="shared" si="16"/>
        <v>0.17435897435897435</v>
      </c>
      <c r="Q337" s="402">
        <v>0.2</v>
      </c>
      <c r="R337" s="242"/>
      <c r="T337" s="20"/>
      <c r="U337" s="20"/>
      <c r="V337" s="20"/>
      <c r="W337" s="20"/>
      <c r="X337" s="20"/>
    </row>
    <row r="338" spans="1:24" s="65" customFormat="1" ht="15" customHeight="1" outlineLevel="2">
      <c r="A338" s="219"/>
      <c r="B338" s="121"/>
      <c r="C338" s="242" t="s">
        <v>1822</v>
      </c>
      <c r="D338" s="121" t="str">
        <f>INDEX(Regional.Technologies[Description],MATCH($B$2&amp;"."&amp;G.30.levels.ProcessImprovements[[#This Row],[Technology code]],Regional.Technologies[Code],0))</f>
        <v>Global Coal use in the Chemicals: High Value Chemicals  technology</v>
      </c>
      <c r="E338" s="121">
        <v>3</v>
      </c>
      <c r="F338" s="121" t="s">
        <v>1917</v>
      </c>
      <c r="G338" s="242"/>
      <c r="H338" s="242"/>
      <c r="I338" s="402">
        <v>0</v>
      </c>
      <c r="J338" s="402">
        <f t="shared" si="16"/>
        <v>3.0769230769230767E-2</v>
      </c>
      <c r="K338" s="402">
        <f t="shared" si="16"/>
        <v>6.9230769230769221E-2</v>
      </c>
      <c r="L338" s="402">
        <f t="shared" si="16"/>
        <v>0.10769230769230768</v>
      </c>
      <c r="M338" s="402">
        <f t="shared" si="16"/>
        <v>0.14615384615384613</v>
      </c>
      <c r="N338" s="402">
        <f t="shared" si="16"/>
        <v>0.1846153846153846</v>
      </c>
      <c r="O338" s="402">
        <f t="shared" si="16"/>
        <v>0.22307692307692306</v>
      </c>
      <c r="P338" s="402">
        <f t="shared" si="16"/>
        <v>0.2615384615384615</v>
      </c>
      <c r="Q338" s="402">
        <v>0.3</v>
      </c>
      <c r="R338" s="242"/>
      <c r="T338" s="20"/>
      <c r="U338" s="20"/>
      <c r="V338" s="20"/>
      <c r="W338" s="20"/>
      <c r="X338" s="20"/>
    </row>
    <row r="339" spans="1:24" s="65" customFormat="1" ht="15" customHeight="1" outlineLevel="2">
      <c r="A339" s="219"/>
      <c r="B339" s="121"/>
      <c r="C339" s="242" t="s">
        <v>1822</v>
      </c>
      <c r="D339" s="121" t="str">
        <f>INDEX(Regional.Technologies[Description],MATCH($B$2&amp;"."&amp;G.30.levels.ProcessImprovements[[#This Row],[Technology code]],Regional.Technologies[Code],0))</f>
        <v>Global Coal use in the Chemicals: High Value Chemicals  technology</v>
      </c>
      <c r="E339" s="121">
        <v>4</v>
      </c>
      <c r="F339" s="121" t="s">
        <v>1917</v>
      </c>
      <c r="G339" s="242"/>
      <c r="H339" s="242"/>
      <c r="I339" s="402">
        <v>0</v>
      </c>
      <c r="J339" s="402">
        <f t="shared" si="16"/>
        <v>4.1025641025641026E-2</v>
      </c>
      <c r="K339" s="402">
        <f t="shared" si="16"/>
        <v>9.2307692307692313E-2</v>
      </c>
      <c r="L339" s="402">
        <f t="shared" si="16"/>
        <v>0.14358974358974358</v>
      </c>
      <c r="M339" s="402">
        <f t="shared" si="16"/>
        <v>0.19487179487179487</v>
      </c>
      <c r="N339" s="402">
        <f t="shared" si="16"/>
        <v>0.24615384615384617</v>
      </c>
      <c r="O339" s="402">
        <f t="shared" si="16"/>
        <v>0.29743589743589743</v>
      </c>
      <c r="P339" s="402">
        <f t="shared" si="16"/>
        <v>0.3487179487179487</v>
      </c>
      <c r="Q339" s="402">
        <v>0.4</v>
      </c>
      <c r="R339" s="242"/>
      <c r="T339" s="20"/>
      <c r="U339" s="20"/>
      <c r="V339" s="20"/>
      <c r="W339" s="20"/>
      <c r="X339" s="20"/>
    </row>
    <row r="340" spans="1:24" s="65" customFormat="1" ht="15" customHeight="1" outlineLevel="2">
      <c r="A340" s="219"/>
      <c r="B340" s="121"/>
      <c r="C340" s="242" t="s">
        <v>1823</v>
      </c>
      <c r="D340" s="121" t="str">
        <f>INDEX(Regional.Technologies[Description],MATCH($B$2&amp;"."&amp;G.30.levels.ProcessImprovements[[#This Row],[Technology code]],Regional.Technologies[Code],0))</f>
        <v>Global Oil use in the Chemicals: High Value Chemicals  technology</v>
      </c>
      <c r="E340" s="121">
        <v>1</v>
      </c>
      <c r="F340" s="121" t="s">
        <v>1917</v>
      </c>
      <c r="G340" s="242"/>
      <c r="H340" s="242"/>
      <c r="I340" s="402">
        <v>0</v>
      </c>
      <c r="J340" s="402">
        <f t="shared" si="16"/>
        <v>0</v>
      </c>
      <c r="K340" s="402">
        <f t="shared" si="16"/>
        <v>0</v>
      </c>
      <c r="L340" s="402">
        <f t="shared" si="16"/>
        <v>0</v>
      </c>
      <c r="M340" s="402">
        <f t="shared" si="16"/>
        <v>0</v>
      </c>
      <c r="N340" s="402">
        <f t="shared" si="16"/>
        <v>0</v>
      </c>
      <c r="O340" s="402">
        <f t="shared" si="16"/>
        <v>0</v>
      </c>
      <c r="P340" s="402">
        <f t="shared" si="16"/>
        <v>0</v>
      </c>
      <c r="Q340" s="402">
        <v>0</v>
      </c>
      <c r="R340" s="242"/>
      <c r="T340" s="20"/>
      <c r="U340" s="20"/>
      <c r="V340" s="20"/>
      <c r="W340" s="20"/>
      <c r="X340" s="20"/>
    </row>
    <row r="341" spans="1:24" s="65" customFormat="1" ht="15" customHeight="1" outlineLevel="2">
      <c r="A341" s="219"/>
      <c r="B341" s="121"/>
      <c r="C341" s="242" t="s">
        <v>1823</v>
      </c>
      <c r="D341" s="121" t="str">
        <f>INDEX(Regional.Technologies[Description],MATCH($B$2&amp;"."&amp;G.30.levels.ProcessImprovements[[#This Row],[Technology code]],Regional.Technologies[Code],0))</f>
        <v>Global Oil use in the Chemicals: High Value Chemicals  technology</v>
      </c>
      <c r="E341" s="121">
        <v>2</v>
      </c>
      <c r="F341" s="121" t="s">
        <v>1917</v>
      </c>
      <c r="G341" s="242"/>
      <c r="H341" s="242"/>
      <c r="I341" s="402">
        <v>0</v>
      </c>
      <c r="J341" s="402">
        <f t="shared" si="16"/>
        <v>2.0512820512820513E-2</v>
      </c>
      <c r="K341" s="402">
        <f t="shared" si="16"/>
        <v>4.6153846153846156E-2</v>
      </c>
      <c r="L341" s="402">
        <f t="shared" si="16"/>
        <v>7.179487179487179E-2</v>
      </c>
      <c r="M341" s="402">
        <f t="shared" si="16"/>
        <v>9.7435897435897437E-2</v>
      </c>
      <c r="N341" s="402">
        <f t="shared" si="16"/>
        <v>0.12307692307692308</v>
      </c>
      <c r="O341" s="402">
        <f t="shared" si="16"/>
        <v>0.14871794871794872</v>
      </c>
      <c r="P341" s="402">
        <f t="shared" si="16"/>
        <v>0.17435897435897435</v>
      </c>
      <c r="Q341" s="402">
        <v>0.2</v>
      </c>
      <c r="R341" s="242"/>
      <c r="T341" s="20"/>
      <c r="U341" s="20"/>
      <c r="V341" s="20"/>
      <c r="W341" s="20"/>
      <c r="X341" s="20"/>
    </row>
    <row r="342" spans="1:24" s="65" customFormat="1" ht="15" customHeight="1" outlineLevel="2">
      <c r="A342" s="219"/>
      <c r="B342" s="121"/>
      <c r="C342" s="242" t="s">
        <v>1823</v>
      </c>
      <c r="D342" s="121" t="str">
        <f>INDEX(Regional.Technologies[Description],MATCH($B$2&amp;"."&amp;G.30.levels.ProcessImprovements[[#This Row],[Technology code]],Regional.Technologies[Code],0))</f>
        <v>Global Oil use in the Chemicals: High Value Chemicals  technology</v>
      </c>
      <c r="E342" s="121">
        <v>3</v>
      </c>
      <c r="F342" s="121" t="s">
        <v>1917</v>
      </c>
      <c r="G342" s="242"/>
      <c r="H342" s="242"/>
      <c r="I342" s="402">
        <v>0</v>
      </c>
      <c r="J342" s="402">
        <f t="shared" si="16"/>
        <v>3.0769230769230767E-2</v>
      </c>
      <c r="K342" s="402">
        <f t="shared" si="16"/>
        <v>6.9230769230769221E-2</v>
      </c>
      <c r="L342" s="402">
        <f t="shared" si="16"/>
        <v>0.10769230769230768</v>
      </c>
      <c r="M342" s="402">
        <f t="shared" si="16"/>
        <v>0.14615384615384613</v>
      </c>
      <c r="N342" s="402">
        <f t="shared" si="16"/>
        <v>0.1846153846153846</v>
      </c>
      <c r="O342" s="402">
        <f t="shared" si="16"/>
        <v>0.22307692307692306</v>
      </c>
      <c r="P342" s="402">
        <f t="shared" si="16"/>
        <v>0.2615384615384615</v>
      </c>
      <c r="Q342" s="402">
        <v>0.3</v>
      </c>
      <c r="R342" s="242"/>
      <c r="T342" s="20"/>
      <c r="U342" s="20"/>
      <c r="V342" s="20"/>
      <c r="W342" s="20"/>
      <c r="X342" s="20"/>
    </row>
    <row r="343" spans="1:24" s="65" customFormat="1" ht="15" customHeight="1" outlineLevel="2">
      <c r="A343" s="219"/>
      <c r="B343" s="121"/>
      <c r="C343" s="242" t="s">
        <v>1823</v>
      </c>
      <c r="D343" s="121" t="str">
        <f>INDEX(Regional.Technologies[Description],MATCH($B$2&amp;"."&amp;G.30.levels.ProcessImprovements[[#This Row],[Technology code]],Regional.Technologies[Code],0))</f>
        <v>Global Oil use in the Chemicals: High Value Chemicals  technology</v>
      </c>
      <c r="E343" s="121">
        <v>4</v>
      </c>
      <c r="F343" s="121" t="s">
        <v>1917</v>
      </c>
      <c r="G343" s="242"/>
      <c r="H343" s="242"/>
      <c r="I343" s="402">
        <v>0</v>
      </c>
      <c r="J343" s="402">
        <f t="shared" si="16"/>
        <v>4.1025641025641026E-2</v>
      </c>
      <c r="K343" s="402">
        <f t="shared" si="16"/>
        <v>9.2307692307692313E-2</v>
      </c>
      <c r="L343" s="402">
        <f t="shared" si="16"/>
        <v>0.14358974358974358</v>
      </c>
      <c r="M343" s="402">
        <f t="shared" si="16"/>
        <v>0.19487179487179487</v>
      </c>
      <c r="N343" s="402">
        <f t="shared" si="16"/>
        <v>0.24615384615384617</v>
      </c>
      <c r="O343" s="402">
        <f t="shared" si="16"/>
        <v>0.29743589743589743</v>
      </c>
      <c r="P343" s="402">
        <f t="shared" si="16"/>
        <v>0.3487179487179487</v>
      </c>
      <c r="Q343" s="402">
        <v>0.4</v>
      </c>
      <c r="R343" s="242"/>
      <c r="T343" s="20"/>
      <c r="U343" s="20"/>
      <c r="V343" s="20"/>
      <c r="W343" s="20"/>
      <c r="X343" s="20"/>
    </row>
    <row r="344" spans="1:24" s="65" customFormat="1" ht="15" customHeight="1" outlineLevel="2">
      <c r="A344" s="219"/>
      <c r="B344" s="121"/>
      <c r="C344" s="242" t="s">
        <v>1824</v>
      </c>
      <c r="D344" s="121" t="str">
        <f>INDEX(Regional.Technologies[Description],MATCH($B$2&amp;"."&amp;G.30.levels.ProcessImprovements[[#This Row],[Technology code]],Regional.Technologies[Code],0))</f>
        <v>Global Natural Gas use in the Chemicals: High Value Chemicals  technology</v>
      </c>
      <c r="E344" s="121">
        <v>1</v>
      </c>
      <c r="F344" s="121" t="s">
        <v>1917</v>
      </c>
      <c r="G344" s="242"/>
      <c r="H344" s="242"/>
      <c r="I344" s="402">
        <v>0</v>
      </c>
      <c r="J344" s="402">
        <f t="shared" si="16"/>
        <v>0</v>
      </c>
      <c r="K344" s="402">
        <f t="shared" si="16"/>
        <v>0</v>
      </c>
      <c r="L344" s="402">
        <f t="shared" si="16"/>
        <v>0</v>
      </c>
      <c r="M344" s="402">
        <f t="shared" si="16"/>
        <v>0</v>
      </c>
      <c r="N344" s="402">
        <f t="shared" si="16"/>
        <v>0</v>
      </c>
      <c r="O344" s="402">
        <f t="shared" si="16"/>
        <v>0</v>
      </c>
      <c r="P344" s="402">
        <f t="shared" si="16"/>
        <v>0</v>
      </c>
      <c r="Q344" s="402">
        <v>0</v>
      </c>
      <c r="R344" s="242"/>
      <c r="T344" s="20"/>
      <c r="U344" s="20"/>
      <c r="V344" s="20"/>
      <c r="W344" s="20"/>
      <c r="X344" s="20"/>
    </row>
    <row r="345" spans="1:24" s="65" customFormat="1" ht="15" customHeight="1" outlineLevel="2">
      <c r="A345" s="219"/>
      <c r="B345" s="121"/>
      <c r="C345" s="242" t="s">
        <v>1824</v>
      </c>
      <c r="D345" s="121" t="str">
        <f>INDEX(Regional.Technologies[Description],MATCH($B$2&amp;"."&amp;G.30.levels.ProcessImprovements[[#This Row],[Technology code]],Regional.Technologies[Code],0))</f>
        <v>Global Natural Gas use in the Chemicals: High Value Chemicals  technology</v>
      </c>
      <c r="E345" s="121">
        <v>2</v>
      </c>
      <c r="F345" s="121" t="s">
        <v>1917</v>
      </c>
      <c r="G345" s="242"/>
      <c r="H345" s="242"/>
      <c r="I345" s="402">
        <v>0</v>
      </c>
      <c r="J345" s="402">
        <f t="shared" si="16"/>
        <v>2.0512820512820513E-2</v>
      </c>
      <c r="K345" s="402">
        <f t="shared" si="16"/>
        <v>4.6153846153846156E-2</v>
      </c>
      <c r="L345" s="402">
        <f t="shared" si="16"/>
        <v>7.179487179487179E-2</v>
      </c>
      <c r="M345" s="402">
        <f t="shared" si="16"/>
        <v>9.7435897435897437E-2</v>
      </c>
      <c r="N345" s="402">
        <f t="shared" si="16"/>
        <v>0.12307692307692308</v>
      </c>
      <c r="O345" s="402">
        <f t="shared" si="16"/>
        <v>0.14871794871794872</v>
      </c>
      <c r="P345" s="402">
        <f t="shared" si="16"/>
        <v>0.17435897435897435</v>
      </c>
      <c r="Q345" s="402">
        <v>0.2</v>
      </c>
      <c r="R345" s="242"/>
      <c r="T345" s="20"/>
      <c r="U345" s="20"/>
      <c r="V345" s="20"/>
      <c r="W345" s="20"/>
      <c r="X345" s="20"/>
    </row>
    <row r="346" spans="1:24" s="65" customFormat="1" ht="15" customHeight="1" outlineLevel="2">
      <c r="A346" s="219"/>
      <c r="B346" s="121"/>
      <c r="C346" s="242" t="s">
        <v>1824</v>
      </c>
      <c r="D346" s="121" t="str">
        <f>INDEX(Regional.Technologies[Description],MATCH($B$2&amp;"."&amp;G.30.levels.ProcessImprovements[[#This Row],[Technology code]],Regional.Technologies[Code],0))</f>
        <v>Global Natural Gas use in the Chemicals: High Value Chemicals  technology</v>
      </c>
      <c r="E346" s="121">
        <v>3</v>
      </c>
      <c r="F346" s="121" t="s">
        <v>1917</v>
      </c>
      <c r="G346" s="242"/>
      <c r="H346" s="242"/>
      <c r="I346" s="402">
        <v>0</v>
      </c>
      <c r="J346" s="402">
        <f t="shared" si="16"/>
        <v>3.0769230769230767E-2</v>
      </c>
      <c r="K346" s="402">
        <f t="shared" si="16"/>
        <v>6.9230769230769221E-2</v>
      </c>
      <c r="L346" s="402">
        <f t="shared" si="16"/>
        <v>0.10769230769230768</v>
      </c>
      <c r="M346" s="402">
        <f t="shared" si="16"/>
        <v>0.14615384615384613</v>
      </c>
      <c r="N346" s="402">
        <f t="shared" si="16"/>
        <v>0.1846153846153846</v>
      </c>
      <c r="O346" s="402">
        <f t="shared" si="16"/>
        <v>0.22307692307692306</v>
      </c>
      <c r="P346" s="402">
        <f t="shared" si="16"/>
        <v>0.2615384615384615</v>
      </c>
      <c r="Q346" s="402">
        <v>0.3</v>
      </c>
      <c r="R346" s="242"/>
      <c r="T346" s="20"/>
      <c r="U346" s="20"/>
      <c r="V346" s="20"/>
      <c r="W346" s="20"/>
      <c r="X346" s="20"/>
    </row>
    <row r="347" spans="1:24" s="65" customFormat="1" ht="15" customHeight="1" outlineLevel="2">
      <c r="A347" s="219"/>
      <c r="B347" s="121"/>
      <c r="C347" s="242" t="s">
        <v>1824</v>
      </c>
      <c r="D347" s="121" t="str">
        <f>INDEX(Regional.Technologies[Description],MATCH($B$2&amp;"."&amp;G.30.levels.ProcessImprovements[[#This Row],[Technology code]],Regional.Technologies[Code],0))</f>
        <v>Global Natural Gas use in the Chemicals: High Value Chemicals  technology</v>
      </c>
      <c r="E347" s="121">
        <v>4</v>
      </c>
      <c r="F347" s="121" t="s">
        <v>1917</v>
      </c>
      <c r="G347" s="242"/>
      <c r="H347" s="242"/>
      <c r="I347" s="402">
        <v>0</v>
      </c>
      <c r="J347" s="402">
        <f t="shared" si="16"/>
        <v>4.1025641025641026E-2</v>
      </c>
      <c r="K347" s="402">
        <f t="shared" si="16"/>
        <v>9.2307692307692313E-2</v>
      </c>
      <c r="L347" s="402">
        <f t="shared" si="16"/>
        <v>0.14358974358974358</v>
      </c>
      <c r="M347" s="402">
        <f t="shared" si="16"/>
        <v>0.19487179487179487</v>
      </c>
      <c r="N347" s="402">
        <f t="shared" si="16"/>
        <v>0.24615384615384617</v>
      </c>
      <c r="O347" s="402">
        <f t="shared" si="16"/>
        <v>0.29743589743589743</v>
      </c>
      <c r="P347" s="402">
        <f t="shared" si="16"/>
        <v>0.3487179487179487</v>
      </c>
      <c r="Q347" s="402">
        <v>0.4</v>
      </c>
      <c r="R347" s="242"/>
      <c r="T347" s="20"/>
      <c r="U347" s="20"/>
      <c r="V347" s="20"/>
      <c r="W347" s="20"/>
      <c r="X347" s="20"/>
    </row>
    <row r="348" spans="1:24" s="65" customFormat="1" ht="15" customHeight="1" outlineLevel="2">
      <c r="A348" s="219"/>
      <c r="B348" s="121"/>
      <c r="C348" s="242" t="s">
        <v>1825</v>
      </c>
      <c r="D348" s="121" t="str">
        <f>INDEX(Regional.Technologies[Description],MATCH($B$2&amp;"."&amp;G.30.levels.ProcessImprovements[[#This Row],[Technology code]],Regional.Technologies[Code],0))</f>
        <v>Global Solid Hydrocarbons use in the Chemicals: High Value Chemicals  technology</v>
      </c>
      <c r="E348" s="121">
        <v>1</v>
      </c>
      <c r="F348" s="121" t="s">
        <v>1917</v>
      </c>
      <c r="G348" s="242"/>
      <c r="H348" s="242"/>
      <c r="I348" s="402">
        <v>0</v>
      </c>
      <c r="J348" s="402">
        <f t="shared" si="16"/>
        <v>0</v>
      </c>
      <c r="K348" s="402">
        <f t="shared" si="16"/>
        <v>0</v>
      </c>
      <c r="L348" s="402">
        <f t="shared" si="16"/>
        <v>0</v>
      </c>
      <c r="M348" s="402">
        <f t="shared" si="16"/>
        <v>0</v>
      </c>
      <c r="N348" s="402">
        <f t="shared" si="16"/>
        <v>0</v>
      </c>
      <c r="O348" s="402">
        <f t="shared" si="16"/>
        <v>0</v>
      </c>
      <c r="P348" s="402">
        <f t="shared" si="16"/>
        <v>0</v>
      </c>
      <c r="Q348" s="402">
        <v>0</v>
      </c>
      <c r="R348" s="242"/>
      <c r="T348" s="20"/>
      <c r="U348" s="20"/>
      <c r="V348" s="20"/>
      <c r="W348" s="20"/>
      <c r="X348" s="20"/>
    </row>
    <row r="349" spans="1:24" s="65" customFormat="1" ht="15" customHeight="1" outlineLevel="2">
      <c r="A349" s="219"/>
      <c r="B349" s="121"/>
      <c r="C349" s="242" t="s">
        <v>1825</v>
      </c>
      <c r="D349" s="121" t="str">
        <f>INDEX(Regional.Technologies[Description],MATCH($B$2&amp;"."&amp;G.30.levels.ProcessImprovements[[#This Row],[Technology code]],Regional.Technologies[Code],0))</f>
        <v>Global Solid Hydrocarbons use in the Chemicals: High Value Chemicals  technology</v>
      </c>
      <c r="E349" s="121">
        <v>2</v>
      </c>
      <c r="F349" s="121" t="s">
        <v>1917</v>
      </c>
      <c r="G349" s="242"/>
      <c r="H349" s="242"/>
      <c r="I349" s="402">
        <v>0</v>
      </c>
      <c r="J349" s="402">
        <f t="shared" si="16"/>
        <v>2.0512820512820513E-2</v>
      </c>
      <c r="K349" s="402">
        <f t="shared" si="16"/>
        <v>4.6153846153846156E-2</v>
      </c>
      <c r="L349" s="402">
        <f t="shared" si="16"/>
        <v>7.179487179487179E-2</v>
      </c>
      <c r="M349" s="402">
        <f t="shared" si="16"/>
        <v>9.7435897435897437E-2</v>
      </c>
      <c r="N349" s="402">
        <f t="shared" si="16"/>
        <v>0.12307692307692308</v>
      </c>
      <c r="O349" s="402">
        <f t="shared" si="16"/>
        <v>0.14871794871794872</v>
      </c>
      <c r="P349" s="402">
        <f t="shared" si="16"/>
        <v>0.17435897435897435</v>
      </c>
      <c r="Q349" s="402">
        <v>0.2</v>
      </c>
      <c r="R349" s="242"/>
      <c r="T349" s="20"/>
      <c r="U349" s="20"/>
      <c r="V349" s="20"/>
      <c r="W349" s="20"/>
      <c r="X349" s="20"/>
    </row>
    <row r="350" spans="1:24" s="65" customFormat="1" ht="15" customHeight="1" outlineLevel="2">
      <c r="A350" s="219"/>
      <c r="B350" s="121"/>
      <c r="C350" s="242" t="s">
        <v>1825</v>
      </c>
      <c r="D350" s="121" t="str">
        <f>INDEX(Regional.Technologies[Description],MATCH($B$2&amp;"."&amp;G.30.levels.ProcessImprovements[[#This Row],[Technology code]],Regional.Technologies[Code],0))</f>
        <v>Global Solid Hydrocarbons use in the Chemicals: High Value Chemicals  technology</v>
      </c>
      <c r="E350" s="121">
        <v>3</v>
      </c>
      <c r="F350" s="121" t="s">
        <v>1917</v>
      </c>
      <c r="G350" s="242"/>
      <c r="H350" s="242"/>
      <c r="I350" s="402">
        <v>0</v>
      </c>
      <c r="J350" s="402">
        <f t="shared" si="16"/>
        <v>3.0769230769230767E-2</v>
      </c>
      <c r="K350" s="402">
        <f t="shared" si="16"/>
        <v>6.9230769230769221E-2</v>
      </c>
      <c r="L350" s="402">
        <f t="shared" si="16"/>
        <v>0.10769230769230768</v>
      </c>
      <c r="M350" s="402">
        <f t="shared" si="16"/>
        <v>0.14615384615384613</v>
      </c>
      <c r="N350" s="402">
        <f t="shared" si="16"/>
        <v>0.1846153846153846</v>
      </c>
      <c r="O350" s="402">
        <f t="shared" si="16"/>
        <v>0.22307692307692306</v>
      </c>
      <c r="P350" s="402">
        <f t="shared" si="16"/>
        <v>0.2615384615384615</v>
      </c>
      <c r="Q350" s="402">
        <v>0.3</v>
      </c>
      <c r="R350" s="242"/>
      <c r="T350" s="20"/>
      <c r="U350" s="20"/>
      <c r="V350" s="20"/>
      <c r="W350" s="20"/>
      <c r="X350" s="20"/>
    </row>
    <row r="351" spans="1:24" s="65" customFormat="1" ht="15" customHeight="1" outlineLevel="2">
      <c r="A351" s="219"/>
      <c r="B351" s="121"/>
      <c r="C351" s="242" t="s">
        <v>1825</v>
      </c>
      <c r="D351" s="121" t="str">
        <f>INDEX(Regional.Technologies[Description],MATCH($B$2&amp;"."&amp;G.30.levels.ProcessImprovements[[#This Row],[Technology code]],Regional.Technologies[Code],0))</f>
        <v>Global Solid Hydrocarbons use in the Chemicals: High Value Chemicals  technology</v>
      </c>
      <c r="E351" s="121">
        <v>4</v>
      </c>
      <c r="F351" s="121" t="s">
        <v>1917</v>
      </c>
      <c r="G351" s="242"/>
      <c r="H351" s="242"/>
      <c r="I351" s="402">
        <v>0</v>
      </c>
      <c r="J351" s="402">
        <f t="shared" si="16"/>
        <v>4.1025641025641026E-2</v>
      </c>
      <c r="K351" s="402">
        <f t="shared" si="16"/>
        <v>9.2307692307692313E-2</v>
      </c>
      <c r="L351" s="402">
        <f t="shared" si="16"/>
        <v>0.14358974358974358</v>
      </c>
      <c r="M351" s="402">
        <f t="shared" si="16"/>
        <v>0.19487179487179487</v>
      </c>
      <c r="N351" s="402">
        <f t="shared" si="16"/>
        <v>0.24615384615384617</v>
      </c>
      <c r="O351" s="402">
        <f t="shared" si="16"/>
        <v>0.29743589743589743</v>
      </c>
      <c r="P351" s="402">
        <f t="shared" si="16"/>
        <v>0.3487179487179487</v>
      </c>
      <c r="Q351" s="402">
        <v>0.4</v>
      </c>
      <c r="R351" s="242"/>
      <c r="T351" s="20"/>
      <c r="U351" s="20"/>
      <c r="V351" s="20"/>
      <c r="W351" s="20"/>
      <c r="X351" s="20"/>
    </row>
    <row r="352" spans="1:24" s="65" customFormat="1" ht="15" customHeight="1" outlineLevel="2">
      <c r="A352" s="219"/>
      <c r="B352" s="121"/>
      <c r="C352" s="242" t="s">
        <v>1826</v>
      </c>
      <c r="D352" s="121" t="str">
        <f>INDEX(Regional.Technologies[Description],MATCH($B$2&amp;"."&amp;G.30.levels.ProcessImprovements[[#This Row],[Technology code]],Regional.Technologies[Code],0))</f>
        <v>Global Heat use in the Chemicals: High Value Chemicals  technology</v>
      </c>
      <c r="E352" s="121">
        <v>1</v>
      </c>
      <c r="F352" s="121" t="s">
        <v>1917</v>
      </c>
      <c r="G352" s="242"/>
      <c r="H352" s="242"/>
      <c r="I352" s="402">
        <v>0</v>
      </c>
      <c r="J352" s="402">
        <f t="shared" si="16"/>
        <v>0</v>
      </c>
      <c r="K352" s="402">
        <f t="shared" si="16"/>
        <v>0</v>
      </c>
      <c r="L352" s="402">
        <f t="shared" si="16"/>
        <v>0</v>
      </c>
      <c r="M352" s="402">
        <f t="shared" si="16"/>
        <v>0</v>
      </c>
      <c r="N352" s="402">
        <f t="shared" si="16"/>
        <v>0</v>
      </c>
      <c r="O352" s="402">
        <f t="shared" si="16"/>
        <v>0</v>
      </c>
      <c r="P352" s="402">
        <f t="shared" si="16"/>
        <v>0</v>
      </c>
      <c r="Q352" s="402">
        <v>0</v>
      </c>
      <c r="R352" s="242"/>
      <c r="T352" s="20"/>
      <c r="U352" s="20"/>
      <c r="V352" s="20"/>
      <c r="W352" s="20"/>
      <c r="X352" s="20"/>
    </row>
    <row r="353" spans="1:24" s="65" customFormat="1" ht="15" customHeight="1" outlineLevel="2">
      <c r="A353" s="219"/>
      <c r="B353" s="121"/>
      <c r="C353" s="242" t="s">
        <v>1826</v>
      </c>
      <c r="D353" s="121" t="str">
        <f>INDEX(Regional.Technologies[Description],MATCH($B$2&amp;"."&amp;G.30.levels.ProcessImprovements[[#This Row],[Technology code]],Regional.Technologies[Code],0))</f>
        <v>Global Heat use in the Chemicals: High Value Chemicals  technology</v>
      </c>
      <c r="E353" s="121">
        <v>2</v>
      </c>
      <c r="F353" s="121" t="s">
        <v>1917</v>
      </c>
      <c r="G353" s="242"/>
      <c r="H353" s="242"/>
      <c r="I353" s="402">
        <v>0</v>
      </c>
      <c r="J353" s="402">
        <f t="shared" si="16"/>
        <v>2.0512820512820513E-2</v>
      </c>
      <c r="K353" s="402">
        <f t="shared" si="16"/>
        <v>4.6153846153846156E-2</v>
      </c>
      <c r="L353" s="402">
        <f t="shared" si="16"/>
        <v>7.179487179487179E-2</v>
      </c>
      <c r="M353" s="402">
        <f t="shared" si="16"/>
        <v>9.7435897435897437E-2</v>
      </c>
      <c r="N353" s="402">
        <f t="shared" si="16"/>
        <v>0.12307692307692308</v>
      </c>
      <c r="O353" s="402">
        <f t="shared" si="16"/>
        <v>0.14871794871794872</v>
      </c>
      <c r="P353" s="402">
        <f t="shared" si="16"/>
        <v>0.17435897435897435</v>
      </c>
      <c r="Q353" s="402">
        <v>0.2</v>
      </c>
      <c r="R353" s="242"/>
      <c r="T353" s="20"/>
      <c r="U353" s="20"/>
      <c r="V353" s="20"/>
      <c r="W353" s="20"/>
      <c r="X353" s="20"/>
    </row>
    <row r="354" spans="1:24" s="65" customFormat="1" ht="15" customHeight="1" outlineLevel="2">
      <c r="A354" s="219"/>
      <c r="B354" s="121"/>
      <c r="C354" s="242" t="s">
        <v>1826</v>
      </c>
      <c r="D354" s="121" t="str">
        <f>INDEX(Regional.Technologies[Description],MATCH($B$2&amp;"."&amp;G.30.levels.ProcessImprovements[[#This Row],[Technology code]],Regional.Technologies[Code],0))</f>
        <v>Global Heat use in the Chemicals: High Value Chemicals  technology</v>
      </c>
      <c r="E354" s="121">
        <v>3</v>
      </c>
      <c r="F354" s="121" t="s">
        <v>1917</v>
      </c>
      <c r="G354" s="242"/>
      <c r="H354" s="242"/>
      <c r="I354" s="402">
        <v>0</v>
      </c>
      <c r="J354" s="402">
        <f t="shared" si="16"/>
        <v>3.0769230769230767E-2</v>
      </c>
      <c r="K354" s="402">
        <f t="shared" si="16"/>
        <v>6.9230769230769221E-2</v>
      </c>
      <c r="L354" s="402">
        <f t="shared" si="16"/>
        <v>0.10769230769230768</v>
      </c>
      <c r="M354" s="402">
        <f t="shared" si="16"/>
        <v>0.14615384615384613</v>
      </c>
      <c r="N354" s="402">
        <f t="shared" si="16"/>
        <v>0.1846153846153846</v>
      </c>
      <c r="O354" s="402">
        <f t="shared" si="16"/>
        <v>0.22307692307692306</v>
      </c>
      <c r="P354" s="402">
        <f t="shared" si="16"/>
        <v>0.2615384615384615</v>
      </c>
      <c r="Q354" s="402">
        <v>0.3</v>
      </c>
      <c r="R354" s="242"/>
      <c r="T354" s="20"/>
      <c r="U354" s="20"/>
      <c r="V354" s="20"/>
      <c r="W354" s="20"/>
      <c r="X354" s="20"/>
    </row>
    <row r="355" spans="1:24" s="65" customFormat="1" ht="15" customHeight="1" outlineLevel="2">
      <c r="A355" s="219"/>
      <c r="B355" s="121"/>
      <c r="C355" s="242" t="s">
        <v>1826</v>
      </c>
      <c r="D355" s="121" t="str">
        <f>INDEX(Regional.Technologies[Description],MATCH($B$2&amp;"."&amp;G.30.levels.ProcessImprovements[[#This Row],[Technology code]],Regional.Technologies[Code],0))</f>
        <v>Global Heat use in the Chemicals: High Value Chemicals  technology</v>
      </c>
      <c r="E355" s="121">
        <v>4</v>
      </c>
      <c r="F355" s="121" t="s">
        <v>1917</v>
      </c>
      <c r="G355" s="242"/>
      <c r="H355" s="242"/>
      <c r="I355" s="402">
        <v>0</v>
      </c>
      <c r="J355" s="402">
        <f t="shared" si="16"/>
        <v>4.1025641025641026E-2</v>
      </c>
      <c r="K355" s="402">
        <f t="shared" si="16"/>
        <v>9.2307692307692313E-2</v>
      </c>
      <c r="L355" s="402">
        <f t="shared" si="16"/>
        <v>0.14358974358974358</v>
      </c>
      <c r="M355" s="402">
        <f t="shared" si="16"/>
        <v>0.19487179487179487</v>
      </c>
      <c r="N355" s="402">
        <f t="shared" si="16"/>
        <v>0.24615384615384617</v>
      </c>
      <c r="O355" s="402">
        <f t="shared" si="16"/>
        <v>0.29743589743589743</v>
      </c>
      <c r="P355" s="402">
        <f t="shared" si="16"/>
        <v>0.3487179487179487</v>
      </c>
      <c r="Q355" s="402">
        <v>0.4</v>
      </c>
      <c r="R355" s="242"/>
      <c r="T355" s="20"/>
      <c r="U355" s="20"/>
      <c r="V355" s="20"/>
      <c r="W355" s="20"/>
      <c r="X355" s="20"/>
    </row>
    <row r="356" spans="1:24" s="65" customFormat="1" ht="15" customHeight="1" outlineLevel="2">
      <c r="A356" s="219"/>
      <c r="B356" s="121"/>
      <c r="C356" s="242" t="s">
        <v>1827</v>
      </c>
      <c r="D356" s="121" t="str">
        <f>INDEX(Regional.Technologies[Description],MATCH($B$2&amp;"."&amp;G.30.levels.ProcessImprovements[[#This Row],[Technology code]],Regional.Technologies[Code],0))</f>
        <v>Global Electricity use in the Chemicals: Ammonia technology</v>
      </c>
      <c r="E356" s="121">
        <v>1</v>
      </c>
      <c r="F356" s="242" t="s">
        <v>1918</v>
      </c>
      <c r="G356" s="242"/>
      <c r="H356" s="242"/>
      <c r="I356" s="402">
        <v>0</v>
      </c>
      <c r="J356" s="402">
        <f t="shared" si="16"/>
        <v>0</v>
      </c>
      <c r="K356" s="402">
        <f t="shared" si="16"/>
        <v>0</v>
      </c>
      <c r="L356" s="402">
        <f t="shared" si="16"/>
        <v>0</v>
      </c>
      <c r="M356" s="402">
        <f t="shared" si="16"/>
        <v>0</v>
      </c>
      <c r="N356" s="402">
        <f t="shared" si="16"/>
        <v>0</v>
      </c>
      <c r="O356" s="402">
        <f t="shared" si="16"/>
        <v>0</v>
      </c>
      <c r="P356" s="402">
        <f t="shared" si="16"/>
        <v>0</v>
      </c>
      <c r="Q356" s="402">
        <v>0</v>
      </c>
      <c r="R356" s="242"/>
      <c r="T356" s="20"/>
      <c r="U356" s="20"/>
      <c r="V356" s="20"/>
      <c r="W356" s="20"/>
      <c r="X356" s="20"/>
    </row>
    <row r="357" spans="1:24" s="65" customFormat="1" ht="15" customHeight="1" outlineLevel="2">
      <c r="A357" s="219"/>
      <c r="B357" s="121"/>
      <c r="C357" s="242" t="s">
        <v>1827</v>
      </c>
      <c r="D357" s="121" t="str">
        <f>INDEX(Regional.Technologies[Description],MATCH($B$2&amp;"."&amp;G.30.levels.ProcessImprovements[[#This Row],[Technology code]],Regional.Technologies[Code],0))</f>
        <v>Global Electricity use in the Chemicals: Ammonia technology</v>
      </c>
      <c r="E357" s="121">
        <v>2</v>
      </c>
      <c r="F357" s="242" t="s">
        <v>1918</v>
      </c>
      <c r="G357" s="242"/>
      <c r="H357" s="242"/>
      <c r="I357" s="402">
        <v>0</v>
      </c>
      <c r="J357" s="402">
        <f t="shared" si="16"/>
        <v>2.0512820512820513E-2</v>
      </c>
      <c r="K357" s="402">
        <f t="shared" si="16"/>
        <v>4.6153846153846156E-2</v>
      </c>
      <c r="L357" s="402">
        <f t="shared" si="16"/>
        <v>7.179487179487179E-2</v>
      </c>
      <c r="M357" s="402">
        <f t="shared" si="16"/>
        <v>9.7435897435897437E-2</v>
      </c>
      <c r="N357" s="402">
        <f t="shared" si="16"/>
        <v>0.12307692307692308</v>
      </c>
      <c r="O357" s="402">
        <f t="shared" si="16"/>
        <v>0.14871794871794872</v>
      </c>
      <c r="P357" s="402">
        <f t="shared" si="16"/>
        <v>0.17435897435897435</v>
      </c>
      <c r="Q357" s="402">
        <v>0.2</v>
      </c>
      <c r="R357" s="242"/>
      <c r="T357" s="20"/>
      <c r="U357" s="20"/>
      <c r="V357" s="20"/>
      <c r="W357" s="20"/>
      <c r="X357" s="20"/>
    </row>
    <row r="358" spans="1:24" s="65" customFormat="1" ht="15" customHeight="1" outlineLevel="2">
      <c r="A358" s="219"/>
      <c r="B358" s="121"/>
      <c r="C358" s="242" t="s">
        <v>1827</v>
      </c>
      <c r="D358" s="121" t="str">
        <f>INDEX(Regional.Technologies[Description],MATCH($B$2&amp;"."&amp;G.30.levels.ProcessImprovements[[#This Row],[Technology code]],Regional.Technologies[Code],0))</f>
        <v>Global Electricity use in the Chemicals: Ammonia technology</v>
      </c>
      <c r="E358" s="121">
        <v>3</v>
      </c>
      <c r="F358" s="242" t="s">
        <v>1918</v>
      </c>
      <c r="G358" s="242"/>
      <c r="H358" s="242"/>
      <c r="I358" s="402">
        <v>0</v>
      </c>
      <c r="J358" s="402">
        <f t="shared" si="16"/>
        <v>3.0769230769230767E-2</v>
      </c>
      <c r="K358" s="402">
        <f t="shared" si="16"/>
        <v>6.9230769230769221E-2</v>
      </c>
      <c r="L358" s="402">
        <f t="shared" si="16"/>
        <v>0.10769230769230768</v>
      </c>
      <c r="M358" s="402">
        <f t="shared" si="16"/>
        <v>0.14615384615384613</v>
      </c>
      <c r="N358" s="402">
        <f t="shared" si="16"/>
        <v>0.1846153846153846</v>
      </c>
      <c r="O358" s="402">
        <f t="shared" si="16"/>
        <v>0.22307692307692306</v>
      </c>
      <c r="P358" s="402">
        <f t="shared" si="16"/>
        <v>0.2615384615384615</v>
      </c>
      <c r="Q358" s="402">
        <v>0.3</v>
      </c>
      <c r="R358" s="242"/>
      <c r="T358" s="20"/>
      <c r="U358" s="20"/>
      <c r="V358" s="20"/>
      <c r="W358" s="20"/>
      <c r="X358" s="20"/>
    </row>
    <row r="359" spans="1:24" s="65" customFormat="1" ht="15" customHeight="1" outlineLevel="2">
      <c r="A359" s="219"/>
      <c r="B359" s="121"/>
      <c r="C359" s="242" t="s">
        <v>1827</v>
      </c>
      <c r="D359" s="121" t="str">
        <f>INDEX(Regional.Technologies[Description],MATCH($B$2&amp;"."&amp;G.30.levels.ProcessImprovements[[#This Row],[Technology code]],Regional.Technologies[Code],0))</f>
        <v>Global Electricity use in the Chemicals: Ammonia technology</v>
      </c>
      <c r="E359" s="121">
        <v>4</v>
      </c>
      <c r="F359" s="242" t="s">
        <v>1918</v>
      </c>
      <c r="G359" s="242"/>
      <c r="H359" s="242"/>
      <c r="I359" s="402">
        <v>0</v>
      </c>
      <c r="J359" s="402">
        <f t="shared" si="16"/>
        <v>4.1025641025641026E-2</v>
      </c>
      <c r="K359" s="402">
        <f t="shared" si="16"/>
        <v>9.2307692307692313E-2</v>
      </c>
      <c r="L359" s="402">
        <f t="shared" si="16"/>
        <v>0.14358974358974358</v>
      </c>
      <c r="M359" s="402">
        <f t="shared" si="16"/>
        <v>0.19487179487179487</v>
      </c>
      <c r="N359" s="402">
        <f t="shared" si="16"/>
        <v>0.24615384615384617</v>
      </c>
      <c r="O359" s="402">
        <f t="shared" si="16"/>
        <v>0.29743589743589743</v>
      </c>
      <c r="P359" s="402">
        <f t="shared" si="16"/>
        <v>0.3487179487179487</v>
      </c>
      <c r="Q359" s="402">
        <v>0.4</v>
      </c>
      <c r="R359" s="242"/>
      <c r="T359" s="20"/>
      <c r="U359" s="20"/>
      <c r="V359" s="20"/>
      <c r="W359" s="20"/>
      <c r="X359" s="20"/>
    </row>
    <row r="360" spans="1:24" s="65" customFormat="1" ht="15" customHeight="1" outlineLevel="2">
      <c r="A360" s="219"/>
      <c r="B360" s="121"/>
      <c r="C360" s="242" t="s">
        <v>1828</v>
      </c>
      <c r="D360" s="121" t="str">
        <f>INDEX(Regional.Technologies[Description],MATCH($B$2&amp;"."&amp;G.30.levels.ProcessImprovements[[#This Row],[Technology code]],Regional.Technologies[Code],0))</f>
        <v>Global Coal use in the Chemicals: Ammonia technology</v>
      </c>
      <c r="E360" s="121">
        <v>1</v>
      </c>
      <c r="F360" s="242" t="s">
        <v>1918</v>
      </c>
      <c r="G360" s="242"/>
      <c r="H360" s="242"/>
      <c r="I360" s="402">
        <v>0</v>
      </c>
      <c r="J360" s="402">
        <f t="shared" si="16"/>
        <v>0</v>
      </c>
      <c r="K360" s="402">
        <f t="shared" si="16"/>
        <v>0</v>
      </c>
      <c r="L360" s="402">
        <f t="shared" si="16"/>
        <v>0</v>
      </c>
      <c r="M360" s="402">
        <f t="shared" si="16"/>
        <v>0</v>
      </c>
      <c r="N360" s="402">
        <f t="shared" si="16"/>
        <v>0</v>
      </c>
      <c r="O360" s="402">
        <f t="shared" si="16"/>
        <v>0</v>
      </c>
      <c r="P360" s="402">
        <f t="shared" si="16"/>
        <v>0</v>
      </c>
      <c r="Q360" s="402">
        <v>0</v>
      </c>
      <c r="R360" s="242"/>
      <c r="T360" s="20"/>
      <c r="U360" s="20"/>
      <c r="V360" s="20"/>
      <c r="W360" s="20"/>
      <c r="X360" s="20"/>
    </row>
    <row r="361" spans="1:24" s="65" customFormat="1" ht="15" customHeight="1" outlineLevel="2">
      <c r="A361" s="219"/>
      <c r="B361" s="121"/>
      <c r="C361" s="242" t="s">
        <v>1828</v>
      </c>
      <c r="D361" s="121" t="str">
        <f>INDEX(Regional.Technologies[Description],MATCH($B$2&amp;"."&amp;G.30.levels.ProcessImprovements[[#This Row],[Technology code]],Regional.Technologies[Code],0))</f>
        <v>Global Coal use in the Chemicals: Ammonia technology</v>
      </c>
      <c r="E361" s="121">
        <v>2</v>
      </c>
      <c r="F361" s="242" t="s">
        <v>1918</v>
      </c>
      <c r="G361" s="242"/>
      <c r="H361" s="242"/>
      <c r="I361" s="402">
        <v>0</v>
      </c>
      <c r="J361" s="402">
        <f t="shared" si="16"/>
        <v>2.0512820512820513E-2</v>
      </c>
      <c r="K361" s="402">
        <f t="shared" si="16"/>
        <v>4.6153846153846156E-2</v>
      </c>
      <c r="L361" s="402">
        <f t="shared" si="16"/>
        <v>7.179487179487179E-2</v>
      </c>
      <c r="M361" s="402">
        <f t="shared" si="16"/>
        <v>9.7435897435897437E-2</v>
      </c>
      <c r="N361" s="402">
        <f t="shared" si="16"/>
        <v>0.12307692307692308</v>
      </c>
      <c r="O361" s="402">
        <f t="shared" si="16"/>
        <v>0.14871794871794872</v>
      </c>
      <c r="P361" s="402">
        <f t="shared" si="16"/>
        <v>0.17435897435897435</v>
      </c>
      <c r="Q361" s="402">
        <v>0.2</v>
      </c>
      <c r="R361" s="242"/>
      <c r="T361" s="20"/>
      <c r="U361" s="20"/>
      <c r="V361" s="20"/>
      <c r="W361" s="20"/>
      <c r="X361" s="20"/>
    </row>
    <row r="362" spans="1:24" s="65" customFormat="1" ht="15" customHeight="1" outlineLevel="2">
      <c r="A362" s="219"/>
      <c r="B362" s="121"/>
      <c r="C362" s="242" t="s">
        <v>1828</v>
      </c>
      <c r="D362" s="121" t="str">
        <f>INDEX(Regional.Technologies[Description],MATCH($B$2&amp;"."&amp;G.30.levels.ProcessImprovements[[#This Row],[Technology code]],Regional.Technologies[Code],0))</f>
        <v>Global Coal use in the Chemicals: Ammonia technology</v>
      </c>
      <c r="E362" s="121">
        <v>3</v>
      </c>
      <c r="F362" s="242" t="s">
        <v>1918</v>
      </c>
      <c r="G362" s="242"/>
      <c r="H362" s="242"/>
      <c r="I362" s="402">
        <v>0</v>
      </c>
      <c r="J362" s="402">
        <f t="shared" si="16"/>
        <v>3.0769230769230767E-2</v>
      </c>
      <c r="K362" s="402">
        <f t="shared" si="16"/>
        <v>6.9230769230769221E-2</v>
      </c>
      <c r="L362" s="402">
        <f t="shared" si="16"/>
        <v>0.10769230769230768</v>
      </c>
      <c r="M362" s="402">
        <f t="shared" si="16"/>
        <v>0.14615384615384613</v>
      </c>
      <c r="N362" s="402">
        <f t="shared" si="16"/>
        <v>0.1846153846153846</v>
      </c>
      <c r="O362" s="402">
        <f t="shared" si="16"/>
        <v>0.22307692307692306</v>
      </c>
      <c r="P362" s="402">
        <f t="shared" si="16"/>
        <v>0.2615384615384615</v>
      </c>
      <c r="Q362" s="402">
        <v>0.3</v>
      </c>
      <c r="R362" s="242"/>
      <c r="T362" s="20"/>
      <c r="U362" s="20"/>
      <c r="V362" s="20"/>
      <c r="W362" s="20"/>
      <c r="X362" s="20"/>
    </row>
    <row r="363" spans="1:24" s="65" customFormat="1" ht="15" customHeight="1" outlineLevel="2">
      <c r="A363" s="219"/>
      <c r="B363" s="121"/>
      <c r="C363" s="242" t="s">
        <v>1828</v>
      </c>
      <c r="D363" s="121" t="str">
        <f>INDEX(Regional.Technologies[Description],MATCH($B$2&amp;"."&amp;G.30.levels.ProcessImprovements[[#This Row],[Technology code]],Regional.Technologies[Code],0))</f>
        <v>Global Coal use in the Chemicals: Ammonia technology</v>
      </c>
      <c r="E363" s="121">
        <v>4</v>
      </c>
      <c r="F363" s="242" t="s">
        <v>1918</v>
      </c>
      <c r="G363" s="242"/>
      <c r="H363" s="242"/>
      <c r="I363" s="402">
        <v>0</v>
      </c>
      <c r="J363" s="402">
        <f t="shared" si="16"/>
        <v>4.1025641025641026E-2</v>
      </c>
      <c r="K363" s="402">
        <f t="shared" si="16"/>
        <v>9.2307692307692313E-2</v>
      </c>
      <c r="L363" s="402">
        <f t="shared" si="16"/>
        <v>0.14358974358974358</v>
      </c>
      <c r="M363" s="402">
        <f t="shared" si="16"/>
        <v>0.19487179487179487</v>
      </c>
      <c r="N363" s="402">
        <f t="shared" si="16"/>
        <v>0.24615384615384617</v>
      </c>
      <c r="O363" s="402">
        <f t="shared" si="16"/>
        <v>0.29743589743589743</v>
      </c>
      <c r="P363" s="402">
        <f t="shared" si="16"/>
        <v>0.3487179487179487</v>
      </c>
      <c r="Q363" s="402">
        <v>0.4</v>
      </c>
      <c r="R363" s="242"/>
      <c r="T363" s="20"/>
      <c r="U363" s="20"/>
      <c r="V363" s="20"/>
      <c r="W363" s="20"/>
      <c r="X363" s="20"/>
    </row>
    <row r="364" spans="1:24" s="65" customFormat="1" ht="15" customHeight="1" outlineLevel="2">
      <c r="A364" s="219"/>
      <c r="B364" s="121"/>
      <c r="C364" s="242" t="s">
        <v>1829</v>
      </c>
      <c r="D364" s="121" t="str">
        <f>INDEX(Regional.Technologies[Description],MATCH($B$2&amp;"."&amp;G.30.levels.ProcessImprovements[[#This Row],[Technology code]],Regional.Technologies[Code],0))</f>
        <v>Global Oil use in the Chemicals: Ammonia technology</v>
      </c>
      <c r="E364" s="121">
        <v>1</v>
      </c>
      <c r="F364" s="242" t="s">
        <v>1918</v>
      </c>
      <c r="G364" s="242"/>
      <c r="H364" s="242"/>
      <c r="I364" s="402">
        <v>0</v>
      </c>
      <c r="J364" s="402">
        <f t="shared" si="16"/>
        <v>0</v>
      </c>
      <c r="K364" s="402">
        <f t="shared" si="16"/>
        <v>0</v>
      </c>
      <c r="L364" s="402">
        <f t="shared" si="16"/>
        <v>0</v>
      </c>
      <c r="M364" s="402">
        <f t="shared" si="16"/>
        <v>0</v>
      </c>
      <c r="N364" s="402">
        <f t="shared" si="16"/>
        <v>0</v>
      </c>
      <c r="O364" s="402">
        <f t="shared" si="16"/>
        <v>0</v>
      </c>
      <c r="P364" s="402">
        <f t="shared" si="16"/>
        <v>0</v>
      </c>
      <c r="Q364" s="402">
        <v>0</v>
      </c>
      <c r="R364" s="242"/>
      <c r="T364" s="20"/>
      <c r="U364" s="20"/>
      <c r="V364" s="20"/>
      <c r="W364" s="20"/>
      <c r="X364" s="20"/>
    </row>
    <row r="365" spans="1:24" s="65" customFormat="1" ht="15" customHeight="1" outlineLevel="2">
      <c r="A365" s="219"/>
      <c r="B365" s="121"/>
      <c r="C365" s="242" t="s">
        <v>1829</v>
      </c>
      <c r="D365" s="121" t="str">
        <f>INDEX(Regional.Technologies[Description],MATCH($B$2&amp;"."&amp;G.30.levels.ProcessImprovements[[#This Row],[Technology code]],Regional.Technologies[Code],0))</f>
        <v>Global Oil use in the Chemicals: Ammonia technology</v>
      </c>
      <c r="E365" s="121">
        <v>2</v>
      </c>
      <c r="F365" s="242" t="s">
        <v>1918</v>
      </c>
      <c r="G365" s="242"/>
      <c r="H365" s="242"/>
      <c r="I365" s="402">
        <v>0</v>
      </c>
      <c r="J365" s="402">
        <f t="shared" si="16"/>
        <v>2.0512820512820513E-2</v>
      </c>
      <c r="K365" s="402">
        <f t="shared" si="16"/>
        <v>4.6153846153846156E-2</v>
      </c>
      <c r="L365" s="402">
        <f t="shared" si="16"/>
        <v>7.179487179487179E-2</v>
      </c>
      <c r="M365" s="402">
        <f t="shared" si="16"/>
        <v>9.7435897435897437E-2</v>
      </c>
      <c r="N365" s="402">
        <f t="shared" si="16"/>
        <v>0.12307692307692308</v>
      </c>
      <c r="O365" s="402">
        <f t="shared" si="16"/>
        <v>0.14871794871794872</v>
      </c>
      <c r="P365" s="402">
        <f t="shared" si="16"/>
        <v>0.17435897435897435</v>
      </c>
      <c r="Q365" s="402">
        <v>0.2</v>
      </c>
      <c r="R365" s="242"/>
      <c r="T365" s="20"/>
      <c r="U365" s="20"/>
      <c r="V365" s="20"/>
      <c r="W365" s="20"/>
      <c r="X365" s="20"/>
    </row>
    <row r="366" spans="1:24" s="65" customFormat="1" ht="15" customHeight="1" outlineLevel="2">
      <c r="A366" s="219"/>
      <c r="B366" s="121"/>
      <c r="C366" s="242" t="s">
        <v>1829</v>
      </c>
      <c r="D366" s="121" t="str">
        <f>INDEX(Regional.Technologies[Description],MATCH($B$2&amp;"."&amp;G.30.levels.ProcessImprovements[[#This Row],[Technology code]],Regional.Technologies[Code],0))</f>
        <v>Global Oil use in the Chemicals: Ammonia technology</v>
      </c>
      <c r="E366" s="121">
        <v>3</v>
      </c>
      <c r="F366" s="242" t="s">
        <v>1918</v>
      </c>
      <c r="G366" s="242"/>
      <c r="H366" s="242"/>
      <c r="I366" s="402">
        <v>0</v>
      </c>
      <c r="J366" s="402">
        <f t="shared" si="16"/>
        <v>3.0769230769230767E-2</v>
      </c>
      <c r="K366" s="402">
        <f t="shared" si="16"/>
        <v>6.9230769230769221E-2</v>
      </c>
      <c r="L366" s="402">
        <f t="shared" si="16"/>
        <v>0.10769230769230768</v>
      </c>
      <c r="M366" s="402">
        <f t="shared" si="16"/>
        <v>0.14615384615384613</v>
      </c>
      <c r="N366" s="402">
        <f t="shared" si="16"/>
        <v>0.1846153846153846</v>
      </c>
      <c r="O366" s="402">
        <f t="shared" si="16"/>
        <v>0.22307692307692306</v>
      </c>
      <c r="P366" s="402">
        <f t="shared" si="16"/>
        <v>0.2615384615384615</v>
      </c>
      <c r="Q366" s="402">
        <v>0.3</v>
      </c>
      <c r="R366" s="242"/>
      <c r="T366" s="20"/>
      <c r="U366" s="20"/>
      <c r="V366" s="20"/>
      <c r="W366" s="20"/>
      <c r="X366" s="20"/>
    </row>
    <row r="367" spans="1:24" s="65" customFormat="1" ht="15" customHeight="1" outlineLevel="2">
      <c r="A367" s="219"/>
      <c r="B367" s="121"/>
      <c r="C367" s="242" t="s">
        <v>1829</v>
      </c>
      <c r="D367" s="121" t="str">
        <f>INDEX(Regional.Technologies[Description],MATCH($B$2&amp;"."&amp;G.30.levels.ProcessImprovements[[#This Row],[Technology code]],Regional.Technologies[Code],0))</f>
        <v>Global Oil use in the Chemicals: Ammonia technology</v>
      </c>
      <c r="E367" s="121">
        <v>4</v>
      </c>
      <c r="F367" s="242" t="s">
        <v>1918</v>
      </c>
      <c r="G367" s="242"/>
      <c r="H367" s="242"/>
      <c r="I367" s="402">
        <v>0</v>
      </c>
      <c r="J367" s="402">
        <f t="shared" si="16"/>
        <v>4.1025641025641026E-2</v>
      </c>
      <c r="K367" s="402">
        <f t="shared" si="16"/>
        <v>9.2307692307692313E-2</v>
      </c>
      <c r="L367" s="402">
        <f t="shared" si="16"/>
        <v>0.14358974358974358</v>
      </c>
      <c r="M367" s="402">
        <f t="shared" si="16"/>
        <v>0.19487179487179487</v>
      </c>
      <c r="N367" s="402">
        <f t="shared" si="16"/>
        <v>0.24615384615384617</v>
      </c>
      <c r="O367" s="402">
        <f t="shared" si="16"/>
        <v>0.29743589743589743</v>
      </c>
      <c r="P367" s="402">
        <f t="shared" si="16"/>
        <v>0.3487179487179487</v>
      </c>
      <c r="Q367" s="402">
        <v>0.4</v>
      </c>
      <c r="R367" s="242"/>
      <c r="T367" s="20"/>
      <c r="U367" s="20"/>
      <c r="V367" s="20"/>
      <c r="W367" s="20"/>
      <c r="X367" s="20"/>
    </row>
    <row r="368" spans="1:24" s="65" customFormat="1" ht="15" customHeight="1" outlineLevel="2">
      <c r="A368" s="219"/>
      <c r="B368" s="121"/>
      <c r="C368" s="242" t="s">
        <v>1830</v>
      </c>
      <c r="D368" s="121" t="str">
        <f>INDEX(Regional.Technologies[Description],MATCH($B$2&amp;"."&amp;G.30.levels.ProcessImprovements[[#This Row],[Technology code]],Regional.Technologies[Code],0))</f>
        <v>Global Natural Gas use in the Chemicals: Ammonia technology</v>
      </c>
      <c r="E368" s="121">
        <v>1</v>
      </c>
      <c r="F368" s="242" t="s">
        <v>1918</v>
      </c>
      <c r="G368" s="242"/>
      <c r="H368" s="242"/>
      <c r="I368" s="402">
        <v>0</v>
      </c>
      <c r="J368" s="402">
        <f t="shared" si="16"/>
        <v>0</v>
      </c>
      <c r="K368" s="402">
        <f t="shared" si="16"/>
        <v>0</v>
      </c>
      <c r="L368" s="402">
        <f t="shared" si="16"/>
        <v>0</v>
      </c>
      <c r="M368" s="402">
        <f t="shared" si="16"/>
        <v>0</v>
      </c>
      <c r="N368" s="402">
        <f t="shared" si="16"/>
        <v>0</v>
      </c>
      <c r="O368" s="402">
        <f t="shared" si="16"/>
        <v>0</v>
      </c>
      <c r="P368" s="402">
        <f t="shared" si="16"/>
        <v>0</v>
      </c>
      <c r="Q368" s="402">
        <v>0</v>
      </c>
      <c r="R368" s="242"/>
      <c r="T368" s="20"/>
      <c r="U368" s="20"/>
      <c r="V368" s="20"/>
      <c r="W368" s="20"/>
      <c r="X368" s="20"/>
    </row>
    <row r="369" spans="1:24" s="65" customFormat="1" ht="15" customHeight="1" outlineLevel="2">
      <c r="A369" s="219"/>
      <c r="B369" s="121"/>
      <c r="C369" s="242" t="s">
        <v>1830</v>
      </c>
      <c r="D369" s="121" t="str">
        <f>INDEX(Regional.Technologies[Description],MATCH($B$2&amp;"."&amp;G.30.levels.ProcessImprovements[[#This Row],[Technology code]],Regional.Technologies[Code],0))</f>
        <v>Global Natural Gas use in the Chemicals: Ammonia technology</v>
      </c>
      <c r="E369" s="121">
        <v>2</v>
      </c>
      <c r="F369" s="242" t="s">
        <v>1918</v>
      </c>
      <c r="G369" s="242"/>
      <c r="H369" s="242"/>
      <c r="I369" s="402">
        <v>0</v>
      </c>
      <c r="J369" s="402">
        <f t="shared" si="16"/>
        <v>2.0512820512820513E-2</v>
      </c>
      <c r="K369" s="402">
        <f t="shared" si="16"/>
        <v>4.6153846153846156E-2</v>
      </c>
      <c r="L369" s="402">
        <f t="shared" ref="J369:P405" si="17">(($Q369-$I369)/($Q$121-$I$121))*(L$121-$I$121)+$I369</f>
        <v>7.179487179487179E-2</v>
      </c>
      <c r="M369" s="402">
        <f t="shared" si="17"/>
        <v>9.7435897435897437E-2</v>
      </c>
      <c r="N369" s="402">
        <f t="shared" si="17"/>
        <v>0.12307692307692308</v>
      </c>
      <c r="O369" s="402">
        <f t="shared" si="17"/>
        <v>0.14871794871794872</v>
      </c>
      <c r="P369" s="402">
        <f t="shared" si="17"/>
        <v>0.17435897435897435</v>
      </c>
      <c r="Q369" s="402">
        <v>0.2</v>
      </c>
      <c r="R369" s="242"/>
      <c r="T369" s="20"/>
      <c r="U369" s="20"/>
      <c r="V369" s="20"/>
      <c r="W369" s="20"/>
      <c r="X369" s="20"/>
    </row>
    <row r="370" spans="1:24" s="65" customFormat="1" ht="15" customHeight="1" outlineLevel="2">
      <c r="A370" s="219"/>
      <c r="B370" s="121"/>
      <c r="C370" s="242" t="s">
        <v>1830</v>
      </c>
      <c r="D370" s="121" t="str">
        <f>INDEX(Regional.Technologies[Description],MATCH($B$2&amp;"."&amp;G.30.levels.ProcessImprovements[[#This Row],[Technology code]],Regional.Technologies[Code],0))</f>
        <v>Global Natural Gas use in the Chemicals: Ammonia technology</v>
      </c>
      <c r="E370" s="121">
        <v>3</v>
      </c>
      <c r="F370" s="242" t="s">
        <v>1918</v>
      </c>
      <c r="G370" s="242"/>
      <c r="H370" s="242"/>
      <c r="I370" s="402">
        <v>0</v>
      </c>
      <c r="J370" s="402">
        <f t="shared" si="17"/>
        <v>3.0769230769230767E-2</v>
      </c>
      <c r="K370" s="402">
        <f t="shared" si="17"/>
        <v>6.9230769230769221E-2</v>
      </c>
      <c r="L370" s="402">
        <f t="shared" si="17"/>
        <v>0.10769230769230768</v>
      </c>
      <c r="M370" s="402">
        <f t="shared" si="17"/>
        <v>0.14615384615384613</v>
      </c>
      <c r="N370" s="402">
        <f t="shared" si="17"/>
        <v>0.1846153846153846</v>
      </c>
      <c r="O370" s="402">
        <f t="shared" si="17"/>
        <v>0.22307692307692306</v>
      </c>
      <c r="P370" s="402">
        <f t="shared" si="17"/>
        <v>0.2615384615384615</v>
      </c>
      <c r="Q370" s="402">
        <v>0.3</v>
      </c>
      <c r="R370" s="242"/>
      <c r="T370" s="20"/>
      <c r="U370" s="20"/>
      <c r="V370" s="20"/>
      <c r="W370" s="20"/>
      <c r="X370" s="20"/>
    </row>
    <row r="371" spans="1:24" s="65" customFormat="1" ht="15" customHeight="1" outlineLevel="2">
      <c r="A371" s="219"/>
      <c r="B371" s="121"/>
      <c r="C371" s="242" t="s">
        <v>1830</v>
      </c>
      <c r="D371" s="121" t="str">
        <f>INDEX(Regional.Technologies[Description],MATCH($B$2&amp;"."&amp;G.30.levels.ProcessImprovements[[#This Row],[Technology code]],Regional.Technologies[Code],0))</f>
        <v>Global Natural Gas use in the Chemicals: Ammonia technology</v>
      </c>
      <c r="E371" s="121">
        <v>4</v>
      </c>
      <c r="F371" s="242" t="s">
        <v>1918</v>
      </c>
      <c r="G371" s="242"/>
      <c r="H371" s="242"/>
      <c r="I371" s="402">
        <v>0</v>
      </c>
      <c r="J371" s="402">
        <f t="shared" si="17"/>
        <v>4.1025641025641026E-2</v>
      </c>
      <c r="K371" s="402">
        <f t="shared" si="17"/>
        <v>9.2307692307692313E-2</v>
      </c>
      <c r="L371" s="402">
        <f t="shared" si="17"/>
        <v>0.14358974358974358</v>
      </c>
      <c r="M371" s="402">
        <f t="shared" si="17"/>
        <v>0.19487179487179487</v>
      </c>
      <c r="N371" s="402">
        <f t="shared" si="17"/>
        <v>0.24615384615384617</v>
      </c>
      <c r="O371" s="402">
        <f t="shared" si="17"/>
        <v>0.29743589743589743</v>
      </c>
      <c r="P371" s="402">
        <f t="shared" si="17"/>
        <v>0.3487179487179487</v>
      </c>
      <c r="Q371" s="402">
        <v>0.4</v>
      </c>
      <c r="R371" s="242"/>
      <c r="T371" s="20"/>
      <c r="U371" s="20"/>
      <c r="V371" s="20"/>
      <c r="W371" s="20"/>
      <c r="X371" s="20"/>
    </row>
    <row r="372" spans="1:24" s="65" customFormat="1" ht="15" customHeight="1" outlineLevel="2">
      <c r="A372" s="219"/>
      <c r="B372" s="121"/>
      <c r="C372" s="242" t="s">
        <v>1831</v>
      </c>
      <c r="D372" s="121" t="str">
        <f>INDEX(Regional.Technologies[Description],MATCH($B$2&amp;"."&amp;G.30.levels.ProcessImprovements[[#This Row],[Technology code]],Regional.Technologies[Code],0))</f>
        <v>Global Solid Hydrocarbons use in the Chemicals: Ammonia technology</v>
      </c>
      <c r="E372" s="121">
        <v>1</v>
      </c>
      <c r="F372" s="242" t="s">
        <v>1918</v>
      </c>
      <c r="G372" s="242"/>
      <c r="H372" s="242"/>
      <c r="I372" s="402">
        <v>0</v>
      </c>
      <c r="J372" s="402">
        <f t="shared" si="17"/>
        <v>0</v>
      </c>
      <c r="K372" s="402">
        <f t="shared" si="17"/>
        <v>0</v>
      </c>
      <c r="L372" s="402">
        <f t="shared" si="17"/>
        <v>0</v>
      </c>
      <c r="M372" s="402">
        <f t="shared" si="17"/>
        <v>0</v>
      </c>
      <c r="N372" s="402">
        <f t="shared" si="17"/>
        <v>0</v>
      </c>
      <c r="O372" s="402">
        <f t="shared" si="17"/>
        <v>0</v>
      </c>
      <c r="P372" s="402">
        <f t="shared" si="17"/>
        <v>0</v>
      </c>
      <c r="Q372" s="402">
        <v>0</v>
      </c>
      <c r="R372" s="242"/>
      <c r="T372" s="20"/>
      <c r="U372" s="20"/>
      <c r="V372" s="20"/>
      <c r="W372" s="20"/>
      <c r="X372" s="20"/>
    </row>
    <row r="373" spans="1:24" s="65" customFormat="1" ht="15" customHeight="1" outlineLevel="2">
      <c r="A373" s="219"/>
      <c r="B373" s="121"/>
      <c r="C373" s="242" t="s">
        <v>1831</v>
      </c>
      <c r="D373" s="121" t="str">
        <f>INDEX(Regional.Technologies[Description],MATCH($B$2&amp;"."&amp;G.30.levels.ProcessImprovements[[#This Row],[Technology code]],Regional.Technologies[Code],0))</f>
        <v>Global Solid Hydrocarbons use in the Chemicals: Ammonia technology</v>
      </c>
      <c r="E373" s="121">
        <v>2</v>
      </c>
      <c r="F373" s="242" t="s">
        <v>1918</v>
      </c>
      <c r="G373" s="242"/>
      <c r="H373" s="242"/>
      <c r="I373" s="402">
        <v>0</v>
      </c>
      <c r="J373" s="402">
        <f t="shared" si="17"/>
        <v>2.0512820512820513E-2</v>
      </c>
      <c r="K373" s="402">
        <f t="shared" si="17"/>
        <v>4.6153846153846156E-2</v>
      </c>
      <c r="L373" s="402">
        <f t="shared" si="17"/>
        <v>7.179487179487179E-2</v>
      </c>
      <c r="M373" s="402">
        <f t="shared" si="17"/>
        <v>9.7435897435897437E-2</v>
      </c>
      <c r="N373" s="402">
        <f t="shared" si="17"/>
        <v>0.12307692307692308</v>
      </c>
      <c r="O373" s="402">
        <f t="shared" si="17"/>
        <v>0.14871794871794872</v>
      </c>
      <c r="P373" s="402">
        <f t="shared" si="17"/>
        <v>0.17435897435897435</v>
      </c>
      <c r="Q373" s="402">
        <v>0.2</v>
      </c>
      <c r="R373" s="242"/>
      <c r="T373" s="20"/>
      <c r="U373" s="20"/>
      <c r="V373" s="20"/>
      <c r="W373" s="20"/>
      <c r="X373" s="20"/>
    </row>
    <row r="374" spans="1:24" s="65" customFormat="1" ht="15" customHeight="1" outlineLevel="2">
      <c r="A374" s="219"/>
      <c r="B374" s="121"/>
      <c r="C374" s="242" t="s">
        <v>1831</v>
      </c>
      <c r="D374" s="121" t="str">
        <f>INDEX(Regional.Technologies[Description],MATCH($B$2&amp;"."&amp;G.30.levels.ProcessImprovements[[#This Row],[Technology code]],Regional.Technologies[Code],0))</f>
        <v>Global Solid Hydrocarbons use in the Chemicals: Ammonia technology</v>
      </c>
      <c r="E374" s="121">
        <v>3</v>
      </c>
      <c r="F374" s="242" t="s">
        <v>1918</v>
      </c>
      <c r="G374" s="242"/>
      <c r="H374" s="242"/>
      <c r="I374" s="402">
        <v>0</v>
      </c>
      <c r="J374" s="402">
        <f t="shared" si="17"/>
        <v>3.0769230769230767E-2</v>
      </c>
      <c r="K374" s="402">
        <f t="shared" si="17"/>
        <v>6.9230769230769221E-2</v>
      </c>
      <c r="L374" s="402">
        <f t="shared" si="17"/>
        <v>0.10769230769230768</v>
      </c>
      <c r="M374" s="402">
        <f t="shared" si="17"/>
        <v>0.14615384615384613</v>
      </c>
      <c r="N374" s="402">
        <f t="shared" si="17"/>
        <v>0.1846153846153846</v>
      </c>
      <c r="O374" s="402">
        <f t="shared" si="17"/>
        <v>0.22307692307692306</v>
      </c>
      <c r="P374" s="402">
        <f t="shared" si="17"/>
        <v>0.2615384615384615</v>
      </c>
      <c r="Q374" s="402">
        <v>0.3</v>
      </c>
      <c r="R374" s="242"/>
      <c r="T374" s="20"/>
      <c r="U374" s="20"/>
      <c r="V374" s="20"/>
      <c r="W374" s="20"/>
      <c r="X374" s="20"/>
    </row>
    <row r="375" spans="1:24" s="65" customFormat="1" ht="15" customHeight="1" outlineLevel="2">
      <c r="A375" s="219"/>
      <c r="B375" s="121"/>
      <c r="C375" s="242" t="s">
        <v>1831</v>
      </c>
      <c r="D375" s="121" t="str">
        <f>INDEX(Regional.Technologies[Description],MATCH($B$2&amp;"."&amp;G.30.levels.ProcessImprovements[[#This Row],[Technology code]],Regional.Technologies[Code],0))</f>
        <v>Global Solid Hydrocarbons use in the Chemicals: Ammonia technology</v>
      </c>
      <c r="E375" s="121">
        <v>4</v>
      </c>
      <c r="F375" s="242" t="s">
        <v>1918</v>
      </c>
      <c r="G375" s="242"/>
      <c r="H375" s="242"/>
      <c r="I375" s="402">
        <v>0</v>
      </c>
      <c r="J375" s="402">
        <f t="shared" si="17"/>
        <v>4.1025641025641026E-2</v>
      </c>
      <c r="K375" s="402">
        <f t="shared" si="17"/>
        <v>9.2307692307692313E-2</v>
      </c>
      <c r="L375" s="402">
        <f t="shared" si="17"/>
        <v>0.14358974358974358</v>
      </c>
      <c r="M375" s="402">
        <f t="shared" si="17"/>
        <v>0.19487179487179487</v>
      </c>
      <c r="N375" s="402">
        <f t="shared" si="17"/>
        <v>0.24615384615384617</v>
      </c>
      <c r="O375" s="402">
        <f t="shared" si="17"/>
        <v>0.29743589743589743</v>
      </c>
      <c r="P375" s="402">
        <f t="shared" si="17"/>
        <v>0.3487179487179487</v>
      </c>
      <c r="Q375" s="402">
        <v>0.4</v>
      </c>
      <c r="R375" s="242"/>
      <c r="T375" s="20"/>
      <c r="U375" s="20"/>
      <c r="V375" s="20"/>
      <c r="W375" s="20"/>
      <c r="X375" s="20"/>
    </row>
    <row r="376" spans="1:24" s="65" customFormat="1" ht="15" customHeight="1" outlineLevel="2">
      <c r="A376" s="219"/>
      <c r="B376" s="121"/>
      <c r="C376" s="242" t="s">
        <v>1832</v>
      </c>
      <c r="D376" s="121" t="str">
        <f>INDEX(Regional.Technologies[Description],MATCH($B$2&amp;"."&amp;G.30.levels.ProcessImprovements[[#This Row],[Technology code]],Regional.Technologies[Code],0))</f>
        <v>Global Heat use in the Chemicals: Ammonia technology</v>
      </c>
      <c r="E376" s="121">
        <v>1</v>
      </c>
      <c r="F376" s="242" t="s">
        <v>1918</v>
      </c>
      <c r="G376" s="242"/>
      <c r="H376" s="242"/>
      <c r="I376" s="402">
        <v>0</v>
      </c>
      <c r="J376" s="402">
        <f t="shared" si="17"/>
        <v>0</v>
      </c>
      <c r="K376" s="402">
        <f t="shared" si="17"/>
        <v>0</v>
      </c>
      <c r="L376" s="402">
        <f t="shared" si="17"/>
        <v>0</v>
      </c>
      <c r="M376" s="402">
        <f t="shared" si="17"/>
        <v>0</v>
      </c>
      <c r="N376" s="402">
        <f t="shared" si="17"/>
        <v>0</v>
      </c>
      <c r="O376" s="402">
        <f t="shared" si="17"/>
        <v>0</v>
      </c>
      <c r="P376" s="402">
        <f t="shared" si="17"/>
        <v>0</v>
      </c>
      <c r="Q376" s="402">
        <v>0</v>
      </c>
      <c r="R376" s="242"/>
      <c r="T376" s="20"/>
      <c r="U376" s="20"/>
      <c r="V376" s="20"/>
      <c r="W376" s="20"/>
      <c r="X376" s="20"/>
    </row>
    <row r="377" spans="1:24" s="65" customFormat="1" ht="15" customHeight="1" outlineLevel="2">
      <c r="A377" s="219"/>
      <c r="B377" s="121"/>
      <c r="C377" s="242" t="s">
        <v>1832</v>
      </c>
      <c r="D377" s="121" t="str">
        <f>INDEX(Regional.Technologies[Description],MATCH($B$2&amp;"."&amp;G.30.levels.ProcessImprovements[[#This Row],[Technology code]],Regional.Technologies[Code],0))</f>
        <v>Global Heat use in the Chemicals: Ammonia technology</v>
      </c>
      <c r="E377" s="121">
        <v>2</v>
      </c>
      <c r="F377" s="242" t="s">
        <v>1918</v>
      </c>
      <c r="G377" s="242"/>
      <c r="H377" s="242"/>
      <c r="I377" s="402">
        <v>0</v>
      </c>
      <c r="J377" s="402">
        <f t="shared" si="17"/>
        <v>2.0512820512820513E-2</v>
      </c>
      <c r="K377" s="402">
        <f t="shared" si="17"/>
        <v>4.6153846153846156E-2</v>
      </c>
      <c r="L377" s="402">
        <f t="shared" si="17"/>
        <v>7.179487179487179E-2</v>
      </c>
      <c r="M377" s="402">
        <f t="shared" si="17"/>
        <v>9.7435897435897437E-2</v>
      </c>
      <c r="N377" s="402">
        <f t="shared" si="17"/>
        <v>0.12307692307692308</v>
      </c>
      <c r="O377" s="402">
        <f t="shared" si="17"/>
        <v>0.14871794871794872</v>
      </c>
      <c r="P377" s="402">
        <f t="shared" si="17"/>
        <v>0.17435897435897435</v>
      </c>
      <c r="Q377" s="402">
        <v>0.2</v>
      </c>
      <c r="R377" s="242"/>
      <c r="T377" s="20"/>
      <c r="U377" s="20"/>
      <c r="V377" s="20"/>
      <c r="W377" s="20"/>
      <c r="X377" s="20"/>
    </row>
    <row r="378" spans="1:24" s="65" customFormat="1" ht="15" customHeight="1" outlineLevel="2">
      <c r="A378" s="219"/>
      <c r="B378" s="121"/>
      <c r="C378" s="242" t="s">
        <v>1832</v>
      </c>
      <c r="D378" s="121" t="str">
        <f>INDEX(Regional.Technologies[Description],MATCH($B$2&amp;"."&amp;G.30.levels.ProcessImprovements[[#This Row],[Technology code]],Regional.Technologies[Code],0))</f>
        <v>Global Heat use in the Chemicals: Ammonia technology</v>
      </c>
      <c r="E378" s="121">
        <v>3</v>
      </c>
      <c r="F378" s="242" t="s">
        <v>1918</v>
      </c>
      <c r="G378" s="242"/>
      <c r="H378" s="242"/>
      <c r="I378" s="402">
        <v>0</v>
      </c>
      <c r="J378" s="402">
        <f t="shared" si="17"/>
        <v>3.0769230769230767E-2</v>
      </c>
      <c r="K378" s="402">
        <f t="shared" si="17"/>
        <v>6.9230769230769221E-2</v>
      </c>
      <c r="L378" s="402">
        <f t="shared" si="17"/>
        <v>0.10769230769230768</v>
      </c>
      <c r="M378" s="402">
        <f t="shared" si="17"/>
        <v>0.14615384615384613</v>
      </c>
      <c r="N378" s="402">
        <f t="shared" si="17"/>
        <v>0.1846153846153846</v>
      </c>
      <c r="O378" s="402">
        <f t="shared" si="17"/>
        <v>0.22307692307692306</v>
      </c>
      <c r="P378" s="402">
        <f t="shared" si="17"/>
        <v>0.2615384615384615</v>
      </c>
      <c r="Q378" s="402">
        <v>0.3</v>
      </c>
      <c r="R378" s="242"/>
      <c r="T378" s="20"/>
      <c r="U378" s="20"/>
      <c r="V378" s="20"/>
      <c r="W378" s="20"/>
      <c r="X378" s="20"/>
    </row>
    <row r="379" spans="1:24" s="65" customFormat="1" ht="15" customHeight="1" outlineLevel="2">
      <c r="A379" s="219"/>
      <c r="B379" s="121"/>
      <c r="C379" s="242" t="s">
        <v>1832</v>
      </c>
      <c r="D379" s="121" t="str">
        <f>INDEX(Regional.Technologies[Description],MATCH($B$2&amp;"."&amp;G.30.levels.ProcessImprovements[[#This Row],[Technology code]],Regional.Technologies[Code],0))</f>
        <v>Global Heat use in the Chemicals: Ammonia technology</v>
      </c>
      <c r="E379" s="121">
        <v>4</v>
      </c>
      <c r="F379" s="242" t="s">
        <v>1918</v>
      </c>
      <c r="G379" s="242"/>
      <c r="H379" s="242"/>
      <c r="I379" s="402">
        <v>0</v>
      </c>
      <c r="J379" s="402">
        <f t="shared" si="17"/>
        <v>4.1025641025641026E-2</v>
      </c>
      <c r="K379" s="402">
        <f t="shared" si="17"/>
        <v>9.2307692307692313E-2</v>
      </c>
      <c r="L379" s="402">
        <f t="shared" si="17"/>
        <v>0.14358974358974358</v>
      </c>
      <c r="M379" s="402">
        <f t="shared" si="17"/>
        <v>0.19487179487179487</v>
      </c>
      <c r="N379" s="402">
        <f t="shared" si="17"/>
        <v>0.24615384615384617</v>
      </c>
      <c r="O379" s="402">
        <f t="shared" si="17"/>
        <v>0.29743589743589743</v>
      </c>
      <c r="P379" s="402">
        <f t="shared" si="17"/>
        <v>0.3487179487179487</v>
      </c>
      <c r="Q379" s="402">
        <v>0.4</v>
      </c>
      <c r="R379" s="242"/>
      <c r="T379" s="20"/>
      <c r="U379" s="20"/>
      <c r="V379" s="20"/>
      <c r="W379" s="20"/>
      <c r="X379" s="20"/>
    </row>
    <row r="380" spans="1:24" s="65" customFormat="1" ht="15" customHeight="1" outlineLevel="2">
      <c r="A380" s="219"/>
      <c r="B380" s="121"/>
      <c r="C380" s="242" t="s">
        <v>1833</v>
      </c>
      <c r="D380" s="121" t="str">
        <f>INDEX(Regional.Technologies[Description],MATCH($B$2&amp;"."&amp;G.30.levels.ProcessImprovements[[#This Row],[Technology code]],Regional.Technologies[Code],0))</f>
        <v>Global Electricity use in the Chemicals: Methanol technology</v>
      </c>
      <c r="E380" s="121">
        <v>1</v>
      </c>
      <c r="F380" s="242" t="s">
        <v>1919</v>
      </c>
      <c r="G380" s="242"/>
      <c r="H380" s="242"/>
      <c r="I380" s="402">
        <v>0</v>
      </c>
      <c r="J380" s="402">
        <f t="shared" si="17"/>
        <v>0</v>
      </c>
      <c r="K380" s="402">
        <f t="shared" si="17"/>
        <v>0</v>
      </c>
      <c r="L380" s="402">
        <f t="shared" si="17"/>
        <v>0</v>
      </c>
      <c r="M380" s="402">
        <f t="shared" si="17"/>
        <v>0</v>
      </c>
      <c r="N380" s="402">
        <f t="shared" si="17"/>
        <v>0</v>
      </c>
      <c r="O380" s="402">
        <f t="shared" si="17"/>
        <v>0</v>
      </c>
      <c r="P380" s="402">
        <f t="shared" si="17"/>
        <v>0</v>
      </c>
      <c r="Q380" s="402">
        <v>0</v>
      </c>
      <c r="R380" s="242"/>
      <c r="T380" s="20"/>
      <c r="U380" s="20"/>
      <c r="V380" s="20"/>
      <c r="W380" s="20"/>
      <c r="X380" s="20"/>
    </row>
    <row r="381" spans="1:24" s="65" customFormat="1" ht="15" customHeight="1" outlineLevel="2">
      <c r="A381" s="219"/>
      <c r="B381" s="121"/>
      <c r="C381" s="242" t="s">
        <v>1833</v>
      </c>
      <c r="D381" s="121" t="str">
        <f>INDEX(Regional.Technologies[Description],MATCH($B$2&amp;"."&amp;G.30.levels.ProcessImprovements[[#This Row],[Technology code]],Regional.Technologies[Code],0))</f>
        <v>Global Electricity use in the Chemicals: Methanol technology</v>
      </c>
      <c r="E381" s="121">
        <v>2</v>
      </c>
      <c r="F381" s="242" t="s">
        <v>1919</v>
      </c>
      <c r="G381" s="242"/>
      <c r="H381" s="242"/>
      <c r="I381" s="402">
        <v>0</v>
      </c>
      <c r="J381" s="402">
        <f t="shared" si="17"/>
        <v>2.0512820512820513E-2</v>
      </c>
      <c r="K381" s="402">
        <f t="shared" si="17"/>
        <v>4.6153846153846156E-2</v>
      </c>
      <c r="L381" s="402">
        <f t="shared" si="17"/>
        <v>7.179487179487179E-2</v>
      </c>
      <c r="M381" s="402">
        <f t="shared" si="17"/>
        <v>9.7435897435897437E-2</v>
      </c>
      <c r="N381" s="402">
        <f t="shared" si="17"/>
        <v>0.12307692307692308</v>
      </c>
      <c r="O381" s="402">
        <f t="shared" si="17"/>
        <v>0.14871794871794872</v>
      </c>
      <c r="P381" s="402">
        <f t="shared" si="17"/>
        <v>0.17435897435897435</v>
      </c>
      <c r="Q381" s="402">
        <v>0.2</v>
      </c>
      <c r="R381" s="242"/>
      <c r="T381" s="20"/>
      <c r="U381" s="20"/>
      <c r="V381" s="20"/>
      <c r="W381" s="20"/>
      <c r="X381" s="20"/>
    </row>
    <row r="382" spans="1:24" s="65" customFormat="1" ht="15" customHeight="1" outlineLevel="2">
      <c r="A382" s="219"/>
      <c r="B382" s="121"/>
      <c r="C382" s="242" t="s">
        <v>1833</v>
      </c>
      <c r="D382" s="121" t="str">
        <f>INDEX(Regional.Technologies[Description],MATCH($B$2&amp;"."&amp;G.30.levels.ProcessImprovements[[#This Row],[Technology code]],Regional.Technologies[Code],0))</f>
        <v>Global Electricity use in the Chemicals: Methanol technology</v>
      </c>
      <c r="E382" s="121">
        <v>3</v>
      </c>
      <c r="F382" s="242" t="s">
        <v>1919</v>
      </c>
      <c r="G382" s="242"/>
      <c r="H382" s="242"/>
      <c r="I382" s="402">
        <v>0</v>
      </c>
      <c r="J382" s="402">
        <f t="shared" si="17"/>
        <v>3.0769230769230767E-2</v>
      </c>
      <c r="K382" s="402">
        <f t="shared" si="17"/>
        <v>6.9230769230769221E-2</v>
      </c>
      <c r="L382" s="402">
        <f t="shared" si="17"/>
        <v>0.10769230769230768</v>
      </c>
      <c r="M382" s="402">
        <f t="shared" si="17"/>
        <v>0.14615384615384613</v>
      </c>
      <c r="N382" s="402">
        <f t="shared" si="17"/>
        <v>0.1846153846153846</v>
      </c>
      <c r="O382" s="402">
        <f t="shared" si="17"/>
        <v>0.22307692307692306</v>
      </c>
      <c r="P382" s="402">
        <f t="shared" si="17"/>
        <v>0.2615384615384615</v>
      </c>
      <c r="Q382" s="402">
        <v>0.3</v>
      </c>
      <c r="R382" s="242"/>
      <c r="T382" s="20"/>
      <c r="U382" s="20"/>
      <c r="V382" s="20"/>
      <c r="W382" s="20"/>
      <c r="X382" s="20"/>
    </row>
    <row r="383" spans="1:24" s="65" customFormat="1" ht="15" customHeight="1" outlineLevel="2">
      <c r="A383" s="219"/>
      <c r="B383" s="121"/>
      <c r="C383" s="242" t="s">
        <v>1833</v>
      </c>
      <c r="D383" s="121" t="str">
        <f>INDEX(Regional.Technologies[Description],MATCH($B$2&amp;"."&amp;G.30.levels.ProcessImprovements[[#This Row],[Technology code]],Regional.Technologies[Code],0))</f>
        <v>Global Electricity use in the Chemicals: Methanol technology</v>
      </c>
      <c r="E383" s="121">
        <v>4</v>
      </c>
      <c r="F383" s="242" t="s">
        <v>1919</v>
      </c>
      <c r="G383" s="242"/>
      <c r="H383" s="242"/>
      <c r="I383" s="402">
        <v>0</v>
      </c>
      <c r="J383" s="402">
        <f t="shared" si="17"/>
        <v>4.1025641025641026E-2</v>
      </c>
      <c r="K383" s="402">
        <f t="shared" si="17"/>
        <v>9.2307692307692313E-2</v>
      </c>
      <c r="L383" s="402">
        <f t="shared" si="17"/>
        <v>0.14358974358974358</v>
      </c>
      <c r="M383" s="402">
        <f t="shared" si="17"/>
        <v>0.19487179487179487</v>
      </c>
      <c r="N383" s="402">
        <f t="shared" si="17"/>
        <v>0.24615384615384617</v>
      </c>
      <c r="O383" s="402">
        <f t="shared" si="17"/>
        <v>0.29743589743589743</v>
      </c>
      <c r="P383" s="402">
        <f t="shared" si="17"/>
        <v>0.3487179487179487</v>
      </c>
      <c r="Q383" s="402">
        <v>0.4</v>
      </c>
      <c r="R383" s="242"/>
      <c r="T383" s="20"/>
      <c r="U383" s="20"/>
      <c r="V383" s="20"/>
      <c r="W383" s="20"/>
      <c r="X383" s="20"/>
    </row>
    <row r="384" spans="1:24" s="65" customFormat="1" ht="15" customHeight="1" outlineLevel="2">
      <c r="A384" s="219"/>
      <c r="B384" s="121"/>
      <c r="C384" s="242" t="s">
        <v>1834</v>
      </c>
      <c r="D384" s="121" t="str">
        <f>INDEX(Regional.Technologies[Description],MATCH($B$2&amp;"."&amp;G.30.levels.ProcessImprovements[[#This Row],[Technology code]],Regional.Technologies[Code],0))</f>
        <v>Global Coal use in the Chemicals: Methanol technology</v>
      </c>
      <c r="E384" s="121">
        <v>1</v>
      </c>
      <c r="F384" s="242" t="s">
        <v>1919</v>
      </c>
      <c r="G384" s="242"/>
      <c r="H384" s="242"/>
      <c r="I384" s="402">
        <v>0</v>
      </c>
      <c r="J384" s="402">
        <f t="shared" si="17"/>
        <v>0</v>
      </c>
      <c r="K384" s="402">
        <f t="shared" si="17"/>
        <v>0</v>
      </c>
      <c r="L384" s="402">
        <f t="shared" si="17"/>
        <v>0</v>
      </c>
      <c r="M384" s="402">
        <f t="shared" si="17"/>
        <v>0</v>
      </c>
      <c r="N384" s="402">
        <f t="shared" si="17"/>
        <v>0</v>
      </c>
      <c r="O384" s="402">
        <f t="shared" si="17"/>
        <v>0</v>
      </c>
      <c r="P384" s="402">
        <f t="shared" si="17"/>
        <v>0</v>
      </c>
      <c r="Q384" s="402">
        <v>0</v>
      </c>
      <c r="R384" s="242"/>
      <c r="T384" s="20"/>
      <c r="U384" s="20"/>
      <c r="V384" s="20"/>
      <c r="W384" s="20"/>
      <c r="X384" s="20"/>
    </row>
    <row r="385" spans="1:24" s="65" customFormat="1" ht="15" customHeight="1" outlineLevel="2">
      <c r="A385" s="219"/>
      <c r="B385" s="121"/>
      <c r="C385" s="242" t="s">
        <v>1834</v>
      </c>
      <c r="D385" s="121" t="str">
        <f>INDEX(Regional.Technologies[Description],MATCH($B$2&amp;"."&amp;G.30.levels.ProcessImprovements[[#This Row],[Technology code]],Regional.Technologies[Code],0))</f>
        <v>Global Coal use in the Chemicals: Methanol technology</v>
      </c>
      <c r="E385" s="121">
        <v>2</v>
      </c>
      <c r="F385" s="242" t="s">
        <v>1919</v>
      </c>
      <c r="G385" s="242"/>
      <c r="H385" s="242"/>
      <c r="I385" s="402">
        <v>0</v>
      </c>
      <c r="J385" s="402">
        <f t="shared" si="17"/>
        <v>2.0512820512820513E-2</v>
      </c>
      <c r="K385" s="402">
        <f t="shared" si="17"/>
        <v>4.6153846153846156E-2</v>
      </c>
      <c r="L385" s="402">
        <f t="shared" si="17"/>
        <v>7.179487179487179E-2</v>
      </c>
      <c r="M385" s="402">
        <f t="shared" si="17"/>
        <v>9.7435897435897437E-2</v>
      </c>
      <c r="N385" s="402">
        <f t="shared" si="17"/>
        <v>0.12307692307692308</v>
      </c>
      <c r="O385" s="402">
        <f t="shared" si="17"/>
        <v>0.14871794871794872</v>
      </c>
      <c r="P385" s="402">
        <f t="shared" si="17"/>
        <v>0.17435897435897435</v>
      </c>
      <c r="Q385" s="402">
        <v>0.2</v>
      </c>
      <c r="R385" s="242"/>
      <c r="T385" s="20"/>
      <c r="U385" s="20"/>
      <c r="V385" s="20"/>
      <c r="W385" s="20"/>
      <c r="X385" s="20"/>
    </row>
    <row r="386" spans="1:24" s="65" customFormat="1" ht="15" customHeight="1" outlineLevel="2">
      <c r="A386" s="219"/>
      <c r="B386" s="121"/>
      <c r="C386" s="242" t="s">
        <v>1834</v>
      </c>
      <c r="D386" s="121" t="str">
        <f>INDEX(Regional.Technologies[Description],MATCH($B$2&amp;"."&amp;G.30.levels.ProcessImprovements[[#This Row],[Technology code]],Regional.Technologies[Code],0))</f>
        <v>Global Coal use in the Chemicals: Methanol technology</v>
      </c>
      <c r="E386" s="121">
        <v>3</v>
      </c>
      <c r="F386" s="242" t="s">
        <v>1919</v>
      </c>
      <c r="G386" s="242"/>
      <c r="H386" s="242"/>
      <c r="I386" s="402">
        <v>0</v>
      </c>
      <c r="J386" s="402">
        <f t="shared" si="17"/>
        <v>3.0769230769230767E-2</v>
      </c>
      <c r="K386" s="402">
        <f t="shared" si="17"/>
        <v>6.9230769230769221E-2</v>
      </c>
      <c r="L386" s="402">
        <f t="shared" si="17"/>
        <v>0.10769230769230768</v>
      </c>
      <c r="M386" s="402">
        <f t="shared" si="17"/>
        <v>0.14615384615384613</v>
      </c>
      <c r="N386" s="402">
        <f t="shared" si="17"/>
        <v>0.1846153846153846</v>
      </c>
      <c r="O386" s="402">
        <f t="shared" si="17"/>
        <v>0.22307692307692306</v>
      </c>
      <c r="P386" s="402">
        <f t="shared" si="17"/>
        <v>0.2615384615384615</v>
      </c>
      <c r="Q386" s="402">
        <v>0.3</v>
      </c>
      <c r="R386" s="242"/>
      <c r="T386" s="20"/>
      <c r="U386" s="20"/>
      <c r="V386" s="20"/>
      <c r="W386" s="20"/>
      <c r="X386" s="20"/>
    </row>
    <row r="387" spans="1:24" s="65" customFormat="1" ht="15" customHeight="1" outlineLevel="2">
      <c r="A387" s="219"/>
      <c r="B387" s="121"/>
      <c r="C387" s="242" t="s">
        <v>1834</v>
      </c>
      <c r="D387" s="121" t="str">
        <f>INDEX(Regional.Technologies[Description],MATCH($B$2&amp;"."&amp;G.30.levels.ProcessImprovements[[#This Row],[Technology code]],Regional.Technologies[Code],0))</f>
        <v>Global Coal use in the Chemicals: Methanol technology</v>
      </c>
      <c r="E387" s="121">
        <v>4</v>
      </c>
      <c r="F387" s="242" t="s">
        <v>1919</v>
      </c>
      <c r="G387" s="242"/>
      <c r="H387" s="242"/>
      <c r="I387" s="402">
        <v>0</v>
      </c>
      <c r="J387" s="402">
        <f t="shared" si="17"/>
        <v>4.1025641025641026E-2</v>
      </c>
      <c r="K387" s="402">
        <f t="shared" si="17"/>
        <v>9.2307692307692313E-2</v>
      </c>
      <c r="L387" s="402">
        <f t="shared" si="17"/>
        <v>0.14358974358974358</v>
      </c>
      <c r="M387" s="402">
        <f t="shared" si="17"/>
        <v>0.19487179487179487</v>
      </c>
      <c r="N387" s="402">
        <f t="shared" si="17"/>
        <v>0.24615384615384617</v>
      </c>
      <c r="O387" s="402">
        <f t="shared" si="17"/>
        <v>0.29743589743589743</v>
      </c>
      <c r="P387" s="402">
        <f t="shared" si="17"/>
        <v>0.3487179487179487</v>
      </c>
      <c r="Q387" s="402">
        <v>0.4</v>
      </c>
      <c r="R387" s="242"/>
      <c r="T387" s="20"/>
      <c r="U387" s="20"/>
      <c r="V387" s="20"/>
      <c r="W387" s="20"/>
      <c r="X387" s="20"/>
    </row>
    <row r="388" spans="1:24" s="65" customFormat="1" ht="15" customHeight="1" outlineLevel="2">
      <c r="A388" s="219"/>
      <c r="B388" s="121"/>
      <c r="C388" s="242" t="s">
        <v>1835</v>
      </c>
      <c r="D388" s="121" t="str">
        <f>INDEX(Regional.Technologies[Description],MATCH($B$2&amp;"."&amp;G.30.levels.ProcessImprovements[[#This Row],[Technology code]],Regional.Technologies[Code],0))</f>
        <v>Global Oil use in the Chemicals: Methanol technology</v>
      </c>
      <c r="E388" s="121">
        <v>1</v>
      </c>
      <c r="F388" s="242" t="s">
        <v>1919</v>
      </c>
      <c r="G388" s="242"/>
      <c r="H388" s="242"/>
      <c r="I388" s="402">
        <v>0</v>
      </c>
      <c r="J388" s="402">
        <f t="shared" si="17"/>
        <v>0</v>
      </c>
      <c r="K388" s="402">
        <f t="shared" si="17"/>
        <v>0</v>
      </c>
      <c r="L388" s="402">
        <f t="shared" si="17"/>
        <v>0</v>
      </c>
      <c r="M388" s="402">
        <f t="shared" si="17"/>
        <v>0</v>
      </c>
      <c r="N388" s="402">
        <f t="shared" si="17"/>
        <v>0</v>
      </c>
      <c r="O388" s="402">
        <f t="shared" si="17"/>
        <v>0</v>
      </c>
      <c r="P388" s="402">
        <f t="shared" si="17"/>
        <v>0</v>
      </c>
      <c r="Q388" s="402">
        <v>0</v>
      </c>
      <c r="R388" s="242"/>
      <c r="T388" s="20"/>
      <c r="U388" s="20"/>
      <c r="V388" s="20"/>
      <c r="W388" s="20"/>
      <c r="X388" s="20"/>
    </row>
    <row r="389" spans="1:24" s="65" customFormat="1" ht="15" customHeight="1" outlineLevel="2">
      <c r="A389" s="219"/>
      <c r="B389" s="121"/>
      <c r="C389" s="242" t="s">
        <v>1835</v>
      </c>
      <c r="D389" s="121" t="str">
        <f>INDEX(Regional.Technologies[Description],MATCH($B$2&amp;"."&amp;G.30.levels.ProcessImprovements[[#This Row],[Technology code]],Regional.Technologies[Code],0))</f>
        <v>Global Oil use in the Chemicals: Methanol technology</v>
      </c>
      <c r="E389" s="121">
        <v>2</v>
      </c>
      <c r="F389" s="242" t="s">
        <v>1919</v>
      </c>
      <c r="G389" s="242"/>
      <c r="H389" s="242"/>
      <c r="I389" s="402">
        <v>0</v>
      </c>
      <c r="J389" s="402">
        <f t="shared" si="17"/>
        <v>2.0512820512820513E-2</v>
      </c>
      <c r="K389" s="402">
        <f t="shared" si="17"/>
        <v>4.6153846153846156E-2</v>
      </c>
      <c r="L389" s="402">
        <f t="shared" si="17"/>
        <v>7.179487179487179E-2</v>
      </c>
      <c r="M389" s="402">
        <f t="shared" si="17"/>
        <v>9.7435897435897437E-2</v>
      </c>
      <c r="N389" s="402">
        <f t="shared" si="17"/>
        <v>0.12307692307692308</v>
      </c>
      <c r="O389" s="402">
        <f t="shared" si="17"/>
        <v>0.14871794871794872</v>
      </c>
      <c r="P389" s="402">
        <f t="shared" si="17"/>
        <v>0.17435897435897435</v>
      </c>
      <c r="Q389" s="402">
        <v>0.2</v>
      </c>
      <c r="R389" s="242"/>
      <c r="T389" s="20"/>
      <c r="U389" s="20"/>
      <c r="V389" s="20"/>
      <c r="W389" s="20"/>
      <c r="X389" s="20"/>
    </row>
    <row r="390" spans="1:24" s="65" customFormat="1" ht="15" customHeight="1" outlineLevel="2">
      <c r="A390" s="219"/>
      <c r="B390" s="121"/>
      <c r="C390" s="242" t="s">
        <v>1835</v>
      </c>
      <c r="D390" s="121" t="str">
        <f>INDEX(Regional.Technologies[Description],MATCH($B$2&amp;"."&amp;G.30.levels.ProcessImprovements[[#This Row],[Technology code]],Regional.Technologies[Code],0))</f>
        <v>Global Oil use in the Chemicals: Methanol technology</v>
      </c>
      <c r="E390" s="121">
        <v>3</v>
      </c>
      <c r="F390" s="242" t="s">
        <v>1919</v>
      </c>
      <c r="G390" s="242"/>
      <c r="H390" s="242"/>
      <c r="I390" s="402">
        <v>0</v>
      </c>
      <c r="J390" s="402">
        <f t="shared" si="17"/>
        <v>3.0769230769230767E-2</v>
      </c>
      <c r="K390" s="402">
        <f t="shared" si="17"/>
        <v>6.9230769230769221E-2</v>
      </c>
      <c r="L390" s="402">
        <f t="shared" si="17"/>
        <v>0.10769230769230768</v>
      </c>
      <c r="M390" s="402">
        <f t="shared" si="17"/>
        <v>0.14615384615384613</v>
      </c>
      <c r="N390" s="402">
        <f t="shared" si="17"/>
        <v>0.1846153846153846</v>
      </c>
      <c r="O390" s="402">
        <f t="shared" si="17"/>
        <v>0.22307692307692306</v>
      </c>
      <c r="P390" s="402">
        <f t="shared" si="17"/>
        <v>0.2615384615384615</v>
      </c>
      <c r="Q390" s="402">
        <v>0.3</v>
      </c>
      <c r="R390" s="242"/>
      <c r="T390" s="20"/>
      <c r="U390" s="20"/>
      <c r="V390" s="20"/>
      <c r="W390" s="20"/>
      <c r="X390" s="20"/>
    </row>
    <row r="391" spans="1:24" s="65" customFormat="1" ht="15" customHeight="1" outlineLevel="2">
      <c r="A391" s="219"/>
      <c r="B391" s="121"/>
      <c r="C391" s="242" t="s">
        <v>1835</v>
      </c>
      <c r="D391" s="121" t="str">
        <f>INDEX(Regional.Technologies[Description],MATCH($B$2&amp;"."&amp;G.30.levels.ProcessImprovements[[#This Row],[Technology code]],Regional.Technologies[Code],0))</f>
        <v>Global Oil use in the Chemicals: Methanol technology</v>
      </c>
      <c r="E391" s="121">
        <v>4</v>
      </c>
      <c r="F391" s="242" t="s">
        <v>1919</v>
      </c>
      <c r="G391" s="242"/>
      <c r="H391" s="242"/>
      <c r="I391" s="402">
        <v>0</v>
      </c>
      <c r="J391" s="402">
        <f t="shared" si="17"/>
        <v>4.1025641025641026E-2</v>
      </c>
      <c r="K391" s="402">
        <f t="shared" si="17"/>
        <v>9.2307692307692313E-2</v>
      </c>
      <c r="L391" s="402">
        <f t="shared" si="17"/>
        <v>0.14358974358974358</v>
      </c>
      <c r="M391" s="402">
        <f t="shared" si="17"/>
        <v>0.19487179487179487</v>
      </c>
      <c r="N391" s="402">
        <f t="shared" si="17"/>
        <v>0.24615384615384617</v>
      </c>
      <c r="O391" s="402">
        <f t="shared" si="17"/>
        <v>0.29743589743589743</v>
      </c>
      <c r="P391" s="402">
        <f t="shared" si="17"/>
        <v>0.3487179487179487</v>
      </c>
      <c r="Q391" s="402">
        <v>0.4</v>
      </c>
      <c r="R391" s="242"/>
      <c r="T391" s="20"/>
      <c r="U391" s="20"/>
      <c r="V391" s="20"/>
      <c r="W391" s="20"/>
      <c r="X391" s="20"/>
    </row>
    <row r="392" spans="1:24" s="65" customFormat="1" ht="15" customHeight="1" outlineLevel="2">
      <c r="A392" s="219"/>
      <c r="B392" s="121"/>
      <c r="C392" s="242" t="s">
        <v>1836</v>
      </c>
      <c r="D392" s="121" t="str">
        <f>INDEX(Regional.Technologies[Description],MATCH($B$2&amp;"."&amp;G.30.levels.ProcessImprovements[[#This Row],[Technology code]],Regional.Technologies[Code],0))</f>
        <v>Global Natural Gas use in the Chemicals: Methanol technology</v>
      </c>
      <c r="E392" s="121">
        <v>1</v>
      </c>
      <c r="F392" s="242" t="s">
        <v>1919</v>
      </c>
      <c r="G392" s="242"/>
      <c r="H392" s="242"/>
      <c r="I392" s="402">
        <v>0</v>
      </c>
      <c r="J392" s="402">
        <f t="shared" si="17"/>
        <v>0</v>
      </c>
      <c r="K392" s="402">
        <f t="shared" si="17"/>
        <v>0</v>
      </c>
      <c r="L392" s="402">
        <f t="shared" si="17"/>
        <v>0</v>
      </c>
      <c r="M392" s="402">
        <f t="shared" si="17"/>
        <v>0</v>
      </c>
      <c r="N392" s="402">
        <f t="shared" si="17"/>
        <v>0</v>
      </c>
      <c r="O392" s="402">
        <f t="shared" si="17"/>
        <v>0</v>
      </c>
      <c r="P392" s="402">
        <f t="shared" si="17"/>
        <v>0</v>
      </c>
      <c r="Q392" s="402">
        <v>0</v>
      </c>
      <c r="R392" s="242"/>
      <c r="T392" s="20"/>
      <c r="U392" s="20"/>
      <c r="V392" s="20"/>
      <c r="W392" s="20"/>
      <c r="X392" s="20"/>
    </row>
    <row r="393" spans="1:24" s="65" customFormat="1" ht="15" customHeight="1" outlineLevel="2">
      <c r="A393" s="219"/>
      <c r="B393" s="121"/>
      <c r="C393" s="242" t="s">
        <v>1836</v>
      </c>
      <c r="D393" s="121" t="str">
        <f>INDEX(Regional.Technologies[Description],MATCH($B$2&amp;"."&amp;G.30.levels.ProcessImprovements[[#This Row],[Technology code]],Regional.Technologies[Code],0))</f>
        <v>Global Natural Gas use in the Chemicals: Methanol technology</v>
      </c>
      <c r="E393" s="121">
        <v>2</v>
      </c>
      <c r="F393" s="242" t="s">
        <v>1919</v>
      </c>
      <c r="G393" s="242"/>
      <c r="H393" s="242"/>
      <c r="I393" s="402">
        <v>0</v>
      </c>
      <c r="J393" s="402">
        <f t="shared" si="17"/>
        <v>2.0512820512820513E-2</v>
      </c>
      <c r="K393" s="402">
        <f t="shared" si="17"/>
        <v>4.6153846153846156E-2</v>
      </c>
      <c r="L393" s="402">
        <f t="shared" si="17"/>
        <v>7.179487179487179E-2</v>
      </c>
      <c r="M393" s="402">
        <f t="shared" si="17"/>
        <v>9.7435897435897437E-2</v>
      </c>
      <c r="N393" s="402">
        <f t="shared" si="17"/>
        <v>0.12307692307692308</v>
      </c>
      <c r="O393" s="402">
        <f t="shared" si="17"/>
        <v>0.14871794871794872</v>
      </c>
      <c r="P393" s="402">
        <f t="shared" si="17"/>
        <v>0.17435897435897435</v>
      </c>
      <c r="Q393" s="402">
        <v>0.2</v>
      </c>
      <c r="R393" s="242"/>
      <c r="T393" s="20"/>
      <c r="U393" s="20"/>
      <c r="V393" s="20"/>
      <c r="W393" s="20"/>
      <c r="X393" s="20"/>
    </row>
    <row r="394" spans="1:24" s="65" customFormat="1" ht="15" customHeight="1" outlineLevel="2">
      <c r="A394" s="219"/>
      <c r="B394" s="121"/>
      <c r="C394" s="242" t="s">
        <v>1836</v>
      </c>
      <c r="D394" s="121" t="str">
        <f>INDEX(Regional.Technologies[Description],MATCH($B$2&amp;"."&amp;G.30.levels.ProcessImprovements[[#This Row],[Technology code]],Regional.Technologies[Code],0))</f>
        <v>Global Natural Gas use in the Chemicals: Methanol technology</v>
      </c>
      <c r="E394" s="121">
        <v>3</v>
      </c>
      <c r="F394" s="242" t="s">
        <v>1919</v>
      </c>
      <c r="G394" s="242"/>
      <c r="H394" s="242"/>
      <c r="I394" s="402">
        <v>0</v>
      </c>
      <c r="J394" s="402">
        <f t="shared" si="17"/>
        <v>3.0769230769230767E-2</v>
      </c>
      <c r="K394" s="402">
        <f t="shared" si="17"/>
        <v>6.9230769230769221E-2</v>
      </c>
      <c r="L394" s="402">
        <f t="shared" si="17"/>
        <v>0.10769230769230768</v>
      </c>
      <c r="M394" s="402">
        <f t="shared" si="17"/>
        <v>0.14615384615384613</v>
      </c>
      <c r="N394" s="402">
        <f t="shared" si="17"/>
        <v>0.1846153846153846</v>
      </c>
      <c r="O394" s="402">
        <f t="shared" si="17"/>
        <v>0.22307692307692306</v>
      </c>
      <c r="P394" s="402">
        <f t="shared" si="17"/>
        <v>0.2615384615384615</v>
      </c>
      <c r="Q394" s="402">
        <v>0.3</v>
      </c>
      <c r="R394" s="242"/>
      <c r="T394" s="20"/>
      <c r="U394" s="20"/>
      <c r="V394" s="20"/>
      <c r="W394" s="20"/>
      <c r="X394" s="20"/>
    </row>
    <row r="395" spans="1:24" s="65" customFormat="1" ht="15" customHeight="1" outlineLevel="2">
      <c r="A395" s="219"/>
      <c r="B395" s="121"/>
      <c r="C395" s="242" t="s">
        <v>1836</v>
      </c>
      <c r="D395" s="121" t="str">
        <f>INDEX(Regional.Technologies[Description],MATCH($B$2&amp;"."&amp;G.30.levels.ProcessImprovements[[#This Row],[Technology code]],Regional.Technologies[Code],0))</f>
        <v>Global Natural Gas use in the Chemicals: Methanol technology</v>
      </c>
      <c r="E395" s="121">
        <v>4</v>
      </c>
      <c r="F395" s="242" t="s">
        <v>1919</v>
      </c>
      <c r="G395" s="242"/>
      <c r="H395" s="242"/>
      <c r="I395" s="402">
        <v>0</v>
      </c>
      <c r="J395" s="402">
        <f t="shared" si="17"/>
        <v>4.1025641025641026E-2</v>
      </c>
      <c r="K395" s="402">
        <f t="shared" si="17"/>
        <v>9.2307692307692313E-2</v>
      </c>
      <c r="L395" s="402">
        <f t="shared" si="17"/>
        <v>0.14358974358974358</v>
      </c>
      <c r="M395" s="402">
        <f t="shared" si="17"/>
        <v>0.19487179487179487</v>
      </c>
      <c r="N395" s="402">
        <f t="shared" si="17"/>
        <v>0.24615384615384617</v>
      </c>
      <c r="O395" s="402">
        <f t="shared" si="17"/>
        <v>0.29743589743589743</v>
      </c>
      <c r="P395" s="402">
        <f t="shared" si="17"/>
        <v>0.3487179487179487</v>
      </c>
      <c r="Q395" s="402">
        <v>0.4</v>
      </c>
      <c r="R395" s="242"/>
      <c r="T395" s="20"/>
      <c r="U395" s="20"/>
      <c r="V395" s="20"/>
      <c r="W395" s="20"/>
      <c r="X395" s="20"/>
    </row>
    <row r="396" spans="1:24" s="65" customFormat="1" ht="15" customHeight="1" outlineLevel="2">
      <c r="A396" s="219"/>
      <c r="B396" s="121"/>
      <c r="C396" s="242" t="s">
        <v>1837</v>
      </c>
      <c r="D396" s="121" t="str">
        <f>INDEX(Regional.Technologies[Description],MATCH($B$2&amp;"."&amp;G.30.levels.ProcessImprovements[[#This Row],[Technology code]],Regional.Technologies[Code],0))</f>
        <v>Global Solid Hydrocarbons use in the Chemicals: Methanol technology</v>
      </c>
      <c r="E396" s="121">
        <v>1</v>
      </c>
      <c r="F396" s="242" t="s">
        <v>1919</v>
      </c>
      <c r="G396" s="242"/>
      <c r="H396" s="242"/>
      <c r="I396" s="402">
        <v>0</v>
      </c>
      <c r="J396" s="402">
        <f t="shared" si="17"/>
        <v>0</v>
      </c>
      <c r="K396" s="402">
        <f t="shared" si="17"/>
        <v>0</v>
      </c>
      <c r="L396" s="402">
        <f t="shared" si="17"/>
        <v>0</v>
      </c>
      <c r="M396" s="402">
        <f t="shared" si="17"/>
        <v>0</v>
      </c>
      <c r="N396" s="402">
        <f t="shared" si="17"/>
        <v>0</v>
      </c>
      <c r="O396" s="402">
        <f t="shared" si="17"/>
        <v>0</v>
      </c>
      <c r="P396" s="402">
        <f t="shared" si="17"/>
        <v>0</v>
      </c>
      <c r="Q396" s="402">
        <v>0</v>
      </c>
      <c r="R396" s="242"/>
      <c r="T396" s="20"/>
      <c r="U396" s="20"/>
      <c r="V396" s="20"/>
      <c r="W396" s="20"/>
      <c r="X396" s="20"/>
    </row>
    <row r="397" spans="1:24" s="65" customFormat="1" ht="15" customHeight="1" outlineLevel="2">
      <c r="A397" s="219"/>
      <c r="B397" s="121"/>
      <c r="C397" s="242" t="s">
        <v>1837</v>
      </c>
      <c r="D397" s="121" t="str">
        <f>INDEX(Regional.Technologies[Description],MATCH($B$2&amp;"."&amp;G.30.levels.ProcessImprovements[[#This Row],[Technology code]],Regional.Technologies[Code],0))</f>
        <v>Global Solid Hydrocarbons use in the Chemicals: Methanol technology</v>
      </c>
      <c r="E397" s="121">
        <v>2</v>
      </c>
      <c r="F397" s="242" t="s">
        <v>1919</v>
      </c>
      <c r="G397" s="242"/>
      <c r="H397" s="242"/>
      <c r="I397" s="402">
        <v>0</v>
      </c>
      <c r="J397" s="402">
        <f t="shared" si="17"/>
        <v>2.0512820512820513E-2</v>
      </c>
      <c r="K397" s="402">
        <f t="shared" si="17"/>
        <v>4.6153846153846156E-2</v>
      </c>
      <c r="L397" s="402">
        <f t="shared" si="17"/>
        <v>7.179487179487179E-2</v>
      </c>
      <c r="M397" s="402">
        <f t="shared" si="17"/>
        <v>9.7435897435897437E-2</v>
      </c>
      <c r="N397" s="402">
        <f t="shared" si="17"/>
        <v>0.12307692307692308</v>
      </c>
      <c r="O397" s="402">
        <f t="shared" si="17"/>
        <v>0.14871794871794872</v>
      </c>
      <c r="P397" s="402">
        <f t="shared" si="17"/>
        <v>0.17435897435897435</v>
      </c>
      <c r="Q397" s="402">
        <v>0.2</v>
      </c>
      <c r="R397" s="242"/>
      <c r="T397" s="20"/>
      <c r="U397" s="20"/>
      <c r="V397" s="20"/>
      <c r="W397" s="20"/>
      <c r="X397" s="20"/>
    </row>
    <row r="398" spans="1:24" s="65" customFormat="1" ht="15" customHeight="1" outlineLevel="2">
      <c r="A398" s="219"/>
      <c r="B398" s="121"/>
      <c r="C398" s="242" t="s">
        <v>1837</v>
      </c>
      <c r="D398" s="121" t="str">
        <f>INDEX(Regional.Technologies[Description],MATCH($B$2&amp;"."&amp;G.30.levels.ProcessImprovements[[#This Row],[Technology code]],Regional.Technologies[Code],0))</f>
        <v>Global Solid Hydrocarbons use in the Chemicals: Methanol technology</v>
      </c>
      <c r="E398" s="121">
        <v>3</v>
      </c>
      <c r="F398" s="242" t="s">
        <v>1919</v>
      </c>
      <c r="G398" s="242"/>
      <c r="H398" s="242"/>
      <c r="I398" s="402">
        <v>0</v>
      </c>
      <c r="J398" s="402">
        <f t="shared" si="17"/>
        <v>3.0769230769230767E-2</v>
      </c>
      <c r="K398" s="402">
        <f t="shared" si="17"/>
        <v>6.9230769230769221E-2</v>
      </c>
      <c r="L398" s="402">
        <f t="shared" si="17"/>
        <v>0.10769230769230768</v>
      </c>
      <c r="M398" s="402">
        <f t="shared" si="17"/>
        <v>0.14615384615384613</v>
      </c>
      <c r="N398" s="402">
        <f t="shared" si="17"/>
        <v>0.1846153846153846</v>
      </c>
      <c r="O398" s="402">
        <f t="shared" si="17"/>
        <v>0.22307692307692306</v>
      </c>
      <c r="P398" s="402">
        <f t="shared" si="17"/>
        <v>0.2615384615384615</v>
      </c>
      <c r="Q398" s="402">
        <v>0.3</v>
      </c>
      <c r="R398" s="242"/>
      <c r="T398" s="20"/>
      <c r="U398" s="20"/>
      <c r="V398" s="20"/>
      <c r="W398" s="20"/>
      <c r="X398" s="20"/>
    </row>
    <row r="399" spans="1:24" s="65" customFormat="1" ht="15" customHeight="1" outlineLevel="2">
      <c r="A399" s="219"/>
      <c r="B399" s="121"/>
      <c r="C399" s="242" t="s">
        <v>1837</v>
      </c>
      <c r="D399" s="121" t="str">
        <f>INDEX(Regional.Technologies[Description],MATCH($B$2&amp;"."&amp;G.30.levels.ProcessImprovements[[#This Row],[Technology code]],Regional.Technologies[Code],0))</f>
        <v>Global Solid Hydrocarbons use in the Chemicals: Methanol technology</v>
      </c>
      <c r="E399" s="121">
        <v>4</v>
      </c>
      <c r="F399" s="242" t="s">
        <v>1919</v>
      </c>
      <c r="G399" s="242"/>
      <c r="H399" s="242"/>
      <c r="I399" s="402">
        <v>0</v>
      </c>
      <c r="J399" s="402">
        <f t="shared" si="17"/>
        <v>4.1025641025641026E-2</v>
      </c>
      <c r="K399" s="402">
        <f t="shared" si="17"/>
        <v>9.2307692307692313E-2</v>
      </c>
      <c r="L399" s="402">
        <f t="shared" si="17"/>
        <v>0.14358974358974358</v>
      </c>
      <c r="M399" s="402">
        <f t="shared" si="17"/>
        <v>0.19487179487179487</v>
      </c>
      <c r="N399" s="402">
        <f t="shared" si="17"/>
        <v>0.24615384615384617</v>
      </c>
      <c r="O399" s="402">
        <f t="shared" si="17"/>
        <v>0.29743589743589743</v>
      </c>
      <c r="P399" s="402">
        <f t="shared" si="17"/>
        <v>0.3487179487179487</v>
      </c>
      <c r="Q399" s="402">
        <v>0.4</v>
      </c>
      <c r="R399" s="242"/>
      <c r="T399" s="20"/>
      <c r="U399" s="20"/>
      <c r="V399" s="20"/>
      <c r="W399" s="20"/>
      <c r="X399" s="20"/>
    </row>
    <row r="400" spans="1:24" s="65" customFormat="1" ht="15" customHeight="1" outlineLevel="2">
      <c r="A400" s="219"/>
      <c r="B400" s="121"/>
      <c r="C400" s="242" t="s">
        <v>1838</v>
      </c>
      <c r="D400" s="121" t="str">
        <f>INDEX(Regional.Technologies[Description],MATCH($B$2&amp;"."&amp;G.30.levels.ProcessImprovements[[#This Row],[Technology code]],Regional.Technologies[Code],0))</f>
        <v>Global Heat use in the Chemicals: Methanol technology</v>
      </c>
      <c r="E400" s="121">
        <v>1</v>
      </c>
      <c r="F400" s="242" t="s">
        <v>1919</v>
      </c>
      <c r="G400" s="242"/>
      <c r="H400" s="242"/>
      <c r="I400" s="402">
        <v>0</v>
      </c>
      <c r="J400" s="402">
        <f t="shared" si="17"/>
        <v>0</v>
      </c>
      <c r="K400" s="402">
        <f t="shared" si="17"/>
        <v>0</v>
      </c>
      <c r="L400" s="402">
        <f t="shared" si="17"/>
        <v>0</v>
      </c>
      <c r="M400" s="402">
        <f t="shared" si="17"/>
        <v>0</v>
      </c>
      <c r="N400" s="402">
        <f t="shared" si="17"/>
        <v>0</v>
      </c>
      <c r="O400" s="402">
        <f t="shared" si="17"/>
        <v>0</v>
      </c>
      <c r="P400" s="402">
        <f t="shared" si="17"/>
        <v>0</v>
      </c>
      <c r="Q400" s="402">
        <v>0</v>
      </c>
      <c r="R400" s="242"/>
      <c r="T400" s="20"/>
      <c r="U400" s="20"/>
      <c r="V400" s="20"/>
      <c r="W400" s="20"/>
      <c r="X400" s="20"/>
    </row>
    <row r="401" spans="1:24" s="65" customFormat="1" ht="15" customHeight="1" outlineLevel="2">
      <c r="A401" s="219"/>
      <c r="B401" s="121"/>
      <c r="C401" s="242" t="s">
        <v>1838</v>
      </c>
      <c r="D401" s="121" t="str">
        <f>INDEX(Regional.Technologies[Description],MATCH($B$2&amp;"."&amp;G.30.levels.ProcessImprovements[[#This Row],[Technology code]],Regional.Technologies[Code],0))</f>
        <v>Global Heat use in the Chemicals: Methanol technology</v>
      </c>
      <c r="E401" s="121">
        <v>2</v>
      </c>
      <c r="F401" s="242" t="s">
        <v>1919</v>
      </c>
      <c r="G401" s="242"/>
      <c r="H401" s="242"/>
      <c r="I401" s="402">
        <v>0</v>
      </c>
      <c r="J401" s="402">
        <f t="shared" si="17"/>
        <v>2.0512820512820513E-2</v>
      </c>
      <c r="K401" s="402">
        <f t="shared" si="17"/>
        <v>4.6153846153846156E-2</v>
      </c>
      <c r="L401" s="402">
        <f t="shared" si="17"/>
        <v>7.179487179487179E-2</v>
      </c>
      <c r="M401" s="402">
        <f t="shared" si="17"/>
        <v>9.7435897435897437E-2</v>
      </c>
      <c r="N401" s="402">
        <f t="shared" si="17"/>
        <v>0.12307692307692308</v>
      </c>
      <c r="O401" s="402">
        <f t="shared" si="17"/>
        <v>0.14871794871794872</v>
      </c>
      <c r="P401" s="402">
        <f t="shared" si="17"/>
        <v>0.17435897435897435</v>
      </c>
      <c r="Q401" s="402">
        <v>0.2</v>
      </c>
      <c r="R401" s="242"/>
      <c r="T401" s="20"/>
      <c r="U401" s="20"/>
      <c r="V401" s="20"/>
      <c r="W401" s="20"/>
      <c r="X401" s="20"/>
    </row>
    <row r="402" spans="1:24" s="65" customFormat="1" ht="15" customHeight="1" outlineLevel="2">
      <c r="A402" s="219"/>
      <c r="B402" s="121"/>
      <c r="C402" s="242" t="s">
        <v>1838</v>
      </c>
      <c r="D402" s="121" t="str">
        <f>INDEX(Regional.Technologies[Description],MATCH($B$2&amp;"."&amp;G.30.levels.ProcessImprovements[[#This Row],[Technology code]],Regional.Technologies[Code],0))</f>
        <v>Global Heat use in the Chemicals: Methanol technology</v>
      </c>
      <c r="E402" s="121">
        <v>3</v>
      </c>
      <c r="F402" s="242" t="s">
        <v>1919</v>
      </c>
      <c r="G402" s="242"/>
      <c r="H402" s="242"/>
      <c r="I402" s="402">
        <v>0</v>
      </c>
      <c r="J402" s="402">
        <f t="shared" si="17"/>
        <v>3.0769230769230767E-2</v>
      </c>
      <c r="K402" s="402">
        <f t="shared" si="17"/>
        <v>6.9230769230769221E-2</v>
      </c>
      <c r="L402" s="402">
        <f t="shared" si="17"/>
        <v>0.10769230769230768</v>
      </c>
      <c r="M402" s="402">
        <f t="shared" si="17"/>
        <v>0.14615384615384613</v>
      </c>
      <c r="N402" s="402">
        <f t="shared" si="17"/>
        <v>0.1846153846153846</v>
      </c>
      <c r="O402" s="402">
        <f t="shared" si="17"/>
        <v>0.22307692307692306</v>
      </c>
      <c r="P402" s="402">
        <f t="shared" si="17"/>
        <v>0.2615384615384615</v>
      </c>
      <c r="Q402" s="402">
        <v>0.3</v>
      </c>
      <c r="R402" s="242"/>
      <c r="T402" s="20"/>
      <c r="U402" s="20"/>
      <c r="V402" s="20"/>
      <c r="W402" s="20"/>
      <c r="X402" s="20"/>
    </row>
    <row r="403" spans="1:24" s="65" customFormat="1" ht="15" customHeight="1" outlineLevel="2">
      <c r="A403" s="219"/>
      <c r="B403" s="121"/>
      <c r="C403" s="242" t="s">
        <v>1838</v>
      </c>
      <c r="D403" s="121" t="str">
        <f>INDEX(Regional.Technologies[Description],MATCH($B$2&amp;"."&amp;G.30.levels.ProcessImprovements[[#This Row],[Technology code]],Regional.Technologies[Code],0))</f>
        <v>Global Heat use in the Chemicals: Methanol technology</v>
      </c>
      <c r="E403" s="121">
        <v>4</v>
      </c>
      <c r="F403" s="242" t="s">
        <v>1919</v>
      </c>
      <c r="G403" s="242"/>
      <c r="H403" s="242"/>
      <c r="I403" s="402">
        <v>0</v>
      </c>
      <c r="J403" s="402">
        <f t="shared" si="17"/>
        <v>4.1025641025641026E-2</v>
      </c>
      <c r="K403" s="402">
        <f t="shared" si="17"/>
        <v>9.2307692307692313E-2</v>
      </c>
      <c r="L403" s="402">
        <f t="shared" si="17"/>
        <v>0.14358974358974358</v>
      </c>
      <c r="M403" s="402">
        <f t="shared" si="17"/>
        <v>0.19487179487179487</v>
      </c>
      <c r="N403" s="402">
        <f t="shared" si="17"/>
        <v>0.24615384615384617</v>
      </c>
      <c r="O403" s="402">
        <f t="shared" si="17"/>
        <v>0.29743589743589743</v>
      </c>
      <c r="P403" s="402">
        <f t="shared" si="17"/>
        <v>0.3487179487179487</v>
      </c>
      <c r="Q403" s="402">
        <v>0.4</v>
      </c>
      <c r="R403" s="242"/>
      <c r="T403" s="20"/>
      <c r="U403" s="20"/>
      <c r="V403" s="20"/>
      <c r="W403" s="20"/>
      <c r="X403" s="20"/>
    </row>
    <row r="404" spans="1:24" s="65" customFormat="1" ht="15" customHeight="1" outlineLevel="2">
      <c r="A404" s="219"/>
      <c r="B404" s="121"/>
      <c r="C404" s="242" t="s">
        <v>1839</v>
      </c>
      <c r="D404" s="121" t="str">
        <f>INDEX(Regional.Technologies[Description],MATCH($B$2&amp;"."&amp;G.30.levels.ProcessImprovements[[#This Row],[Technology code]],Regional.Technologies[Code],0))</f>
        <v>Global Electricity use in the Chemicals: Others technology</v>
      </c>
      <c r="E404" s="121">
        <v>1</v>
      </c>
      <c r="F404" s="242" t="s">
        <v>1920</v>
      </c>
      <c r="G404" s="242"/>
      <c r="H404" s="242"/>
      <c r="I404" s="402">
        <v>0</v>
      </c>
      <c r="J404" s="402">
        <f t="shared" si="17"/>
        <v>0</v>
      </c>
      <c r="K404" s="402">
        <f t="shared" si="17"/>
        <v>0</v>
      </c>
      <c r="L404" s="402">
        <f t="shared" si="17"/>
        <v>0</v>
      </c>
      <c r="M404" s="402">
        <f t="shared" si="17"/>
        <v>0</v>
      </c>
      <c r="N404" s="402">
        <f t="shared" si="17"/>
        <v>0</v>
      </c>
      <c r="O404" s="402">
        <f t="shared" si="17"/>
        <v>0</v>
      </c>
      <c r="P404" s="402">
        <f t="shared" si="17"/>
        <v>0</v>
      </c>
      <c r="Q404" s="402">
        <v>0</v>
      </c>
      <c r="R404" s="242"/>
      <c r="T404" s="20"/>
      <c r="U404" s="20"/>
      <c r="V404" s="20"/>
      <c r="W404" s="20"/>
      <c r="X404" s="20"/>
    </row>
    <row r="405" spans="1:24" s="65" customFormat="1" ht="15" customHeight="1" outlineLevel="2">
      <c r="A405" s="219"/>
      <c r="B405" s="121"/>
      <c r="C405" s="242" t="s">
        <v>1839</v>
      </c>
      <c r="D405" s="121" t="str">
        <f>INDEX(Regional.Technologies[Description],MATCH($B$2&amp;"."&amp;G.30.levels.ProcessImprovements[[#This Row],[Technology code]],Regional.Technologies[Code],0))</f>
        <v>Global Electricity use in the Chemicals: Others technology</v>
      </c>
      <c r="E405" s="121">
        <v>2</v>
      </c>
      <c r="F405" s="242" t="s">
        <v>1920</v>
      </c>
      <c r="G405" s="242"/>
      <c r="H405" s="242"/>
      <c r="I405" s="402">
        <v>0</v>
      </c>
      <c r="J405" s="402">
        <f t="shared" si="17"/>
        <v>2.0512820512820513E-2</v>
      </c>
      <c r="K405" s="402">
        <f t="shared" si="17"/>
        <v>4.6153846153846156E-2</v>
      </c>
      <c r="L405" s="402">
        <f t="shared" si="17"/>
        <v>7.179487179487179E-2</v>
      </c>
      <c r="M405" s="402">
        <f t="shared" si="17"/>
        <v>9.7435897435897437E-2</v>
      </c>
      <c r="N405" s="402">
        <f t="shared" si="17"/>
        <v>0.12307692307692308</v>
      </c>
      <c r="O405" s="402">
        <f t="shared" ref="J405:P442" si="18">(($Q405-$I405)/($Q$121-$I$121))*(O$121-$I$121)+$I405</f>
        <v>0.14871794871794872</v>
      </c>
      <c r="P405" s="402">
        <f t="shared" si="18"/>
        <v>0.17435897435897435</v>
      </c>
      <c r="Q405" s="402">
        <v>0.2</v>
      </c>
      <c r="R405" s="242"/>
      <c r="T405" s="20"/>
      <c r="U405" s="20"/>
      <c r="V405" s="20"/>
      <c r="W405" s="20"/>
      <c r="X405" s="20"/>
    </row>
    <row r="406" spans="1:24" s="65" customFormat="1" ht="15" customHeight="1" outlineLevel="2">
      <c r="A406" s="219"/>
      <c r="B406" s="121"/>
      <c r="C406" s="242" t="s">
        <v>1839</v>
      </c>
      <c r="D406" s="121" t="str">
        <f>INDEX(Regional.Technologies[Description],MATCH($B$2&amp;"."&amp;G.30.levels.ProcessImprovements[[#This Row],[Technology code]],Regional.Technologies[Code],0))</f>
        <v>Global Electricity use in the Chemicals: Others technology</v>
      </c>
      <c r="E406" s="121">
        <v>3</v>
      </c>
      <c r="F406" s="242" t="s">
        <v>1920</v>
      </c>
      <c r="G406" s="242"/>
      <c r="H406" s="242"/>
      <c r="I406" s="402">
        <v>0</v>
      </c>
      <c r="J406" s="402">
        <f t="shared" si="18"/>
        <v>3.0769230769230767E-2</v>
      </c>
      <c r="K406" s="402">
        <f t="shared" si="18"/>
        <v>6.9230769230769221E-2</v>
      </c>
      <c r="L406" s="402">
        <f t="shared" si="18"/>
        <v>0.10769230769230768</v>
      </c>
      <c r="M406" s="402">
        <f t="shared" si="18"/>
        <v>0.14615384615384613</v>
      </c>
      <c r="N406" s="402">
        <f t="shared" si="18"/>
        <v>0.1846153846153846</v>
      </c>
      <c r="O406" s="402">
        <f t="shared" si="18"/>
        <v>0.22307692307692306</v>
      </c>
      <c r="P406" s="402">
        <f t="shared" si="18"/>
        <v>0.2615384615384615</v>
      </c>
      <c r="Q406" s="402">
        <v>0.3</v>
      </c>
      <c r="R406" s="242"/>
      <c r="T406" s="20"/>
      <c r="U406" s="20"/>
      <c r="V406" s="20"/>
      <c r="W406" s="20"/>
      <c r="X406" s="20"/>
    </row>
    <row r="407" spans="1:24" s="65" customFormat="1" ht="15" customHeight="1" outlineLevel="2">
      <c r="A407" s="219"/>
      <c r="B407" s="121"/>
      <c r="C407" s="242" t="s">
        <v>1839</v>
      </c>
      <c r="D407" s="121" t="str">
        <f>INDEX(Regional.Technologies[Description],MATCH($B$2&amp;"."&amp;G.30.levels.ProcessImprovements[[#This Row],[Technology code]],Regional.Technologies[Code],0))</f>
        <v>Global Electricity use in the Chemicals: Others technology</v>
      </c>
      <c r="E407" s="121">
        <v>4</v>
      </c>
      <c r="F407" s="242" t="s">
        <v>1920</v>
      </c>
      <c r="G407" s="242"/>
      <c r="H407" s="242"/>
      <c r="I407" s="402">
        <v>0</v>
      </c>
      <c r="J407" s="402">
        <f t="shared" si="18"/>
        <v>4.1025641025641026E-2</v>
      </c>
      <c r="K407" s="402">
        <f t="shared" si="18"/>
        <v>9.2307692307692313E-2</v>
      </c>
      <c r="L407" s="402">
        <f t="shared" si="18"/>
        <v>0.14358974358974358</v>
      </c>
      <c r="M407" s="402">
        <f t="shared" si="18"/>
        <v>0.19487179487179487</v>
      </c>
      <c r="N407" s="402">
        <f t="shared" si="18"/>
        <v>0.24615384615384617</v>
      </c>
      <c r="O407" s="402">
        <f t="shared" si="18"/>
        <v>0.29743589743589743</v>
      </c>
      <c r="P407" s="402">
        <f t="shared" si="18"/>
        <v>0.3487179487179487</v>
      </c>
      <c r="Q407" s="402">
        <v>0.4</v>
      </c>
      <c r="R407" s="242"/>
      <c r="T407" s="20"/>
      <c r="U407" s="20"/>
      <c r="V407" s="20"/>
      <c r="W407" s="20"/>
      <c r="X407" s="20"/>
    </row>
    <row r="408" spans="1:24" s="65" customFormat="1" ht="15" customHeight="1" outlineLevel="2">
      <c r="A408" s="219"/>
      <c r="B408" s="121"/>
      <c r="C408" s="242" t="s">
        <v>1840</v>
      </c>
      <c r="D408" s="121" t="str">
        <f>INDEX(Regional.Technologies[Description],MATCH($B$2&amp;"."&amp;G.30.levels.ProcessImprovements[[#This Row],[Technology code]],Regional.Technologies[Code],0))</f>
        <v>Global Coal use in the Chemicals: Others technology</v>
      </c>
      <c r="E408" s="121">
        <v>1</v>
      </c>
      <c r="F408" s="242" t="s">
        <v>1920</v>
      </c>
      <c r="G408" s="242"/>
      <c r="H408" s="242"/>
      <c r="I408" s="402">
        <v>0</v>
      </c>
      <c r="J408" s="402">
        <f t="shared" si="18"/>
        <v>0</v>
      </c>
      <c r="K408" s="402">
        <f t="shared" si="18"/>
        <v>0</v>
      </c>
      <c r="L408" s="402">
        <f t="shared" si="18"/>
        <v>0</v>
      </c>
      <c r="M408" s="402">
        <f t="shared" si="18"/>
        <v>0</v>
      </c>
      <c r="N408" s="402">
        <f t="shared" si="18"/>
        <v>0</v>
      </c>
      <c r="O408" s="402">
        <f t="shared" si="18"/>
        <v>0</v>
      </c>
      <c r="P408" s="402">
        <f t="shared" si="18"/>
        <v>0</v>
      </c>
      <c r="Q408" s="402">
        <v>0</v>
      </c>
      <c r="R408" s="242"/>
      <c r="T408" s="20"/>
      <c r="U408" s="20"/>
      <c r="V408" s="20"/>
      <c r="W408" s="20"/>
      <c r="X408" s="20"/>
    </row>
    <row r="409" spans="1:24" s="65" customFormat="1" ht="15" customHeight="1" outlineLevel="2">
      <c r="A409" s="219"/>
      <c r="B409" s="121"/>
      <c r="C409" s="242" t="s">
        <v>1840</v>
      </c>
      <c r="D409" s="121" t="str">
        <f>INDEX(Regional.Technologies[Description],MATCH($B$2&amp;"."&amp;G.30.levels.ProcessImprovements[[#This Row],[Technology code]],Regional.Technologies[Code],0))</f>
        <v>Global Coal use in the Chemicals: Others technology</v>
      </c>
      <c r="E409" s="121">
        <v>2</v>
      </c>
      <c r="F409" s="242" t="s">
        <v>1920</v>
      </c>
      <c r="G409" s="242"/>
      <c r="H409" s="242"/>
      <c r="I409" s="402">
        <v>0</v>
      </c>
      <c r="J409" s="402">
        <f t="shared" si="18"/>
        <v>2.0512820512820513E-2</v>
      </c>
      <c r="K409" s="402">
        <f t="shared" si="18"/>
        <v>4.6153846153846156E-2</v>
      </c>
      <c r="L409" s="402">
        <f t="shared" si="18"/>
        <v>7.179487179487179E-2</v>
      </c>
      <c r="M409" s="402">
        <f t="shared" si="18"/>
        <v>9.7435897435897437E-2</v>
      </c>
      <c r="N409" s="402">
        <f t="shared" si="18"/>
        <v>0.12307692307692308</v>
      </c>
      <c r="O409" s="402">
        <f t="shared" si="18"/>
        <v>0.14871794871794872</v>
      </c>
      <c r="P409" s="402">
        <f t="shared" si="18"/>
        <v>0.17435897435897435</v>
      </c>
      <c r="Q409" s="402">
        <v>0.2</v>
      </c>
      <c r="R409" s="242"/>
      <c r="T409" s="20"/>
      <c r="U409" s="20"/>
      <c r="V409" s="20"/>
      <c r="W409" s="20"/>
      <c r="X409" s="20"/>
    </row>
    <row r="410" spans="1:24" s="65" customFormat="1" ht="15" customHeight="1" outlineLevel="2">
      <c r="A410" s="219"/>
      <c r="B410" s="121"/>
      <c r="C410" s="242" t="s">
        <v>1840</v>
      </c>
      <c r="D410" s="121" t="str">
        <f>INDEX(Regional.Technologies[Description],MATCH($B$2&amp;"."&amp;G.30.levels.ProcessImprovements[[#This Row],[Technology code]],Regional.Technologies[Code],0))</f>
        <v>Global Coal use in the Chemicals: Others technology</v>
      </c>
      <c r="E410" s="121">
        <v>3</v>
      </c>
      <c r="F410" s="242" t="s">
        <v>1920</v>
      </c>
      <c r="G410" s="242"/>
      <c r="H410" s="242"/>
      <c r="I410" s="402">
        <v>0</v>
      </c>
      <c r="J410" s="402">
        <f t="shared" si="18"/>
        <v>3.0769230769230767E-2</v>
      </c>
      <c r="K410" s="402">
        <f t="shared" si="18"/>
        <v>6.9230769230769221E-2</v>
      </c>
      <c r="L410" s="402">
        <f t="shared" si="18"/>
        <v>0.10769230769230768</v>
      </c>
      <c r="M410" s="402">
        <f t="shared" si="18"/>
        <v>0.14615384615384613</v>
      </c>
      <c r="N410" s="402">
        <f t="shared" si="18"/>
        <v>0.1846153846153846</v>
      </c>
      <c r="O410" s="402">
        <f t="shared" si="18"/>
        <v>0.22307692307692306</v>
      </c>
      <c r="P410" s="402">
        <f t="shared" si="18"/>
        <v>0.2615384615384615</v>
      </c>
      <c r="Q410" s="402">
        <v>0.3</v>
      </c>
      <c r="R410" s="242"/>
      <c r="T410" s="20"/>
      <c r="U410" s="20"/>
      <c r="V410" s="20"/>
      <c r="W410" s="20"/>
      <c r="X410" s="20"/>
    </row>
    <row r="411" spans="1:24" s="65" customFormat="1" ht="15" customHeight="1" outlineLevel="2">
      <c r="A411" s="219"/>
      <c r="B411" s="121"/>
      <c r="C411" s="242" t="s">
        <v>1840</v>
      </c>
      <c r="D411" s="121" t="str">
        <f>INDEX(Regional.Technologies[Description],MATCH($B$2&amp;"."&amp;G.30.levels.ProcessImprovements[[#This Row],[Technology code]],Regional.Technologies[Code],0))</f>
        <v>Global Coal use in the Chemicals: Others technology</v>
      </c>
      <c r="E411" s="121">
        <v>4</v>
      </c>
      <c r="F411" s="242" t="s">
        <v>1920</v>
      </c>
      <c r="G411" s="242"/>
      <c r="H411" s="242"/>
      <c r="I411" s="402">
        <v>0</v>
      </c>
      <c r="J411" s="402">
        <f t="shared" si="18"/>
        <v>4.1025641025641026E-2</v>
      </c>
      <c r="K411" s="402">
        <f t="shared" si="18"/>
        <v>9.2307692307692313E-2</v>
      </c>
      <c r="L411" s="402">
        <f t="shared" si="18"/>
        <v>0.14358974358974358</v>
      </c>
      <c r="M411" s="402">
        <f t="shared" si="18"/>
        <v>0.19487179487179487</v>
      </c>
      <c r="N411" s="402">
        <f t="shared" si="18"/>
        <v>0.24615384615384617</v>
      </c>
      <c r="O411" s="402">
        <f t="shared" si="18"/>
        <v>0.29743589743589743</v>
      </c>
      <c r="P411" s="402">
        <f t="shared" si="18"/>
        <v>0.3487179487179487</v>
      </c>
      <c r="Q411" s="402">
        <v>0.4</v>
      </c>
      <c r="R411" s="242"/>
      <c r="T411" s="20"/>
      <c r="U411" s="20"/>
      <c r="V411" s="20"/>
      <c r="W411" s="20"/>
      <c r="X411" s="20"/>
    </row>
    <row r="412" spans="1:24" s="65" customFormat="1" ht="15" customHeight="1" outlineLevel="2">
      <c r="A412" s="219"/>
      <c r="B412" s="121"/>
      <c r="C412" s="242" t="s">
        <v>1841</v>
      </c>
      <c r="D412" s="121" t="str">
        <f>INDEX(Regional.Technologies[Description],MATCH($B$2&amp;"."&amp;G.30.levels.ProcessImprovements[[#This Row],[Technology code]],Regional.Technologies[Code],0))</f>
        <v>Global Oil use in the Chemicals: Others technology</v>
      </c>
      <c r="E412" s="121">
        <v>1</v>
      </c>
      <c r="F412" s="242" t="s">
        <v>1920</v>
      </c>
      <c r="G412" s="242"/>
      <c r="H412" s="242"/>
      <c r="I412" s="402">
        <v>0</v>
      </c>
      <c r="J412" s="402">
        <f t="shared" si="18"/>
        <v>0</v>
      </c>
      <c r="K412" s="402">
        <f t="shared" si="18"/>
        <v>0</v>
      </c>
      <c r="L412" s="402">
        <f t="shared" si="18"/>
        <v>0</v>
      </c>
      <c r="M412" s="402">
        <f t="shared" si="18"/>
        <v>0</v>
      </c>
      <c r="N412" s="402">
        <f t="shared" si="18"/>
        <v>0</v>
      </c>
      <c r="O412" s="402">
        <f t="shared" si="18"/>
        <v>0</v>
      </c>
      <c r="P412" s="402">
        <f t="shared" si="18"/>
        <v>0</v>
      </c>
      <c r="Q412" s="402">
        <v>0</v>
      </c>
      <c r="R412" s="242"/>
      <c r="T412" s="20"/>
      <c r="U412" s="20"/>
      <c r="V412" s="20"/>
      <c r="W412" s="20"/>
      <c r="X412" s="20"/>
    </row>
    <row r="413" spans="1:24" s="65" customFormat="1" ht="15" customHeight="1" outlineLevel="2">
      <c r="A413" s="219"/>
      <c r="B413" s="121"/>
      <c r="C413" s="242" t="s">
        <v>1841</v>
      </c>
      <c r="D413" s="121" t="str">
        <f>INDEX(Regional.Technologies[Description],MATCH($B$2&amp;"."&amp;G.30.levels.ProcessImprovements[[#This Row],[Technology code]],Regional.Technologies[Code],0))</f>
        <v>Global Oil use in the Chemicals: Others technology</v>
      </c>
      <c r="E413" s="121">
        <v>2</v>
      </c>
      <c r="F413" s="242" t="s">
        <v>1920</v>
      </c>
      <c r="G413" s="242"/>
      <c r="H413" s="242"/>
      <c r="I413" s="402">
        <v>0</v>
      </c>
      <c r="J413" s="402">
        <f t="shared" si="18"/>
        <v>2.0512820512820513E-2</v>
      </c>
      <c r="K413" s="402">
        <f t="shared" si="18"/>
        <v>4.6153846153846156E-2</v>
      </c>
      <c r="L413" s="402">
        <f t="shared" si="18"/>
        <v>7.179487179487179E-2</v>
      </c>
      <c r="M413" s="402">
        <f t="shared" si="18"/>
        <v>9.7435897435897437E-2</v>
      </c>
      <c r="N413" s="402">
        <f t="shared" si="18"/>
        <v>0.12307692307692308</v>
      </c>
      <c r="O413" s="402">
        <f t="shared" si="18"/>
        <v>0.14871794871794872</v>
      </c>
      <c r="P413" s="402">
        <f t="shared" si="18"/>
        <v>0.17435897435897435</v>
      </c>
      <c r="Q413" s="402">
        <v>0.2</v>
      </c>
      <c r="R413" s="242"/>
      <c r="T413" s="20"/>
      <c r="U413" s="20"/>
      <c r="V413" s="20"/>
      <c r="W413" s="20"/>
      <c r="X413" s="20"/>
    </row>
    <row r="414" spans="1:24" s="65" customFormat="1" ht="15" customHeight="1" outlineLevel="2">
      <c r="A414" s="219"/>
      <c r="B414" s="121"/>
      <c r="C414" s="242" t="s">
        <v>1841</v>
      </c>
      <c r="D414" s="121" t="str">
        <f>INDEX(Regional.Technologies[Description],MATCH($B$2&amp;"."&amp;G.30.levels.ProcessImprovements[[#This Row],[Technology code]],Regional.Technologies[Code],0))</f>
        <v>Global Oil use in the Chemicals: Others technology</v>
      </c>
      <c r="E414" s="121">
        <v>3</v>
      </c>
      <c r="F414" s="242" t="s">
        <v>1920</v>
      </c>
      <c r="G414" s="242"/>
      <c r="H414" s="242"/>
      <c r="I414" s="402">
        <v>0</v>
      </c>
      <c r="J414" s="402">
        <f t="shared" si="18"/>
        <v>3.0769230769230767E-2</v>
      </c>
      <c r="K414" s="402">
        <f t="shared" si="18"/>
        <v>6.9230769230769221E-2</v>
      </c>
      <c r="L414" s="402">
        <f t="shared" si="18"/>
        <v>0.10769230769230768</v>
      </c>
      <c r="M414" s="402">
        <f t="shared" si="18"/>
        <v>0.14615384615384613</v>
      </c>
      <c r="N414" s="402">
        <f t="shared" si="18"/>
        <v>0.1846153846153846</v>
      </c>
      <c r="O414" s="402">
        <f t="shared" si="18"/>
        <v>0.22307692307692306</v>
      </c>
      <c r="P414" s="402">
        <f t="shared" si="18"/>
        <v>0.2615384615384615</v>
      </c>
      <c r="Q414" s="402">
        <v>0.3</v>
      </c>
      <c r="R414" s="242"/>
      <c r="T414" s="20"/>
      <c r="U414" s="20"/>
      <c r="V414" s="20"/>
      <c r="W414" s="20"/>
      <c r="X414" s="20"/>
    </row>
    <row r="415" spans="1:24" s="65" customFormat="1" ht="15" customHeight="1" outlineLevel="2">
      <c r="A415" s="219"/>
      <c r="B415" s="121"/>
      <c r="C415" s="242" t="s">
        <v>1841</v>
      </c>
      <c r="D415" s="121" t="str">
        <f>INDEX(Regional.Technologies[Description],MATCH($B$2&amp;"."&amp;G.30.levels.ProcessImprovements[[#This Row],[Technology code]],Regional.Technologies[Code],0))</f>
        <v>Global Oil use in the Chemicals: Others technology</v>
      </c>
      <c r="E415" s="121">
        <v>4</v>
      </c>
      <c r="F415" s="242" t="s">
        <v>1920</v>
      </c>
      <c r="G415" s="242"/>
      <c r="H415" s="242"/>
      <c r="I415" s="402">
        <v>0</v>
      </c>
      <c r="J415" s="402">
        <f t="shared" si="18"/>
        <v>4.1025641025641026E-2</v>
      </c>
      <c r="K415" s="402">
        <f t="shared" si="18"/>
        <v>9.2307692307692313E-2</v>
      </c>
      <c r="L415" s="402">
        <f t="shared" si="18"/>
        <v>0.14358974358974358</v>
      </c>
      <c r="M415" s="402">
        <f t="shared" si="18"/>
        <v>0.19487179487179487</v>
      </c>
      <c r="N415" s="402">
        <f t="shared" si="18"/>
        <v>0.24615384615384617</v>
      </c>
      <c r="O415" s="402">
        <f t="shared" si="18"/>
        <v>0.29743589743589743</v>
      </c>
      <c r="P415" s="402">
        <f t="shared" si="18"/>
        <v>0.3487179487179487</v>
      </c>
      <c r="Q415" s="402">
        <v>0.4</v>
      </c>
      <c r="R415" s="242"/>
      <c r="T415" s="20"/>
      <c r="U415" s="20"/>
      <c r="V415" s="20"/>
      <c r="W415" s="20"/>
      <c r="X415" s="20"/>
    </row>
    <row r="416" spans="1:24" s="65" customFormat="1" ht="15" customHeight="1" outlineLevel="2">
      <c r="A416" s="219"/>
      <c r="B416" s="121"/>
      <c r="C416" s="242" t="s">
        <v>1842</v>
      </c>
      <c r="D416" s="121" t="str">
        <f>INDEX(Regional.Technologies[Description],MATCH($B$2&amp;"."&amp;G.30.levels.ProcessImprovements[[#This Row],[Technology code]],Regional.Technologies[Code],0))</f>
        <v>Global Natural Gas use in the Chemicals: Others technology</v>
      </c>
      <c r="E416" s="121">
        <v>1</v>
      </c>
      <c r="F416" s="242" t="s">
        <v>1920</v>
      </c>
      <c r="G416" s="242"/>
      <c r="H416" s="242"/>
      <c r="I416" s="402">
        <v>0</v>
      </c>
      <c r="J416" s="402">
        <f t="shared" si="18"/>
        <v>0</v>
      </c>
      <c r="K416" s="402">
        <f t="shared" si="18"/>
        <v>0</v>
      </c>
      <c r="L416" s="402">
        <f t="shared" si="18"/>
        <v>0</v>
      </c>
      <c r="M416" s="402">
        <f t="shared" si="18"/>
        <v>0</v>
      </c>
      <c r="N416" s="402">
        <f t="shared" si="18"/>
        <v>0</v>
      </c>
      <c r="O416" s="402">
        <f t="shared" si="18"/>
        <v>0</v>
      </c>
      <c r="P416" s="402">
        <f t="shared" si="18"/>
        <v>0</v>
      </c>
      <c r="Q416" s="402">
        <v>0</v>
      </c>
      <c r="R416" s="242"/>
      <c r="T416" s="20"/>
      <c r="U416" s="20"/>
      <c r="V416" s="20"/>
      <c r="W416" s="20"/>
      <c r="X416" s="20"/>
    </row>
    <row r="417" spans="1:24" s="65" customFormat="1" ht="15" customHeight="1" outlineLevel="2">
      <c r="A417" s="219"/>
      <c r="B417" s="121"/>
      <c r="C417" s="242" t="s">
        <v>1842</v>
      </c>
      <c r="D417" s="121" t="str">
        <f>INDEX(Regional.Technologies[Description],MATCH($B$2&amp;"."&amp;G.30.levels.ProcessImprovements[[#This Row],[Technology code]],Regional.Technologies[Code],0))</f>
        <v>Global Natural Gas use in the Chemicals: Others technology</v>
      </c>
      <c r="E417" s="121">
        <v>2</v>
      </c>
      <c r="F417" s="242" t="s">
        <v>1920</v>
      </c>
      <c r="G417" s="242"/>
      <c r="H417" s="242"/>
      <c r="I417" s="402">
        <v>0</v>
      </c>
      <c r="J417" s="402">
        <f t="shared" si="18"/>
        <v>2.0512820512820513E-2</v>
      </c>
      <c r="K417" s="402">
        <f t="shared" si="18"/>
        <v>4.6153846153846156E-2</v>
      </c>
      <c r="L417" s="402">
        <f t="shared" si="18"/>
        <v>7.179487179487179E-2</v>
      </c>
      <c r="M417" s="402">
        <f t="shared" si="18"/>
        <v>9.7435897435897437E-2</v>
      </c>
      <c r="N417" s="402">
        <f t="shared" si="18"/>
        <v>0.12307692307692308</v>
      </c>
      <c r="O417" s="402">
        <f t="shared" si="18"/>
        <v>0.14871794871794872</v>
      </c>
      <c r="P417" s="402">
        <f t="shared" si="18"/>
        <v>0.17435897435897435</v>
      </c>
      <c r="Q417" s="402">
        <v>0.2</v>
      </c>
      <c r="R417" s="242"/>
      <c r="T417" s="20"/>
      <c r="U417" s="20"/>
      <c r="V417" s="20"/>
      <c r="W417" s="20"/>
      <c r="X417" s="20"/>
    </row>
    <row r="418" spans="1:24" s="65" customFormat="1" ht="15" customHeight="1" outlineLevel="2">
      <c r="A418" s="219"/>
      <c r="B418" s="121"/>
      <c r="C418" s="242" t="s">
        <v>1842</v>
      </c>
      <c r="D418" s="121" t="str">
        <f>INDEX(Regional.Technologies[Description],MATCH($B$2&amp;"."&amp;G.30.levels.ProcessImprovements[[#This Row],[Technology code]],Regional.Technologies[Code],0))</f>
        <v>Global Natural Gas use in the Chemicals: Others technology</v>
      </c>
      <c r="E418" s="121">
        <v>3</v>
      </c>
      <c r="F418" s="242" t="s">
        <v>1920</v>
      </c>
      <c r="G418" s="242"/>
      <c r="H418" s="242"/>
      <c r="I418" s="402">
        <v>0</v>
      </c>
      <c r="J418" s="402">
        <f t="shared" si="18"/>
        <v>3.0769230769230767E-2</v>
      </c>
      <c r="K418" s="402">
        <f t="shared" si="18"/>
        <v>6.9230769230769221E-2</v>
      </c>
      <c r="L418" s="402">
        <f t="shared" si="18"/>
        <v>0.10769230769230768</v>
      </c>
      <c r="M418" s="402">
        <f t="shared" si="18"/>
        <v>0.14615384615384613</v>
      </c>
      <c r="N418" s="402">
        <f t="shared" si="18"/>
        <v>0.1846153846153846</v>
      </c>
      <c r="O418" s="402">
        <f t="shared" si="18"/>
        <v>0.22307692307692306</v>
      </c>
      <c r="P418" s="402">
        <f t="shared" si="18"/>
        <v>0.2615384615384615</v>
      </c>
      <c r="Q418" s="402">
        <v>0.3</v>
      </c>
      <c r="R418" s="242"/>
      <c r="T418" s="20"/>
      <c r="U418" s="20"/>
      <c r="V418" s="20"/>
      <c r="W418" s="20"/>
      <c r="X418" s="20"/>
    </row>
    <row r="419" spans="1:24" s="65" customFormat="1" ht="15" customHeight="1" outlineLevel="2">
      <c r="A419" s="219"/>
      <c r="B419" s="121"/>
      <c r="C419" s="242" t="s">
        <v>1842</v>
      </c>
      <c r="D419" s="121" t="str">
        <f>INDEX(Regional.Technologies[Description],MATCH($B$2&amp;"."&amp;G.30.levels.ProcessImprovements[[#This Row],[Technology code]],Regional.Technologies[Code],0))</f>
        <v>Global Natural Gas use in the Chemicals: Others technology</v>
      </c>
      <c r="E419" s="121">
        <v>4</v>
      </c>
      <c r="F419" s="242" t="s">
        <v>1920</v>
      </c>
      <c r="G419" s="242"/>
      <c r="H419" s="242"/>
      <c r="I419" s="402">
        <v>0</v>
      </c>
      <c r="J419" s="402">
        <f t="shared" si="18"/>
        <v>4.1025641025641026E-2</v>
      </c>
      <c r="K419" s="402">
        <f t="shared" si="18"/>
        <v>9.2307692307692313E-2</v>
      </c>
      <c r="L419" s="402">
        <f t="shared" si="18"/>
        <v>0.14358974358974358</v>
      </c>
      <c r="M419" s="402">
        <f t="shared" si="18"/>
        <v>0.19487179487179487</v>
      </c>
      <c r="N419" s="402">
        <f t="shared" si="18"/>
        <v>0.24615384615384617</v>
      </c>
      <c r="O419" s="402">
        <f t="shared" si="18"/>
        <v>0.29743589743589743</v>
      </c>
      <c r="P419" s="402">
        <f t="shared" si="18"/>
        <v>0.3487179487179487</v>
      </c>
      <c r="Q419" s="402">
        <v>0.4</v>
      </c>
      <c r="R419" s="242"/>
      <c r="T419" s="20"/>
      <c r="U419" s="20"/>
      <c r="V419" s="20"/>
      <c r="W419" s="20"/>
      <c r="X419" s="20"/>
    </row>
    <row r="420" spans="1:24" s="65" customFormat="1" ht="15" customHeight="1" outlineLevel="2">
      <c r="A420" s="219"/>
      <c r="B420" s="121"/>
      <c r="C420" s="242" t="s">
        <v>1843</v>
      </c>
      <c r="D420" s="121" t="str">
        <f>INDEX(Regional.Technologies[Description],MATCH($B$2&amp;"."&amp;G.30.levels.ProcessImprovements[[#This Row],[Technology code]],Regional.Technologies[Code],0))</f>
        <v>Global Solid Hydrocarbons use in the Chemicals: Others technology</v>
      </c>
      <c r="E420" s="121">
        <v>1</v>
      </c>
      <c r="F420" s="242" t="s">
        <v>1920</v>
      </c>
      <c r="G420" s="242"/>
      <c r="H420" s="242"/>
      <c r="I420" s="402">
        <v>0</v>
      </c>
      <c r="J420" s="402">
        <f t="shared" si="18"/>
        <v>0</v>
      </c>
      <c r="K420" s="402">
        <f t="shared" si="18"/>
        <v>0</v>
      </c>
      <c r="L420" s="402">
        <f t="shared" si="18"/>
        <v>0</v>
      </c>
      <c r="M420" s="402">
        <f t="shared" si="18"/>
        <v>0</v>
      </c>
      <c r="N420" s="402">
        <f t="shared" si="18"/>
        <v>0</v>
      </c>
      <c r="O420" s="402">
        <f t="shared" si="18"/>
        <v>0</v>
      </c>
      <c r="P420" s="402">
        <f t="shared" si="18"/>
        <v>0</v>
      </c>
      <c r="Q420" s="402">
        <v>0</v>
      </c>
      <c r="R420" s="242"/>
      <c r="T420" s="20"/>
      <c r="U420" s="20"/>
      <c r="V420" s="20"/>
      <c r="W420" s="20"/>
      <c r="X420" s="20"/>
    </row>
    <row r="421" spans="1:24" s="65" customFormat="1" ht="15" customHeight="1" outlineLevel="2">
      <c r="A421" s="219"/>
      <c r="B421" s="121"/>
      <c r="C421" s="242" t="s">
        <v>1843</v>
      </c>
      <c r="D421" s="121" t="str">
        <f>INDEX(Regional.Technologies[Description],MATCH($B$2&amp;"."&amp;G.30.levels.ProcessImprovements[[#This Row],[Technology code]],Regional.Technologies[Code],0))</f>
        <v>Global Solid Hydrocarbons use in the Chemicals: Others technology</v>
      </c>
      <c r="E421" s="121">
        <v>2</v>
      </c>
      <c r="F421" s="242" t="s">
        <v>1920</v>
      </c>
      <c r="G421" s="242"/>
      <c r="H421" s="242"/>
      <c r="I421" s="402">
        <v>0</v>
      </c>
      <c r="J421" s="402">
        <f t="shared" si="18"/>
        <v>2.0512820512820513E-2</v>
      </c>
      <c r="K421" s="402">
        <f t="shared" si="18"/>
        <v>4.6153846153846156E-2</v>
      </c>
      <c r="L421" s="402">
        <f t="shared" si="18"/>
        <v>7.179487179487179E-2</v>
      </c>
      <c r="M421" s="402">
        <f t="shared" si="18"/>
        <v>9.7435897435897437E-2</v>
      </c>
      <c r="N421" s="402">
        <f t="shared" si="18"/>
        <v>0.12307692307692308</v>
      </c>
      <c r="O421" s="402">
        <f t="shared" si="18"/>
        <v>0.14871794871794872</v>
      </c>
      <c r="P421" s="402">
        <f t="shared" si="18"/>
        <v>0.17435897435897435</v>
      </c>
      <c r="Q421" s="402">
        <v>0.2</v>
      </c>
      <c r="R421" s="242"/>
      <c r="T421" s="20"/>
      <c r="U421" s="20"/>
      <c r="V421" s="20"/>
      <c r="W421" s="20"/>
      <c r="X421" s="20"/>
    </row>
    <row r="422" spans="1:24" s="65" customFormat="1" ht="15" customHeight="1" outlineLevel="2">
      <c r="A422" s="219"/>
      <c r="B422" s="121"/>
      <c r="C422" s="242" t="s">
        <v>1843</v>
      </c>
      <c r="D422" s="121" t="str">
        <f>INDEX(Regional.Technologies[Description],MATCH($B$2&amp;"."&amp;G.30.levels.ProcessImprovements[[#This Row],[Technology code]],Regional.Technologies[Code],0))</f>
        <v>Global Solid Hydrocarbons use in the Chemicals: Others technology</v>
      </c>
      <c r="E422" s="121">
        <v>3</v>
      </c>
      <c r="F422" s="242" t="s">
        <v>1920</v>
      </c>
      <c r="G422" s="242"/>
      <c r="H422" s="242"/>
      <c r="I422" s="402">
        <v>0</v>
      </c>
      <c r="J422" s="402">
        <f t="shared" si="18"/>
        <v>3.0769230769230767E-2</v>
      </c>
      <c r="K422" s="402">
        <f t="shared" si="18"/>
        <v>6.9230769230769221E-2</v>
      </c>
      <c r="L422" s="402">
        <f t="shared" si="18"/>
        <v>0.10769230769230768</v>
      </c>
      <c r="M422" s="402">
        <f t="shared" si="18"/>
        <v>0.14615384615384613</v>
      </c>
      <c r="N422" s="402">
        <f t="shared" si="18"/>
        <v>0.1846153846153846</v>
      </c>
      <c r="O422" s="402">
        <f t="shared" si="18"/>
        <v>0.22307692307692306</v>
      </c>
      <c r="P422" s="402">
        <f t="shared" si="18"/>
        <v>0.2615384615384615</v>
      </c>
      <c r="Q422" s="402">
        <v>0.3</v>
      </c>
      <c r="R422" s="242"/>
      <c r="T422" s="20"/>
      <c r="U422" s="20"/>
      <c r="V422" s="20"/>
      <c r="W422" s="20"/>
      <c r="X422" s="20"/>
    </row>
    <row r="423" spans="1:24" s="65" customFormat="1" ht="15" customHeight="1" outlineLevel="2">
      <c r="A423" s="219"/>
      <c r="B423" s="121"/>
      <c r="C423" s="242" t="s">
        <v>1843</v>
      </c>
      <c r="D423" s="121" t="str">
        <f>INDEX(Regional.Technologies[Description],MATCH($B$2&amp;"."&amp;G.30.levels.ProcessImprovements[[#This Row],[Technology code]],Regional.Technologies[Code],0))</f>
        <v>Global Solid Hydrocarbons use in the Chemicals: Others technology</v>
      </c>
      <c r="E423" s="121">
        <v>4</v>
      </c>
      <c r="F423" s="242" t="s">
        <v>1920</v>
      </c>
      <c r="G423" s="242"/>
      <c r="H423" s="242"/>
      <c r="I423" s="402">
        <v>0</v>
      </c>
      <c r="J423" s="402">
        <f t="shared" si="18"/>
        <v>4.1025641025641026E-2</v>
      </c>
      <c r="K423" s="402">
        <f t="shared" si="18"/>
        <v>9.2307692307692313E-2</v>
      </c>
      <c r="L423" s="402">
        <f t="shared" si="18"/>
        <v>0.14358974358974358</v>
      </c>
      <c r="M423" s="402">
        <f t="shared" si="18"/>
        <v>0.19487179487179487</v>
      </c>
      <c r="N423" s="402">
        <f t="shared" si="18"/>
        <v>0.24615384615384617</v>
      </c>
      <c r="O423" s="402">
        <f t="shared" si="18"/>
        <v>0.29743589743589743</v>
      </c>
      <c r="P423" s="402">
        <f t="shared" si="18"/>
        <v>0.3487179487179487</v>
      </c>
      <c r="Q423" s="402">
        <v>0.4</v>
      </c>
      <c r="R423" s="242"/>
      <c r="T423" s="20"/>
      <c r="U423" s="20"/>
      <c r="V423" s="20"/>
      <c r="W423" s="20"/>
      <c r="X423" s="20"/>
    </row>
    <row r="424" spans="1:24" s="65" customFormat="1" ht="15" customHeight="1" outlineLevel="2">
      <c r="A424" s="219"/>
      <c r="B424" s="121"/>
      <c r="C424" s="242" t="s">
        <v>1844</v>
      </c>
      <c r="D424" s="121" t="str">
        <f>INDEX(Regional.Technologies[Description],MATCH($B$2&amp;"."&amp;G.30.levels.ProcessImprovements[[#This Row],[Technology code]],Regional.Technologies[Code],0))</f>
        <v>Global Heat use in the Chemicals: Others technology</v>
      </c>
      <c r="E424" s="121">
        <v>1</v>
      </c>
      <c r="F424" s="242" t="s">
        <v>1920</v>
      </c>
      <c r="G424" s="242"/>
      <c r="H424" s="242"/>
      <c r="I424" s="402">
        <v>0</v>
      </c>
      <c r="J424" s="402">
        <f t="shared" si="18"/>
        <v>0</v>
      </c>
      <c r="K424" s="402">
        <f t="shared" si="18"/>
        <v>0</v>
      </c>
      <c r="L424" s="402">
        <f t="shared" si="18"/>
        <v>0</v>
      </c>
      <c r="M424" s="402">
        <f t="shared" si="18"/>
        <v>0</v>
      </c>
      <c r="N424" s="402">
        <f t="shared" si="18"/>
        <v>0</v>
      </c>
      <c r="O424" s="402">
        <f t="shared" si="18"/>
        <v>0</v>
      </c>
      <c r="P424" s="402">
        <f t="shared" si="18"/>
        <v>0</v>
      </c>
      <c r="Q424" s="402">
        <v>0</v>
      </c>
      <c r="R424" s="242"/>
      <c r="T424" s="20"/>
      <c r="U424" s="20"/>
      <c r="V424" s="20"/>
      <c r="W424" s="20"/>
      <c r="X424" s="20"/>
    </row>
    <row r="425" spans="1:24" s="65" customFormat="1" ht="15" customHeight="1" outlineLevel="2">
      <c r="A425" s="219"/>
      <c r="B425" s="121"/>
      <c r="C425" s="242" t="s">
        <v>1844</v>
      </c>
      <c r="D425" s="121" t="str">
        <f>INDEX(Regional.Technologies[Description],MATCH($B$2&amp;"."&amp;G.30.levels.ProcessImprovements[[#This Row],[Technology code]],Regional.Technologies[Code],0))</f>
        <v>Global Heat use in the Chemicals: Others technology</v>
      </c>
      <c r="E425" s="121">
        <v>2</v>
      </c>
      <c r="F425" s="242" t="s">
        <v>1920</v>
      </c>
      <c r="G425" s="242"/>
      <c r="H425" s="242"/>
      <c r="I425" s="402">
        <v>0</v>
      </c>
      <c r="J425" s="402">
        <f t="shared" si="18"/>
        <v>2.0512820512820513E-2</v>
      </c>
      <c r="K425" s="402">
        <f t="shared" si="18"/>
        <v>4.6153846153846156E-2</v>
      </c>
      <c r="L425" s="402">
        <f t="shared" si="18"/>
        <v>7.179487179487179E-2</v>
      </c>
      <c r="M425" s="402">
        <f t="shared" si="18"/>
        <v>9.7435897435897437E-2</v>
      </c>
      <c r="N425" s="402">
        <f t="shared" si="18"/>
        <v>0.12307692307692308</v>
      </c>
      <c r="O425" s="402">
        <f t="shared" si="18"/>
        <v>0.14871794871794872</v>
      </c>
      <c r="P425" s="402">
        <f t="shared" si="18"/>
        <v>0.17435897435897435</v>
      </c>
      <c r="Q425" s="402">
        <v>0.2</v>
      </c>
      <c r="R425" s="242"/>
      <c r="T425" s="20"/>
      <c r="U425" s="20"/>
      <c r="V425" s="20"/>
      <c r="W425" s="20"/>
      <c r="X425" s="20"/>
    </row>
    <row r="426" spans="1:24" s="65" customFormat="1" ht="15" customHeight="1" outlineLevel="2">
      <c r="A426" s="219"/>
      <c r="B426" s="121"/>
      <c r="C426" s="242" t="s">
        <v>1844</v>
      </c>
      <c r="D426" s="121" t="str">
        <f>INDEX(Regional.Technologies[Description],MATCH($B$2&amp;"."&amp;G.30.levels.ProcessImprovements[[#This Row],[Technology code]],Regional.Technologies[Code],0))</f>
        <v>Global Heat use in the Chemicals: Others technology</v>
      </c>
      <c r="E426" s="121">
        <v>3</v>
      </c>
      <c r="F426" s="242" t="s">
        <v>1920</v>
      </c>
      <c r="G426" s="242"/>
      <c r="H426" s="242"/>
      <c r="I426" s="402">
        <v>0</v>
      </c>
      <c r="J426" s="402">
        <f t="shared" si="18"/>
        <v>3.0769230769230767E-2</v>
      </c>
      <c r="K426" s="402">
        <f t="shared" si="18"/>
        <v>6.9230769230769221E-2</v>
      </c>
      <c r="L426" s="402">
        <f t="shared" si="18"/>
        <v>0.10769230769230768</v>
      </c>
      <c r="M426" s="402">
        <f t="shared" si="18"/>
        <v>0.14615384615384613</v>
      </c>
      <c r="N426" s="402">
        <f t="shared" si="18"/>
        <v>0.1846153846153846</v>
      </c>
      <c r="O426" s="402">
        <f t="shared" si="18"/>
        <v>0.22307692307692306</v>
      </c>
      <c r="P426" s="402">
        <f t="shared" si="18"/>
        <v>0.2615384615384615</v>
      </c>
      <c r="Q426" s="402">
        <v>0.3</v>
      </c>
      <c r="R426" s="242"/>
      <c r="T426" s="20"/>
      <c r="U426" s="20"/>
      <c r="V426" s="20"/>
      <c r="W426" s="20"/>
      <c r="X426" s="20"/>
    </row>
    <row r="427" spans="1:24" s="65" customFormat="1" ht="15" customHeight="1" outlineLevel="2">
      <c r="A427" s="219"/>
      <c r="B427" s="121"/>
      <c r="C427" s="242" t="s">
        <v>1844</v>
      </c>
      <c r="D427" s="121" t="str">
        <f>INDEX(Regional.Technologies[Description],MATCH($B$2&amp;"."&amp;G.30.levels.ProcessImprovements[[#This Row],[Technology code]],Regional.Technologies[Code],0))</f>
        <v>Global Heat use in the Chemicals: Others technology</v>
      </c>
      <c r="E427" s="121">
        <v>4</v>
      </c>
      <c r="F427" s="242" t="s">
        <v>1920</v>
      </c>
      <c r="G427" s="242"/>
      <c r="H427" s="242"/>
      <c r="I427" s="402">
        <v>0</v>
      </c>
      <c r="J427" s="402">
        <f t="shared" si="18"/>
        <v>4.1025641025641026E-2</v>
      </c>
      <c r="K427" s="402">
        <f t="shared" si="18"/>
        <v>9.2307692307692313E-2</v>
      </c>
      <c r="L427" s="402">
        <f t="shared" si="18"/>
        <v>0.14358974358974358</v>
      </c>
      <c r="M427" s="402">
        <f t="shared" si="18"/>
        <v>0.19487179487179487</v>
      </c>
      <c r="N427" s="402">
        <f t="shared" si="18"/>
        <v>0.24615384615384617</v>
      </c>
      <c r="O427" s="402">
        <f t="shared" si="18"/>
        <v>0.29743589743589743</v>
      </c>
      <c r="P427" s="402">
        <f t="shared" si="18"/>
        <v>0.3487179487179487</v>
      </c>
      <c r="Q427" s="402">
        <v>0.4</v>
      </c>
      <c r="R427" s="242"/>
      <c r="T427" s="20"/>
      <c r="U427" s="20"/>
      <c r="V427" s="20"/>
      <c r="W427" s="20"/>
      <c r="X427" s="20"/>
    </row>
    <row r="428" spans="1:24" s="65" customFormat="1" ht="15" customHeight="1" outlineLevel="2">
      <c r="A428" s="219"/>
      <c r="B428" s="121"/>
      <c r="C428" s="242" t="s">
        <v>1845</v>
      </c>
      <c r="D428" s="121" t="str">
        <f>INDEX(Regional.Technologies[Description],MATCH($B$2&amp;"."&amp;G.30.levels.ProcessImprovements[[#This Row],[Technology code]],Regional.Technologies[Code],0))</f>
        <v>Global Electricity use in the Pulp &amp; paper: Pulp technology</v>
      </c>
      <c r="E428" s="121">
        <v>1</v>
      </c>
      <c r="F428" s="242" t="s">
        <v>1921</v>
      </c>
      <c r="G428" s="242"/>
      <c r="H428" s="242"/>
      <c r="I428" s="402">
        <v>0</v>
      </c>
      <c r="J428" s="402">
        <f t="shared" si="18"/>
        <v>0</v>
      </c>
      <c r="K428" s="402">
        <f t="shared" si="18"/>
        <v>0</v>
      </c>
      <c r="L428" s="402">
        <f t="shared" si="18"/>
        <v>0</v>
      </c>
      <c r="M428" s="402">
        <f t="shared" si="18"/>
        <v>0</v>
      </c>
      <c r="N428" s="402">
        <f t="shared" si="18"/>
        <v>0</v>
      </c>
      <c r="O428" s="402">
        <f t="shared" si="18"/>
        <v>0</v>
      </c>
      <c r="P428" s="402">
        <f t="shared" si="18"/>
        <v>0</v>
      </c>
      <c r="Q428" s="402">
        <v>0</v>
      </c>
      <c r="R428" s="242"/>
      <c r="T428" s="20"/>
      <c r="U428" s="20"/>
      <c r="V428" s="20"/>
      <c r="W428" s="20"/>
      <c r="X428" s="20"/>
    </row>
    <row r="429" spans="1:24" s="65" customFormat="1" ht="15" customHeight="1" outlineLevel="2">
      <c r="A429" s="219"/>
      <c r="B429" s="121"/>
      <c r="C429" s="242" t="s">
        <v>1845</v>
      </c>
      <c r="D429" s="121" t="str">
        <f>INDEX(Regional.Technologies[Description],MATCH($B$2&amp;"."&amp;G.30.levels.ProcessImprovements[[#This Row],[Technology code]],Regional.Technologies[Code],0))</f>
        <v>Global Electricity use in the Pulp &amp; paper: Pulp technology</v>
      </c>
      <c r="E429" s="121">
        <v>2</v>
      </c>
      <c r="F429" s="242" t="s">
        <v>1921</v>
      </c>
      <c r="G429" s="242"/>
      <c r="H429" s="242"/>
      <c r="I429" s="402">
        <v>0</v>
      </c>
      <c r="J429" s="402">
        <f t="shared" si="18"/>
        <v>2.0512820512820513E-2</v>
      </c>
      <c r="K429" s="402">
        <f t="shared" si="18"/>
        <v>4.6153846153846156E-2</v>
      </c>
      <c r="L429" s="402">
        <f t="shared" si="18"/>
        <v>7.179487179487179E-2</v>
      </c>
      <c r="M429" s="402">
        <f t="shared" si="18"/>
        <v>9.7435897435897437E-2</v>
      </c>
      <c r="N429" s="402">
        <f t="shared" si="18"/>
        <v>0.12307692307692308</v>
      </c>
      <c r="O429" s="402">
        <f t="shared" si="18"/>
        <v>0.14871794871794872</v>
      </c>
      <c r="P429" s="402">
        <f t="shared" si="18"/>
        <v>0.17435897435897435</v>
      </c>
      <c r="Q429" s="402">
        <v>0.2</v>
      </c>
      <c r="R429" s="242"/>
      <c r="T429" s="20"/>
      <c r="U429" s="20"/>
      <c r="V429" s="20"/>
      <c r="W429" s="20"/>
      <c r="X429" s="20"/>
    </row>
    <row r="430" spans="1:24" s="65" customFormat="1" ht="15" customHeight="1" outlineLevel="2">
      <c r="A430" s="219"/>
      <c r="B430" s="121"/>
      <c r="C430" s="242" t="s">
        <v>1845</v>
      </c>
      <c r="D430" s="121" t="str">
        <f>INDEX(Regional.Technologies[Description],MATCH($B$2&amp;"."&amp;G.30.levels.ProcessImprovements[[#This Row],[Technology code]],Regional.Technologies[Code],0))</f>
        <v>Global Electricity use in the Pulp &amp; paper: Pulp technology</v>
      </c>
      <c r="E430" s="121">
        <v>3</v>
      </c>
      <c r="F430" s="242" t="s">
        <v>1921</v>
      </c>
      <c r="G430" s="242"/>
      <c r="H430" s="242"/>
      <c r="I430" s="402">
        <v>0</v>
      </c>
      <c r="J430" s="402">
        <f t="shared" si="18"/>
        <v>3.0769230769230767E-2</v>
      </c>
      <c r="K430" s="402">
        <f t="shared" si="18"/>
        <v>6.9230769230769221E-2</v>
      </c>
      <c r="L430" s="402">
        <f t="shared" si="18"/>
        <v>0.10769230769230768</v>
      </c>
      <c r="M430" s="402">
        <f t="shared" si="18"/>
        <v>0.14615384615384613</v>
      </c>
      <c r="N430" s="402">
        <f t="shared" si="18"/>
        <v>0.1846153846153846</v>
      </c>
      <c r="O430" s="402">
        <f t="shared" si="18"/>
        <v>0.22307692307692306</v>
      </c>
      <c r="P430" s="402">
        <f t="shared" si="18"/>
        <v>0.2615384615384615</v>
      </c>
      <c r="Q430" s="402">
        <v>0.3</v>
      </c>
      <c r="R430" s="242"/>
      <c r="T430" s="20"/>
      <c r="U430" s="20"/>
      <c r="V430" s="20"/>
      <c r="W430" s="20"/>
      <c r="X430" s="20"/>
    </row>
    <row r="431" spans="1:24" s="65" customFormat="1" ht="15" customHeight="1" outlineLevel="2">
      <c r="A431" s="219"/>
      <c r="B431" s="121"/>
      <c r="C431" s="242" t="s">
        <v>1845</v>
      </c>
      <c r="D431" s="121" t="str">
        <f>INDEX(Regional.Technologies[Description],MATCH($B$2&amp;"."&amp;G.30.levels.ProcessImprovements[[#This Row],[Technology code]],Regional.Technologies[Code],0))</f>
        <v>Global Electricity use in the Pulp &amp; paper: Pulp technology</v>
      </c>
      <c r="E431" s="121">
        <v>4</v>
      </c>
      <c r="F431" s="242" t="s">
        <v>1921</v>
      </c>
      <c r="G431" s="242"/>
      <c r="H431" s="242"/>
      <c r="I431" s="402">
        <v>0</v>
      </c>
      <c r="J431" s="402">
        <f t="shared" si="18"/>
        <v>4.1025641025641026E-2</v>
      </c>
      <c r="K431" s="402">
        <f t="shared" si="18"/>
        <v>9.2307692307692313E-2</v>
      </c>
      <c r="L431" s="402">
        <f t="shared" si="18"/>
        <v>0.14358974358974358</v>
      </c>
      <c r="M431" s="402">
        <f t="shared" si="18"/>
        <v>0.19487179487179487</v>
      </c>
      <c r="N431" s="402">
        <f t="shared" si="18"/>
        <v>0.24615384615384617</v>
      </c>
      <c r="O431" s="402">
        <f t="shared" si="18"/>
        <v>0.29743589743589743</v>
      </c>
      <c r="P431" s="402">
        <f t="shared" si="18"/>
        <v>0.3487179487179487</v>
      </c>
      <c r="Q431" s="402">
        <v>0.4</v>
      </c>
      <c r="R431" s="242"/>
      <c r="T431" s="20"/>
      <c r="U431" s="20"/>
      <c r="V431" s="20"/>
      <c r="W431" s="20"/>
      <c r="X431" s="20"/>
    </row>
    <row r="432" spans="1:24" s="65" customFormat="1" ht="15" customHeight="1" outlineLevel="2">
      <c r="A432" s="219"/>
      <c r="B432" s="121"/>
      <c r="C432" s="242" t="s">
        <v>1846</v>
      </c>
      <c r="D432" s="121" t="str">
        <f>INDEX(Regional.Technologies[Description],MATCH($B$2&amp;"."&amp;G.30.levels.ProcessImprovements[[#This Row],[Technology code]],Regional.Technologies[Code],0))</f>
        <v>Global Coal use in the Pulp &amp; paper: Pulp technology</v>
      </c>
      <c r="E432" s="121">
        <v>1</v>
      </c>
      <c r="F432" s="242" t="s">
        <v>1921</v>
      </c>
      <c r="G432" s="242"/>
      <c r="H432" s="242"/>
      <c r="I432" s="402">
        <v>0</v>
      </c>
      <c r="J432" s="402">
        <f t="shared" si="18"/>
        <v>0</v>
      </c>
      <c r="K432" s="402">
        <f t="shared" si="18"/>
        <v>0</v>
      </c>
      <c r="L432" s="402">
        <f t="shared" si="18"/>
        <v>0</v>
      </c>
      <c r="M432" s="402">
        <f t="shared" si="18"/>
        <v>0</v>
      </c>
      <c r="N432" s="402">
        <f t="shared" si="18"/>
        <v>0</v>
      </c>
      <c r="O432" s="402">
        <f t="shared" si="18"/>
        <v>0</v>
      </c>
      <c r="P432" s="402">
        <f t="shared" si="18"/>
        <v>0</v>
      </c>
      <c r="Q432" s="402">
        <v>0</v>
      </c>
      <c r="R432" s="242"/>
      <c r="T432" s="20"/>
      <c r="U432" s="20"/>
      <c r="V432" s="20"/>
      <c r="W432" s="20"/>
      <c r="X432" s="20"/>
    </row>
    <row r="433" spans="1:24" s="65" customFormat="1" ht="15" customHeight="1" outlineLevel="2">
      <c r="A433" s="219"/>
      <c r="B433" s="121"/>
      <c r="C433" s="242" t="s">
        <v>1846</v>
      </c>
      <c r="D433" s="121" t="str">
        <f>INDEX(Regional.Technologies[Description],MATCH($B$2&amp;"."&amp;G.30.levels.ProcessImprovements[[#This Row],[Technology code]],Regional.Technologies[Code],0))</f>
        <v>Global Coal use in the Pulp &amp; paper: Pulp technology</v>
      </c>
      <c r="E433" s="121">
        <v>2</v>
      </c>
      <c r="F433" s="242" t="s">
        <v>1921</v>
      </c>
      <c r="G433" s="242"/>
      <c r="H433" s="242"/>
      <c r="I433" s="402">
        <v>0</v>
      </c>
      <c r="J433" s="402">
        <f t="shared" si="18"/>
        <v>2.0512820512820513E-2</v>
      </c>
      <c r="K433" s="402">
        <f t="shared" si="18"/>
        <v>4.6153846153846156E-2</v>
      </c>
      <c r="L433" s="402">
        <f t="shared" si="18"/>
        <v>7.179487179487179E-2</v>
      </c>
      <c r="M433" s="402">
        <f t="shared" si="18"/>
        <v>9.7435897435897437E-2</v>
      </c>
      <c r="N433" s="402">
        <f t="shared" si="18"/>
        <v>0.12307692307692308</v>
      </c>
      <c r="O433" s="402">
        <f t="shared" si="18"/>
        <v>0.14871794871794872</v>
      </c>
      <c r="P433" s="402">
        <f t="shared" si="18"/>
        <v>0.17435897435897435</v>
      </c>
      <c r="Q433" s="402">
        <v>0.2</v>
      </c>
      <c r="R433" s="242"/>
      <c r="T433" s="20"/>
      <c r="U433" s="20"/>
      <c r="V433" s="20"/>
      <c r="W433" s="20"/>
      <c r="X433" s="20"/>
    </row>
    <row r="434" spans="1:24" s="65" customFormat="1" ht="15" customHeight="1" outlineLevel="2">
      <c r="A434" s="219"/>
      <c r="B434" s="121"/>
      <c r="C434" s="242" t="s">
        <v>1846</v>
      </c>
      <c r="D434" s="121" t="str">
        <f>INDEX(Regional.Technologies[Description],MATCH($B$2&amp;"."&amp;G.30.levels.ProcessImprovements[[#This Row],[Technology code]],Regional.Technologies[Code],0))</f>
        <v>Global Coal use in the Pulp &amp; paper: Pulp technology</v>
      </c>
      <c r="E434" s="121">
        <v>3</v>
      </c>
      <c r="F434" s="242" t="s">
        <v>1921</v>
      </c>
      <c r="G434" s="242"/>
      <c r="H434" s="242"/>
      <c r="I434" s="402">
        <v>0</v>
      </c>
      <c r="J434" s="402">
        <f t="shared" si="18"/>
        <v>3.0769230769230767E-2</v>
      </c>
      <c r="K434" s="402">
        <f t="shared" si="18"/>
        <v>6.9230769230769221E-2</v>
      </c>
      <c r="L434" s="402">
        <f t="shared" si="18"/>
        <v>0.10769230769230768</v>
      </c>
      <c r="M434" s="402">
        <f t="shared" si="18"/>
        <v>0.14615384615384613</v>
      </c>
      <c r="N434" s="402">
        <f t="shared" si="18"/>
        <v>0.1846153846153846</v>
      </c>
      <c r="O434" s="402">
        <f t="shared" si="18"/>
        <v>0.22307692307692306</v>
      </c>
      <c r="P434" s="402">
        <f t="shared" si="18"/>
        <v>0.2615384615384615</v>
      </c>
      <c r="Q434" s="402">
        <v>0.3</v>
      </c>
      <c r="R434" s="242"/>
      <c r="T434" s="20"/>
      <c r="U434" s="20"/>
      <c r="V434" s="20"/>
      <c r="W434" s="20"/>
      <c r="X434" s="20"/>
    </row>
    <row r="435" spans="1:24" s="65" customFormat="1" ht="15" customHeight="1" outlineLevel="2">
      <c r="A435" s="219"/>
      <c r="B435" s="121"/>
      <c r="C435" s="242" t="s">
        <v>1846</v>
      </c>
      <c r="D435" s="121" t="str">
        <f>INDEX(Regional.Technologies[Description],MATCH($B$2&amp;"."&amp;G.30.levels.ProcessImprovements[[#This Row],[Technology code]],Regional.Technologies[Code],0))</f>
        <v>Global Coal use in the Pulp &amp; paper: Pulp technology</v>
      </c>
      <c r="E435" s="121">
        <v>4</v>
      </c>
      <c r="F435" s="242" t="s">
        <v>1921</v>
      </c>
      <c r="G435" s="242"/>
      <c r="H435" s="242"/>
      <c r="I435" s="402">
        <v>0</v>
      </c>
      <c r="J435" s="402">
        <f t="shared" si="18"/>
        <v>4.1025641025641026E-2</v>
      </c>
      <c r="K435" s="402">
        <f t="shared" si="18"/>
        <v>9.2307692307692313E-2</v>
      </c>
      <c r="L435" s="402">
        <f t="shared" si="18"/>
        <v>0.14358974358974358</v>
      </c>
      <c r="M435" s="402">
        <f t="shared" si="18"/>
        <v>0.19487179487179487</v>
      </c>
      <c r="N435" s="402">
        <f t="shared" si="18"/>
        <v>0.24615384615384617</v>
      </c>
      <c r="O435" s="402">
        <f t="shared" si="18"/>
        <v>0.29743589743589743</v>
      </c>
      <c r="P435" s="402">
        <f t="shared" si="18"/>
        <v>0.3487179487179487</v>
      </c>
      <c r="Q435" s="402">
        <v>0.4</v>
      </c>
      <c r="R435" s="242"/>
      <c r="T435" s="20"/>
      <c r="U435" s="20"/>
      <c r="V435" s="20"/>
      <c r="W435" s="20"/>
      <c r="X435" s="20"/>
    </row>
    <row r="436" spans="1:24" s="65" customFormat="1" ht="15" customHeight="1" outlineLevel="2">
      <c r="A436" s="219"/>
      <c r="B436" s="121"/>
      <c r="C436" s="242" t="s">
        <v>1847</v>
      </c>
      <c r="D436" s="121" t="str">
        <f>INDEX(Regional.Technologies[Description],MATCH($B$2&amp;"."&amp;G.30.levels.ProcessImprovements[[#This Row],[Technology code]],Regional.Technologies[Code],0))</f>
        <v>Global Oil use in the Pulp &amp; paper: Pulp technology</v>
      </c>
      <c r="E436" s="121">
        <v>1</v>
      </c>
      <c r="F436" s="242" t="s">
        <v>1921</v>
      </c>
      <c r="G436" s="242"/>
      <c r="H436" s="242"/>
      <c r="I436" s="402">
        <v>0</v>
      </c>
      <c r="J436" s="402">
        <f t="shared" si="18"/>
        <v>0</v>
      </c>
      <c r="K436" s="402">
        <f t="shared" si="18"/>
        <v>0</v>
      </c>
      <c r="L436" s="402">
        <f t="shared" si="18"/>
        <v>0</v>
      </c>
      <c r="M436" s="402">
        <f t="shared" si="18"/>
        <v>0</v>
      </c>
      <c r="N436" s="402">
        <f t="shared" si="18"/>
        <v>0</v>
      </c>
      <c r="O436" s="402">
        <f t="shared" si="18"/>
        <v>0</v>
      </c>
      <c r="P436" s="402">
        <f t="shared" si="18"/>
        <v>0</v>
      </c>
      <c r="Q436" s="402">
        <v>0</v>
      </c>
      <c r="R436" s="242"/>
      <c r="T436" s="20"/>
      <c r="U436" s="20"/>
      <c r="V436" s="20"/>
      <c r="W436" s="20"/>
      <c r="X436" s="20"/>
    </row>
    <row r="437" spans="1:24" s="65" customFormat="1" ht="15" customHeight="1" outlineLevel="2">
      <c r="A437" s="219"/>
      <c r="B437" s="121"/>
      <c r="C437" s="242" t="s">
        <v>1847</v>
      </c>
      <c r="D437" s="121" t="str">
        <f>INDEX(Regional.Technologies[Description],MATCH($B$2&amp;"."&amp;G.30.levels.ProcessImprovements[[#This Row],[Technology code]],Regional.Technologies[Code],0))</f>
        <v>Global Oil use in the Pulp &amp; paper: Pulp technology</v>
      </c>
      <c r="E437" s="121">
        <v>2</v>
      </c>
      <c r="F437" s="242" t="s">
        <v>1921</v>
      </c>
      <c r="G437" s="242"/>
      <c r="H437" s="242"/>
      <c r="I437" s="402">
        <v>0</v>
      </c>
      <c r="J437" s="402">
        <f t="shared" si="18"/>
        <v>2.0512820512820513E-2</v>
      </c>
      <c r="K437" s="402">
        <f t="shared" si="18"/>
        <v>4.6153846153846156E-2</v>
      </c>
      <c r="L437" s="402">
        <f t="shared" si="18"/>
        <v>7.179487179487179E-2</v>
      </c>
      <c r="M437" s="402">
        <f t="shared" si="18"/>
        <v>9.7435897435897437E-2</v>
      </c>
      <c r="N437" s="402">
        <f t="shared" si="18"/>
        <v>0.12307692307692308</v>
      </c>
      <c r="O437" s="402">
        <f t="shared" si="18"/>
        <v>0.14871794871794872</v>
      </c>
      <c r="P437" s="402">
        <f t="shared" si="18"/>
        <v>0.17435897435897435</v>
      </c>
      <c r="Q437" s="402">
        <v>0.2</v>
      </c>
      <c r="R437" s="242"/>
      <c r="T437" s="20"/>
      <c r="U437" s="20"/>
      <c r="V437" s="20"/>
      <c r="W437" s="20"/>
      <c r="X437" s="20"/>
    </row>
    <row r="438" spans="1:24" s="65" customFormat="1" ht="15" customHeight="1" outlineLevel="2">
      <c r="A438" s="219"/>
      <c r="B438" s="121"/>
      <c r="C438" s="242" t="s">
        <v>1847</v>
      </c>
      <c r="D438" s="121" t="str">
        <f>INDEX(Regional.Technologies[Description],MATCH($B$2&amp;"."&amp;G.30.levels.ProcessImprovements[[#This Row],[Technology code]],Regional.Technologies[Code],0))</f>
        <v>Global Oil use in the Pulp &amp; paper: Pulp technology</v>
      </c>
      <c r="E438" s="121">
        <v>3</v>
      </c>
      <c r="F438" s="242" t="s">
        <v>1921</v>
      </c>
      <c r="G438" s="242"/>
      <c r="H438" s="242"/>
      <c r="I438" s="402">
        <v>0</v>
      </c>
      <c r="J438" s="402">
        <f t="shared" si="18"/>
        <v>3.0769230769230767E-2</v>
      </c>
      <c r="K438" s="402">
        <f t="shared" si="18"/>
        <v>6.9230769230769221E-2</v>
      </c>
      <c r="L438" s="402">
        <f t="shared" si="18"/>
        <v>0.10769230769230768</v>
      </c>
      <c r="M438" s="402">
        <f t="shared" si="18"/>
        <v>0.14615384615384613</v>
      </c>
      <c r="N438" s="402">
        <f t="shared" si="18"/>
        <v>0.1846153846153846</v>
      </c>
      <c r="O438" s="402">
        <f t="shared" si="18"/>
        <v>0.22307692307692306</v>
      </c>
      <c r="P438" s="402">
        <f t="shared" si="18"/>
        <v>0.2615384615384615</v>
      </c>
      <c r="Q438" s="402">
        <v>0.3</v>
      </c>
      <c r="R438" s="242"/>
      <c r="T438" s="20"/>
      <c r="U438" s="20"/>
      <c r="V438" s="20"/>
      <c r="W438" s="20"/>
      <c r="X438" s="20"/>
    </row>
    <row r="439" spans="1:24" s="65" customFormat="1" ht="15" customHeight="1" outlineLevel="2">
      <c r="A439" s="219"/>
      <c r="B439" s="121"/>
      <c r="C439" s="242" t="s">
        <v>1847</v>
      </c>
      <c r="D439" s="121" t="str">
        <f>INDEX(Regional.Technologies[Description],MATCH($B$2&amp;"."&amp;G.30.levels.ProcessImprovements[[#This Row],[Technology code]],Regional.Technologies[Code],0))</f>
        <v>Global Oil use in the Pulp &amp; paper: Pulp technology</v>
      </c>
      <c r="E439" s="121">
        <v>4</v>
      </c>
      <c r="F439" s="242" t="s">
        <v>1921</v>
      </c>
      <c r="G439" s="242"/>
      <c r="H439" s="242"/>
      <c r="I439" s="402">
        <v>0</v>
      </c>
      <c r="J439" s="402">
        <f t="shared" si="18"/>
        <v>4.1025641025641026E-2</v>
      </c>
      <c r="K439" s="402">
        <f t="shared" si="18"/>
        <v>9.2307692307692313E-2</v>
      </c>
      <c r="L439" s="402">
        <f t="shared" si="18"/>
        <v>0.14358974358974358</v>
      </c>
      <c r="M439" s="402">
        <f t="shared" si="18"/>
        <v>0.19487179487179487</v>
      </c>
      <c r="N439" s="402">
        <f t="shared" si="18"/>
        <v>0.24615384615384617</v>
      </c>
      <c r="O439" s="402">
        <f t="shared" si="18"/>
        <v>0.29743589743589743</v>
      </c>
      <c r="P439" s="402">
        <f t="shared" si="18"/>
        <v>0.3487179487179487</v>
      </c>
      <c r="Q439" s="402">
        <v>0.4</v>
      </c>
      <c r="R439" s="242"/>
      <c r="T439" s="20"/>
      <c r="U439" s="20"/>
      <c r="V439" s="20"/>
      <c r="W439" s="20"/>
      <c r="X439" s="20"/>
    </row>
    <row r="440" spans="1:24" s="65" customFormat="1" ht="15" customHeight="1" outlineLevel="2">
      <c r="A440" s="219"/>
      <c r="B440" s="121"/>
      <c r="C440" s="242" t="s">
        <v>1848</v>
      </c>
      <c r="D440" s="121" t="str">
        <f>INDEX(Regional.Technologies[Description],MATCH($B$2&amp;"."&amp;G.30.levels.ProcessImprovements[[#This Row],[Technology code]],Regional.Technologies[Code],0))</f>
        <v>Global Natural Gas use in the Pulp &amp; paper: Pulp technology</v>
      </c>
      <c r="E440" s="121">
        <v>1</v>
      </c>
      <c r="F440" s="242" t="s">
        <v>1921</v>
      </c>
      <c r="G440" s="242"/>
      <c r="H440" s="242"/>
      <c r="I440" s="402">
        <v>0</v>
      </c>
      <c r="J440" s="402">
        <f t="shared" si="18"/>
        <v>0</v>
      </c>
      <c r="K440" s="402">
        <f t="shared" si="18"/>
        <v>0</v>
      </c>
      <c r="L440" s="402">
        <f t="shared" si="18"/>
        <v>0</v>
      </c>
      <c r="M440" s="402">
        <f t="shared" si="18"/>
        <v>0</v>
      </c>
      <c r="N440" s="402">
        <f t="shared" si="18"/>
        <v>0</v>
      </c>
      <c r="O440" s="402">
        <f t="shared" si="18"/>
        <v>0</v>
      </c>
      <c r="P440" s="402">
        <f t="shared" si="18"/>
        <v>0</v>
      </c>
      <c r="Q440" s="402">
        <v>0</v>
      </c>
      <c r="R440" s="242"/>
      <c r="T440" s="20"/>
      <c r="U440" s="20"/>
      <c r="V440" s="20"/>
      <c r="W440" s="20"/>
      <c r="X440" s="20"/>
    </row>
    <row r="441" spans="1:24" s="65" customFormat="1" ht="15" customHeight="1" outlineLevel="2">
      <c r="A441" s="219"/>
      <c r="B441" s="121"/>
      <c r="C441" s="242" t="s">
        <v>1848</v>
      </c>
      <c r="D441" s="121" t="str">
        <f>INDEX(Regional.Technologies[Description],MATCH($B$2&amp;"."&amp;G.30.levels.ProcessImprovements[[#This Row],[Technology code]],Regional.Technologies[Code],0))</f>
        <v>Global Natural Gas use in the Pulp &amp; paper: Pulp technology</v>
      </c>
      <c r="E441" s="121">
        <v>2</v>
      </c>
      <c r="F441" s="242" t="s">
        <v>1921</v>
      </c>
      <c r="G441" s="242"/>
      <c r="H441" s="242"/>
      <c r="I441" s="402">
        <v>0</v>
      </c>
      <c r="J441" s="402">
        <f t="shared" si="18"/>
        <v>2.0512820512820513E-2</v>
      </c>
      <c r="K441" s="402">
        <f t="shared" si="18"/>
        <v>4.6153846153846156E-2</v>
      </c>
      <c r="L441" s="402">
        <f t="shared" si="18"/>
        <v>7.179487179487179E-2</v>
      </c>
      <c r="M441" s="402">
        <f t="shared" si="18"/>
        <v>9.7435897435897437E-2</v>
      </c>
      <c r="N441" s="402">
        <f t="shared" si="18"/>
        <v>0.12307692307692308</v>
      </c>
      <c r="O441" s="402">
        <f t="shared" si="18"/>
        <v>0.14871794871794872</v>
      </c>
      <c r="P441" s="402">
        <f t="shared" si="18"/>
        <v>0.17435897435897435</v>
      </c>
      <c r="Q441" s="402">
        <v>0.2</v>
      </c>
      <c r="R441" s="242"/>
      <c r="T441" s="20"/>
      <c r="U441" s="20"/>
      <c r="V441" s="20"/>
      <c r="W441" s="20"/>
      <c r="X441" s="20"/>
    </row>
    <row r="442" spans="1:24" s="65" customFormat="1" ht="15" customHeight="1" outlineLevel="2">
      <c r="A442" s="219"/>
      <c r="B442" s="121"/>
      <c r="C442" s="242" t="s">
        <v>1848</v>
      </c>
      <c r="D442" s="121" t="str">
        <f>INDEX(Regional.Technologies[Description],MATCH($B$2&amp;"."&amp;G.30.levels.ProcessImprovements[[#This Row],[Technology code]],Regional.Technologies[Code],0))</f>
        <v>Global Natural Gas use in the Pulp &amp; paper: Pulp technology</v>
      </c>
      <c r="E442" s="121">
        <v>3</v>
      </c>
      <c r="F442" s="242" t="s">
        <v>1921</v>
      </c>
      <c r="G442" s="242"/>
      <c r="H442" s="242"/>
      <c r="I442" s="402">
        <v>0</v>
      </c>
      <c r="J442" s="402">
        <f t="shared" si="18"/>
        <v>3.0769230769230767E-2</v>
      </c>
      <c r="K442" s="402">
        <f t="shared" ref="J442:P478" si="19">(($Q442-$I442)/($Q$121-$I$121))*(K$121-$I$121)+$I442</f>
        <v>6.9230769230769221E-2</v>
      </c>
      <c r="L442" s="402">
        <f t="shared" si="19"/>
        <v>0.10769230769230768</v>
      </c>
      <c r="M442" s="402">
        <f t="shared" si="19"/>
        <v>0.14615384615384613</v>
      </c>
      <c r="N442" s="402">
        <f t="shared" si="19"/>
        <v>0.1846153846153846</v>
      </c>
      <c r="O442" s="402">
        <f t="shared" si="19"/>
        <v>0.22307692307692306</v>
      </c>
      <c r="P442" s="402">
        <f t="shared" si="19"/>
        <v>0.2615384615384615</v>
      </c>
      <c r="Q442" s="402">
        <v>0.3</v>
      </c>
      <c r="R442" s="242"/>
      <c r="T442" s="20"/>
      <c r="U442" s="20"/>
      <c r="V442" s="20"/>
      <c r="W442" s="20"/>
      <c r="X442" s="20"/>
    </row>
    <row r="443" spans="1:24" s="65" customFormat="1" ht="15" customHeight="1" outlineLevel="2">
      <c r="A443" s="219"/>
      <c r="B443" s="121"/>
      <c r="C443" s="242" t="s">
        <v>1848</v>
      </c>
      <c r="D443" s="121" t="str">
        <f>INDEX(Regional.Technologies[Description],MATCH($B$2&amp;"."&amp;G.30.levels.ProcessImprovements[[#This Row],[Technology code]],Regional.Technologies[Code],0))</f>
        <v>Global Natural Gas use in the Pulp &amp; paper: Pulp technology</v>
      </c>
      <c r="E443" s="121">
        <v>4</v>
      </c>
      <c r="F443" s="242" t="s">
        <v>1921</v>
      </c>
      <c r="G443" s="242"/>
      <c r="H443" s="242"/>
      <c r="I443" s="402">
        <v>0</v>
      </c>
      <c r="J443" s="402">
        <f t="shared" si="19"/>
        <v>4.1025641025641026E-2</v>
      </c>
      <c r="K443" s="402">
        <f t="shared" si="19"/>
        <v>9.2307692307692313E-2</v>
      </c>
      <c r="L443" s="402">
        <f t="shared" si="19"/>
        <v>0.14358974358974358</v>
      </c>
      <c r="M443" s="402">
        <f t="shared" si="19"/>
        <v>0.19487179487179487</v>
      </c>
      <c r="N443" s="402">
        <f t="shared" si="19"/>
        <v>0.24615384615384617</v>
      </c>
      <c r="O443" s="402">
        <f t="shared" si="19"/>
        <v>0.29743589743589743</v>
      </c>
      <c r="P443" s="402">
        <f t="shared" si="19"/>
        <v>0.3487179487179487</v>
      </c>
      <c r="Q443" s="402">
        <v>0.4</v>
      </c>
      <c r="R443" s="242"/>
      <c r="T443" s="20"/>
      <c r="U443" s="20"/>
      <c r="V443" s="20"/>
      <c r="W443" s="20"/>
      <c r="X443" s="20"/>
    </row>
    <row r="444" spans="1:24" s="65" customFormat="1" ht="15" customHeight="1" outlineLevel="2">
      <c r="A444" s="219"/>
      <c r="B444" s="121"/>
      <c r="C444" s="242" t="s">
        <v>1849</v>
      </c>
      <c r="D444" s="121" t="str">
        <f>INDEX(Regional.Technologies[Description],MATCH($B$2&amp;"."&amp;G.30.levels.ProcessImprovements[[#This Row],[Technology code]],Regional.Technologies[Code],0))</f>
        <v>Global Solid Hydrocarbons use in the Pulp &amp; paper: Pulp technology</v>
      </c>
      <c r="E444" s="121">
        <v>1</v>
      </c>
      <c r="F444" s="242" t="s">
        <v>1921</v>
      </c>
      <c r="G444" s="242"/>
      <c r="H444" s="242"/>
      <c r="I444" s="402">
        <v>0</v>
      </c>
      <c r="J444" s="402">
        <f t="shared" si="19"/>
        <v>0</v>
      </c>
      <c r="K444" s="402">
        <f t="shared" si="19"/>
        <v>0</v>
      </c>
      <c r="L444" s="402">
        <f t="shared" si="19"/>
        <v>0</v>
      </c>
      <c r="M444" s="402">
        <f t="shared" si="19"/>
        <v>0</v>
      </c>
      <c r="N444" s="402">
        <f t="shared" si="19"/>
        <v>0</v>
      </c>
      <c r="O444" s="402">
        <f t="shared" si="19"/>
        <v>0</v>
      </c>
      <c r="P444" s="402">
        <f t="shared" si="19"/>
        <v>0</v>
      </c>
      <c r="Q444" s="402">
        <v>0</v>
      </c>
      <c r="R444" s="242"/>
      <c r="T444" s="20"/>
      <c r="U444" s="20"/>
      <c r="V444" s="20"/>
      <c r="W444" s="20"/>
      <c r="X444" s="20"/>
    </row>
    <row r="445" spans="1:24" s="65" customFormat="1" ht="15" customHeight="1" outlineLevel="2">
      <c r="A445" s="219"/>
      <c r="B445" s="121"/>
      <c r="C445" s="242" t="s">
        <v>1849</v>
      </c>
      <c r="D445" s="121" t="str">
        <f>INDEX(Regional.Technologies[Description],MATCH($B$2&amp;"."&amp;G.30.levels.ProcessImprovements[[#This Row],[Technology code]],Regional.Technologies[Code],0))</f>
        <v>Global Solid Hydrocarbons use in the Pulp &amp; paper: Pulp technology</v>
      </c>
      <c r="E445" s="121">
        <v>2</v>
      </c>
      <c r="F445" s="242" t="s">
        <v>1921</v>
      </c>
      <c r="G445" s="242"/>
      <c r="H445" s="242"/>
      <c r="I445" s="402">
        <v>0</v>
      </c>
      <c r="J445" s="402">
        <f t="shared" si="19"/>
        <v>2.0512820512820513E-2</v>
      </c>
      <c r="K445" s="402">
        <f t="shared" si="19"/>
        <v>4.6153846153846156E-2</v>
      </c>
      <c r="L445" s="402">
        <f t="shared" si="19"/>
        <v>7.179487179487179E-2</v>
      </c>
      <c r="M445" s="402">
        <f t="shared" si="19"/>
        <v>9.7435897435897437E-2</v>
      </c>
      <c r="N445" s="402">
        <f t="shared" si="19"/>
        <v>0.12307692307692308</v>
      </c>
      <c r="O445" s="402">
        <f t="shared" si="19"/>
        <v>0.14871794871794872</v>
      </c>
      <c r="P445" s="402">
        <f t="shared" si="19"/>
        <v>0.17435897435897435</v>
      </c>
      <c r="Q445" s="402">
        <v>0.2</v>
      </c>
      <c r="R445" s="242"/>
      <c r="T445" s="20"/>
      <c r="U445" s="20"/>
      <c r="V445" s="20"/>
      <c r="W445" s="20"/>
      <c r="X445" s="20"/>
    </row>
    <row r="446" spans="1:24" s="65" customFormat="1" ht="15" customHeight="1" outlineLevel="2">
      <c r="A446" s="219"/>
      <c r="B446" s="121"/>
      <c r="C446" s="242" t="s">
        <v>1849</v>
      </c>
      <c r="D446" s="121" t="str">
        <f>INDEX(Regional.Technologies[Description],MATCH($B$2&amp;"."&amp;G.30.levels.ProcessImprovements[[#This Row],[Technology code]],Regional.Technologies[Code],0))</f>
        <v>Global Solid Hydrocarbons use in the Pulp &amp; paper: Pulp technology</v>
      </c>
      <c r="E446" s="121">
        <v>3</v>
      </c>
      <c r="F446" s="242" t="s">
        <v>1921</v>
      </c>
      <c r="G446" s="242"/>
      <c r="H446" s="242"/>
      <c r="I446" s="402">
        <v>0</v>
      </c>
      <c r="J446" s="402">
        <f t="shared" si="19"/>
        <v>3.0769230769230767E-2</v>
      </c>
      <c r="K446" s="402">
        <f t="shared" si="19"/>
        <v>6.9230769230769221E-2</v>
      </c>
      <c r="L446" s="402">
        <f t="shared" si="19"/>
        <v>0.10769230769230768</v>
      </c>
      <c r="M446" s="402">
        <f t="shared" si="19"/>
        <v>0.14615384615384613</v>
      </c>
      <c r="N446" s="402">
        <f t="shared" si="19"/>
        <v>0.1846153846153846</v>
      </c>
      <c r="O446" s="402">
        <f t="shared" si="19"/>
        <v>0.22307692307692306</v>
      </c>
      <c r="P446" s="402">
        <f t="shared" si="19"/>
        <v>0.2615384615384615</v>
      </c>
      <c r="Q446" s="402">
        <v>0.3</v>
      </c>
      <c r="R446" s="242"/>
      <c r="T446" s="20"/>
      <c r="U446" s="20"/>
      <c r="V446" s="20"/>
      <c r="W446" s="20"/>
      <c r="X446" s="20"/>
    </row>
    <row r="447" spans="1:24" s="65" customFormat="1" ht="15" customHeight="1" outlineLevel="2">
      <c r="A447" s="219"/>
      <c r="B447" s="121"/>
      <c r="C447" s="242" t="s">
        <v>1849</v>
      </c>
      <c r="D447" s="121" t="str">
        <f>INDEX(Regional.Technologies[Description],MATCH($B$2&amp;"."&amp;G.30.levels.ProcessImprovements[[#This Row],[Technology code]],Regional.Technologies[Code],0))</f>
        <v>Global Solid Hydrocarbons use in the Pulp &amp; paper: Pulp technology</v>
      </c>
      <c r="E447" s="121">
        <v>4</v>
      </c>
      <c r="F447" s="242" t="s">
        <v>1921</v>
      </c>
      <c r="G447" s="242"/>
      <c r="H447" s="242"/>
      <c r="I447" s="402">
        <v>0</v>
      </c>
      <c r="J447" s="402">
        <f t="shared" si="19"/>
        <v>4.1025641025641026E-2</v>
      </c>
      <c r="K447" s="402">
        <f t="shared" si="19"/>
        <v>9.2307692307692313E-2</v>
      </c>
      <c r="L447" s="402">
        <f t="shared" si="19"/>
        <v>0.14358974358974358</v>
      </c>
      <c r="M447" s="402">
        <f t="shared" si="19"/>
        <v>0.19487179487179487</v>
      </c>
      <c r="N447" s="402">
        <f t="shared" si="19"/>
        <v>0.24615384615384617</v>
      </c>
      <c r="O447" s="402">
        <f t="shared" si="19"/>
        <v>0.29743589743589743</v>
      </c>
      <c r="P447" s="402">
        <f t="shared" si="19"/>
        <v>0.3487179487179487</v>
      </c>
      <c r="Q447" s="402">
        <v>0.4</v>
      </c>
      <c r="R447" s="242"/>
      <c r="T447" s="20"/>
      <c r="U447" s="20"/>
      <c r="V447" s="20"/>
      <c r="W447" s="20"/>
      <c r="X447" s="20"/>
    </row>
    <row r="448" spans="1:24" s="65" customFormat="1" ht="15" customHeight="1" outlineLevel="2">
      <c r="A448" s="219"/>
      <c r="B448" s="121"/>
      <c r="C448" s="242" t="s">
        <v>1850</v>
      </c>
      <c r="D448" s="121" t="str">
        <f>INDEX(Regional.Technologies[Description],MATCH($B$2&amp;"."&amp;G.30.levels.ProcessImprovements[[#This Row],[Technology code]],Regional.Technologies[Code],0))</f>
        <v>Global Heat use in the Pulp &amp; paper: Pulp technology</v>
      </c>
      <c r="E448" s="121">
        <v>1</v>
      </c>
      <c r="F448" s="242" t="s">
        <v>1922</v>
      </c>
      <c r="G448" s="242"/>
      <c r="H448" s="242"/>
      <c r="I448" s="402">
        <v>0</v>
      </c>
      <c r="J448" s="402">
        <f t="shared" si="19"/>
        <v>0</v>
      </c>
      <c r="K448" s="402">
        <f t="shared" si="19"/>
        <v>0</v>
      </c>
      <c r="L448" s="402">
        <f t="shared" si="19"/>
        <v>0</v>
      </c>
      <c r="M448" s="402">
        <f t="shared" si="19"/>
        <v>0</v>
      </c>
      <c r="N448" s="402">
        <f t="shared" si="19"/>
        <v>0</v>
      </c>
      <c r="O448" s="402">
        <f t="shared" si="19"/>
        <v>0</v>
      </c>
      <c r="P448" s="402">
        <f t="shared" si="19"/>
        <v>0</v>
      </c>
      <c r="Q448" s="402">
        <v>0</v>
      </c>
      <c r="R448" s="242"/>
      <c r="T448" s="20"/>
      <c r="U448" s="20"/>
      <c r="V448" s="20"/>
      <c r="W448" s="20"/>
      <c r="X448" s="20"/>
    </row>
    <row r="449" spans="1:24" s="65" customFormat="1" ht="15" customHeight="1" outlineLevel="2">
      <c r="A449" s="219"/>
      <c r="B449" s="121"/>
      <c r="C449" s="242" t="s">
        <v>1850</v>
      </c>
      <c r="D449" s="121" t="str">
        <f>INDEX(Regional.Technologies[Description],MATCH($B$2&amp;"."&amp;G.30.levels.ProcessImprovements[[#This Row],[Technology code]],Regional.Technologies[Code],0))</f>
        <v>Global Heat use in the Pulp &amp; paper: Pulp technology</v>
      </c>
      <c r="E449" s="121">
        <v>2</v>
      </c>
      <c r="F449" s="242" t="s">
        <v>1922</v>
      </c>
      <c r="G449" s="242"/>
      <c r="H449" s="242"/>
      <c r="I449" s="402">
        <v>0</v>
      </c>
      <c r="J449" s="402">
        <f t="shared" si="19"/>
        <v>2.0512820512820513E-2</v>
      </c>
      <c r="K449" s="402">
        <f t="shared" si="19"/>
        <v>4.6153846153846156E-2</v>
      </c>
      <c r="L449" s="402">
        <f t="shared" si="19"/>
        <v>7.179487179487179E-2</v>
      </c>
      <c r="M449" s="402">
        <f t="shared" si="19"/>
        <v>9.7435897435897437E-2</v>
      </c>
      <c r="N449" s="402">
        <f t="shared" si="19"/>
        <v>0.12307692307692308</v>
      </c>
      <c r="O449" s="402">
        <f t="shared" si="19"/>
        <v>0.14871794871794872</v>
      </c>
      <c r="P449" s="402">
        <f t="shared" si="19"/>
        <v>0.17435897435897435</v>
      </c>
      <c r="Q449" s="402">
        <v>0.2</v>
      </c>
      <c r="R449" s="242"/>
      <c r="T449" s="20"/>
      <c r="U449" s="20"/>
      <c r="V449" s="20"/>
      <c r="W449" s="20"/>
      <c r="X449" s="20"/>
    </row>
    <row r="450" spans="1:24" s="65" customFormat="1" ht="15" customHeight="1" outlineLevel="2">
      <c r="A450" s="219"/>
      <c r="B450" s="121"/>
      <c r="C450" s="242" t="s">
        <v>1850</v>
      </c>
      <c r="D450" s="121" t="str">
        <f>INDEX(Regional.Technologies[Description],MATCH($B$2&amp;"."&amp;G.30.levels.ProcessImprovements[[#This Row],[Technology code]],Regional.Technologies[Code],0))</f>
        <v>Global Heat use in the Pulp &amp; paper: Pulp technology</v>
      </c>
      <c r="E450" s="121">
        <v>3</v>
      </c>
      <c r="F450" s="242" t="s">
        <v>1922</v>
      </c>
      <c r="G450" s="242"/>
      <c r="H450" s="242"/>
      <c r="I450" s="402">
        <v>0</v>
      </c>
      <c r="J450" s="402">
        <f t="shared" si="19"/>
        <v>3.0769230769230767E-2</v>
      </c>
      <c r="K450" s="402">
        <f t="shared" si="19"/>
        <v>6.9230769230769221E-2</v>
      </c>
      <c r="L450" s="402">
        <f t="shared" si="19"/>
        <v>0.10769230769230768</v>
      </c>
      <c r="M450" s="402">
        <f t="shared" si="19"/>
        <v>0.14615384615384613</v>
      </c>
      <c r="N450" s="402">
        <f t="shared" si="19"/>
        <v>0.1846153846153846</v>
      </c>
      <c r="O450" s="402">
        <f t="shared" si="19"/>
        <v>0.22307692307692306</v>
      </c>
      <c r="P450" s="402">
        <f t="shared" si="19"/>
        <v>0.2615384615384615</v>
      </c>
      <c r="Q450" s="402">
        <v>0.3</v>
      </c>
      <c r="R450" s="242"/>
      <c r="T450" s="20"/>
      <c r="U450" s="20"/>
      <c r="V450" s="20"/>
      <c r="W450" s="20"/>
      <c r="X450" s="20"/>
    </row>
    <row r="451" spans="1:24" s="65" customFormat="1" ht="15" customHeight="1" outlineLevel="2">
      <c r="A451" s="219"/>
      <c r="B451" s="121"/>
      <c r="C451" s="242" t="s">
        <v>1850</v>
      </c>
      <c r="D451" s="121" t="str">
        <f>INDEX(Regional.Technologies[Description],MATCH($B$2&amp;"."&amp;G.30.levels.ProcessImprovements[[#This Row],[Technology code]],Regional.Technologies[Code],0))</f>
        <v>Global Heat use in the Pulp &amp; paper: Pulp technology</v>
      </c>
      <c r="E451" s="121">
        <v>4</v>
      </c>
      <c r="F451" s="242" t="s">
        <v>1922</v>
      </c>
      <c r="G451" s="242"/>
      <c r="H451" s="242"/>
      <c r="I451" s="402">
        <v>0</v>
      </c>
      <c r="J451" s="402">
        <f t="shared" si="19"/>
        <v>4.1025641025641026E-2</v>
      </c>
      <c r="K451" s="402">
        <f t="shared" si="19"/>
        <v>9.2307692307692313E-2</v>
      </c>
      <c r="L451" s="402">
        <f t="shared" si="19"/>
        <v>0.14358974358974358</v>
      </c>
      <c r="M451" s="402">
        <f t="shared" si="19"/>
        <v>0.19487179487179487</v>
      </c>
      <c r="N451" s="402">
        <f t="shared" si="19"/>
        <v>0.24615384615384617</v>
      </c>
      <c r="O451" s="402">
        <f t="shared" si="19"/>
        <v>0.29743589743589743</v>
      </c>
      <c r="P451" s="402">
        <f t="shared" si="19"/>
        <v>0.3487179487179487</v>
      </c>
      <c r="Q451" s="402">
        <v>0.4</v>
      </c>
      <c r="R451" s="242"/>
      <c r="T451" s="20"/>
      <c r="U451" s="20"/>
      <c r="V451" s="20"/>
      <c r="W451" s="20"/>
      <c r="X451" s="20"/>
    </row>
    <row r="452" spans="1:24" s="65" customFormat="1" ht="15" customHeight="1" outlineLevel="2">
      <c r="A452" s="219"/>
      <c r="B452" s="121"/>
      <c r="C452" s="242" t="s">
        <v>1631</v>
      </c>
      <c r="D452" s="121" t="str">
        <f>INDEX(Regional.Technologies[Description],MATCH($B$2&amp;"."&amp;G.30.levels.ProcessImprovements[[#This Row],[Technology code]],Regional.Technologies[Code],0))</f>
        <v>Global Electricity use in the Pulp &amp; paper: Virgin technology</v>
      </c>
      <c r="E452" s="121">
        <v>1</v>
      </c>
      <c r="F452" s="242" t="s">
        <v>1922</v>
      </c>
      <c r="G452" s="242"/>
      <c r="H452" s="242"/>
      <c r="I452" s="402">
        <v>0</v>
      </c>
      <c r="J452" s="402">
        <f t="shared" si="19"/>
        <v>0</v>
      </c>
      <c r="K452" s="402">
        <f t="shared" si="19"/>
        <v>0</v>
      </c>
      <c r="L452" s="402">
        <f t="shared" si="19"/>
        <v>0</v>
      </c>
      <c r="M452" s="402">
        <f t="shared" si="19"/>
        <v>0</v>
      </c>
      <c r="N452" s="402">
        <f t="shared" si="19"/>
        <v>0</v>
      </c>
      <c r="O452" s="402">
        <f t="shared" si="19"/>
        <v>0</v>
      </c>
      <c r="P452" s="402">
        <f t="shared" si="19"/>
        <v>0</v>
      </c>
      <c r="Q452" s="402">
        <v>0</v>
      </c>
      <c r="R452" s="242"/>
      <c r="T452" s="20"/>
      <c r="U452" s="20"/>
      <c r="V452" s="20"/>
      <c r="W452" s="20"/>
      <c r="X452" s="20"/>
    </row>
    <row r="453" spans="1:24" s="65" customFormat="1" ht="15" customHeight="1" outlineLevel="2">
      <c r="A453" s="219"/>
      <c r="B453" s="121"/>
      <c r="C453" s="242" t="s">
        <v>1631</v>
      </c>
      <c r="D453" s="121" t="str">
        <f>INDEX(Regional.Technologies[Description],MATCH($B$2&amp;"."&amp;G.30.levels.ProcessImprovements[[#This Row],[Technology code]],Regional.Technologies[Code],0))</f>
        <v>Global Electricity use in the Pulp &amp; paper: Virgin technology</v>
      </c>
      <c r="E453" s="121">
        <v>2</v>
      </c>
      <c r="F453" s="242" t="s">
        <v>1922</v>
      </c>
      <c r="G453" s="242"/>
      <c r="H453" s="242"/>
      <c r="I453" s="402">
        <v>0</v>
      </c>
      <c r="J453" s="402">
        <f t="shared" si="19"/>
        <v>2.0512820512820513E-2</v>
      </c>
      <c r="K453" s="402">
        <f t="shared" si="19"/>
        <v>4.6153846153846156E-2</v>
      </c>
      <c r="L453" s="402">
        <f t="shared" si="19"/>
        <v>7.179487179487179E-2</v>
      </c>
      <c r="M453" s="402">
        <f t="shared" si="19"/>
        <v>9.7435897435897437E-2</v>
      </c>
      <c r="N453" s="402">
        <f t="shared" si="19"/>
        <v>0.12307692307692308</v>
      </c>
      <c r="O453" s="402">
        <f t="shared" si="19"/>
        <v>0.14871794871794872</v>
      </c>
      <c r="P453" s="402">
        <f t="shared" si="19"/>
        <v>0.17435897435897435</v>
      </c>
      <c r="Q453" s="402">
        <v>0.2</v>
      </c>
      <c r="R453" s="242"/>
      <c r="T453" s="20"/>
      <c r="U453" s="20"/>
      <c r="V453" s="20"/>
      <c r="W453" s="20"/>
      <c r="X453" s="20"/>
    </row>
    <row r="454" spans="1:24" s="65" customFormat="1" ht="15" customHeight="1" outlineLevel="2">
      <c r="A454" s="219"/>
      <c r="B454" s="121"/>
      <c r="C454" s="242" t="s">
        <v>1631</v>
      </c>
      <c r="D454" s="121" t="str">
        <f>INDEX(Regional.Technologies[Description],MATCH($B$2&amp;"."&amp;G.30.levels.ProcessImprovements[[#This Row],[Technology code]],Regional.Technologies[Code],0))</f>
        <v>Global Electricity use in the Pulp &amp; paper: Virgin technology</v>
      </c>
      <c r="E454" s="121">
        <v>3</v>
      </c>
      <c r="F454" s="242" t="s">
        <v>1922</v>
      </c>
      <c r="G454" s="242"/>
      <c r="H454" s="242"/>
      <c r="I454" s="402">
        <v>0</v>
      </c>
      <c r="J454" s="402">
        <f t="shared" si="19"/>
        <v>3.0769230769230767E-2</v>
      </c>
      <c r="K454" s="402">
        <f t="shared" si="19"/>
        <v>6.9230769230769221E-2</v>
      </c>
      <c r="L454" s="402">
        <f t="shared" si="19"/>
        <v>0.10769230769230768</v>
      </c>
      <c r="M454" s="402">
        <f t="shared" si="19"/>
        <v>0.14615384615384613</v>
      </c>
      <c r="N454" s="402">
        <f t="shared" si="19"/>
        <v>0.1846153846153846</v>
      </c>
      <c r="O454" s="402">
        <f t="shared" si="19"/>
        <v>0.22307692307692306</v>
      </c>
      <c r="P454" s="402">
        <f t="shared" si="19"/>
        <v>0.2615384615384615</v>
      </c>
      <c r="Q454" s="402">
        <v>0.3</v>
      </c>
      <c r="R454" s="242"/>
      <c r="T454" s="20"/>
      <c r="U454" s="20"/>
      <c r="V454" s="20"/>
      <c r="W454" s="20"/>
      <c r="X454" s="20"/>
    </row>
    <row r="455" spans="1:24" s="65" customFormat="1" ht="15" customHeight="1" outlineLevel="2">
      <c r="A455" s="219"/>
      <c r="B455" s="121"/>
      <c r="C455" s="242" t="s">
        <v>1631</v>
      </c>
      <c r="D455" s="121" t="str">
        <f>INDEX(Regional.Technologies[Description],MATCH($B$2&amp;"."&amp;G.30.levels.ProcessImprovements[[#This Row],[Technology code]],Regional.Technologies[Code],0))</f>
        <v>Global Electricity use in the Pulp &amp; paper: Virgin technology</v>
      </c>
      <c r="E455" s="121">
        <v>4</v>
      </c>
      <c r="F455" s="242" t="s">
        <v>1922</v>
      </c>
      <c r="G455" s="242"/>
      <c r="H455" s="242"/>
      <c r="I455" s="402">
        <v>0</v>
      </c>
      <c r="J455" s="402">
        <f t="shared" si="19"/>
        <v>4.1025641025641026E-2</v>
      </c>
      <c r="K455" s="402">
        <f t="shared" si="19"/>
        <v>9.2307692307692313E-2</v>
      </c>
      <c r="L455" s="402">
        <f t="shared" si="19"/>
        <v>0.14358974358974358</v>
      </c>
      <c r="M455" s="402">
        <f t="shared" si="19"/>
        <v>0.19487179487179487</v>
      </c>
      <c r="N455" s="402">
        <f t="shared" si="19"/>
        <v>0.24615384615384617</v>
      </c>
      <c r="O455" s="402">
        <f t="shared" si="19"/>
        <v>0.29743589743589743</v>
      </c>
      <c r="P455" s="402">
        <f t="shared" si="19"/>
        <v>0.3487179487179487</v>
      </c>
      <c r="Q455" s="402">
        <v>0.4</v>
      </c>
      <c r="R455" s="242"/>
      <c r="T455" s="20"/>
      <c r="U455" s="20"/>
      <c r="V455" s="20"/>
      <c r="W455" s="20"/>
      <c r="X455" s="20"/>
    </row>
    <row r="456" spans="1:24" s="65" customFormat="1" ht="15" customHeight="1" outlineLevel="2">
      <c r="A456" s="219"/>
      <c r="B456" s="121"/>
      <c r="C456" s="242" t="s">
        <v>1851</v>
      </c>
      <c r="D456" s="121" t="str">
        <f>INDEX(Regional.Technologies[Description],MATCH($B$2&amp;"."&amp;G.30.levels.ProcessImprovements[[#This Row],[Technology code]],Regional.Technologies[Code],0))</f>
        <v>Global Coal use in the Pulp &amp; paper: Virgin technology</v>
      </c>
      <c r="E456" s="121">
        <v>1</v>
      </c>
      <c r="F456" s="242" t="s">
        <v>1922</v>
      </c>
      <c r="G456" s="242"/>
      <c r="H456" s="242"/>
      <c r="I456" s="402">
        <v>0</v>
      </c>
      <c r="J456" s="402">
        <f t="shared" si="19"/>
        <v>0</v>
      </c>
      <c r="K456" s="402">
        <f t="shared" si="19"/>
        <v>0</v>
      </c>
      <c r="L456" s="402">
        <f t="shared" si="19"/>
        <v>0</v>
      </c>
      <c r="M456" s="402">
        <f t="shared" si="19"/>
        <v>0</v>
      </c>
      <c r="N456" s="402">
        <f t="shared" si="19"/>
        <v>0</v>
      </c>
      <c r="O456" s="402">
        <f t="shared" si="19"/>
        <v>0</v>
      </c>
      <c r="P456" s="402">
        <f t="shared" si="19"/>
        <v>0</v>
      </c>
      <c r="Q456" s="402">
        <v>0</v>
      </c>
      <c r="R456" s="242"/>
      <c r="T456" s="20"/>
      <c r="U456" s="20"/>
      <c r="V456" s="20"/>
      <c r="W456" s="20"/>
      <c r="X456" s="20"/>
    </row>
    <row r="457" spans="1:24" s="65" customFormat="1" ht="15" customHeight="1" outlineLevel="2">
      <c r="A457" s="219"/>
      <c r="B457" s="121"/>
      <c r="C457" s="242" t="s">
        <v>1851</v>
      </c>
      <c r="D457" s="121" t="str">
        <f>INDEX(Regional.Technologies[Description],MATCH($B$2&amp;"."&amp;G.30.levels.ProcessImprovements[[#This Row],[Technology code]],Regional.Technologies[Code],0))</f>
        <v>Global Coal use in the Pulp &amp; paper: Virgin technology</v>
      </c>
      <c r="E457" s="121">
        <v>2</v>
      </c>
      <c r="F457" s="242" t="s">
        <v>1922</v>
      </c>
      <c r="G457" s="242"/>
      <c r="H457" s="242"/>
      <c r="I457" s="402">
        <v>0</v>
      </c>
      <c r="J457" s="402">
        <f t="shared" si="19"/>
        <v>2.0512820512820513E-2</v>
      </c>
      <c r="K457" s="402">
        <f t="shared" si="19"/>
        <v>4.6153846153846156E-2</v>
      </c>
      <c r="L457" s="402">
        <f t="shared" si="19"/>
        <v>7.179487179487179E-2</v>
      </c>
      <c r="M457" s="402">
        <f t="shared" si="19"/>
        <v>9.7435897435897437E-2</v>
      </c>
      <c r="N457" s="402">
        <f t="shared" si="19"/>
        <v>0.12307692307692308</v>
      </c>
      <c r="O457" s="402">
        <f t="shared" si="19"/>
        <v>0.14871794871794872</v>
      </c>
      <c r="P457" s="402">
        <f t="shared" si="19"/>
        <v>0.17435897435897435</v>
      </c>
      <c r="Q457" s="402">
        <v>0.2</v>
      </c>
      <c r="R457" s="242"/>
      <c r="T457" s="20"/>
      <c r="U457" s="20"/>
      <c r="V457" s="20"/>
      <c r="W457" s="20"/>
      <c r="X457" s="20"/>
    </row>
    <row r="458" spans="1:24" s="65" customFormat="1" ht="15" customHeight="1" outlineLevel="2">
      <c r="A458" s="219"/>
      <c r="B458" s="121"/>
      <c r="C458" s="242" t="s">
        <v>1851</v>
      </c>
      <c r="D458" s="121" t="str">
        <f>INDEX(Regional.Technologies[Description],MATCH($B$2&amp;"."&amp;G.30.levels.ProcessImprovements[[#This Row],[Technology code]],Regional.Technologies[Code],0))</f>
        <v>Global Coal use in the Pulp &amp; paper: Virgin technology</v>
      </c>
      <c r="E458" s="121">
        <v>3</v>
      </c>
      <c r="F458" s="242" t="s">
        <v>1922</v>
      </c>
      <c r="G458" s="242"/>
      <c r="H458" s="242"/>
      <c r="I458" s="402">
        <v>0</v>
      </c>
      <c r="J458" s="402">
        <f t="shared" si="19"/>
        <v>3.0769230769230767E-2</v>
      </c>
      <c r="K458" s="402">
        <f t="shared" si="19"/>
        <v>6.9230769230769221E-2</v>
      </c>
      <c r="L458" s="402">
        <f t="shared" si="19"/>
        <v>0.10769230769230768</v>
      </c>
      <c r="M458" s="402">
        <f t="shared" si="19"/>
        <v>0.14615384615384613</v>
      </c>
      <c r="N458" s="402">
        <f t="shared" si="19"/>
        <v>0.1846153846153846</v>
      </c>
      <c r="O458" s="402">
        <f t="shared" si="19"/>
        <v>0.22307692307692306</v>
      </c>
      <c r="P458" s="402">
        <f t="shared" si="19"/>
        <v>0.2615384615384615</v>
      </c>
      <c r="Q458" s="402">
        <v>0.3</v>
      </c>
      <c r="R458" s="242"/>
      <c r="T458" s="20"/>
      <c r="U458" s="20"/>
      <c r="V458" s="20"/>
      <c r="W458" s="20"/>
      <c r="X458" s="20"/>
    </row>
    <row r="459" spans="1:24" s="65" customFormat="1" ht="15" customHeight="1" outlineLevel="2">
      <c r="A459" s="219"/>
      <c r="B459" s="121"/>
      <c r="C459" s="242" t="s">
        <v>1851</v>
      </c>
      <c r="D459" s="121" t="str">
        <f>INDEX(Regional.Technologies[Description],MATCH($B$2&amp;"."&amp;G.30.levels.ProcessImprovements[[#This Row],[Technology code]],Regional.Technologies[Code],0))</f>
        <v>Global Coal use in the Pulp &amp; paper: Virgin technology</v>
      </c>
      <c r="E459" s="121">
        <v>4</v>
      </c>
      <c r="F459" s="242" t="s">
        <v>1922</v>
      </c>
      <c r="G459" s="242"/>
      <c r="H459" s="242"/>
      <c r="I459" s="402">
        <v>0</v>
      </c>
      <c r="J459" s="402">
        <f t="shared" si="19"/>
        <v>4.1025641025641026E-2</v>
      </c>
      <c r="K459" s="402">
        <f t="shared" si="19"/>
        <v>9.2307692307692313E-2</v>
      </c>
      <c r="L459" s="402">
        <f t="shared" si="19"/>
        <v>0.14358974358974358</v>
      </c>
      <c r="M459" s="402">
        <f t="shared" si="19"/>
        <v>0.19487179487179487</v>
      </c>
      <c r="N459" s="402">
        <f t="shared" si="19"/>
        <v>0.24615384615384617</v>
      </c>
      <c r="O459" s="402">
        <f t="shared" si="19"/>
        <v>0.29743589743589743</v>
      </c>
      <c r="P459" s="402">
        <f t="shared" si="19"/>
        <v>0.3487179487179487</v>
      </c>
      <c r="Q459" s="402">
        <v>0.4</v>
      </c>
      <c r="R459" s="242"/>
      <c r="T459" s="20"/>
      <c r="U459" s="20"/>
      <c r="V459" s="20"/>
      <c r="W459" s="20"/>
      <c r="X459" s="20"/>
    </row>
    <row r="460" spans="1:24" s="65" customFormat="1" ht="15" customHeight="1" outlineLevel="2">
      <c r="A460" s="219"/>
      <c r="B460" s="121"/>
      <c r="C460" s="242" t="s">
        <v>1852</v>
      </c>
      <c r="D460" s="121" t="str">
        <f>INDEX(Regional.Technologies[Description],MATCH($B$2&amp;"."&amp;G.30.levels.ProcessImprovements[[#This Row],[Technology code]],Regional.Technologies[Code],0))</f>
        <v>Global Oil use in the Pulp &amp; paper: Virgin technology</v>
      </c>
      <c r="E460" s="121">
        <v>1</v>
      </c>
      <c r="F460" s="242" t="s">
        <v>1922</v>
      </c>
      <c r="G460" s="242"/>
      <c r="H460" s="242"/>
      <c r="I460" s="402">
        <v>0</v>
      </c>
      <c r="J460" s="402">
        <f t="shared" si="19"/>
        <v>0</v>
      </c>
      <c r="K460" s="402">
        <f t="shared" si="19"/>
        <v>0</v>
      </c>
      <c r="L460" s="402">
        <f t="shared" si="19"/>
        <v>0</v>
      </c>
      <c r="M460" s="402">
        <f t="shared" si="19"/>
        <v>0</v>
      </c>
      <c r="N460" s="402">
        <f t="shared" si="19"/>
        <v>0</v>
      </c>
      <c r="O460" s="402">
        <f t="shared" si="19"/>
        <v>0</v>
      </c>
      <c r="P460" s="402">
        <f t="shared" si="19"/>
        <v>0</v>
      </c>
      <c r="Q460" s="402">
        <v>0</v>
      </c>
      <c r="R460" s="242"/>
      <c r="T460" s="20"/>
      <c r="U460" s="20"/>
      <c r="V460" s="20"/>
      <c r="W460" s="20"/>
      <c r="X460" s="20"/>
    </row>
    <row r="461" spans="1:24" s="65" customFormat="1" ht="15" customHeight="1" outlineLevel="2">
      <c r="A461" s="219"/>
      <c r="B461" s="121"/>
      <c r="C461" s="242" t="s">
        <v>1852</v>
      </c>
      <c r="D461" s="121" t="str">
        <f>INDEX(Regional.Technologies[Description],MATCH($B$2&amp;"."&amp;G.30.levels.ProcessImprovements[[#This Row],[Technology code]],Regional.Technologies[Code],0))</f>
        <v>Global Oil use in the Pulp &amp; paper: Virgin technology</v>
      </c>
      <c r="E461" s="121">
        <v>2</v>
      </c>
      <c r="F461" s="242" t="s">
        <v>1922</v>
      </c>
      <c r="G461" s="242"/>
      <c r="H461" s="242"/>
      <c r="I461" s="402">
        <v>0</v>
      </c>
      <c r="J461" s="402">
        <f t="shared" si="19"/>
        <v>2.0512820512820513E-2</v>
      </c>
      <c r="K461" s="402">
        <f t="shared" si="19"/>
        <v>4.6153846153846156E-2</v>
      </c>
      <c r="L461" s="402">
        <f t="shared" si="19"/>
        <v>7.179487179487179E-2</v>
      </c>
      <c r="M461" s="402">
        <f t="shared" si="19"/>
        <v>9.7435897435897437E-2</v>
      </c>
      <c r="N461" s="402">
        <f t="shared" si="19"/>
        <v>0.12307692307692308</v>
      </c>
      <c r="O461" s="402">
        <f t="shared" si="19"/>
        <v>0.14871794871794872</v>
      </c>
      <c r="P461" s="402">
        <f t="shared" si="19"/>
        <v>0.17435897435897435</v>
      </c>
      <c r="Q461" s="402">
        <v>0.2</v>
      </c>
      <c r="R461" s="242"/>
      <c r="T461" s="20"/>
      <c r="U461" s="20"/>
      <c r="V461" s="20"/>
      <c r="W461" s="20"/>
      <c r="X461" s="20"/>
    </row>
    <row r="462" spans="1:24" s="65" customFormat="1" ht="15" customHeight="1" outlineLevel="2">
      <c r="A462" s="219"/>
      <c r="B462" s="121"/>
      <c r="C462" s="242" t="s">
        <v>1852</v>
      </c>
      <c r="D462" s="121" t="str">
        <f>INDEX(Regional.Technologies[Description],MATCH($B$2&amp;"."&amp;G.30.levels.ProcessImprovements[[#This Row],[Technology code]],Regional.Technologies[Code],0))</f>
        <v>Global Oil use in the Pulp &amp; paper: Virgin technology</v>
      </c>
      <c r="E462" s="121">
        <v>3</v>
      </c>
      <c r="F462" s="242" t="s">
        <v>1922</v>
      </c>
      <c r="G462" s="242"/>
      <c r="H462" s="242"/>
      <c r="I462" s="402">
        <v>0</v>
      </c>
      <c r="J462" s="402">
        <f t="shared" si="19"/>
        <v>3.0769230769230767E-2</v>
      </c>
      <c r="K462" s="402">
        <f t="shared" si="19"/>
        <v>6.9230769230769221E-2</v>
      </c>
      <c r="L462" s="402">
        <f t="shared" si="19"/>
        <v>0.10769230769230768</v>
      </c>
      <c r="M462" s="402">
        <f t="shared" si="19"/>
        <v>0.14615384615384613</v>
      </c>
      <c r="N462" s="402">
        <f t="shared" si="19"/>
        <v>0.1846153846153846</v>
      </c>
      <c r="O462" s="402">
        <f t="shared" si="19"/>
        <v>0.22307692307692306</v>
      </c>
      <c r="P462" s="402">
        <f t="shared" si="19"/>
        <v>0.2615384615384615</v>
      </c>
      <c r="Q462" s="402">
        <v>0.3</v>
      </c>
      <c r="R462" s="242"/>
      <c r="T462" s="20"/>
      <c r="U462" s="20"/>
      <c r="V462" s="20"/>
      <c r="W462" s="20"/>
      <c r="X462" s="20"/>
    </row>
    <row r="463" spans="1:24" s="65" customFormat="1" ht="15" customHeight="1" outlineLevel="2">
      <c r="A463" s="219"/>
      <c r="B463" s="121"/>
      <c r="C463" s="242" t="s">
        <v>1852</v>
      </c>
      <c r="D463" s="121" t="str">
        <f>INDEX(Regional.Technologies[Description],MATCH($B$2&amp;"."&amp;G.30.levels.ProcessImprovements[[#This Row],[Technology code]],Regional.Technologies[Code],0))</f>
        <v>Global Oil use in the Pulp &amp; paper: Virgin technology</v>
      </c>
      <c r="E463" s="121">
        <v>4</v>
      </c>
      <c r="F463" s="242" t="s">
        <v>1922</v>
      </c>
      <c r="G463" s="242"/>
      <c r="H463" s="242"/>
      <c r="I463" s="402">
        <v>0</v>
      </c>
      <c r="J463" s="402">
        <f t="shared" si="19"/>
        <v>4.1025641025641026E-2</v>
      </c>
      <c r="K463" s="402">
        <f t="shared" si="19"/>
        <v>9.2307692307692313E-2</v>
      </c>
      <c r="L463" s="402">
        <f t="shared" si="19"/>
        <v>0.14358974358974358</v>
      </c>
      <c r="M463" s="402">
        <f t="shared" si="19"/>
        <v>0.19487179487179487</v>
      </c>
      <c r="N463" s="402">
        <f t="shared" si="19"/>
        <v>0.24615384615384617</v>
      </c>
      <c r="O463" s="402">
        <f t="shared" si="19"/>
        <v>0.29743589743589743</v>
      </c>
      <c r="P463" s="402">
        <f t="shared" si="19"/>
        <v>0.3487179487179487</v>
      </c>
      <c r="Q463" s="402">
        <v>0.4</v>
      </c>
      <c r="R463" s="242"/>
      <c r="T463" s="20"/>
      <c r="U463" s="20"/>
      <c r="V463" s="20"/>
      <c r="W463" s="20"/>
      <c r="X463" s="20"/>
    </row>
    <row r="464" spans="1:24" s="65" customFormat="1" ht="15" customHeight="1" outlineLevel="2">
      <c r="A464" s="219"/>
      <c r="B464" s="121"/>
      <c r="C464" s="242" t="s">
        <v>1853</v>
      </c>
      <c r="D464" s="121" t="str">
        <f>INDEX(Regional.Technologies[Description],MATCH($B$2&amp;"."&amp;G.30.levels.ProcessImprovements[[#This Row],[Technology code]],Regional.Technologies[Code],0))</f>
        <v>Global Natural Gas use in the Pulp &amp; paper: Virgin technology</v>
      </c>
      <c r="E464" s="121">
        <v>1</v>
      </c>
      <c r="F464" s="242" t="s">
        <v>1922</v>
      </c>
      <c r="G464" s="242"/>
      <c r="H464" s="242"/>
      <c r="I464" s="402">
        <v>0</v>
      </c>
      <c r="J464" s="402">
        <f t="shared" si="19"/>
        <v>0</v>
      </c>
      <c r="K464" s="402">
        <f t="shared" si="19"/>
        <v>0</v>
      </c>
      <c r="L464" s="402">
        <f t="shared" si="19"/>
        <v>0</v>
      </c>
      <c r="M464" s="402">
        <f t="shared" si="19"/>
        <v>0</v>
      </c>
      <c r="N464" s="402">
        <f t="shared" si="19"/>
        <v>0</v>
      </c>
      <c r="O464" s="402">
        <f t="shared" si="19"/>
        <v>0</v>
      </c>
      <c r="P464" s="402">
        <f t="shared" si="19"/>
        <v>0</v>
      </c>
      <c r="Q464" s="402">
        <v>0</v>
      </c>
      <c r="R464" s="242"/>
      <c r="T464" s="20"/>
      <c r="U464" s="20"/>
      <c r="V464" s="20"/>
      <c r="W464" s="20"/>
      <c r="X464" s="20"/>
    </row>
    <row r="465" spans="1:24" s="65" customFormat="1" ht="15" customHeight="1" outlineLevel="2">
      <c r="A465" s="219"/>
      <c r="B465" s="121"/>
      <c r="C465" s="242" t="s">
        <v>1853</v>
      </c>
      <c r="D465" s="121" t="str">
        <f>INDEX(Regional.Technologies[Description],MATCH($B$2&amp;"."&amp;G.30.levels.ProcessImprovements[[#This Row],[Technology code]],Regional.Technologies[Code],0))</f>
        <v>Global Natural Gas use in the Pulp &amp; paper: Virgin technology</v>
      </c>
      <c r="E465" s="121">
        <v>2</v>
      </c>
      <c r="F465" s="242" t="s">
        <v>1922</v>
      </c>
      <c r="G465" s="242"/>
      <c r="H465" s="242"/>
      <c r="I465" s="402">
        <v>0</v>
      </c>
      <c r="J465" s="402">
        <f t="shared" si="19"/>
        <v>2.0512820512820513E-2</v>
      </c>
      <c r="K465" s="402">
        <f t="shared" si="19"/>
        <v>4.6153846153846156E-2</v>
      </c>
      <c r="L465" s="402">
        <f t="shared" si="19"/>
        <v>7.179487179487179E-2</v>
      </c>
      <c r="M465" s="402">
        <f t="shared" si="19"/>
        <v>9.7435897435897437E-2</v>
      </c>
      <c r="N465" s="402">
        <f t="shared" si="19"/>
        <v>0.12307692307692308</v>
      </c>
      <c r="O465" s="402">
        <f t="shared" si="19"/>
        <v>0.14871794871794872</v>
      </c>
      <c r="P465" s="402">
        <f t="shared" si="19"/>
        <v>0.17435897435897435</v>
      </c>
      <c r="Q465" s="402">
        <v>0.2</v>
      </c>
      <c r="R465" s="242"/>
      <c r="T465" s="20"/>
      <c r="U465" s="20"/>
      <c r="V465" s="20"/>
      <c r="W465" s="20"/>
      <c r="X465" s="20"/>
    </row>
    <row r="466" spans="1:24" s="65" customFormat="1" ht="15" customHeight="1" outlineLevel="2">
      <c r="A466" s="219"/>
      <c r="B466" s="121"/>
      <c r="C466" s="242" t="s">
        <v>1853</v>
      </c>
      <c r="D466" s="121" t="str">
        <f>INDEX(Regional.Technologies[Description],MATCH($B$2&amp;"."&amp;G.30.levels.ProcessImprovements[[#This Row],[Technology code]],Regional.Technologies[Code],0))</f>
        <v>Global Natural Gas use in the Pulp &amp; paper: Virgin technology</v>
      </c>
      <c r="E466" s="121">
        <v>3</v>
      </c>
      <c r="F466" s="242" t="s">
        <v>1922</v>
      </c>
      <c r="G466" s="242"/>
      <c r="H466" s="242"/>
      <c r="I466" s="402">
        <v>0</v>
      </c>
      <c r="J466" s="402">
        <f t="shared" si="19"/>
        <v>3.0769230769230767E-2</v>
      </c>
      <c r="K466" s="402">
        <f t="shared" si="19"/>
        <v>6.9230769230769221E-2</v>
      </c>
      <c r="L466" s="402">
        <f t="shared" si="19"/>
        <v>0.10769230769230768</v>
      </c>
      <c r="M466" s="402">
        <f t="shared" si="19"/>
        <v>0.14615384615384613</v>
      </c>
      <c r="N466" s="402">
        <f t="shared" si="19"/>
        <v>0.1846153846153846</v>
      </c>
      <c r="O466" s="402">
        <f t="shared" si="19"/>
        <v>0.22307692307692306</v>
      </c>
      <c r="P466" s="402">
        <f t="shared" si="19"/>
        <v>0.2615384615384615</v>
      </c>
      <c r="Q466" s="402">
        <v>0.3</v>
      </c>
      <c r="R466" s="242"/>
      <c r="T466" s="20"/>
      <c r="U466" s="20"/>
      <c r="V466" s="20"/>
      <c r="W466" s="20"/>
      <c r="X466" s="20"/>
    </row>
    <row r="467" spans="1:24" s="65" customFormat="1" ht="15" customHeight="1" outlineLevel="2">
      <c r="A467" s="219"/>
      <c r="B467" s="121"/>
      <c r="C467" s="242" t="s">
        <v>1853</v>
      </c>
      <c r="D467" s="121" t="str">
        <f>INDEX(Regional.Technologies[Description],MATCH($B$2&amp;"."&amp;G.30.levels.ProcessImprovements[[#This Row],[Technology code]],Regional.Technologies[Code],0))</f>
        <v>Global Natural Gas use in the Pulp &amp; paper: Virgin technology</v>
      </c>
      <c r="E467" s="121">
        <v>4</v>
      </c>
      <c r="F467" s="242" t="s">
        <v>1922</v>
      </c>
      <c r="G467" s="242"/>
      <c r="H467" s="242"/>
      <c r="I467" s="402">
        <v>0</v>
      </c>
      <c r="J467" s="402">
        <f t="shared" si="19"/>
        <v>4.1025641025641026E-2</v>
      </c>
      <c r="K467" s="402">
        <f t="shared" si="19"/>
        <v>9.2307692307692313E-2</v>
      </c>
      <c r="L467" s="402">
        <f t="shared" si="19"/>
        <v>0.14358974358974358</v>
      </c>
      <c r="M467" s="402">
        <f t="shared" si="19"/>
        <v>0.19487179487179487</v>
      </c>
      <c r="N467" s="402">
        <f t="shared" si="19"/>
        <v>0.24615384615384617</v>
      </c>
      <c r="O467" s="402">
        <f t="shared" si="19"/>
        <v>0.29743589743589743</v>
      </c>
      <c r="P467" s="402">
        <f t="shared" si="19"/>
        <v>0.3487179487179487</v>
      </c>
      <c r="Q467" s="402">
        <v>0.4</v>
      </c>
      <c r="R467" s="242"/>
      <c r="T467" s="20"/>
      <c r="U467" s="20"/>
      <c r="V467" s="20"/>
      <c r="W467" s="20"/>
      <c r="X467" s="20"/>
    </row>
    <row r="468" spans="1:24" s="65" customFormat="1" ht="15" customHeight="1" outlineLevel="2">
      <c r="A468" s="219"/>
      <c r="B468" s="121"/>
      <c r="C468" s="242" t="s">
        <v>1854</v>
      </c>
      <c r="D468" s="121" t="str">
        <f>INDEX(Regional.Technologies[Description],MATCH($B$2&amp;"."&amp;G.30.levels.ProcessImprovements[[#This Row],[Technology code]],Regional.Technologies[Code],0))</f>
        <v>Global Solid Hydrocarbons use in the Pulp &amp; paper: Virgin technology</v>
      </c>
      <c r="E468" s="121">
        <v>1</v>
      </c>
      <c r="F468" s="242" t="s">
        <v>1922</v>
      </c>
      <c r="G468" s="242"/>
      <c r="H468" s="242"/>
      <c r="I468" s="402">
        <v>0</v>
      </c>
      <c r="J468" s="402">
        <f t="shared" si="19"/>
        <v>0</v>
      </c>
      <c r="K468" s="402">
        <f t="shared" si="19"/>
        <v>0</v>
      </c>
      <c r="L468" s="402">
        <f t="shared" si="19"/>
        <v>0</v>
      </c>
      <c r="M468" s="402">
        <f t="shared" si="19"/>
        <v>0</v>
      </c>
      <c r="N468" s="402">
        <f t="shared" si="19"/>
        <v>0</v>
      </c>
      <c r="O468" s="402">
        <f t="shared" si="19"/>
        <v>0</v>
      </c>
      <c r="P468" s="402">
        <f t="shared" si="19"/>
        <v>0</v>
      </c>
      <c r="Q468" s="402">
        <v>0</v>
      </c>
      <c r="R468" s="242"/>
      <c r="T468" s="20"/>
      <c r="U468" s="20"/>
      <c r="V468" s="20"/>
      <c r="W468" s="20"/>
      <c r="X468" s="20"/>
    </row>
    <row r="469" spans="1:24" s="65" customFormat="1" ht="15" customHeight="1" outlineLevel="2">
      <c r="A469" s="219"/>
      <c r="B469" s="121"/>
      <c r="C469" s="242" t="s">
        <v>1854</v>
      </c>
      <c r="D469" s="121" t="str">
        <f>INDEX(Regional.Technologies[Description],MATCH($B$2&amp;"."&amp;G.30.levels.ProcessImprovements[[#This Row],[Technology code]],Regional.Technologies[Code],0))</f>
        <v>Global Solid Hydrocarbons use in the Pulp &amp; paper: Virgin technology</v>
      </c>
      <c r="E469" s="121">
        <v>2</v>
      </c>
      <c r="F469" s="242" t="s">
        <v>1922</v>
      </c>
      <c r="G469" s="242"/>
      <c r="H469" s="242"/>
      <c r="I469" s="402">
        <v>0</v>
      </c>
      <c r="J469" s="402">
        <f t="shared" si="19"/>
        <v>2.0512820512820513E-2</v>
      </c>
      <c r="K469" s="402">
        <f t="shared" si="19"/>
        <v>4.6153846153846156E-2</v>
      </c>
      <c r="L469" s="402">
        <f t="shared" si="19"/>
        <v>7.179487179487179E-2</v>
      </c>
      <c r="M469" s="402">
        <f t="shared" si="19"/>
        <v>9.7435897435897437E-2</v>
      </c>
      <c r="N469" s="402">
        <f t="shared" si="19"/>
        <v>0.12307692307692308</v>
      </c>
      <c r="O469" s="402">
        <f t="shared" si="19"/>
        <v>0.14871794871794872</v>
      </c>
      <c r="P469" s="402">
        <f t="shared" si="19"/>
        <v>0.17435897435897435</v>
      </c>
      <c r="Q469" s="402">
        <v>0.2</v>
      </c>
      <c r="R469" s="242"/>
      <c r="T469" s="20"/>
      <c r="U469" s="20"/>
      <c r="V469" s="20"/>
      <c r="W469" s="20"/>
      <c r="X469" s="20"/>
    </row>
    <row r="470" spans="1:24" s="65" customFormat="1" ht="15" customHeight="1" outlineLevel="2">
      <c r="A470" s="219"/>
      <c r="B470" s="121"/>
      <c r="C470" s="242" t="s">
        <v>1854</v>
      </c>
      <c r="D470" s="121" t="str">
        <f>INDEX(Regional.Technologies[Description],MATCH($B$2&amp;"."&amp;G.30.levels.ProcessImprovements[[#This Row],[Technology code]],Regional.Technologies[Code],0))</f>
        <v>Global Solid Hydrocarbons use in the Pulp &amp; paper: Virgin technology</v>
      </c>
      <c r="E470" s="121">
        <v>3</v>
      </c>
      <c r="F470" s="242" t="s">
        <v>1922</v>
      </c>
      <c r="G470" s="242"/>
      <c r="H470" s="242"/>
      <c r="I470" s="402">
        <v>0</v>
      </c>
      <c r="J470" s="402">
        <f t="shared" si="19"/>
        <v>3.0769230769230767E-2</v>
      </c>
      <c r="K470" s="402">
        <f t="shared" si="19"/>
        <v>6.9230769230769221E-2</v>
      </c>
      <c r="L470" s="402">
        <f t="shared" si="19"/>
        <v>0.10769230769230768</v>
      </c>
      <c r="M470" s="402">
        <f t="shared" si="19"/>
        <v>0.14615384615384613</v>
      </c>
      <c r="N470" s="402">
        <f t="shared" si="19"/>
        <v>0.1846153846153846</v>
      </c>
      <c r="O470" s="402">
        <f t="shared" si="19"/>
        <v>0.22307692307692306</v>
      </c>
      <c r="P470" s="402">
        <f t="shared" si="19"/>
        <v>0.2615384615384615</v>
      </c>
      <c r="Q470" s="402">
        <v>0.3</v>
      </c>
      <c r="R470" s="242"/>
      <c r="T470" s="20"/>
      <c r="U470" s="20"/>
      <c r="V470" s="20"/>
      <c r="W470" s="20"/>
      <c r="X470" s="20"/>
    </row>
    <row r="471" spans="1:24" s="65" customFormat="1" ht="15" customHeight="1" outlineLevel="2">
      <c r="A471" s="219"/>
      <c r="B471" s="121"/>
      <c r="C471" s="242" t="s">
        <v>1854</v>
      </c>
      <c r="D471" s="121" t="str">
        <f>INDEX(Regional.Technologies[Description],MATCH($B$2&amp;"."&amp;G.30.levels.ProcessImprovements[[#This Row],[Technology code]],Regional.Technologies[Code],0))</f>
        <v>Global Solid Hydrocarbons use in the Pulp &amp; paper: Virgin technology</v>
      </c>
      <c r="E471" s="121">
        <v>4</v>
      </c>
      <c r="F471" s="242" t="s">
        <v>1922</v>
      </c>
      <c r="G471" s="242"/>
      <c r="H471" s="242"/>
      <c r="I471" s="402">
        <v>0</v>
      </c>
      <c r="J471" s="402">
        <f t="shared" si="19"/>
        <v>4.1025641025641026E-2</v>
      </c>
      <c r="K471" s="402">
        <f t="shared" si="19"/>
        <v>9.2307692307692313E-2</v>
      </c>
      <c r="L471" s="402">
        <f t="shared" si="19"/>
        <v>0.14358974358974358</v>
      </c>
      <c r="M471" s="402">
        <f t="shared" si="19"/>
        <v>0.19487179487179487</v>
      </c>
      <c r="N471" s="402">
        <f t="shared" si="19"/>
        <v>0.24615384615384617</v>
      </c>
      <c r="O471" s="402">
        <f t="shared" si="19"/>
        <v>0.29743589743589743</v>
      </c>
      <c r="P471" s="402">
        <f t="shared" si="19"/>
        <v>0.3487179487179487</v>
      </c>
      <c r="Q471" s="402">
        <v>0.4</v>
      </c>
      <c r="R471" s="242"/>
      <c r="T471" s="20"/>
      <c r="U471" s="20"/>
      <c r="V471" s="20"/>
      <c r="W471" s="20"/>
      <c r="X471" s="20"/>
    </row>
    <row r="472" spans="1:24" s="65" customFormat="1" ht="15" customHeight="1" outlineLevel="2">
      <c r="A472" s="219"/>
      <c r="B472" s="121"/>
      <c r="C472" s="242" t="s">
        <v>1855</v>
      </c>
      <c r="D472" s="121" t="str">
        <f>INDEX(Regional.Technologies[Description],MATCH($B$2&amp;"."&amp;G.30.levels.ProcessImprovements[[#This Row],[Technology code]],Regional.Technologies[Code],0))</f>
        <v>Global Heat use in the Pulp &amp; paper: Virgin technology</v>
      </c>
      <c r="E472" s="121">
        <v>1</v>
      </c>
      <c r="F472" s="242" t="s">
        <v>1922</v>
      </c>
      <c r="G472" s="242"/>
      <c r="H472" s="242"/>
      <c r="I472" s="402">
        <v>0</v>
      </c>
      <c r="J472" s="402">
        <f t="shared" si="19"/>
        <v>0</v>
      </c>
      <c r="K472" s="402">
        <f t="shared" si="19"/>
        <v>0</v>
      </c>
      <c r="L472" s="402">
        <f t="shared" si="19"/>
        <v>0</v>
      </c>
      <c r="M472" s="402">
        <f t="shared" si="19"/>
        <v>0</v>
      </c>
      <c r="N472" s="402">
        <f t="shared" si="19"/>
        <v>0</v>
      </c>
      <c r="O472" s="402">
        <f t="shared" si="19"/>
        <v>0</v>
      </c>
      <c r="P472" s="402">
        <f t="shared" si="19"/>
        <v>0</v>
      </c>
      <c r="Q472" s="402">
        <v>0</v>
      </c>
      <c r="R472" s="242"/>
      <c r="T472" s="20"/>
      <c r="U472" s="20"/>
      <c r="V472" s="20"/>
      <c r="W472" s="20"/>
      <c r="X472" s="20"/>
    </row>
    <row r="473" spans="1:24" s="65" customFormat="1" ht="15" customHeight="1" outlineLevel="2">
      <c r="A473" s="219"/>
      <c r="B473" s="121"/>
      <c r="C473" s="242" t="s">
        <v>1855</v>
      </c>
      <c r="D473" s="121" t="str">
        <f>INDEX(Regional.Technologies[Description],MATCH($B$2&amp;"."&amp;G.30.levels.ProcessImprovements[[#This Row],[Technology code]],Regional.Technologies[Code],0))</f>
        <v>Global Heat use in the Pulp &amp; paper: Virgin technology</v>
      </c>
      <c r="E473" s="121">
        <v>2</v>
      </c>
      <c r="F473" s="242" t="s">
        <v>1922</v>
      </c>
      <c r="G473" s="242"/>
      <c r="H473" s="242"/>
      <c r="I473" s="402">
        <v>0</v>
      </c>
      <c r="J473" s="402">
        <f t="shared" si="19"/>
        <v>2.0512820512820513E-2</v>
      </c>
      <c r="K473" s="402">
        <f t="shared" si="19"/>
        <v>4.6153846153846156E-2</v>
      </c>
      <c r="L473" s="402">
        <f t="shared" si="19"/>
        <v>7.179487179487179E-2</v>
      </c>
      <c r="M473" s="402">
        <f t="shared" si="19"/>
        <v>9.7435897435897437E-2</v>
      </c>
      <c r="N473" s="402">
        <f t="shared" si="19"/>
        <v>0.12307692307692308</v>
      </c>
      <c r="O473" s="402">
        <f t="shared" si="19"/>
        <v>0.14871794871794872</v>
      </c>
      <c r="P473" s="402">
        <f t="shared" si="19"/>
        <v>0.17435897435897435</v>
      </c>
      <c r="Q473" s="402">
        <v>0.2</v>
      </c>
      <c r="R473" s="242"/>
      <c r="T473" s="20"/>
      <c r="U473" s="20"/>
      <c r="V473" s="20"/>
      <c r="W473" s="20"/>
      <c r="X473" s="20"/>
    </row>
    <row r="474" spans="1:24" s="65" customFormat="1" ht="15" customHeight="1" outlineLevel="2">
      <c r="A474" s="219"/>
      <c r="B474" s="121"/>
      <c r="C474" s="242" t="s">
        <v>1855</v>
      </c>
      <c r="D474" s="121" t="str">
        <f>INDEX(Regional.Technologies[Description],MATCH($B$2&amp;"."&amp;G.30.levels.ProcessImprovements[[#This Row],[Technology code]],Regional.Technologies[Code],0))</f>
        <v>Global Heat use in the Pulp &amp; paper: Virgin technology</v>
      </c>
      <c r="E474" s="121">
        <v>3</v>
      </c>
      <c r="F474" s="242" t="s">
        <v>1922</v>
      </c>
      <c r="G474" s="242"/>
      <c r="H474" s="242"/>
      <c r="I474" s="402">
        <v>0</v>
      </c>
      <c r="J474" s="402">
        <f t="shared" si="19"/>
        <v>3.0769230769230767E-2</v>
      </c>
      <c r="K474" s="402">
        <f t="shared" si="19"/>
        <v>6.9230769230769221E-2</v>
      </c>
      <c r="L474" s="402">
        <f t="shared" si="19"/>
        <v>0.10769230769230768</v>
      </c>
      <c r="M474" s="402">
        <f t="shared" si="19"/>
        <v>0.14615384615384613</v>
      </c>
      <c r="N474" s="402">
        <f t="shared" si="19"/>
        <v>0.1846153846153846</v>
      </c>
      <c r="O474" s="402">
        <f t="shared" si="19"/>
        <v>0.22307692307692306</v>
      </c>
      <c r="P474" s="402">
        <f t="shared" si="19"/>
        <v>0.2615384615384615</v>
      </c>
      <c r="Q474" s="402">
        <v>0.3</v>
      </c>
      <c r="R474" s="242"/>
      <c r="T474" s="20"/>
      <c r="U474" s="20"/>
      <c r="V474" s="20"/>
      <c r="W474" s="20"/>
      <c r="X474" s="20"/>
    </row>
    <row r="475" spans="1:24" s="65" customFormat="1" ht="15" customHeight="1" outlineLevel="2">
      <c r="A475" s="219"/>
      <c r="B475" s="121"/>
      <c r="C475" s="242" t="s">
        <v>1855</v>
      </c>
      <c r="D475" s="121" t="str">
        <f>INDEX(Regional.Technologies[Description],MATCH($B$2&amp;"."&amp;G.30.levels.ProcessImprovements[[#This Row],[Technology code]],Regional.Technologies[Code],0))</f>
        <v>Global Heat use in the Pulp &amp; paper: Virgin technology</v>
      </c>
      <c r="E475" s="121">
        <v>4</v>
      </c>
      <c r="F475" s="242" t="s">
        <v>1922</v>
      </c>
      <c r="G475" s="242"/>
      <c r="H475" s="242"/>
      <c r="I475" s="402">
        <v>0</v>
      </c>
      <c r="J475" s="402">
        <f t="shared" si="19"/>
        <v>4.1025641025641026E-2</v>
      </c>
      <c r="K475" s="402">
        <f t="shared" si="19"/>
        <v>9.2307692307692313E-2</v>
      </c>
      <c r="L475" s="402">
        <f t="shared" si="19"/>
        <v>0.14358974358974358</v>
      </c>
      <c r="M475" s="402">
        <f t="shared" si="19"/>
        <v>0.19487179487179487</v>
      </c>
      <c r="N475" s="402">
        <f t="shared" si="19"/>
        <v>0.24615384615384617</v>
      </c>
      <c r="O475" s="402">
        <f t="shared" si="19"/>
        <v>0.29743589743589743</v>
      </c>
      <c r="P475" s="402">
        <f t="shared" si="19"/>
        <v>0.3487179487179487</v>
      </c>
      <c r="Q475" s="402">
        <v>0.4</v>
      </c>
      <c r="R475" s="242"/>
      <c r="T475" s="20"/>
      <c r="U475" s="20"/>
      <c r="V475" s="20"/>
      <c r="W475" s="20"/>
      <c r="X475" s="20"/>
    </row>
    <row r="476" spans="1:24" s="65" customFormat="1" ht="15" customHeight="1" outlineLevel="2">
      <c r="A476" s="219"/>
      <c r="B476" s="121"/>
      <c r="C476" s="242" t="s">
        <v>1632</v>
      </c>
      <c r="D476" s="121" t="str">
        <f>INDEX(Regional.Technologies[Description],MATCH($B$2&amp;"."&amp;G.30.levels.ProcessImprovements[[#This Row],[Technology code]],Regional.Technologies[Code],0))</f>
        <v>Global Electricity use in the Pulp &amp; paper: Recycled technology</v>
      </c>
      <c r="E476" s="121">
        <v>1</v>
      </c>
      <c r="F476" s="242" t="s">
        <v>1923</v>
      </c>
      <c r="G476" s="242"/>
      <c r="H476" s="242"/>
      <c r="I476" s="402">
        <v>0</v>
      </c>
      <c r="J476" s="402">
        <f t="shared" si="19"/>
        <v>0</v>
      </c>
      <c r="K476" s="402">
        <f t="shared" si="19"/>
        <v>0</v>
      </c>
      <c r="L476" s="402">
        <f t="shared" si="19"/>
        <v>0</v>
      </c>
      <c r="M476" s="402">
        <f t="shared" si="19"/>
        <v>0</v>
      </c>
      <c r="N476" s="402">
        <f t="shared" si="19"/>
        <v>0</v>
      </c>
      <c r="O476" s="402">
        <f t="shared" si="19"/>
        <v>0</v>
      </c>
      <c r="P476" s="402">
        <f t="shared" si="19"/>
        <v>0</v>
      </c>
      <c r="Q476" s="402">
        <v>0</v>
      </c>
      <c r="R476" s="242"/>
      <c r="T476" s="20"/>
      <c r="U476" s="20"/>
      <c r="V476" s="20"/>
      <c r="W476" s="20"/>
      <c r="X476" s="20"/>
    </row>
    <row r="477" spans="1:24" s="65" customFormat="1" ht="15" customHeight="1" outlineLevel="2">
      <c r="A477" s="219"/>
      <c r="B477" s="121"/>
      <c r="C477" s="242" t="s">
        <v>1632</v>
      </c>
      <c r="D477" s="121" t="str">
        <f>INDEX(Regional.Technologies[Description],MATCH($B$2&amp;"."&amp;G.30.levels.ProcessImprovements[[#This Row],[Technology code]],Regional.Technologies[Code],0))</f>
        <v>Global Electricity use in the Pulp &amp; paper: Recycled technology</v>
      </c>
      <c r="E477" s="121">
        <v>2</v>
      </c>
      <c r="F477" s="242" t="s">
        <v>1923</v>
      </c>
      <c r="G477" s="242"/>
      <c r="H477" s="242"/>
      <c r="I477" s="402">
        <v>0</v>
      </c>
      <c r="J477" s="402">
        <f t="shared" si="19"/>
        <v>2.0512820512820513E-2</v>
      </c>
      <c r="K477" s="402">
        <f t="shared" si="19"/>
        <v>4.6153846153846156E-2</v>
      </c>
      <c r="L477" s="402">
        <f t="shared" si="19"/>
        <v>7.179487179487179E-2</v>
      </c>
      <c r="M477" s="402">
        <f t="shared" si="19"/>
        <v>9.7435897435897437E-2</v>
      </c>
      <c r="N477" s="402">
        <f t="shared" si="19"/>
        <v>0.12307692307692308</v>
      </c>
      <c r="O477" s="402">
        <f t="shared" si="19"/>
        <v>0.14871794871794872</v>
      </c>
      <c r="P477" s="402">
        <f t="shared" si="19"/>
        <v>0.17435897435897435</v>
      </c>
      <c r="Q477" s="402">
        <v>0.2</v>
      </c>
      <c r="R477" s="242"/>
      <c r="T477" s="20"/>
      <c r="U477" s="20"/>
      <c r="V477" s="20"/>
      <c r="W477" s="20"/>
      <c r="X477" s="20"/>
    </row>
    <row r="478" spans="1:24" s="65" customFormat="1" ht="15" customHeight="1" outlineLevel="2">
      <c r="A478" s="219"/>
      <c r="B478" s="121"/>
      <c r="C478" s="242" t="s">
        <v>1632</v>
      </c>
      <c r="D478" s="121" t="str">
        <f>INDEX(Regional.Technologies[Description],MATCH($B$2&amp;"."&amp;G.30.levels.ProcessImprovements[[#This Row],[Technology code]],Regional.Technologies[Code],0))</f>
        <v>Global Electricity use in the Pulp &amp; paper: Recycled technology</v>
      </c>
      <c r="E478" s="121">
        <v>3</v>
      </c>
      <c r="F478" s="242" t="s">
        <v>1923</v>
      </c>
      <c r="G478" s="242"/>
      <c r="H478" s="242"/>
      <c r="I478" s="402">
        <v>0</v>
      </c>
      <c r="J478" s="402">
        <f t="shared" si="19"/>
        <v>3.0769230769230767E-2</v>
      </c>
      <c r="K478" s="402">
        <f t="shared" si="19"/>
        <v>6.9230769230769221E-2</v>
      </c>
      <c r="L478" s="402">
        <f t="shared" si="19"/>
        <v>0.10769230769230768</v>
      </c>
      <c r="M478" s="402">
        <f t="shared" si="19"/>
        <v>0.14615384615384613</v>
      </c>
      <c r="N478" s="402">
        <f t="shared" ref="J478:P514" si="20">(($Q478-$I478)/($Q$121-$I$121))*(N$121-$I$121)+$I478</f>
        <v>0.1846153846153846</v>
      </c>
      <c r="O478" s="402">
        <f t="shared" si="20"/>
        <v>0.22307692307692306</v>
      </c>
      <c r="P478" s="402">
        <f t="shared" si="20"/>
        <v>0.2615384615384615</v>
      </c>
      <c r="Q478" s="402">
        <v>0.3</v>
      </c>
      <c r="R478" s="242"/>
      <c r="T478" s="20"/>
      <c r="U478" s="20"/>
      <c r="V478" s="20"/>
      <c r="W478" s="20"/>
      <c r="X478" s="20"/>
    </row>
    <row r="479" spans="1:24" s="65" customFormat="1" ht="15" customHeight="1" outlineLevel="2">
      <c r="A479" s="219"/>
      <c r="B479" s="121"/>
      <c r="C479" s="242" t="s">
        <v>1632</v>
      </c>
      <c r="D479" s="121" t="str">
        <f>INDEX(Regional.Technologies[Description],MATCH($B$2&amp;"."&amp;G.30.levels.ProcessImprovements[[#This Row],[Technology code]],Regional.Technologies[Code],0))</f>
        <v>Global Electricity use in the Pulp &amp; paper: Recycled technology</v>
      </c>
      <c r="E479" s="121">
        <v>4</v>
      </c>
      <c r="F479" s="242" t="s">
        <v>1923</v>
      </c>
      <c r="G479" s="242"/>
      <c r="H479" s="242"/>
      <c r="I479" s="402">
        <v>0</v>
      </c>
      <c r="J479" s="402">
        <f t="shared" si="20"/>
        <v>4.1025641025641026E-2</v>
      </c>
      <c r="K479" s="402">
        <f t="shared" si="20"/>
        <v>9.2307692307692313E-2</v>
      </c>
      <c r="L479" s="402">
        <f t="shared" si="20"/>
        <v>0.14358974358974358</v>
      </c>
      <c r="M479" s="402">
        <f t="shared" si="20"/>
        <v>0.19487179487179487</v>
      </c>
      <c r="N479" s="402">
        <f t="shared" si="20"/>
        <v>0.24615384615384617</v>
      </c>
      <c r="O479" s="402">
        <f t="shared" si="20"/>
        <v>0.29743589743589743</v>
      </c>
      <c r="P479" s="402">
        <f t="shared" si="20"/>
        <v>0.3487179487179487</v>
      </c>
      <c r="Q479" s="402">
        <v>0.4</v>
      </c>
      <c r="R479" s="242"/>
      <c r="T479" s="20"/>
      <c r="U479" s="20"/>
      <c r="V479" s="20"/>
      <c r="W479" s="20"/>
      <c r="X479" s="20"/>
    </row>
    <row r="480" spans="1:24" s="65" customFormat="1" ht="15" customHeight="1" outlineLevel="2">
      <c r="A480" s="219"/>
      <c r="B480" s="121"/>
      <c r="C480" s="242" t="s">
        <v>1856</v>
      </c>
      <c r="D480" s="121" t="str">
        <f>INDEX(Regional.Technologies[Description],MATCH($B$2&amp;"."&amp;G.30.levels.ProcessImprovements[[#This Row],[Technology code]],Regional.Technologies[Code],0))</f>
        <v>Global Coal use in the Pulp &amp; paper: Recycled technology</v>
      </c>
      <c r="E480" s="121">
        <v>1</v>
      </c>
      <c r="F480" s="242" t="s">
        <v>1923</v>
      </c>
      <c r="G480" s="242"/>
      <c r="H480" s="242"/>
      <c r="I480" s="402">
        <v>0</v>
      </c>
      <c r="J480" s="402">
        <f t="shared" si="20"/>
        <v>0</v>
      </c>
      <c r="K480" s="402">
        <f t="shared" si="20"/>
        <v>0</v>
      </c>
      <c r="L480" s="402">
        <f t="shared" si="20"/>
        <v>0</v>
      </c>
      <c r="M480" s="402">
        <f t="shared" si="20"/>
        <v>0</v>
      </c>
      <c r="N480" s="402">
        <f t="shared" si="20"/>
        <v>0</v>
      </c>
      <c r="O480" s="402">
        <f t="shared" si="20"/>
        <v>0</v>
      </c>
      <c r="P480" s="402">
        <f t="shared" si="20"/>
        <v>0</v>
      </c>
      <c r="Q480" s="402">
        <v>0</v>
      </c>
      <c r="R480" s="242"/>
      <c r="T480" s="20"/>
      <c r="U480" s="20"/>
      <c r="V480" s="20"/>
      <c r="W480" s="20"/>
      <c r="X480" s="20"/>
    </row>
    <row r="481" spans="1:24" s="65" customFormat="1" ht="15" customHeight="1" outlineLevel="2">
      <c r="A481" s="219"/>
      <c r="B481" s="121"/>
      <c r="C481" s="242" t="s">
        <v>1856</v>
      </c>
      <c r="D481" s="121" t="str">
        <f>INDEX(Regional.Technologies[Description],MATCH($B$2&amp;"."&amp;G.30.levels.ProcessImprovements[[#This Row],[Technology code]],Regional.Technologies[Code],0))</f>
        <v>Global Coal use in the Pulp &amp; paper: Recycled technology</v>
      </c>
      <c r="E481" s="121">
        <v>2</v>
      </c>
      <c r="F481" s="242" t="s">
        <v>1923</v>
      </c>
      <c r="G481" s="242"/>
      <c r="H481" s="242"/>
      <c r="I481" s="402">
        <v>0</v>
      </c>
      <c r="J481" s="402">
        <f t="shared" si="20"/>
        <v>2.0512820512820513E-2</v>
      </c>
      <c r="K481" s="402">
        <f t="shared" si="20"/>
        <v>4.6153846153846156E-2</v>
      </c>
      <c r="L481" s="402">
        <f t="shared" si="20"/>
        <v>7.179487179487179E-2</v>
      </c>
      <c r="M481" s="402">
        <f t="shared" si="20"/>
        <v>9.7435897435897437E-2</v>
      </c>
      <c r="N481" s="402">
        <f t="shared" si="20"/>
        <v>0.12307692307692308</v>
      </c>
      <c r="O481" s="402">
        <f t="shared" si="20"/>
        <v>0.14871794871794872</v>
      </c>
      <c r="P481" s="402">
        <f t="shared" si="20"/>
        <v>0.17435897435897435</v>
      </c>
      <c r="Q481" s="402">
        <v>0.2</v>
      </c>
      <c r="R481" s="242"/>
      <c r="T481" s="20"/>
      <c r="U481" s="20"/>
      <c r="V481" s="20"/>
      <c r="W481" s="20"/>
      <c r="X481" s="20"/>
    </row>
    <row r="482" spans="1:24" s="65" customFormat="1" ht="15" customHeight="1" outlineLevel="2">
      <c r="A482" s="219"/>
      <c r="B482" s="121"/>
      <c r="C482" s="242" t="s">
        <v>1856</v>
      </c>
      <c r="D482" s="121" t="str">
        <f>INDEX(Regional.Technologies[Description],MATCH($B$2&amp;"."&amp;G.30.levels.ProcessImprovements[[#This Row],[Technology code]],Regional.Technologies[Code],0))</f>
        <v>Global Coal use in the Pulp &amp; paper: Recycled technology</v>
      </c>
      <c r="E482" s="121">
        <v>3</v>
      </c>
      <c r="F482" s="242" t="s">
        <v>1923</v>
      </c>
      <c r="G482" s="242"/>
      <c r="H482" s="242"/>
      <c r="I482" s="402">
        <v>0</v>
      </c>
      <c r="J482" s="402">
        <f t="shared" si="20"/>
        <v>3.0769230769230767E-2</v>
      </c>
      <c r="K482" s="402">
        <f t="shared" si="20"/>
        <v>6.9230769230769221E-2</v>
      </c>
      <c r="L482" s="402">
        <f t="shared" si="20"/>
        <v>0.10769230769230768</v>
      </c>
      <c r="M482" s="402">
        <f t="shared" si="20"/>
        <v>0.14615384615384613</v>
      </c>
      <c r="N482" s="402">
        <f t="shared" si="20"/>
        <v>0.1846153846153846</v>
      </c>
      <c r="O482" s="402">
        <f t="shared" si="20"/>
        <v>0.22307692307692306</v>
      </c>
      <c r="P482" s="402">
        <f t="shared" si="20"/>
        <v>0.2615384615384615</v>
      </c>
      <c r="Q482" s="402">
        <v>0.3</v>
      </c>
      <c r="R482" s="242"/>
      <c r="T482" s="20"/>
      <c r="U482" s="20"/>
      <c r="V482" s="20"/>
      <c r="W482" s="20"/>
      <c r="X482" s="20"/>
    </row>
    <row r="483" spans="1:24" s="65" customFormat="1" ht="15" customHeight="1" outlineLevel="2">
      <c r="A483" s="219"/>
      <c r="B483" s="121"/>
      <c r="C483" s="242" t="s">
        <v>1856</v>
      </c>
      <c r="D483" s="121" t="str">
        <f>INDEX(Regional.Technologies[Description],MATCH($B$2&amp;"."&amp;G.30.levels.ProcessImprovements[[#This Row],[Technology code]],Regional.Technologies[Code],0))</f>
        <v>Global Coal use in the Pulp &amp; paper: Recycled technology</v>
      </c>
      <c r="E483" s="121">
        <v>4</v>
      </c>
      <c r="F483" s="242" t="s">
        <v>1923</v>
      </c>
      <c r="G483" s="242"/>
      <c r="H483" s="242"/>
      <c r="I483" s="402">
        <v>0</v>
      </c>
      <c r="J483" s="402">
        <f t="shared" si="20"/>
        <v>4.1025641025641026E-2</v>
      </c>
      <c r="K483" s="402">
        <f t="shared" si="20"/>
        <v>9.2307692307692313E-2</v>
      </c>
      <c r="L483" s="402">
        <f t="shared" si="20"/>
        <v>0.14358974358974358</v>
      </c>
      <c r="M483" s="402">
        <f t="shared" si="20"/>
        <v>0.19487179487179487</v>
      </c>
      <c r="N483" s="402">
        <f t="shared" si="20"/>
        <v>0.24615384615384617</v>
      </c>
      <c r="O483" s="402">
        <f t="shared" si="20"/>
        <v>0.29743589743589743</v>
      </c>
      <c r="P483" s="402">
        <f t="shared" si="20"/>
        <v>0.3487179487179487</v>
      </c>
      <c r="Q483" s="402">
        <v>0.4</v>
      </c>
      <c r="R483" s="242"/>
      <c r="T483" s="20"/>
      <c r="U483" s="20"/>
      <c r="V483" s="20"/>
      <c r="W483" s="20"/>
      <c r="X483" s="20"/>
    </row>
    <row r="484" spans="1:24" s="65" customFormat="1" ht="15" customHeight="1" outlineLevel="2">
      <c r="A484" s="219"/>
      <c r="B484" s="121"/>
      <c r="C484" s="242" t="s">
        <v>1857</v>
      </c>
      <c r="D484" s="121" t="str">
        <f>INDEX(Regional.Technologies[Description],MATCH($B$2&amp;"."&amp;G.30.levels.ProcessImprovements[[#This Row],[Technology code]],Regional.Technologies[Code],0))</f>
        <v>Global Oil use in the Pulp &amp; paper: Recycled technology</v>
      </c>
      <c r="E484" s="121">
        <v>1</v>
      </c>
      <c r="F484" s="242" t="s">
        <v>1923</v>
      </c>
      <c r="G484" s="242"/>
      <c r="H484" s="242"/>
      <c r="I484" s="402">
        <v>0</v>
      </c>
      <c r="J484" s="402">
        <f t="shared" si="20"/>
        <v>0</v>
      </c>
      <c r="K484" s="402">
        <f t="shared" si="20"/>
        <v>0</v>
      </c>
      <c r="L484" s="402">
        <f t="shared" si="20"/>
        <v>0</v>
      </c>
      <c r="M484" s="402">
        <f t="shared" si="20"/>
        <v>0</v>
      </c>
      <c r="N484" s="402">
        <f t="shared" si="20"/>
        <v>0</v>
      </c>
      <c r="O484" s="402">
        <f t="shared" si="20"/>
        <v>0</v>
      </c>
      <c r="P484" s="402">
        <f t="shared" si="20"/>
        <v>0</v>
      </c>
      <c r="Q484" s="402">
        <v>0</v>
      </c>
      <c r="R484" s="242"/>
      <c r="T484" s="20"/>
      <c r="U484" s="20"/>
      <c r="V484" s="20"/>
      <c r="W484" s="20"/>
      <c r="X484" s="20"/>
    </row>
    <row r="485" spans="1:24" s="65" customFormat="1" ht="15" customHeight="1" outlineLevel="2">
      <c r="A485" s="219"/>
      <c r="B485" s="121"/>
      <c r="C485" s="242" t="s">
        <v>1857</v>
      </c>
      <c r="D485" s="121" t="str">
        <f>INDEX(Regional.Technologies[Description],MATCH($B$2&amp;"."&amp;G.30.levels.ProcessImprovements[[#This Row],[Technology code]],Regional.Technologies[Code],0))</f>
        <v>Global Oil use in the Pulp &amp; paper: Recycled technology</v>
      </c>
      <c r="E485" s="121">
        <v>2</v>
      </c>
      <c r="F485" s="242" t="s">
        <v>1923</v>
      </c>
      <c r="G485" s="242"/>
      <c r="H485" s="242"/>
      <c r="I485" s="402">
        <v>0</v>
      </c>
      <c r="J485" s="402">
        <f t="shared" si="20"/>
        <v>2.0512820512820513E-2</v>
      </c>
      <c r="K485" s="402">
        <f t="shared" si="20"/>
        <v>4.6153846153846156E-2</v>
      </c>
      <c r="L485" s="402">
        <f t="shared" si="20"/>
        <v>7.179487179487179E-2</v>
      </c>
      <c r="M485" s="402">
        <f t="shared" si="20"/>
        <v>9.7435897435897437E-2</v>
      </c>
      <c r="N485" s="402">
        <f t="shared" si="20"/>
        <v>0.12307692307692308</v>
      </c>
      <c r="O485" s="402">
        <f t="shared" si="20"/>
        <v>0.14871794871794872</v>
      </c>
      <c r="P485" s="402">
        <f t="shared" si="20"/>
        <v>0.17435897435897435</v>
      </c>
      <c r="Q485" s="402">
        <v>0.2</v>
      </c>
      <c r="R485" s="242"/>
      <c r="T485" s="20"/>
      <c r="U485" s="20"/>
      <c r="V485" s="20"/>
      <c r="W485" s="20"/>
      <c r="X485" s="20"/>
    </row>
    <row r="486" spans="1:24" s="65" customFormat="1" ht="15" customHeight="1" outlineLevel="2">
      <c r="A486" s="219"/>
      <c r="B486" s="121"/>
      <c r="C486" s="242" t="s">
        <v>1857</v>
      </c>
      <c r="D486" s="121" t="str">
        <f>INDEX(Regional.Technologies[Description],MATCH($B$2&amp;"."&amp;G.30.levels.ProcessImprovements[[#This Row],[Technology code]],Regional.Technologies[Code],0))</f>
        <v>Global Oil use in the Pulp &amp; paper: Recycled technology</v>
      </c>
      <c r="E486" s="121">
        <v>3</v>
      </c>
      <c r="F486" s="242" t="s">
        <v>1923</v>
      </c>
      <c r="G486" s="242"/>
      <c r="H486" s="242"/>
      <c r="I486" s="402">
        <v>0</v>
      </c>
      <c r="J486" s="402">
        <f t="shared" si="20"/>
        <v>3.0769230769230767E-2</v>
      </c>
      <c r="K486" s="402">
        <f t="shared" si="20"/>
        <v>6.9230769230769221E-2</v>
      </c>
      <c r="L486" s="402">
        <f t="shared" si="20"/>
        <v>0.10769230769230768</v>
      </c>
      <c r="M486" s="402">
        <f t="shared" si="20"/>
        <v>0.14615384615384613</v>
      </c>
      <c r="N486" s="402">
        <f t="shared" si="20"/>
        <v>0.1846153846153846</v>
      </c>
      <c r="O486" s="402">
        <f t="shared" si="20"/>
        <v>0.22307692307692306</v>
      </c>
      <c r="P486" s="402">
        <f t="shared" si="20"/>
        <v>0.2615384615384615</v>
      </c>
      <c r="Q486" s="402">
        <v>0.3</v>
      </c>
      <c r="R486" s="242"/>
      <c r="T486" s="20"/>
      <c r="U486" s="20"/>
      <c r="V486" s="20"/>
      <c r="W486" s="20"/>
      <c r="X486" s="20"/>
    </row>
    <row r="487" spans="1:24" s="65" customFormat="1" ht="15" customHeight="1" outlineLevel="2">
      <c r="A487" s="219"/>
      <c r="B487" s="121"/>
      <c r="C487" s="242" t="s">
        <v>1857</v>
      </c>
      <c r="D487" s="121" t="str">
        <f>INDEX(Regional.Technologies[Description],MATCH($B$2&amp;"."&amp;G.30.levels.ProcessImprovements[[#This Row],[Technology code]],Regional.Technologies[Code],0))</f>
        <v>Global Oil use in the Pulp &amp; paper: Recycled technology</v>
      </c>
      <c r="E487" s="121">
        <v>4</v>
      </c>
      <c r="F487" s="242" t="s">
        <v>1923</v>
      </c>
      <c r="G487" s="242"/>
      <c r="H487" s="242"/>
      <c r="I487" s="402">
        <v>0</v>
      </c>
      <c r="J487" s="402">
        <f t="shared" si="20"/>
        <v>4.1025641025641026E-2</v>
      </c>
      <c r="K487" s="402">
        <f t="shared" si="20"/>
        <v>9.2307692307692313E-2</v>
      </c>
      <c r="L487" s="402">
        <f t="shared" si="20"/>
        <v>0.14358974358974358</v>
      </c>
      <c r="M487" s="402">
        <f t="shared" si="20"/>
        <v>0.19487179487179487</v>
      </c>
      <c r="N487" s="402">
        <f t="shared" si="20"/>
        <v>0.24615384615384617</v>
      </c>
      <c r="O487" s="402">
        <f t="shared" si="20"/>
        <v>0.29743589743589743</v>
      </c>
      <c r="P487" s="402">
        <f t="shared" si="20"/>
        <v>0.3487179487179487</v>
      </c>
      <c r="Q487" s="402">
        <v>0.4</v>
      </c>
      <c r="R487" s="242"/>
      <c r="T487" s="20"/>
      <c r="U487" s="20"/>
      <c r="V487" s="20"/>
      <c r="W487" s="20"/>
      <c r="X487" s="20"/>
    </row>
    <row r="488" spans="1:24" s="65" customFormat="1" ht="15" customHeight="1" outlineLevel="2">
      <c r="A488" s="219"/>
      <c r="B488" s="121"/>
      <c r="C488" s="242" t="s">
        <v>1858</v>
      </c>
      <c r="D488" s="121" t="str">
        <f>INDEX(Regional.Technologies[Description],MATCH($B$2&amp;"."&amp;G.30.levels.ProcessImprovements[[#This Row],[Technology code]],Regional.Technologies[Code],0))</f>
        <v>Global Natural Gas use in the Pulp &amp; paper: Recycled technology</v>
      </c>
      <c r="E488" s="121">
        <v>1</v>
      </c>
      <c r="F488" s="242" t="s">
        <v>1923</v>
      </c>
      <c r="G488" s="242"/>
      <c r="H488" s="242"/>
      <c r="I488" s="402">
        <v>0</v>
      </c>
      <c r="J488" s="402">
        <f t="shared" si="20"/>
        <v>0</v>
      </c>
      <c r="K488" s="402">
        <f t="shared" si="20"/>
        <v>0</v>
      </c>
      <c r="L488" s="402">
        <f t="shared" si="20"/>
        <v>0</v>
      </c>
      <c r="M488" s="402">
        <f t="shared" si="20"/>
        <v>0</v>
      </c>
      <c r="N488" s="402">
        <f t="shared" si="20"/>
        <v>0</v>
      </c>
      <c r="O488" s="402">
        <f t="shared" si="20"/>
        <v>0</v>
      </c>
      <c r="P488" s="402">
        <f t="shared" si="20"/>
        <v>0</v>
      </c>
      <c r="Q488" s="402">
        <v>0</v>
      </c>
      <c r="R488" s="242"/>
      <c r="T488" s="20"/>
      <c r="U488" s="20"/>
      <c r="V488" s="20"/>
      <c r="W488" s="20"/>
      <c r="X488" s="20"/>
    </row>
    <row r="489" spans="1:24" s="65" customFormat="1" ht="15" customHeight="1" outlineLevel="2">
      <c r="A489" s="219"/>
      <c r="B489" s="121"/>
      <c r="C489" s="242" t="s">
        <v>1858</v>
      </c>
      <c r="D489" s="121" t="str">
        <f>INDEX(Regional.Technologies[Description],MATCH($B$2&amp;"."&amp;G.30.levels.ProcessImprovements[[#This Row],[Technology code]],Regional.Technologies[Code],0))</f>
        <v>Global Natural Gas use in the Pulp &amp; paper: Recycled technology</v>
      </c>
      <c r="E489" s="121">
        <v>2</v>
      </c>
      <c r="F489" s="242" t="s">
        <v>1923</v>
      </c>
      <c r="G489" s="242"/>
      <c r="H489" s="242"/>
      <c r="I489" s="402">
        <v>0</v>
      </c>
      <c r="J489" s="402">
        <f t="shared" si="20"/>
        <v>2.0512820512820513E-2</v>
      </c>
      <c r="K489" s="402">
        <f t="shared" si="20"/>
        <v>4.6153846153846156E-2</v>
      </c>
      <c r="L489" s="402">
        <f t="shared" si="20"/>
        <v>7.179487179487179E-2</v>
      </c>
      <c r="M489" s="402">
        <f t="shared" si="20"/>
        <v>9.7435897435897437E-2</v>
      </c>
      <c r="N489" s="402">
        <f t="shared" si="20"/>
        <v>0.12307692307692308</v>
      </c>
      <c r="O489" s="402">
        <f t="shared" si="20"/>
        <v>0.14871794871794872</v>
      </c>
      <c r="P489" s="402">
        <f t="shared" si="20"/>
        <v>0.17435897435897435</v>
      </c>
      <c r="Q489" s="402">
        <v>0.2</v>
      </c>
      <c r="R489" s="242"/>
      <c r="T489" s="20"/>
      <c r="U489" s="20"/>
      <c r="V489" s="20"/>
      <c r="W489" s="20"/>
      <c r="X489" s="20"/>
    </row>
    <row r="490" spans="1:24" s="65" customFormat="1" ht="15" customHeight="1" outlineLevel="2">
      <c r="A490" s="219"/>
      <c r="B490" s="121"/>
      <c r="C490" s="242" t="s">
        <v>1858</v>
      </c>
      <c r="D490" s="121" t="str">
        <f>INDEX(Regional.Technologies[Description],MATCH($B$2&amp;"."&amp;G.30.levels.ProcessImprovements[[#This Row],[Technology code]],Regional.Technologies[Code],0))</f>
        <v>Global Natural Gas use in the Pulp &amp; paper: Recycled technology</v>
      </c>
      <c r="E490" s="121">
        <v>3</v>
      </c>
      <c r="F490" s="242" t="s">
        <v>1923</v>
      </c>
      <c r="G490" s="242"/>
      <c r="H490" s="242"/>
      <c r="I490" s="402">
        <v>0</v>
      </c>
      <c r="J490" s="402">
        <f t="shared" si="20"/>
        <v>3.0769230769230767E-2</v>
      </c>
      <c r="K490" s="402">
        <f t="shared" si="20"/>
        <v>6.9230769230769221E-2</v>
      </c>
      <c r="L490" s="402">
        <f t="shared" si="20"/>
        <v>0.10769230769230768</v>
      </c>
      <c r="M490" s="402">
        <f t="shared" si="20"/>
        <v>0.14615384615384613</v>
      </c>
      <c r="N490" s="402">
        <f t="shared" si="20"/>
        <v>0.1846153846153846</v>
      </c>
      <c r="O490" s="402">
        <f t="shared" si="20"/>
        <v>0.22307692307692306</v>
      </c>
      <c r="P490" s="402">
        <f t="shared" si="20"/>
        <v>0.2615384615384615</v>
      </c>
      <c r="Q490" s="402">
        <v>0.3</v>
      </c>
      <c r="R490" s="242"/>
      <c r="T490" s="20"/>
      <c r="U490" s="20"/>
      <c r="V490" s="20"/>
      <c r="W490" s="20"/>
      <c r="X490" s="20"/>
    </row>
    <row r="491" spans="1:24" s="65" customFormat="1" ht="15" customHeight="1" outlineLevel="2">
      <c r="A491" s="219"/>
      <c r="B491" s="121"/>
      <c r="C491" s="242" t="s">
        <v>1858</v>
      </c>
      <c r="D491" s="121" t="str">
        <f>INDEX(Regional.Technologies[Description],MATCH($B$2&amp;"."&amp;G.30.levels.ProcessImprovements[[#This Row],[Technology code]],Regional.Technologies[Code],0))</f>
        <v>Global Natural Gas use in the Pulp &amp; paper: Recycled technology</v>
      </c>
      <c r="E491" s="121">
        <v>4</v>
      </c>
      <c r="F491" s="242" t="s">
        <v>1923</v>
      </c>
      <c r="G491" s="242"/>
      <c r="H491" s="242"/>
      <c r="I491" s="402">
        <v>0</v>
      </c>
      <c r="J491" s="402">
        <f t="shared" si="20"/>
        <v>4.1025641025641026E-2</v>
      </c>
      <c r="K491" s="402">
        <f t="shared" si="20"/>
        <v>9.2307692307692313E-2</v>
      </c>
      <c r="L491" s="402">
        <f t="shared" si="20"/>
        <v>0.14358974358974358</v>
      </c>
      <c r="M491" s="402">
        <f t="shared" si="20"/>
        <v>0.19487179487179487</v>
      </c>
      <c r="N491" s="402">
        <f t="shared" si="20"/>
        <v>0.24615384615384617</v>
      </c>
      <c r="O491" s="402">
        <f t="shared" si="20"/>
        <v>0.29743589743589743</v>
      </c>
      <c r="P491" s="402">
        <f t="shared" si="20"/>
        <v>0.3487179487179487</v>
      </c>
      <c r="Q491" s="402">
        <v>0.4</v>
      </c>
      <c r="R491" s="242"/>
      <c r="T491" s="20"/>
      <c r="U491" s="20"/>
      <c r="V491" s="20"/>
      <c r="W491" s="20"/>
      <c r="X491" s="20"/>
    </row>
    <row r="492" spans="1:24" s="65" customFormat="1" ht="15" customHeight="1" outlineLevel="2">
      <c r="A492" s="219"/>
      <c r="B492" s="121"/>
      <c r="C492" s="242" t="s">
        <v>1859</v>
      </c>
      <c r="D492" s="121" t="str">
        <f>INDEX(Regional.Technologies[Description],MATCH($B$2&amp;"."&amp;G.30.levels.ProcessImprovements[[#This Row],[Technology code]],Regional.Technologies[Code],0))</f>
        <v>Global Solid Hydrocarbons use in the Pulp &amp; paper: Recycled technology</v>
      </c>
      <c r="E492" s="121">
        <v>1</v>
      </c>
      <c r="F492" s="242" t="s">
        <v>1923</v>
      </c>
      <c r="G492" s="242"/>
      <c r="H492" s="242"/>
      <c r="I492" s="402">
        <v>0</v>
      </c>
      <c r="J492" s="402">
        <f t="shared" si="20"/>
        <v>0</v>
      </c>
      <c r="K492" s="402">
        <f t="shared" si="20"/>
        <v>0</v>
      </c>
      <c r="L492" s="402">
        <f t="shared" si="20"/>
        <v>0</v>
      </c>
      <c r="M492" s="402">
        <f t="shared" si="20"/>
        <v>0</v>
      </c>
      <c r="N492" s="402">
        <f t="shared" si="20"/>
        <v>0</v>
      </c>
      <c r="O492" s="402">
        <f t="shared" si="20"/>
        <v>0</v>
      </c>
      <c r="P492" s="402">
        <f t="shared" si="20"/>
        <v>0</v>
      </c>
      <c r="Q492" s="402">
        <v>0</v>
      </c>
      <c r="R492" s="242"/>
      <c r="T492" s="20"/>
      <c r="U492" s="20"/>
      <c r="V492" s="20"/>
      <c r="W492" s="20"/>
      <c r="X492" s="20"/>
    </row>
    <row r="493" spans="1:24" s="65" customFormat="1" ht="15" customHeight="1" outlineLevel="2">
      <c r="A493" s="219"/>
      <c r="B493" s="121"/>
      <c r="C493" s="242" t="s">
        <v>1859</v>
      </c>
      <c r="D493" s="121" t="str">
        <f>INDEX(Regional.Technologies[Description],MATCH($B$2&amp;"."&amp;G.30.levels.ProcessImprovements[[#This Row],[Technology code]],Regional.Technologies[Code],0))</f>
        <v>Global Solid Hydrocarbons use in the Pulp &amp; paper: Recycled technology</v>
      </c>
      <c r="E493" s="121">
        <v>2</v>
      </c>
      <c r="F493" s="242" t="s">
        <v>1923</v>
      </c>
      <c r="G493" s="242"/>
      <c r="H493" s="242"/>
      <c r="I493" s="402">
        <v>0</v>
      </c>
      <c r="J493" s="402">
        <f t="shared" si="20"/>
        <v>2.0512820512820513E-2</v>
      </c>
      <c r="K493" s="402">
        <f t="shared" si="20"/>
        <v>4.6153846153846156E-2</v>
      </c>
      <c r="L493" s="402">
        <f t="shared" si="20"/>
        <v>7.179487179487179E-2</v>
      </c>
      <c r="M493" s="402">
        <f t="shared" si="20"/>
        <v>9.7435897435897437E-2</v>
      </c>
      <c r="N493" s="402">
        <f t="shared" si="20"/>
        <v>0.12307692307692308</v>
      </c>
      <c r="O493" s="402">
        <f t="shared" si="20"/>
        <v>0.14871794871794872</v>
      </c>
      <c r="P493" s="402">
        <f t="shared" si="20"/>
        <v>0.17435897435897435</v>
      </c>
      <c r="Q493" s="402">
        <v>0.2</v>
      </c>
      <c r="R493" s="242"/>
      <c r="T493" s="20"/>
      <c r="U493" s="20"/>
      <c r="V493" s="20"/>
      <c r="W493" s="20"/>
      <c r="X493" s="20"/>
    </row>
    <row r="494" spans="1:24" s="65" customFormat="1" ht="15" customHeight="1" outlineLevel="2">
      <c r="A494" s="219"/>
      <c r="B494" s="121"/>
      <c r="C494" s="242" t="s">
        <v>1859</v>
      </c>
      <c r="D494" s="121" t="str">
        <f>INDEX(Regional.Technologies[Description],MATCH($B$2&amp;"."&amp;G.30.levels.ProcessImprovements[[#This Row],[Technology code]],Regional.Technologies[Code],0))</f>
        <v>Global Solid Hydrocarbons use in the Pulp &amp; paper: Recycled technology</v>
      </c>
      <c r="E494" s="121">
        <v>3</v>
      </c>
      <c r="F494" s="242" t="s">
        <v>1923</v>
      </c>
      <c r="G494" s="242"/>
      <c r="H494" s="242"/>
      <c r="I494" s="402">
        <v>0</v>
      </c>
      <c r="J494" s="402">
        <f t="shared" si="20"/>
        <v>3.0769230769230767E-2</v>
      </c>
      <c r="K494" s="402">
        <f t="shared" si="20"/>
        <v>6.9230769230769221E-2</v>
      </c>
      <c r="L494" s="402">
        <f t="shared" si="20"/>
        <v>0.10769230769230768</v>
      </c>
      <c r="M494" s="402">
        <f t="shared" si="20"/>
        <v>0.14615384615384613</v>
      </c>
      <c r="N494" s="402">
        <f t="shared" si="20"/>
        <v>0.1846153846153846</v>
      </c>
      <c r="O494" s="402">
        <f t="shared" si="20"/>
        <v>0.22307692307692306</v>
      </c>
      <c r="P494" s="402">
        <f t="shared" si="20"/>
        <v>0.2615384615384615</v>
      </c>
      <c r="Q494" s="402">
        <v>0.3</v>
      </c>
      <c r="R494" s="242"/>
      <c r="T494" s="20"/>
      <c r="U494" s="20"/>
      <c r="V494" s="20"/>
      <c r="W494" s="20"/>
      <c r="X494" s="20"/>
    </row>
    <row r="495" spans="1:24" s="65" customFormat="1" ht="15" customHeight="1" outlineLevel="2">
      <c r="A495" s="219"/>
      <c r="B495" s="121"/>
      <c r="C495" s="242" t="s">
        <v>1859</v>
      </c>
      <c r="D495" s="121" t="str">
        <f>INDEX(Regional.Technologies[Description],MATCH($B$2&amp;"."&amp;G.30.levels.ProcessImprovements[[#This Row],[Technology code]],Regional.Technologies[Code],0))</f>
        <v>Global Solid Hydrocarbons use in the Pulp &amp; paper: Recycled technology</v>
      </c>
      <c r="E495" s="121">
        <v>4</v>
      </c>
      <c r="F495" s="242" t="s">
        <v>1923</v>
      </c>
      <c r="G495" s="242"/>
      <c r="H495" s="242"/>
      <c r="I495" s="402">
        <v>0</v>
      </c>
      <c r="J495" s="402">
        <f t="shared" si="20"/>
        <v>4.1025641025641026E-2</v>
      </c>
      <c r="K495" s="402">
        <f t="shared" si="20"/>
        <v>9.2307692307692313E-2</v>
      </c>
      <c r="L495" s="402">
        <f t="shared" si="20"/>
        <v>0.14358974358974358</v>
      </c>
      <c r="M495" s="402">
        <f t="shared" si="20"/>
        <v>0.19487179487179487</v>
      </c>
      <c r="N495" s="402">
        <f t="shared" si="20"/>
        <v>0.24615384615384617</v>
      </c>
      <c r="O495" s="402">
        <f t="shared" si="20"/>
        <v>0.29743589743589743</v>
      </c>
      <c r="P495" s="402">
        <f t="shared" si="20"/>
        <v>0.3487179487179487</v>
      </c>
      <c r="Q495" s="402">
        <v>0.4</v>
      </c>
      <c r="R495" s="242"/>
      <c r="T495" s="20"/>
      <c r="U495" s="20"/>
      <c r="V495" s="20"/>
      <c r="W495" s="20"/>
      <c r="X495" s="20"/>
    </row>
    <row r="496" spans="1:24" s="65" customFormat="1" ht="15" customHeight="1" outlineLevel="2">
      <c r="A496" s="219"/>
      <c r="B496" s="121"/>
      <c r="C496" s="242" t="s">
        <v>1860</v>
      </c>
      <c r="D496" s="121" t="str">
        <f>INDEX(Regional.Technologies[Description],MATCH($B$2&amp;"."&amp;G.30.levels.ProcessImprovements[[#This Row],[Technology code]],Regional.Technologies[Code],0))</f>
        <v>Global Heat use in the Pulp &amp; paper: Recycled technology</v>
      </c>
      <c r="E496" s="121">
        <v>1</v>
      </c>
      <c r="F496" s="242" t="s">
        <v>1923</v>
      </c>
      <c r="G496" s="242"/>
      <c r="H496" s="242"/>
      <c r="I496" s="402">
        <v>0</v>
      </c>
      <c r="J496" s="402">
        <f t="shared" si="20"/>
        <v>0</v>
      </c>
      <c r="K496" s="402">
        <f t="shared" si="20"/>
        <v>0</v>
      </c>
      <c r="L496" s="402">
        <f t="shared" si="20"/>
        <v>0</v>
      </c>
      <c r="M496" s="402">
        <f t="shared" si="20"/>
        <v>0</v>
      </c>
      <c r="N496" s="402">
        <f t="shared" si="20"/>
        <v>0</v>
      </c>
      <c r="O496" s="402">
        <f t="shared" si="20"/>
        <v>0</v>
      </c>
      <c r="P496" s="402">
        <f t="shared" si="20"/>
        <v>0</v>
      </c>
      <c r="Q496" s="402">
        <v>0</v>
      </c>
      <c r="R496" s="242"/>
      <c r="T496" s="20"/>
      <c r="U496" s="20"/>
      <c r="V496" s="20"/>
      <c r="W496" s="20"/>
      <c r="X496" s="20"/>
    </row>
    <row r="497" spans="1:24" s="65" customFormat="1" ht="15" customHeight="1" outlineLevel="2">
      <c r="A497" s="219"/>
      <c r="B497" s="121"/>
      <c r="C497" s="242" t="s">
        <v>1860</v>
      </c>
      <c r="D497" s="121" t="str">
        <f>INDEX(Regional.Technologies[Description],MATCH($B$2&amp;"."&amp;G.30.levels.ProcessImprovements[[#This Row],[Technology code]],Regional.Technologies[Code],0))</f>
        <v>Global Heat use in the Pulp &amp; paper: Recycled technology</v>
      </c>
      <c r="E497" s="121">
        <v>2</v>
      </c>
      <c r="F497" s="242" t="s">
        <v>1923</v>
      </c>
      <c r="G497" s="242"/>
      <c r="H497" s="242"/>
      <c r="I497" s="402">
        <v>0</v>
      </c>
      <c r="J497" s="402">
        <f t="shared" si="20"/>
        <v>2.0512820512820513E-2</v>
      </c>
      <c r="K497" s="402">
        <f t="shared" si="20"/>
        <v>4.6153846153846156E-2</v>
      </c>
      <c r="L497" s="402">
        <f t="shared" si="20"/>
        <v>7.179487179487179E-2</v>
      </c>
      <c r="M497" s="402">
        <f t="shared" si="20"/>
        <v>9.7435897435897437E-2</v>
      </c>
      <c r="N497" s="402">
        <f t="shared" si="20"/>
        <v>0.12307692307692308</v>
      </c>
      <c r="O497" s="402">
        <f t="shared" si="20"/>
        <v>0.14871794871794872</v>
      </c>
      <c r="P497" s="402">
        <f t="shared" si="20"/>
        <v>0.17435897435897435</v>
      </c>
      <c r="Q497" s="402">
        <v>0.2</v>
      </c>
      <c r="R497" s="242"/>
      <c r="T497" s="20"/>
      <c r="U497" s="20"/>
      <c r="V497" s="20"/>
      <c r="W497" s="20"/>
      <c r="X497" s="20"/>
    </row>
    <row r="498" spans="1:24" s="65" customFormat="1" ht="15" customHeight="1" outlineLevel="2">
      <c r="A498" s="219"/>
      <c r="B498" s="121"/>
      <c r="C498" s="242" t="s">
        <v>1860</v>
      </c>
      <c r="D498" s="121" t="str">
        <f>INDEX(Regional.Technologies[Description],MATCH($B$2&amp;"."&amp;G.30.levels.ProcessImprovements[[#This Row],[Technology code]],Regional.Technologies[Code],0))</f>
        <v>Global Heat use in the Pulp &amp; paper: Recycled technology</v>
      </c>
      <c r="E498" s="121">
        <v>3</v>
      </c>
      <c r="F498" s="242" t="s">
        <v>1923</v>
      </c>
      <c r="G498" s="242"/>
      <c r="H498" s="242"/>
      <c r="I498" s="402">
        <v>0</v>
      </c>
      <c r="J498" s="402">
        <f t="shared" si="20"/>
        <v>3.0769230769230767E-2</v>
      </c>
      <c r="K498" s="402">
        <f t="shared" si="20"/>
        <v>6.9230769230769221E-2</v>
      </c>
      <c r="L498" s="402">
        <f t="shared" si="20"/>
        <v>0.10769230769230768</v>
      </c>
      <c r="M498" s="402">
        <f t="shared" si="20"/>
        <v>0.14615384615384613</v>
      </c>
      <c r="N498" s="402">
        <f t="shared" si="20"/>
        <v>0.1846153846153846</v>
      </c>
      <c r="O498" s="402">
        <f t="shared" si="20"/>
        <v>0.22307692307692306</v>
      </c>
      <c r="P498" s="402">
        <f t="shared" si="20"/>
        <v>0.2615384615384615</v>
      </c>
      <c r="Q498" s="402">
        <v>0.3</v>
      </c>
      <c r="R498" s="242"/>
      <c r="T498" s="20"/>
      <c r="U498" s="20"/>
      <c r="V498" s="20"/>
      <c r="W498" s="20"/>
      <c r="X498" s="20"/>
    </row>
    <row r="499" spans="1:24" s="65" customFormat="1" ht="15" customHeight="1" outlineLevel="2">
      <c r="A499" s="219"/>
      <c r="B499" s="121"/>
      <c r="C499" s="242" t="s">
        <v>1860</v>
      </c>
      <c r="D499" s="121" t="str">
        <f>INDEX(Regional.Technologies[Description],MATCH($B$2&amp;"."&amp;G.30.levels.ProcessImprovements[[#This Row],[Technology code]],Regional.Technologies[Code],0))</f>
        <v>Global Heat use in the Pulp &amp; paper: Recycled technology</v>
      </c>
      <c r="E499" s="121">
        <v>4</v>
      </c>
      <c r="F499" s="242" t="s">
        <v>1923</v>
      </c>
      <c r="G499" s="242"/>
      <c r="H499" s="242"/>
      <c r="I499" s="402">
        <v>0</v>
      </c>
      <c r="J499" s="402">
        <f t="shared" si="20"/>
        <v>4.1025641025641026E-2</v>
      </c>
      <c r="K499" s="402">
        <f t="shared" si="20"/>
        <v>9.2307692307692313E-2</v>
      </c>
      <c r="L499" s="402">
        <f t="shared" si="20"/>
        <v>0.14358974358974358</v>
      </c>
      <c r="M499" s="402">
        <f t="shared" si="20"/>
        <v>0.19487179487179487</v>
      </c>
      <c r="N499" s="402">
        <f t="shared" si="20"/>
        <v>0.24615384615384617</v>
      </c>
      <c r="O499" s="402">
        <f t="shared" si="20"/>
        <v>0.29743589743589743</v>
      </c>
      <c r="P499" s="402">
        <f t="shared" si="20"/>
        <v>0.3487179487179487</v>
      </c>
      <c r="Q499" s="402">
        <v>0.4</v>
      </c>
      <c r="R499" s="242"/>
      <c r="T499" s="20"/>
      <c r="U499" s="20"/>
      <c r="V499" s="20"/>
      <c r="W499" s="20"/>
      <c r="X499" s="20"/>
    </row>
    <row r="500" spans="1:24" s="65" customFormat="1" ht="15" customHeight="1" outlineLevel="2">
      <c r="A500" s="219"/>
      <c r="B500" s="121"/>
      <c r="C500" s="242" t="s">
        <v>1634</v>
      </c>
      <c r="D500" s="121" t="str">
        <f>INDEX(Regional.Technologies[Description],MATCH($B$2&amp;"."&amp;G.30.levels.ProcessImprovements[[#This Row],[Technology code]],Regional.Technologies[Code],0))</f>
        <v>Global Electricity use in the Other industries technology</v>
      </c>
      <c r="E500" s="121">
        <v>1</v>
      </c>
      <c r="F500" s="242" t="s">
        <v>1457</v>
      </c>
      <c r="G500" s="242"/>
      <c r="H500" s="242"/>
      <c r="I500" s="402">
        <v>0</v>
      </c>
      <c r="J500" s="402">
        <f t="shared" si="20"/>
        <v>0</v>
      </c>
      <c r="K500" s="402">
        <f t="shared" si="20"/>
        <v>0</v>
      </c>
      <c r="L500" s="402">
        <f t="shared" si="20"/>
        <v>0</v>
      </c>
      <c r="M500" s="402">
        <f t="shared" si="20"/>
        <v>0</v>
      </c>
      <c r="N500" s="402">
        <f t="shared" si="20"/>
        <v>0</v>
      </c>
      <c r="O500" s="402">
        <f t="shared" si="20"/>
        <v>0</v>
      </c>
      <c r="P500" s="402">
        <f t="shared" si="20"/>
        <v>0</v>
      </c>
      <c r="Q500" s="402">
        <v>0</v>
      </c>
      <c r="R500" s="242"/>
      <c r="T500" s="20"/>
      <c r="U500" s="20"/>
      <c r="V500" s="20"/>
      <c r="W500" s="20"/>
      <c r="X500" s="20"/>
    </row>
    <row r="501" spans="1:24" s="65" customFormat="1" ht="15" customHeight="1" outlineLevel="2">
      <c r="A501" s="219"/>
      <c r="B501" s="121"/>
      <c r="C501" s="242" t="s">
        <v>1634</v>
      </c>
      <c r="D501" s="121" t="str">
        <f>INDEX(Regional.Technologies[Description],MATCH($B$2&amp;"."&amp;G.30.levels.ProcessImprovements[[#This Row],[Technology code]],Regional.Technologies[Code],0))</f>
        <v>Global Electricity use in the Other industries technology</v>
      </c>
      <c r="E501" s="121">
        <v>2</v>
      </c>
      <c r="F501" s="242" t="s">
        <v>1457</v>
      </c>
      <c r="G501" s="242"/>
      <c r="H501" s="242"/>
      <c r="I501" s="402">
        <v>0</v>
      </c>
      <c r="J501" s="402">
        <f t="shared" si="20"/>
        <v>2.0512820512820513E-2</v>
      </c>
      <c r="K501" s="402">
        <f t="shared" si="20"/>
        <v>4.6153846153846156E-2</v>
      </c>
      <c r="L501" s="402">
        <f t="shared" si="20"/>
        <v>7.179487179487179E-2</v>
      </c>
      <c r="M501" s="402">
        <f t="shared" si="20"/>
        <v>9.7435897435897437E-2</v>
      </c>
      <c r="N501" s="402">
        <f t="shared" si="20"/>
        <v>0.12307692307692308</v>
      </c>
      <c r="O501" s="402">
        <f t="shared" si="20"/>
        <v>0.14871794871794872</v>
      </c>
      <c r="P501" s="402">
        <f t="shared" si="20"/>
        <v>0.17435897435897435</v>
      </c>
      <c r="Q501" s="402">
        <v>0.2</v>
      </c>
      <c r="R501" s="242"/>
      <c r="T501" s="20"/>
      <c r="U501" s="20"/>
      <c r="V501" s="20"/>
      <c r="W501" s="20"/>
      <c r="X501" s="20"/>
    </row>
    <row r="502" spans="1:24" s="65" customFormat="1" ht="15" customHeight="1" outlineLevel="2">
      <c r="A502" s="219"/>
      <c r="B502" s="121"/>
      <c r="C502" s="242" t="s">
        <v>1634</v>
      </c>
      <c r="D502" s="121" t="str">
        <f>INDEX(Regional.Technologies[Description],MATCH($B$2&amp;"."&amp;G.30.levels.ProcessImprovements[[#This Row],[Technology code]],Regional.Technologies[Code],0))</f>
        <v>Global Electricity use in the Other industries technology</v>
      </c>
      <c r="E502" s="121">
        <v>3</v>
      </c>
      <c r="F502" s="242" t="s">
        <v>1457</v>
      </c>
      <c r="G502" s="242"/>
      <c r="H502" s="242"/>
      <c r="I502" s="402">
        <v>0</v>
      </c>
      <c r="J502" s="402">
        <f t="shared" si="20"/>
        <v>3.0769230769230767E-2</v>
      </c>
      <c r="K502" s="402">
        <f t="shared" si="20"/>
        <v>6.9230769230769221E-2</v>
      </c>
      <c r="L502" s="402">
        <f t="shared" si="20"/>
        <v>0.10769230769230768</v>
      </c>
      <c r="M502" s="402">
        <f t="shared" si="20"/>
        <v>0.14615384615384613</v>
      </c>
      <c r="N502" s="402">
        <f t="shared" si="20"/>
        <v>0.1846153846153846</v>
      </c>
      <c r="O502" s="402">
        <f t="shared" si="20"/>
        <v>0.22307692307692306</v>
      </c>
      <c r="P502" s="402">
        <f t="shared" si="20"/>
        <v>0.2615384615384615</v>
      </c>
      <c r="Q502" s="402">
        <v>0.3</v>
      </c>
      <c r="R502" s="242"/>
      <c r="T502" s="20"/>
      <c r="U502" s="20"/>
      <c r="V502" s="20"/>
      <c r="W502" s="20"/>
      <c r="X502" s="20"/>
    </row>
    <row r="503" spans="1:24" s="65" customFormat="1" ht="15" customHeight="1" outlineLevel="2">
      <c r="A503" s="219"/>
      <c r="B503" s="121"/>
      <c r="C503" s="242" t="s">
        <v>1634</v>
      </c>
      <c r="D503" s="121" t="str">
        <f>INDEX(Regional.Technologies[Description],MATCH($B$2&amp;"."&amp;G.30.levels.ProcessImprovements[[#This Row],[Technology code]],Regional.Technologies[Code],0))</f>
        <v>Global Electricity use in the Other industries technology</v>
      </c>
      <c r="E503" s="121">
        <v>4</v>
      </c>
      <c r="F503" s="242" t="s">
        <v>1457</v>
      </c>
      <c r="G503" s="242"/>
      <c r="H503" s="242"/>
      <c r="I503" s="402">
        <v>0</v>
      </c>
      <c r="J503" s="402">
        <f t="shared" si="20"/>
        <v>4.1025641025641026E-2</v>
      </c>
      <c r="K503" s="402">
        <f t="shared" si="20"/>
        <v>9.2307692307692313E-2</v>
      </c>
      <c r="L503" s="402">
        <f t="shared" si="20"/>
        <v>0.14358974358974358</v>
      </c>
      <c r="M503" s="402">
        <f t="shared" si="20"/>
        <v>0.19487179487179487</v>
      </c>
      <c r="N503" s="402">
        <f t="shared" si="20"/>
        <v>0.24615384615384617</v>
      </c>
      <c r="O503" s="402">
        <f t="shared" si="20"/>
        <v>0.29743589743589743</v>
      </c>
      <c r="P503" s="402">
        <f t="shared" si="20"/>
        <v>0.3487179487179487</v>
      </c>
      <c r="Q503" s="402">
        <v>0.4</v>
      </c>
      <c r="R503" s="242"/>
      <c r="T503" s="20"/>
      <c r="U503" s="20"/>
      <c r="V503" s="20"/>
      <c r="W503" s="20"/>
      <c r="X503" s="20"/>
    </row>
    <row r="504" spans="1:24" s="65" customFormat="1" ht="15" customHeight="1" outlineLevel="2">
      <c r="A504" s="219"/>
      <c r="B504" s="121"/>
      <c r="C504" s="242" t="s">
        <v>1865</v>
      </c>
      <c r="D504" s="121" t="str">
        <f>INDEX(Regional.Technologies[Description],MATCH($B$2&amp;"."&amp;G.30.levels.ProcessImprovements[[#This Row],[Technology code]],Regional.Technologies[Code],0))</f>
        <v>Global Coal use in the Other industries technology</v>
      </c>
      <c r="E504" s="121">
        <v>1</v>
      </c>
      <c r="F504" s="242" t="s">
        <v>1457</v>
      </c>
      <c r="G504" s="242"/>
      <c r="H504" s="242"/>
      <c r="I504" s="402">
        <v>0</v>
      </c>
      <c r="J504" s="402">
        <f t="shared" si="20"/>
        <v>0</v>
      </c>
      <c r="K504" s="402">
        <f t="shared" si="20"/>
        <v>0</v>
      </c>
      <c r="L504" s="402">
        <f t="shared" si="20"/>
        <v>0</v>
      </c>
      <c r="M504" s="402">
        <f t="shared" si="20"/>
        <v>0</v>
      </c>
      <c r="N504" s="402">
        <f t="shared" si="20"/>
        <v>0</v>
      </c>
      <c r="O504" s="402">
        <f t="shared" si="20"/>
        <v>0</v>
      </c>
      <c r="P504" s="402">
        <f t="shared" si="20"/>
        <v>0</v>
      </c>
      <c r="Q504" s="402">
        <v>0</v>
      </c>
      <c r="R504" s="242"/>
      <c r="T504" s="20"/>
      <c r="U504" s="20"/>
      <c r="V504" s="20"/>
      <c r="W504" s="20"/>
      <c r="X504" s="20"/>
    </row>
    <row r="505" spans="1:24" s="65" customFormat="1" ht="15" customHeight="1" outlineLevel="2">
      <c r="A505" s="219"/>
      <c r="B505" s="121"/>
      <c r="C505" s="242" t="s">
        <v>1865</v>
      </c>
      <c r="D505" s="121" t="str">
        <f>INDEX(Regional.Technologies[Description],MATCH($B$2&amp;"."&amp;G.30.levels.ProcessImprovements[[#This Row],[Technology code]],Regional.Technologies[Code],0))</f>
        <v>Global Coal use in the Other industries technology</v>
      </c>
      <c r="E505" s="121">
        <v>2</v>
      </c>
      <c r="F505" s="242" t="s">
        <v>1457</v>
      </c>
      <c r="G505" s="242"/>
      <c r="H505" s="242"/>
      <c r="I505" s="402">
        <v>0</v>
      </c>
      <c r="J505" s="402">
        <f t="shared" si="20"/>
        <v>2.0512820512820513E-2</v>
      </c>
      <c r="K505" s="402">
        <f t="shared" si="20"/>
        <v>4.6153846153846156E-2</v>
      </c>
      <c r="L505" s="402">
        <f t="shared" si="20"/>
        <v>7.179487179487179E-2</v>
      </c>
      <c r="M505" s="402">
        <f t="shared" si="20"/>
        <v>9.7435897435897437E-2</v>
      </c>
      <c r="N505" s="402">
        <f t="shared" si="20"/>
        <v>0.12307692307692308</v>
      </c>
      <c r="O505" s="402">
        <f t="shared" si="20"/>
        <v>0.14871794871794872</v>
      </c>
      <c r="P505" s="402">
        <f t="shared" si="20"/>
        <v>0.17435897435897435</v>
      </c>
      <c r="Q505" s="402">
        <v>0.2</v>
      </c>
      <c r="R505" s="242"/>
      <c r="T505" s="20"/>
      <c r="U505" s="20"/>
      <c r="V505" s="20"/>
      <c r="W505" s="20"/>
      <c r="X505" s="20"/>
    </row>
    <row r="506" spans="1:24" s="65" customFormat="1" ht="15" customHeight="1" outlineLevel="2">
      <c r="A506" s="219"/>
      <c r="B506" s="121"/>
      <c r="C506" s="242" t="s">
        <v>1865</v>
      </c>
      <c r="D506" s="121" t="str">
        <f>INDEX(Regional.Technologies[Description],MATCH($B$2&amp;"."&amp;G.30.levels.ProcessImprovements[[#This Row],[Technology code]],Regional.Technologies[Code],0))</f>
        <v>Global Coal use in the Other industries technology</v>
      </c>
      <c r="E506" s="121">
        <v>3</v>
      </c>
      <c r="F506" s="242" t="s">
        <v>1457</v>
      </c>
      <c r="G506" s="242"/>
      <c r="H506" s="242"/>
      <c r="I506" s="402">
        <v>0</v>
      </c>
      <c r="J506" s="402">
        <f t="shared" si="20"/>
        <v>3.0769230769230767E-2</v>
      </c>
      <c r="K506" s="402">
        <f t="shared" si="20"/>
        <v>6.9230769230769221E-2</v>
      </c>
      <c r="L506" s="402">
        <f t="shared" si="20"/>
        <v>0.10769230769230768</v>
      </c>
      <c r="M506" s="402">
        <f t="shared" si="20"/>
        <v>0.14615384615384613</v>
      </c>
      <c r="N506" s="402">
        <f t="shared" si="20"/>
        <v>0.1846153846153846</v>
      </c>
      <c r="O506" s="402">
        <f t="shared" si="20"/>
        <v>0.22307692307692306</v>
      </c>
      <c r="P506" s="402">
        <f t="shared" si="20"/>
        <v>0.2615384615384615</v>
      </c>
      <c r="Q506" s="402">
        <v>0.3</v>
      </c>
      <c r="R506" s="242"/>
      <c r="T506" s="20"/>
      <c r="U506" s="20"/>
      <c r="V506" s="20"/>
      <c r="W506" s="20"/>
      <c r="X506" s="20"/>
    </row>
    <row r="507" spans="1:24" s="65" customFormat="1" ht="15" customHeight="1" outlineLevel="2">
      <c r="A507" s="219"/>
      <c r="B507" s="121"/>
      <c r="C507" s="242" t="s">
        <v>1865</v>
      </c>
      <c r="D507" s="121" t="str">
        <f>INDEX(Regional.Technologies[Description],MATCH($B$2&amp;"."&amp;G.30.levels.ProcessImprovements[[#This Row],[Technology code]],Regional.Technologies[Code],0))</f>
        <v>Global Coal use in the Other industries technology</v>
      </c>
      <c r="E507" s="121">
        <v>4</v>
      </c>
      <c r="F507" s="242" t="s">
        <v>1457</v>
      </c>
      <c r="G507" s="242"/>
      <c r="H507" s="242"/>
      <c r="I507" s="402">
        <v>0</v>
      </c>
      <c r="J507" s="402">
        <f t="shared" si="20"/>
        <v>4.1025641025641026E-2</v>
      </c>
      <c r="K507" s="402">
        <f t="shared" si="20"/>
        <v>9.2307692307692313E-2</v>
      </c>
      <c r="L507" s="402">
        <f t="shared" si="20"/>
        <v>0.14358974358974358</v>
      </c>
      <c r="M507" s="402">
        <f t="shared" si="20"/>
        <v>0.19487179487179487</v>
      </c>
      <c r="N507" s="402">
        <f t="shared" si="20"/>
        <v>0.24615384615384617</v>
      </c>
      <c r="O507" s="402">
        <f t="shared" si="20"/>
        <v>0.29743589743589743</v>
      </c>
      <c r="P507" s="402">
        <f t="shared" si="20"/>
        <v>0.3487179487179487</v>
      </c>
      <c r="Q507" s="402">
        <v>0.4</v>
      </c>
      <c r="R507" s="242"/>
      <c r="T507" s="20"/>
      <c r="U507" s="20"/>
      <c r="V507" s="20"/>
      <c r="W507" s="20"/>
      <c r="X507" s="20"/>
    </row>
    <row r="508" spans="1:24" s="65" customFormat="1" ht="15" customHeight="1" outlineLevel="2">
      <c r="A508" s="219"/>
      <c r="B508" s="121"/>
      <c r="C508" s="242" t="s">
        <v>1866</v>
      </c>
      <c r="D508" s="121" t="str">
        <f>INDEX(Regional.Technologies[Description],MATCH($B$2&amp;"."&amp;G.30.levels.ProcessImprovements[[#This Row],[Technology code]],Regional.Technologies[Code],0))</f>
        <v>Global Oil use in the Other industries technology</v>
      </c>
      <c r="E508" s="121">
        <v>1</v>
      </c>
      <c r="F508" s="242" t="s">
        <v>1457</v>
      </c>
      <c r="G508" s="242"/>
      <c r="H508" s="242"/>
      <c r="I508" s="402">
        <v>0</v>
      </c>
      <c r="J508" s="402">
        <f t="shared" si="20"/>
        <v>0</v>
      </c>
      <c r="K508" s="402">
        <f t="shared" si="20"/>
        <v>0</v>
      </c>
      <c r="L508" s="402">
        <f t="shared" si="20"/>
        <v>0</v>
      </c>
      <c r="M508" s="402">
        <f t="shared" si="20"/>
        <v>0</v>
      </c>
      <c r="N508" s="402">
        <f t="shared" si="20"/>
        <v>0</v>
      </c>
      <c r="O508" s="402">
        <f t="shared" si="20"/>
        <v>0</v>
      </c>
      <c r="P508" s="402">
        <f t="shared" si="20"/>
        <v>0</v>
      </c>
      <c r="Q508" s="402">
        <v>0</v>
      </c>
      <c r="R508" s="242"/>
      <c r="T508" s="20"/>
      <c r="U508" s="20"/>
      <c r="V508" s="20"/>
      <c r="W508" s="20"/>
      <c r="X508" s="20"/>
    </row>
    <row r="509" spans="1:24" s="65" customFormat="1" ht="15" customHeight="1" outlineLevel="2">
      <c r="A509" s="219"/>
      <c r="B509" s="121"/>
      <c r="C509" s="242" t="s">
        <v>1866</v>
      </c>
      <c r="D509" s="121" t="str">
        <f>INDEX(Regional.Technologies[Description],MATCH($B$2&amp;"."&amp;G.30.levels.ProcessImprovements[[#This Row],[Technology code]],Regional.Technologies[Code],0))</f>
        <v>Global Oil use in the Other industries technology</v>
      </c>
      <c r="E509" s="121">
        <v>2</v>
      </c>
      <c r="F509" s="242" t="s">
        <v>1457</v>
      </c>
      <c r="G509" s="242"/>
      <c r="H509" s="242"/>
      <c r="I509" s="402">
        <v>0</v>
      </c>
      <c r="J509" s="402">
        <f t="shared" si="20"/>
        <v>2.0512820512820513E-2</v>
      </c>
      <c r="K509" s="402">
        <f t="shared" si="20"/>
        <v>4.6153846153846156E-2</v>
      </c>
      <c r="L509" s="402">
        <f t="shared" si="20"/>
        <v>7.179487179487179E-2</v>
      </c>
      <c r="M509" s="402">
        <f t="shared" si="20"/>
        <v>9.7435897435897437E-2</v>
      </c>
      <c r="N509" s="402">
        <f t="shared" si="20"/>
        <v>0.12307692307692308</v>
      </c>
      <c r="O509" s="402">
        <f t="shared" si="20"/>
        <v>0.14871794871794872</v>
      </c>
      <c r="P509" s="402">
        <f t="shared" si="20"/>
        <v>0.17435897435897435</v>
      </c>
      <c r="Q509" s="402">
        <v>0.2</v>
      </c>
      <c r="R509" s="242"/>
      <c r="T509" s="20"/>
      <c r="U509" s="20"/>
      <c r="V509" s="20"/>
      <c r="W509" s="20"/>
      <c r="X509" s="20"/>
    </row>
    <row r="510" spans="1:24" s="65" customFormat="1" ht="15" customHeight="1" outlineLevel="2">
      <c r="A510" s="219"/>
      <c r="B510" s="121"/>
      <c r="C510" s="242" t="s">
        <v>1866</v>
      </c>
      <c r="D510" s="121" t="str">
        <f>INDEX(Regional.Technologies[Description],MATCH($B$2&amp;"."&amp;G.30.levels.ProcessImprovements[[#This Row],[Technology code]],Regional.Technologies[Code],0))</f>
        <v>Global Oil use in the Other industries technology</v>
      </c>
      <c r="E510" s="121">
        <v>3</v>
      </c>
      <c r="F510" s="242" t="s">
        <v>1457</v>
      </c>
      <c r="G510" s="242"/>
      <c r="H510" s="242"/>
      <c r="I510" s="402">
        <v>0</v>
      </c>
      <c r="J510" s="402">
        <f t="shared" si="20"/>
        <v>3.0769230769230767E-2</v>
      </c>
      <c r="K510" s="402">
        <f t="shared" si="20"/>
        <v>6.9230769230769221E-2</v>
      </c>
      <c r="L510" s="402">
        <f t="shared" si="20"/>
        <v>0.10769230769230768</v>
      </c>
      <c r="M510" s="402">
        <f t="shared" si="20"/>
        <v>0.14615384615384613</v>
      </c>
      <c r="N510" s="402">
        <f t="shared" si="20"/>
        <v>0.1846153846153846</v>
      </c>
      <c r="O510" s="402">
        <f t="shared" si="20"/>
        <v>0.22307692307692306</v>
      </c>
      <c r="P510" s="402">
        <f t="shared" si="20"/>
        <v>0.2615384615384615</v>
      </c>
      <c r="Q510" s="402">
        <v>0.3</v>
      </c>
      <c r="R510" s="242"/>
      <c r="T510" s="20"/>
      <c r="U510" s="20"/>
      <c r="V510" s="20"/>
      <c r="W510" s="20"/>
      <c r="X510" s="20"/>
    </row>
    <row r="511" spans="1:24" s="65" customFormat="1" ht="15" customHeight="1" outlineLevel="2">
      <c r="A511" s="219"/>
      <c r="B511" s="121"/>
      <c r="C511" s="242" t="s">
        <v>1866</v>
      </c>
      <c r="D511" s="121" t="str">
        <f>INDEX(Regional.Technologies[Description],MATCH($B$2&amp;"."&amp;G.30.levels.ProcessImprovements[[#This Row],[Technology code]],Regional.Technologies[Code],0))</f>
        <v>Global Oil use in the Other industries technology</v>
      </c>
      <c r="E511" s="121">
        <v>4</v>
      </c>
      <c r="F511" s="242" t="s">
        <v>1457</v>
      </c>
      <c r="G511" s="242"/>
      <c r="H511" s="242"/>
      <c r="I511" s="402">
        <v>0</v>
      </c>
      <c r="J511" s="402">
        <f t="shared" si="20"/>
        <v>4.1025641025641026E-2</v>
      </c>
      <c r="K511" s="402">
        <f t="shared" si="20"/>
        <v>9.2307692307692313E-2</v>
      </c>
      <c r="L511" s="402">
        <f t="shared" si="20"/>
        <v>0.14358974358974358</v>
      </c>
      <c r="M511" s="402">
        <f t="shared" si="20"/>
        <v>0.19487179487179487</v>
      </c>
      <c r="N511" s="402">
        <f t="shared" si="20"/>
        <v>0.24615384615384617</v>
      </c>
      <c r="O511" s="402">
        <f t="shared" si="20"/>
        <v>0.29743589743589743</v>
      </c>
      <c r="P511" s="402">
        <f t="shared" si="20"/>
        <v>0.3487179487179487</v>
      </c>
      <c r="Q511" s="402">
        <v>0.4</v>
      </c>
      <c r="R511" s="242"/>
      <c r="T511" s="20"/>
      <c r="U511" s="20"/>
      <c r="V511" s="20"/>
      <c r="W511" s="20"/>
      <c r="X511" s="20"/>
    </row>
    <row r="512" spans="1:24" s="65" customFormat="1" ht="15" customHeight="1" outlineLevel="2">
      <c r="A512" s="219"/>
      <c r="B512" s="121"/>
      <c r="C512" s="242" t="s">
        <v>1867</v>
      </c>
      <c r="D512" s="121" t="str">
        <f>INDEX(Regional.Technologies[Description],MATCH($B$2&amp;"."&amp;G.30.levels.ProcessImprovements[[#This Row],[Technology code]],Regional.Technologies[Code],0))</f>
        <v>Global Natural Gas use in the Other industries technology</v>
      </c>
      <c r="E512" s="121">
        <v>1</v>
      </c>
      <c r="F512" s="242" t="s">
        <v>1457</v>
      </c>
      <c r="G512" s="242"/>
      <c r="H512" s="242"/>
      <c r="I512" s="402">
        <v>0</v>
      </c>
      <c r="J512" s="402">
        <f t="shared" si="20"/>
        <v>0</v>
      </c>
      <c r="K512" s="402">
        <f t="shared" si="20"/>
        <v>0</v>
      </c>
      <c r="L512" s="402">
        <f t="shared" si="20"/>
        <v>0</v>
      </c>
      <c r="M512" s="402">
        <f t="shared" si="20"/>
        <v>0</v>
      </c>
      <c r="N512" s="402">
        <f t="shared" si="20"/>
        <v>0</v>
      </c>
      <c r="O512" s="402">
        <f t="shared" si="20"/>
        <v>0</v>
      </c>
      <c r="P512" s="402">
        <f t="shared" si="20"/>
        <v>0</v>
      </c>
      <c r="Q512" s="402">
        <v>0</v>
      </c>
      <c r="R512" s="242"/>
      <c r="T512" s="20"/>
      <c r="U512" s="20"/>
      <c r="V512" s="20"/>
      <c r="W512" s="20"/>
      <c r="X512" s="20"/>
    </row>
    <row r="513" spans="1:24" s="65" customFormat="1" ht="15" customHeight="1" outlineLevel="2">
      <c r="A513" s="219"/>
      <c r="B513" s="121"/>
      <c r="C513" s="242" t="s">
        <v>1867</v>
      </c>
      <c r="D513" s="121" t="str">
        <f>INDEX(Regional.Technologies[Description],MATCH($B$2&amp;"."&amp;G.30.levels.ProcessImprovements[[#This Row],[Technology code]],Regional.Technologies[Code],0))</f>
        <v>Global Natural Gas use in the Other industries technology</v>
      </c>
      <c r="E513" s="121">
        <v>2</v>
      </c>
      <c r="F513" s="242" t="s">
        <v>1457</v>
      </c>
      <c r="G513" s="242"/>
      <c r="H513" s="242"/>
      <c r="I513" s="402">
        <v>0</v>
      </c>
      <c r="J513" s="402">
        <f t="shared" si="20"/>
        <v>2.0512820512820513E-2</v>
      </c>
      <c r="K513" s="402">
        <f t="shared" si="20"/>
        <v>4.6153846153846156E-2</v>
      </c>
      <c r="L513" s="402">
        <f t="shared" si="20"/>
        <v>7.179487179487179E-2</v>
      </c>
      <c r="M513" s="402">
        <f t="shared" si="20"/>
        <v>9.7435897435897437E-2</v>
      </c>
      <c r="N513" s="402">
        <f t="shared" si="20"/>
        <v>0.12307692307692308</v>
      </c>
      <c r="O513" s="402">
        <f t="shared" si="20"/>
        <v>0.14871794871794872</v>
      </c>
      <c r="P513" s="402">
        <f t="shared" si="20"/>
        <v>0.17435897435897435</v>
      </c>
      <c r="Q513" s="402">
        <v>0.2</v>
      </c>
      <c r="R513" s="242"/>
      <c r="T513" s="20"/>
      <c r="U513" s="20"/>
      <c r="V513" s="20"/>
      <c r="W513" s="20"/>
      <c r="X513" s="20"/>
    </row>
    <row r="514" spans="1:24" s="65" customFormat="1" ht="15" customHeight="1" outlineLevel="2">
      <c r="A514" s="219"/>
      <c r="B514" s="121"/>
      <c r="C514" s="242" t="s">
        <v>1867</v>
      </c>
      <c r="D514" s="121" t="str">
        <f>INDEX(Regional.Technologies[Description],MATCH($B$2&amp;"."&amp;G.30.levels.ProcessImprovements[[#This Row],[Technology code]],Regional.Technologies[Code],0))</f>
        <v>Global Natural Gas use in the Other industries technology</v>
      </c>
      <c r="E514" s="121">
        <v>3</v>
      </c>
      <c r="F514" s="242" t="s">
        <v>1457</v>
      </c>
      <c r="G514" s="242"/>
      <c r="H514" s="242"/>
      <c r="I514" s="402">
        <v>0</v>
      </c>
      <c r="J514" s="402">
        <f t="shared" si="20"/>
        <v>3.0769230769230767E-2</v>
      </c>
      <c r="K514" s="402">
        <f t="shared" si="20"/>
        <v>6.9230769230769221E-2</v>
      </c>
      <c r="L514" s="402">
        <f t="shared" si="20"/>
        <v>0.10769230769230768</v>
      </c>
      <c r="M514" s="402">
        <f t="shared" si="20"/>
        <v>0.14615384615384613</v>
      </c>
      <c r="N514" s="402">
        <f t="shared" si="20"/>
        <v>0.1846153846153846</v>
      </c>
      <c r="O514" s="402">
        <f t="shared" si="20"/>
        <v>0.22307692307692306</v>
      </c>
      <c r="P514" s="402">
        <f t="shared" si="20"/>
        <v>0.2615384615384615</v>
      </c>
      <c r="Q514" s="402">
        <v>0.3</v>
      </c>
      <c r="R514" s="242"/>
      <c r="T514" s="20"/>
      <c r="U514" s="20"/>
      <c r="V514" s="20"/>
      <c r="W514" s="20"/>
      <c r="X514" s="20"/>
    </row>
    <row r="515" spans="1:24" s="65" customFormat="1" ht="15" customHeight="1" outlineLevel="2">
      <c r="A515" s="219"/>
      <c r="B515" s="121"/>
      <c r="C515" s="242" t="s">
        <v>1867</v>
      </c>
      <c r="D515" s="121" t="str">
        <f>INDEX(Regional.Technologies[Description],MATCH($B$2&amp;"."&amp;G.30.levels.ProcessImprovements[[#This Row],[Technology code]],Regional.Technologies[Code],0))</f>
        <v>Global Natural Gas use in the Other industries technology</v>
      </c>
      <c r="E515" s="121">
        <v>4</v>
      </c>
      <c r="F515" s="242" t="s">
        <v>1457</v>
      </c>
      <c r="G515" s="242"/>
      <c r="H515" s="242"/>
      <c r="I515" s="402">
        <v>0</v>
      </c>
      <c r="J515" s="402">
        <f t="shared" ref="J515:P523" si="21">(($Q515-$I515)/($Q$121-$I$121))*(J$121-$I$121)+$I515</f>
        <v>4.1025641025641026E-2</v>
      </c>
      <c r="K515" s="402">
        <f t="shared" si="21"/>
        <v>9.2307692307692313E-2</v>
      </c>
      <c r="L515" s="402">
        <f t="shared" si="21"/>
        <v>0.14358974358974358</v>
      </c>
      <c r="M515" s="402">
        <f t="shared" si="21"/>
        <v>0.19487179487179487</v>
      </c>
      <c r="N515" s="402">
        <f t="shared" si="21"/>
        <v>0.24615384615384617</v>
      </c>
      <c r="O515" s="402">
        <f t="shared" si="21"/>
        <v>0.29743589743589743</v>
      </c>
      <c r="P515" s="402">
        <f t="shared" si="21"/>
        <v>0.3487179487179487</v>
      </c>
      <c r="Q515" s="402">
        <v>0.4</v>
      </c>
      <c r="R515" s="242"/>
      <c r="T515" s="20"/>
      <c r="U515" s="20"/>
      <c r="V515" s="20"/>
      <c r="W515" s="20"/>
      <c r="X515" s="20"/>
    </row>
    <row r="516" spans="1:24" s="65" customFormat="1" ht="15" customHeight="1" outlineLevel="2">
      <c r="A516" s="219"/>
      <c r="B516" s="121"/>
      <c r="C516" s="242" t="s">
        <v>1868</v>
      </c>
      <c r="D516" s="121" t="str">
        <f>INDEX(Regional.Technologies[Description],MATCH($B$2&amp;"."&amp;G.30.levels.ProcessImprovements[[#This Row],[Technology code]],Regional.Technologies[Code],0))</f>
        <v>Global Solid Hydrocarbons use in the Other industries technology</v>
      </c>
      <c r="E516" s="121">
        <v>1</v>
      </c>
      <c r="F516" s="242" t="s">
        <v>1457</v>
      </c>
      <c r="G516" s="242"/>
      <c r="H516" s="242"/>
      <c r="I516" s="402">
        <v>0</v>
      </c>
      <c r="J516" s="402">
        <f t="shared" si="21"/>
        <v>0</v>
      </c>
      <c r="K516" s="402">
        <f t="shared" si="21"/>
        <v>0</v>
      </c>
      <c r="L516" s="402">
        <f t="shared" si="21"/>
        <v>0</v>
      </c>
      <c r="M516" s="402">
        <f t="shared" si="21"/>
        <v>0</v>
      </c>
      <c r="N516" s="402">
        <f t="shared" si="21"/>
        <v>0</v>
      </c>
      <c r="O516" s="402">
        <f t="shared" si="21"/>
        <v>0</v>
      </c>
      <c r="P516" s="402">
        <f t="shared" si="21"/>
        <v>0</v>
      </c>
      <c r="Q516" s="402">
        <v>0</v>
      </c>
      <c r="R516" s="242"/>
      <c r="T516" s="20"/>
      <c r="U516" s="20"/>
      <c r="V516" s="20"/>
      <c r="W516" s="20"/>
      <c r="X516" s="20"/>
    </row>
    <row r="517" spans="1:24" s="65" customFormat="1" ht="15" customHeight="1" outlineLevel="2">
      <c r="A517" s="219"/>
      <c r="B517" s="121"/>
      <c r="C517" s="242" t="s">
        <v>1868</v>
      </c>
      <c r="D517" s="121" t="str">
        <f>INDEX(Regional.Technologies[Description],MATCH($B$2&amp;"."&amp;G.30.levels.ProcessImprovements[[#This Row],[Technology code]],Regional.Technologies[Code],0))</f>
        <v>Global Solid Hydrocarbons use in the Other industries technology</v>
      </c>
      <c r="E517" s="121">
        <v>2</v>
      </c>
      <c r="F517" s="242" t="s">
        <v>1457</v>
      </c>
      <c r="G517" s="242"/>
      <c r="H517" s="242"/>
      <c r="I517" s="402">
        <v>0</v>
      </c>
      <c r="J517" s="402">
        <f t="shared" si="21"/>
        <v>2.0512820512820513E-2</v>
      </c>
      <c r="K517" s="402">
        <f t="shared" si="21"/>
        <v>4.6153846153846156E-2</v>
      </c>
      <c r="L517" s="402">
        <f t="shared" si="21"/>
        <v>7.179487179487179E-2</v>
      </c>
      <c r="M517" s="402">
        <f t="shared" si="21"/>
        <v>9.7435897435897437E-2</v>
      </c>
      <c r="N517" s="402">
        <f t="shared" si="21"/>
        <v>0.12307692307692308</v>
      </c>
      <c r="O517" s="402">
        <f t="shared" si="21"/>
        <v>0.14871794871794872</v>
      </c>
      <c r="P517" s="402">
        <f t="shared" si="21"/>
        <v>0.17435897435897435</v>
      </c>
      <c r="Q517" s="402">
        <v>0.2</v>
      </c>
      <c r="R517" s="242"/>
      <c r="T517" s="20"/>
      <c r="U517" s="20"/>
      <c r="V517" s="20"/>
      <c r="W517" s="20"/>
      <c r="X517" s="20"/>
    </row>
    <row r="518" spans="1:24" s="65" customFormat="1" ht="15" customHeight="1" outlineLevel="2">
      <c r="A518" s="219"/>
      <c r="B518" s="121"/>
      <c r="C518" s="242" t="s">
        <v>1868</v>
      </c>
      <c r="D518" s="121" t="str">
        <f>INDEX(Regional.Technologies[Description],MATCH($B$2&amp;"."&amp;G.30.levels.ProcessImprovements[[#This Row],[Technology code]],Regional.Technologies[Code],0))</f>
        <v>Global Solid Hydrocarbons use in the Other industries technology</v>
      </c>
      <c r="E518" s="121">
        <v>3</v>
      </c>
      <c r="F518" s="242" t="s">
        <v>1457</v>
      </c>
      <c r="G518" s="242"/>
      <c r="H518" s="242"/>
      <c r="I518" s="402">
        <v>0</v>
      </c>
      <c r="J518" s="402">
        <f t="shared" si="21"/>
        <v>3.0769230769230767E-2</v>
      </c>
      <c r="K518" s="402">
        <f t="shared" si="21"/>
        <v>6.9230769230769221E-2</v>
      </c>
      <c r="L518" s="402">
        <f t="shared" si="21"/>
        <v>0.10769230769230768</v>
      </c>
      <c r="M518" s="402">
        <f t="shared" si="21"/>
        <v>0.14615384615384613</v>
      </c>
      <c r="N518" s="402">
        <f t="shared" si="21"/>
        <v>0.1846153846153846</v>
      </c>
      <c r="O518" s="402">
        <f t="shared" si="21"/>
        <v>0.22307692307692306</v>
      </c>
      <c r="P518" s="402">
        <f t="shared" si="21"/>
        <v>0.2615384615384615</v>
      </c>
      <c r="Q518" s="402">
        <v>0.3</v>
      </c>
      <c r="R518" s="242"/>
      <c r="T518" s="20"/>
      <c r="U518" s="20"/>
      <c r="V518" s="20"/>
      <c r="W518" s="20"/>
      <c r="X518" s="20"/>
    </row>
    <row r="519" spans="1:24" s="65" customFormat="1" ht="15" customHeight="1" outlineLevel="2">
      <c r="A519" s="219"/>
      <c r="B519" s="121"/>
      <c r="C519" s="242" t="s">
        <v>1868</v>
      </c>
      <c r="D519" s="121" t="str">
        <f>INDEX(Regional.Technologies[Description],MATCH($B$2&amp;"."&amp;G.30.levels.ProcessImprovements[[#This Row],[Technology code]],Regional.Technologies[Code],0))</f>
        <v>Global Solid Hydrocarbons use in the Other industries technology</v>
      </c>
      <c r="E519" s="121">
        <v>4</v>
      </c>
      <c r="F519" s="242" t="s">
        <v>1457</v>
      </c>
      <c r="G519" s="242"/>
      <c r="H519" s="242"/>
      <c r="I519" s="402">
        <v>0</v>
      </c>
      <c r="J519" s="402">
        <f t="shared" si="21"/>
        <v>4.1025641025641026E-2</v>
      </c>
      <c r="K519" s="402">
        <f t="shared" si="21"/>
        <v>9.2307692307692313E-2</v>
      </c>
      <c r="L519" s="402">
        <f t="shared" si="21"/>
        <v>0.14358974358974358</v>
      </c>
      <c r="M519" s="402">
        <f t="shared" si="21"/>
        <v>0.19487179487179487</v>
      </c>
      <c r="N519" s="402">
        <f t="shared" si="21"/>
        <v>0.24615384615384617</v>
      </c>
      <c r="O519" s="402">
        <f t="shared" si="21"/>
        <v>0.29743589743589743</v>
      </c>
      <c r="P519" s="402">
        <f t="shared" si="21"/>
        <v>0.3487179487179487</v>
      </c>
      <c r="Q519" s="402">
        <v>0.4</v>
      </c>
      <c r="R519" s="242"/>
      <c r="T519" s="20"/>
      <c r="U519" s="20"/>
      <c r="V519" s="20"/>
      <c r="W519" s="20"/>
      <c r="X519" s="20"/>
    </row>
    <row r="520" spans="1:24" s="65" customFormat="1" ht="15" customHeight="1" outlineLevel="2">
      <c r="A520" s="219"/>
      <c r="B520" s="121"/>
      <c r="C520" s="242" t="s">
        <v>1869</v>
      </c>
      <c r="D520" s="121" t="str">
        <f>INDEX(Regional.Technologies[Description],MATCH($B$2&amp;"."&amp;G.30.levels.ProcessImprovements[[#This Row],[Technology code]],Regional.Technologies[Code],0))</f>
        <v>Global Heat use in the Other industries technology</v>
      </c>
      <c r="E520" s="121">
        <v>1</v>
      </c>
      <c r="F520" s="242" t="s">
        <v>1457</v>
      </c>
      <c r="G520" s="242"/>
      <c r="H520" s="242"/>
      <c r="I520" s="402">
        <v>0</v>
      </c>
      <c r="J520" s="402">
        <f t="shared" si="21"/>
        <v>0</v>
      </c>
      <c r="K520" s="402">
        <f t="shared" si="21"/>
        <v>0</v>
      </c>
      <c r="L520" s="402">
        <f t="shared" si="21"/>
        <v>0</v>
      </c>
      <c r="M520" s="402">
        <f t="shared" si="21"/>
        <v>0</v>
      </c>
      <c r="N520" s="402">
        <f t="shared" si="21"/>
        <v>0</v>
      </c>
      <c r="O520" s="402">
        <f t="shared" si="21"/>
        <v>0</v>
      </c>
      <c r="P520" s="402">
        <f t="shared" si="21"/>
        <v>0</v>
      </c>
      <c r="Q520" s="402">
        <v>0</v>
      </c>
      <c r="R520" s="242"/>
      <c r="T520" s="20"/>
      <c r="U520" s="20"/>
      <c r="V520" s="20"/>
      <c r="W520" s="20"/>
      <c r="X520" s="20"/>
    </row>
    <row r="521" spans="1:24" s="65" customFormat="1" ht="15" customHeight="1" outlineLevel="2">
      <c r="A521" s="219"/>
      <c r="B521" s="121"/>
      <c r="C521" s="242" t="s">
        <v>1869</v>
      </c>
      <c r="D521" s="121" t="str">
        <f>INDEX(Regional.Technologies[Description],MATCH($B$2&amp;"."&amp;G.30.levels.ProcessImprovements[[#This Row],[Technology code]],Regional.Technologies[Code],0))</f>
        <v>Global Heat use in the Other industries technology</v>
      </c>
      <c r="E521" s="121">
        <v>2</v>
      </c>
      <c r="F521" s="242" t="s">
        <v>1457</v>
      </c>
      <c r="G521" s="242"/>
      <c r="H521" s="242"/>
      <c r="I521" s="402">
        <v>0</v>
      </c>
      <c r="J521" s="402">
        <f t="shared" si="21"/>
        <v>2.0512820512820513E-2</v>
      </c>
      <c r="K521" s="402">
        <f t="shared" si="21"/>
        <v>4.6153846153846156E-2</v>
      </c>
      <c r="L521" s="402">
        <f t="shared" si="21"/>
        <v>7.179487179487179E-2</v>
      </c>
      <c r="M521" s="402">
        <f t="shared" si="21"/>
        <v>9.7435897435897437E-2</v>
      </c>
      <c r="N521" s="402">
        <f t="shared" si="21"/>
        <v>0.12307692307692308</v>
      </c>
      <c r="O521" s="402">
        <f t="shared" si="21"/>
        <v>0.14871794871794872</v>
      </c>
      <c r="P521" s="402">
        <f t="shared" si="21"/>
        <v>0.17435897435897435</v>
      </c>
      <c r="Q521" s="402">
        <v>0.2</v>
      </c>
      <c r="R521" s="242"/>
      <c r="T521" s="20"/>
      <c r="U521" s="20"/>
      <c r="V521" s="20"/>
      <c r="W521" s="20"/>
      <c r="X521" s="20"/>
    </row>
    <row r="522" spans="1:24" s="65" customFormat="1" ht="15" customHeight="1" outlineLevel="2">
      <c r="A522" s="219"/>
      <c r="B522" s="121"/>
      <c r="C522" s="242" t="s">
        <v>1869</v>
      </c>
      <c r="D522" s="121" t="str">
        <f>INDEX(Regional.Technologies[Description],MATCH($B$2&amp;"."&amp;G.30.levels.ProcessImprovements[[#This Row],[Technology code]],Regional.Technologies[Code],0))</f>
        <v>Global Heat use in the Other industries technology</v>
      </c>
      <c r="E522" s="121">
        <v>3</v>
      </c>
      <c r="F522" s="242" t="s">
        <v>1457</v>
      </c>
      <c r="G522" s="242"/>
      <c r="H522" s="242"/>
      <c r="I522" s="402">
        <v>0</v>
      </c>
      <c r="J522" s="402">
        <f t="shared" si="21"/>
        <v>3.0769230769230767E-2</v>
      </c>
      <c r="K522" s="402">
        <f t="shared" si="21"/>
        <v>6.9230769230769221E-2</v>
      </c>
      <c r="L522" s="402">
        <f t="shared" si="21"/>
        <v>0.10769230769230768</v>
      </c>
      <c r="M522" s="402">
        <f t="shared" si="21"/>
        <v>0.14615384615384613</v>
      </c>
      <c r="N522" s="402">
        <f t="shared" si="21"/>
        <v>0.1846153846153846</v>
      </c>
      <c r="O522" s="402">
        <f t="shared" si="21"/>
        <v>0.22307692307692306</v>
      </c>
      <c r="P522" s="402">
        <f t="shared" si="21"/>
        <v>0.2615384615384615</v>
      </c>
      <c r="Q522" s="402">
        <v>0.3</v>
      </c>
      <c r="R522" s="242"/>
      <c r="T522" s="20"/>
      <c r="U522" s="20"/>
      <c r="V522" s="20"/>
      <c r="W522" s="20"/>
      <c r="X522" s="20"/>
    </row>
    <row r="523" spans="1:24" s="65" customFormat="1" ht="15" customHeight="1" outlineLevel="2">
      <c r="A523" s="219"/>
      <c r="B523" s="121"/>
      <c r="C523" s="242" t="s">
        <v>1869</v>
      </c>
      <c r="D523" s="121" t="str">
        <f>INDEX(Regional.Technologies[Description],MATCH($B$2&amp;"."&amp;G.30.levels.ProcessImprovements[[#This Row],[Technology code]],Regional.Technologies[Code],0))</f>
        <v>Global Heat use in the Other industries technology</v>
      </c>
      <c r="E523" s="121">
        <v>4</v>
      </c>
      <c r="F523" s="242" t="s">
        <v>1457</v>
      </c>
      <c r="G523" s="242"/>
      <c r="H523" s="242"/>
      <c r="I523" s="402">
        <v>0</v>
      </c>
      <c r="J523" s="402">
        <f t="shared" si="21"/>
        <v>4.1025641025641026E-2</v>
      </c>
      <c r="K523" s="402">
        <f t="shared" si="21"/>
        <v>9.2307692307692313E-2</v>
      </c>
      <c r="L523" s="402">
        <f t="shared" si="21"/>
        <v>0.14358974358974358</v>
      </c>
      <c r="M523" s="402">
        <f t="shared" si="21"/>
        <v>0.19487179487179487</v>
      </c>
      <c r="N523" s="402">
        <f t="shared" si="21"/>
        <v>0.24615384615384617</v>
      </c>
      <c r="O523" s="402">
        <f t="shared" si="21"/>
        <v>0.29743589743589743</v>
      </c>
      <c r="P523" s="402">
        <f t="shared" si="21"/>
        <v>0.3487179487179487</v>
      </c>
      <c r="Q523" s="402">
        <v>0.4</v>
      </c>
      <c r="R523" s="242"/>
      <c r="T523" s="20"/>
      <c r="U523" s="20"/>
      <c r="V523" s="20"/>
      <c r="W523" s="20"/>
      <c r="X523" s="20"/>
    </row>
    <row r="524" spans="1:24" s="65" customFormat="1" ht="15" customHeight="1" outlineLevel="2">
      <c r="A524" s="219"/>
      <c r="B524" s="121"/>
      <c r="C524" s="242"/>
      <c r="D524" s="242"/>
      <c r="E524" s="121"/>
      <c r="F524" s="242"/>
      <c r="G524" s="242"/>
      <c r="H524" s="242"/>
      <c r="I524" s="121"/>
      <c r="J524" s="121"/>
      <c r="K524" s="121"/>
      <c r="L524" s="121"/>
      <c r="M524" s="121"/>
      <c r="N524" s="121"/>
      <c r="O524" s="121"/>
      <c r="P524" s="121"/>
      <c r="Q524" s="121"/>
      <c r="R524" s="121"/>
      <c r="T524" s="20"/>
      <c r="U524" s="20"/>
      <c r="V524" s="20"/>
      <c r="W524" s="20"/>
      <c r="X524" s="20"/>
    </row>
    <row r="525" spans="1:24" s="65" customFormat="1" ht="15" customHeight="1" outlineLevel="2">
      <c r="A525" s="219"/>
      <c r="B525" s="242"/>
      <c r="C525" s="244"/>
      <c r="D525" s="242"/>
      <c r="E525" s="121"/>
      <c r="F525" s="242"/>
      <c r="G525" s="242"/>
      <c r="H525" s="242"/>
      <c r="I525" s="121"/>
      <c r="J525" s="121"/>
      <c r="K525" s="121"/>
      <c r="L525" s="121"/>
      <c r="M525" s="121"/>
      <c r="N525" s="121"/>
      <c r="O525" s="121"/>
      <c r="P525" s="121"/>
      <c r="Q525" s="121"/>
      <c r="R525" s="121"/>
      <c r="T525" s="20"/>
      <c r="U525" s="20"/>
      <c r="V525" s="20"/>
      <c r="W525" s="20"/>
      <c r="X525" s="20"/>
    </row>
    <row r="526" spans="1:24" s="65" customFormat="1" ht="15" customHeight="1" outlineLevel="2">
      <c r="A526" s="219"/>
      <c r="B526" s="242"/>
      <c r="C526" s="244" t="s">
        <v>1608</v>
      </c>
      <c r="D526" s="242"/>
      <c r="E526" s="121"/>
      <c r="F526" s="242"/>
      <c r="G526" s="242"/>
      <c r="H526" s="242"/>
      <c r="I526" s="121"/>
      <c r="J526" s="121"/>
      <c r="K526" s="121"/>
      <c r="L526" s="121"/>
      <c r="M526" s="121"/>
      <c r="N526" s="121"/>
      <c r="O526" s="121"/>
      <c r="P526" s="121"/>
      <c r="Q526" s="121" t="s">
        <v>2167</v>
      </c>
      <c r="R526" s="121"/>
      <c r="T526" s="20"/>
      <c r="U526" s="20"/>
      <c r="V526" s="20"/>
      <c r="W526" s="20"/>
      <c r="X526" s="20"/>
    </row>
    <row r="527" spans="1:24" s="65" customFormat="1" ht="15" customHeight="1" outlineLevel="2">
      <c r="A527" s="219"/>
      <c r="B527" s="242"/>
      <c r="C527" s="242"/>
      <c r="D527" s="242"/>
      <c r="E527" s="121"/>
      <c r="F527" s="242"/>
      <c r="G527" s="242"/>
      <c r="H527" s="242"/>
      <c r="I527" s="242"/>
      <c r="J527" s="242"/>
      <c r="K527" s="242"/>
      <c r="L527" s="242"/>
      <c r="M527" s="242"/>
      <c r="N527" s="242"/>
      <c r="O527" s="242"/>
      <c r="P527" s="242"/>
      <c r="Q527" s="242"/>
      <c r="R527" s="242"/>
      <c r="T527" s="20"/>
      <c r="U527" s="20"/>
      <c r="V527" s="20"/>
      <c r="W527" s="20"/>
      <c r="X527" s="20"/>
    </row>
    <row r="528" spans="1:24" s="65" customFormat="1" ht="15" customHeight="1" outlineLevel="2">
      <c r="A528" s="219"/>
      <c r="B528" s="242"/>
      <c r="C528" s="247" t="s">
        <v>454</v>
      </c>
      <c r="D528" s="247" t="s">
        <v>241</v>
      </c>
      <c r="E528" s="121" t="s">
        <v>207</v>
      </c>
      <c r="F528" s="247" t="s">
        <v>274</v>
      </c>
      <c r="G528" s="247" t="s">
        <v>509</v>
      </c>
      <c r="H528" s="247" t="s">
        <v>510</v>
      </c>
      <c r="I528" s="183" t="s">
        <v>1107</v>
      </c>
      <c r="J528" s="247" t="s">
        <v>210</v>
      </c>
      <c r="K528" s="247" t="s">
        <v>211</v>
      </c>
      <c r="L528" s="247" t="s">
        <v>212</v>
      </c>
      <c r="M528" s="247" t="s">
        <v>213</v>
      </c>
      <c r="N528" s="247" t="s">
        <v>214</v>
      </c>
      <c r="O528" s="247" t="s">
        <v>215</v>
      </c>
      <c r="P528" s="247" t="s">
        <v>216</v>
      </c>
      <c r="Q528" s="247" t="s">
        <v>217</v>
      </c>
      <c r="R528" s="242"/>
      <c r="T528" s="179" t="str">
        <f>$T$6</f>
        <v>Source</v>
      </c>
      <c r="U528" s="179" t="str">
        <f>$U$6</f>
        <v>Link</v>
      </c>
      <c r="V528" s="179" t="str">
        <f>$V$6</f>
        <v>Risk (Green, Amber/Green, Amber, Red/Amber, Red)</v>
      </c>
      <c r="W528" s="179" t="s">
        <v>869</v>
      </c>
      <c r="X528" s="179" t="str">
        <f>$X$6</f>
        <v>Comment author</v>
      </c>
    </row>
    <row r="529" spans="1:24" s="65" customFormat="1" ht="15" customHeight="1" outlineLevel="2">
      <c r="A529" s="219"/>
      <c r="B529" s="242"/>
      <c r="C529" s="242" t="s">
        <v>1800</v>
      </c>
      <c r="D529" s="121" t="str">
        <f>INDEX(Regional.Technologies[Description],MATCH($B$2&amp;"."&amp;G.30.levels.AlternativeFuels[[#This Row],[Technology code]],Regional.Technologies[Code],0))</f>
        <v>Global Natural Gas use in the Oxygen steel technology</v>
      </c>
      <c r="E529" s="121">
        <v>1</v>
      </c>
      <c r="F529" s="121" t="s">
        <v>2168</v>
      </c>
      <c r="G529" s="242"/>
      <c r="H529" s="242"/>
      <c r="I529" s="370">
        <v>0</v>
      </c>
      <c r="J529" s="370">
        <f t="shared" ref="J529:P536" si="22">(($Q529-$I529)/($Q$121-$I$121))*(J$121-$I$121)+$I529</f>
        <v>0</v>
      </c>
      <c r="K529" s="370">
        <f t="shared" si="22"/>
        <v>0</v>
      </c>
      <c r="L529" s="370">
        <f t="shared" si="22"/>
        <v>0</v>
      </c>
      <c r="M529" s="370">
        <f t="shared" si="22"/>
        <v>0</v>
      </c>
      <c r="N529" s="370">
        <f t="shared" si="22"/>
        <v>0</v>
      </c>
      <c r="O529" s="370">
        <f t="shared" si="22"/>
        <v>0</v>
      </c>
      <c r="P529" s="370">
        <f t="shared" si="22"/>
        <v>0</v>
      </c>
      <c r="Q529" s="370">
        <v>0</v>
      </c>
      <c r="R529" s="242"/>
      <c r="T529" s="20"/>
      <c r="U529" s="20"/>
      <c r="V529" s="20"/>
      <c r="W529" s="20"/>
      <c r="X529" s="20"/>
    </row>
    <row r="530" spans="1:24" s="65" customFormat="1" ht="15" customHeight="1" outlineLevel="2">
      <c r="A530" s="219"/>
      <c r="B530" s="242"/>
      <c r="C530" s="242" t="s">
        <v>1800</v>
      </c>
      <c r="D530" s="121" t="str">
        <f>INDEX(Regional.Technologies[Description],MATCH($B$2&amp;"."&amp;G.30.levels.AlternativeFuels[[#This Row],[Technology code]],Regional.Technologies[Code],0))</f>
        <v>Global Natural Gas use in the Oxygen steel technology</v>
      </c>
      <c r="E530" s="121">
        <v>2</v>
      </c>
      <c r="F530" s="121" t="s">
        <v>2168</v>
      </c>
      <c r="G530" s="242"/>
      <c r="H530" s="242"/>
      <c r="I530" s="370">
        <v>0</v>
      </c>
      <c r="J530" s="370">
        <f t="shared" si="22"/>
        <v>2.0512820512820513E-3</v>
      </c>
      <c r="K530" s="370">
        <f t="shared" si="22"/>
        <v>4.6153846153846149E-3</v>
      </c>
      <c r="L530" s="370">
        <f t="shared" si="22"/>
        <v>7.1794871794871795E-3</v>
      </c>
      <c r="M530" s="370">
        <f t="shared" si="22"/>
        <v>9.743589743589744E-3</v>
      </c>
      <c r="N530" s="370">
        <f t="shared" si="22"/>
        <v>1.2307692307692308E-2</v>
      </c>
      <c r="O530" s="370">
        <f t="shared" si="22"/>
        <v>1.4871794871794871E-2</v>
      </c>
      <c r="P530" s="370">
        <f t="shared" si="22"/>
        <v>1.7435897435897435E-2</v>
      </c>
      <c r="Q530" s="370">
        <v>0.02</v>
      </c>
      <c r="R530" s="242"/>
      <c r="T530" s="20"/>
      <c r="U530" s="20"/>
      <c r="V530" s="20"/>
      <c r="W530" s="20"/>
      <c r="X530" s="20"/>
    </row>
    <row r="531" spans="1:24" s="65" customFormat="1" ht="15" customHeight="1" outlineLevel="2">
      <c r="A531" s="219"/>
      <c r="B531" s="242"/>
      <c r="C531" s="242" t="s">
        <v>1800</v>
      </c>
      <c r="D531" s="121" t="str">
        <f>INDEX(Regional.Technologies[Description],MATCH($B$2&amp;"."&amp;G.30.levels.AlternativeFuels[[#This Row],[Technology code]],Regional.Technologies[Code],0))</f>
        <v>Global Natural Gas use in the Oxygen steel technology</v>
      </c>
      <c r="E531" s="121">
        <v>3</v>
      </c>
      <c r="F531" s="121" t="s">
        <v>2168</v>
      </c>
      <c r="G531" s="242"/>
      <c r="H531" s="242"/>
      <c r="I531" s="370">
        <v>0</v>
      </c>
      <c r="J531" s="370">
        <f t="shared" si="22"/>
        <v>3.0769230769230769E-3</v>
      </c>
      <c r="K531" s="370">
        <f t="shared" si="22"/>
        <v>6.9230769230769233E-3</v>
      </c>
      <c r="L531" s="370">
        <f t="shared" si="22"/>
        <v>1.0769230769230769E-2</v>
      </c>
      <c r="M531" s="370">
        <f t="shared" si="22"/>
        <v>1.4615384615384615E-2</v>
      </c>
      <c r="N531" s="370">
        <f t="shared" si="22"/>
        <v>1.846153846153846E-2</v>
      </c>
      <c r="O531" s="370">
        <f t="shared" si="22"/>
        <v>2.2307692307692306E-2</v>
      </c>
      <c r="P531" s="370">
        <f t="shared" si="22"/>
        <v>2.6153846153846153E-2</v>
      </c>
      <c r="Q531" s="370">
        <v>0.03</v>
      </c>
      <c r="R531" s="242"/>
      <c r="T531" s="20"/>
      <c r="U531" s="20"/>
      <c r="V531" s="20"/>
      <c r="W531" s="20"/>
      <c r="X531" s="20"/>
    </row>
    <row r="532" spans="1:24" s="65" customFormat="1" ht="15" customHeight="1" outlineLevel="2">
      <c r="A532" s="219"/>
      <c r="B532" s="242"/>
      <c r="C532" s="242" t="s">
        <v>1800</v>
      </c>
      <c r="D532" s="121" t="str">
        <f>INDEX(Regional.Technologies[Description],MATCH($B$2&amp;"."&amp;G.30.levels.AlternativeFuels[[#This Row],[Technology code]],Regional.Technologies[Code],0))</f>
        <v>Global Natural Gas use in the Oxygen steel technology</v>
      </c>
      <c r="E532" s="121">
        <v>4</v>
      </c>
      <c r="F532" s="121" t="s">
        <v>2168</v>
      </c>
      <c r="G532" s="242"/>
      <c r="H532" s="242"/>
      <c r="I532" s="370">
        <v>0</v>
      </c>
      <c r="J532" s="370">
        <f t="shared" si="22"/>
        <v>5.1282051282051282E-3</v>
      </c>
      <c r="K532" s="370">
        <f t="shared" si="22"/>
        <v>1.1538461538461539E-2</v>
      </c>
      <c r="L532" s="370">
        <f t="shared" si="22"/>
        <v>1.7948717948717947E-2</v>
      </c>
      <c r="M532" s="370">
        <f t="shared" si="22"/>
        <v>2.4358974358974359E-2</v>
      </c>
      <c r="N532" s="370">
        <f t="shared" si="22"/>
        <v>3.0769230769230771E-2</v>
      </c>
      <c r="O532" s="370">
        <f t="shared" si="22"/>
        <v>3.7179487179487179E-2</v>
      </c>
      <c r="P532" s="370">
        <f t="shared" si="22"/>
        <v>4.3589743589743588E-2</v>
      </c>
      <c r="Q532" s="370">
        <v>0.05</v>
      </c>
      <c r="R532" s="242"/>
      <c r="T532" s="20"/>
      <c r="U532" s="20"/>
      <c r="V532" s="20"/>
      <c r="W532" s="20"/>
      <c r="X532" s="20"/>
    </row>
    <row r="533" spans="1:24" s="65" customFormat="1" ht="15" customHeight="1" outlineLevel="2">
      <c r="A533" s="219"/>
      <c r="B533" s="242"/>
      <c r="C533" s="242" t="s">
        <v>1802</v>
      </c>
      <c r="D533" s="121" t="str">
        <f>INDEX(Regional.Technologies[Description],MATCH($B$2&amp;"."&amp;G.30.levels.AlternativeFuels[[#This Row],[Technology code]],Regional.Technologies[Code],0))</f>
        <v>Global Solid Hydrocarbons use in the Oxygen steel technology</v>
      </c>
      <c r="E533" s="121">
        <v>1</v>
      </c>
      <c r="F533" s="121" t="s">
        <v>1612</v>
      </c>
      <c r="G533" s="242"/>
      <c r="H533" s="242"/>
      <c r="I533" s="370">
        <v>0</v>
      </c>
      <c r="J533" s="370">
        <f t="shared" si="22"/>
        <v>0</v>
      </c>
      <c r="K533" s="370">
        <f t="shared" si="22"/>
        <v>0</v>
      </c>
      <c r="L533" s="370">
        <f t="shared" si="22"/>
        <v>0</v>
      </c>
      <c r="M533" s="370">
        <f t="shared" si="22"/>
        <v>0</v>
      </c>
      <c r="N533" s="370">
        <f t="shared" si="22"/>
        <v>0</v>
      </c>
      <c r="O533" s="370">
        <f t="shared" si="22"/>
        <v>0</v>
      </c>
      <c r="P533" s="370">
        <f t="shared" si="22"/>
        <v>0</v>
      </c>
      <c r="Q533" s="370">
        <v>0</v>
      </c>
      <c r="R533" s="242"/>
      <c r="T533" s="20"/>
      <c r="U533" s="20"/>
      <c r="V533" s="20"/>
      <c r="W533" s="20"/>
      <c r="X533" s="20"/>
    </row>
    <row r="534" spans="1:24" s="65" customFormat="1" ht="15" customHeight="1" outlineLevel="2">
      <c r="A534" s="219"/>
      <c r="B534" s="242"/>
      <c r="C534" s="242" t="s">
        <v>1802</v>
      </c>
      <c r="D534" s="121" t="str">
        <f>INDEX(Regional.Technologies[Description],MATCH($B$2&amp;"."&amp;G.30.levels.AlternativeFuels[[#This Row],[Technology code]],Regional.Technologies[Code],0))</f>
        <v>Global Solid Hydrocarbons use in the Oxygen steel technology</v>
      </c>
      <c r="E534" s="121">
        <v>2</v>
      </c>
      <c r="F534" s="121" t="s">
        <v>1612</v>
      </c>
      <c r="G534" s="242"/>
      <c r="H534" s="242"/>
      <c r="I534" s="370">
        <v>0</v>
      </c>
      <c r="J534" s="370">
        <f t="shared" si="22"/>
        <v>2.0512820512820513E-3</v>
      </c>
      <c r="K534" s="370">
        <f t="shared" si="22"/>
        <v>4.6153846153846149E-3</v>
      </c>
      <c r="L534" s="370">
        <f t="shared" si="22"/>
        <v>7.1794871794871795E-3</v>
      </c>
      <c r="M534" s="370">
        <f t="shared" si="22"/>
        <v>9.743589743589744E-3</v>
      </c>
      <c r="N534" s="370">
        <f t="shared" si="22"/>
        <v>1.2307692307692308E-2</v>
      </c>
      <c r="O534" s="370">
        <f t="shared" si="22"/>
        <v>1.4871794871794871E-2</v>
      </c>
      <c r="P534" s="370">
        <f t="shared" si="22"/>
        <v>1.7435897435897435E-2</v>
      </c>
      <c r="Q534" s="370">
        <v>0.02</v>
      </c>
      <c r="R534" s="242"/>
      <c r="T534" s="20"/>
      <c r="U534" s="20"/>
      <c r="V534" s="20"/>
      <c r="W534" s="20"/>
      <c r="X534" s="20"/>
    </row>
    <row r="535" spans="1:24" s="65" customFormat="1" ht="15" customHeight="1" outlineLevel="2">
      <c r="A535" s="219"/>
      <c r="B535" s="242"/>
      <c r="C535" s="242" t="s">
        <v>1802</v>
      </c>
      <c r="D535" s="121" t="str">
        <f>INDEX(Regional.Technologies[Description],MATCH($B$2&amp;"."&amp;G.30.levels.AlternativeFuels[[#This Row],[Technology code]],Regional.Technologies[Code],0))</f>
        <v>Global Solid Hydrocarbons use in the Oxygen steel technology</v>
      </c>
      <c r="E535" s="121">
        <v>3</v>
      </c>
      <c r="F535" s="121" t="s">
        <v>1612</v>
      </c>
      <c r="G535" s="242"/>
      <c r="H535" s="242"/>
      <c r="I535" s="370">
        <v>0</v>
      </c>
      <c r="J535" s="370">
        <f t="shared" si="22"/>
        <v>3.0769230769230769E-3</v>
      </c>
      <c r="K535" s="370">
        <f t="shared" si="22"/>
        <v>6.9230769230769233E-3</v>
      </c>
      <c r="L535" s="370">
        <f t="shared" si="22"/>
        <v>1.0769230769230769E-2</v>
      </c>
      <c r="M535" s="370">
        <f t="shared" si="22"/>
        <v>1.4615384615384615E-2</v>
      </c>
      <c r="N535" s="370">
        <f t="shared" si="22"/>
        <v>1.846153846153846E-2</v>
      </c>
      <c r="O535" s="370">
        <f t="shared" si="22"/>
        <v>2.2307692307692306E-2</v>
      </c>
      <c r="P535" s="370">
        <f t="shared" si="22"/>
        <v>2.6153846153846153E-2</v>
      </c>
      <c r="Q535" s="370">
        <v>0.03</v>
      </c>
      <c r="R535" s="242"/>
      <c r="T535" s="20"/>
      <c r="U535" s="20"/>
      <c r="V535" s="20"/>
      <c r="W535" s="20"/>
      <c r="X535" s="20"/>
    </row>
    <row r="536" spans="1:24" s="65" customFormat="1" ht="15" customHeight="1" outlineLevel="2">
      <c r="A536" s="219"/>
      <c r="B536" s="242"/>
      <c r="C536" s="242" t="s">
        <v>1802</v>
      </c>
      <c r="D536" s="121" t="str">
        <f>INDEX(Regional.Technologies[Description],MATCH($B$2&amp;"."&amp;G.30.levels.AlternativeFuels[[#This Row],[Technology code]],Regional.Technologies[Code],0))</f>
        <v>Global Solid Hydrocarbons use in the Oxygen steel technology</v>
      </c>
      <c r="E536" s="121">
        <v>4</v>
      </c>
      <c r="F536" s="121" t="s">
        <v>1612</v>
      </c>
      <c r="G536" s="242"/>
      <c r="H536" s="242"/>
      <c r="I536" s="370">
        <v>0</v>
      </c>
      <c r="J536" s="370">
        <f t="shared" si="22"/>
        <v>5.1282051282051282E-3</v>
      </c>
      <c r="K536" s="370">
        <f t="shared" si="22"/>
        <v>1.1538461538461539E-2</v>
      </c>
      <c r="L536" s="370">
        <f t="shared" si="22"/>
        <v>1.7948717948717947E-2</v>
      </c>
      <c r="M536" s="370">
        <f t="shared" si="22"/>
        <v>2.4358974358974359E-2</v>
      </c>
      <c r="N536" s="370">
        <f t="shared" si="22"/>
        <v>3.0769230769230771E-2</v>
      </c>
      <c r="O536" s="370">
        <f t="shared" si="22"/>
        <v>3.7179487179487179E-2</v>
      </c>
      <c r="P536" s="370">
        <f t="shared" si="22"/>
        <v>4.3589743589743588E-2</v>
      </c>
      <c r="Q536" s="370">
        <v>0.05</v>
      </c>
      <c r="R536" s="242"/>
      <c r="T536" s="20"/>
      <c r="U536" s="20"/>
      <c r="V536" s="20"/>
      <c r="W536" s="20"/>
      <c r="X536" s="20"/>
    </row>
    <row r="537" spans="1:24" s="65" customFormat="1" ht="15" customHeight="1" outlineLevel="2">
      <c r="A537" s="219"/>
      <c r="B537" s="242"/>
      <c r="C537" s="242" t="s">
        <v>1798</v>
      </c>
      <c r="D537" s="121" t="str">
        <f>INDEX(Regional.Technologies[Description],MATCH($B$2&amp;"."&amp;G.30.levels.AlternativeFuels[[#This Row],[Technology code]],Regional.Technologies[Code],0))</f>
        <v>Global Coal use in the Oxygen steel technology</v>
      </c>
      <c r="E537" s="121">
        <v>1</v>
      </c>
      <c r="F537" s="121" t="s">
        <v>2169</v>
      </c>
      <c r="G537" s="242"/>
      <c r="H537" s="242"/>
      <c r="I537" s="370" t="s">
        <v>2170</v>
      </c>
      <c r="J537" s="370" t="s">
        <v>2170</v>
      </c>
      <c r="K537" s="370" t="s">
        <v>2170</v>
      </c>
      <c r="L537" s="370" t="s">
        <v>2170</v>
      </c>
      <c r="M537" s="370" t="s">
        <v>2170</v>
      </c>
      <c r="N537" s="370" t="s">
        <v>2170</v>
      </c>
      <c r="O537" s="370" t="s">
        <v>2170</v>
      </c>
      <c r="P537" s="370" t="s">
        <v>2170</v>
      </c>
      <c r="Q537" s="370" t="s">
        <v>2170</v>
      </c>
      <c r="R537" s="242"/>
      <c r="T537" s="20"/>
      <c r="U537" s="20"/>
      <c r="V537" s="20"/>
      <c r="W537" s="20"/>
      <c r="X537" s="20"/>
    </row>
    <row r="538" spans="1:24" s="65" customFormat="1" ht="15" customHeight="1" outlineLevel="2">
      <c r="A538" s="219"/>
      <c r="B538" s="242"/>
      <c r="C538" s="242" t="s">
        <v>1798</v>
      </c>
      <c r="D538" s="121" t="str">
        <f>INDEX(Regional.Technologies[Description],MATCH($B$2&amp;"."&amp;G.30.levels.AlternativeFuels[[#This Row],[Technology code]],Regional.Technologies[Code],0))</f>
        <v>Global Coal use in the Oxygen steel technology</v>
      </c>
      <c r="E538" s="121">
        <v>2</v>
      </c>
      <c r="F538" s="121" t="s">
        <v>2169</v>
      </c>
      <c r="G538" s="242"/>
      <c r="H538" s="242"/>
      <c r="I538" s="370" t="s">
        <v>2170</v>
      </c>
      <c r="J538" s="370" t="s">
        <v>2170</v>
      </c>
      <c r="K538" s="370" t="s">
        <v>2170</v>
      </c>
      <c r="L538" s="370" t="s">
        <v>2170</v>
      </c>
      <c r="M538" s="370" t="s">
        <v>2170</v>
      </c>
      <c r="N538" s="370" t="s">
        <v>2170</v>
      </c>
      <c r="O538" s="370" t="s">
        <v>2170</v>
      </c>
      <c r="P538" s="370" t="s">
        <v>2170</v>
      </c>
      <c r="Q538" s="370" t="s">
        <v>2170</v>
      </c>
      <c r="R538" s="242"/>
      <c r="T538" s="20"/>
      <c r="U538" s="20"/>
      <c r="V538" s="20"/>
      <c r="W538" s="20"/>
      <c r="X538" s="20"/>
    </row>
    <row r="539" spans="1:24" s="65" customFormat="1" ht="15" customHeight="1" outlineLevel="2">
      <c r="A539" s="219"/>
      <c r="B539" s="242"/>
      <c r="C539" s="242" t="s">
        <v>1798</v>
      </c>
      <c r="D539" s="121" t="str">
        <f>INDEX(Regional.Technologies[Description],MATCH($B$2&amp;"."&amp;G.30.levels.AlternativeFuels[[#This Row],[Technology code]],Regional.Technologies[Code],0))</f>
        <v>Global Coal use in the Oxygen steel technology</v>
      </c>
      <c r="E539" s="121">
        <v>3</v>
      </c>
      <c r="F539" s="121" t="s">
        <v>2169</v>
      </c>
      <c r="G539" s="242"/>
      <c r="H539" s="242"/>
      <c r="I539" s="370" t="s">
        <v>2170</v>
      </c>
      <c r="J539" s="370" t="s">
        <v>2170</v>
      </c>
      <c r="K539" s="370" t="s">
        <v>2170</v>
      </c>
      <c r="L539" s="370" t="s">
        <v>2170</v>
      </c>
      <c r="M539" s="370" t="s">
        <v>2170</v>
      </c>
      <c r="N539" s="370" t="s">
        <v>2170</v>
      </c>
      <c r="O539" s="370" t="s">
        <v>2170</v>
      </c>
      <c r="P539" s="370" t="s">
        <v>2170</v>
      </c>
      <c r="Q539" s="370" t="s">
        <v>2170</v>
      </c>
      <c r="R539" s="242"/>
      <c r="T539" s="20"/>
      <c r="U539" s="20"/>
      <c r="V539" s="20"/>
      <c r="W539" s="20"/>
      <c r="X539" s="20"/>
    </row>
    <row r="540" spans="1:24" s="65" customFormat="1" ht="15" customHeight="1" outlineLevel="2">
      <c r="A540" s="219"/>
      <c r="B540" s="242"/>
      <c r="C540" s="242" t="s">
        <v>1798</v>
      </c>
      <c r="D540" s="121" t="str">
        <f>INDEX(Regional.Technologies[Description],MATCH($B$2&amp;"."&amp;G.30.levels.AlternativeFuels[[#This Row],[Technology code]],Regional.Technologies[Code],0))</f>
        <v>Global Coal use in the Oxygen steel technology</v>
      </c>
      <c r="E540" s="121">
        <v>4</v>
      </c>
      <c r="F540" s="121" t="s">
        <v>2169</v>
      </c>
      <c r="G540" s="242"/>
      <c r="H540" s="242"/>
      <c r="I540" s="370" t="s">
        <v>2170</v>
      </c>
      <c r="J540" s="370" t="s">
        <v>2170</v>
      </c>
      <c r="K540" s="370" t="s">
        <v>2170</v>
      </c>
      <c r="L540" s="370" t="s">
        <v>2170</v>
      </c>
      <c r="M540" s="370" t="s">
        <v>2170</v>
      </c>
      <c r="N540" s="370" t="s">
        <v>2170</v>
      </c>
      <c r="O540" s="370" t="s">
        <v>2170</v>
      </c>
      <c r="P540" s="370" t="s">
        <v>2170</v>
      </c>
      <c r="Q540" s="370" t="s">
        <v>2170</v>
      </c>
      <c r="R540" s="242"/>
      <c r="T540" s="20"/>
      <c r="U540" s="20"/>
      <c r="V540" s="20"/>
      <c r="W540" s="20"/>
      <c r="X540" s="20"/>
    </row>
    <row r="541" spans="1:24" s="65" customFormat="1" ht="15" customHeight="1" outlineLevel="2">
      <c r="A541" s="219"/>
      <c r="B541" s="242"/>
      <c r="C541" s="242" t="s">
        <v>2056</v>
      </c>
      <c r="D541" s="303" t="str">
        <f>INDEX(Regional.Technologies[Description],MATCH($B$2&amp;"."&amp;G.30.levels.AlternativeFuels[[#This Row],[Technology code]],Regional.Technologies[Code],0))</f>
        <v>Global Natural Gas use in the Hisarna Oxygen steel technology</v>
      </c>
      <c r="E541" s="121">
        <v>1</v>
      </c>
      <c r="F541" s="121" t="s">
        <v>2168</v>
      </c>
      <c r="G541" s="242"/>
      <c r="H541" s="242"/>
      <c r="I541" s="370">
        <v>0</v>
      </c>
      <c r="J541" s="370">
        <f t="shared" ref="J541:P548" si="23">(($Q541-$I541)/($Q$121-$I$121))*(J$121-$I$121)+$I541</f>
        <v>0</v>
      </c>
      <c r="K541" s="370">
        <f t="shared" si="23"/>
        <v>0</v>
      </c>
      <c r="L541" s="370">
        <f t="shared" si="23"/>
        <v>0</v>
      </c>
      <c r="M541" s="370">
        <f t="shared" si="23"/>
        <v>0</v>
      </c>
      <c r="N541" s="370">
        <f t="shared" si="23"/>
        <v>0</v>
      </c>
      <c r="O541" s="370">
        <f t="shared" si="23"/>
        <v>0</v>
      </c>
      <c r="P541" s="370">
        <f t="shared" si="23"/>
        <v>0</v>
      </c>
      <c r="Q541" s="370">
        <v>0</v>
      </c>
      <c r="R541" s="242"/>
      <c r="T541" s="20"/>
      <c r="U541" s="20"/>
      <c r="V541" s="20"/>
      <c r="W541" s="20"/>
      <c r="X541" s="20"/>
    </row>
    <row r="542" spans="1:24" s="65" customFormat="1" ht="15" customHeight="1" outlineLevel="2">
      <c r="A542" s="219"/>
      <c r="B542" s="242"/>
      <c r="C542" s="242" t="s">
        <v>2056</v>
      </c>
      <c r="D542" s="303" t="str">
        <f>INDEX(Regional.Technologies[Description],MATCH($B$2&amp;"."&amp;G.30.levels.AlternativeFuels[[#This Row],[Technology code]],Regional.Technologies[Code],0))</f>
        <v>Global Natural Gas use in the Hisarna Oxygen steel technology</v>
      </c>
      <c r="E542" s="121">
        <v>2</v>
      </c>
      <c r="F542" s="121" t="s">
        <v>2168</v>
      </c>
      <c r="G542" s="242"/>
      <c r="H542" s="242"/>
      <c r="I542" s="370">
        <v>0</v>
      </c>
      <c r="J542" s="370">
        <f t="shared" si="23"/>
        <v>2.0512820512820513E-3</v>
      </c>
      <c r="K542" s="370">
        <f t="shared" si="23"/>
        <v>4.6153846153846149E-3</v>
      </c>
      <c r="L542" s="370">
        <f t="shared" si="23"/>
        <v>7.1794871794871795E-3</v>
      </c>
      <c r="M542" s="370">
        <f t="shared" si="23"/>
        <v>9.743589743589744E-3</v>
      </c>
      <c r="N542" s="370">
        <f t="shared" si="23"/>
        <v>1.2307692307692308E-2</v>
      </c>
      <c r="O542" s="370">
        <f t="shared" si="23"/>
        <v>1.4871794871794871E-2</v>
      </c>
      <c r="P542" s="370">
        <f t="shared" si="23"/>
        <v>1.7435897435897435E-2</v>
      </c>
      <c r="Q542" s="370">
        <v>0.02</v>
      </c>
      <c r="R542" s="242"/>
      <c r="T542" s="20"/>
      <c r="U542" s="20"/>
      <c r="V542" s="20"/>
      <c r="W542" s="20"/>
      <c r="X542" s="20"/>
    </row>
    <row r="543" spans="1:24" s="65" customFormat="1" ht="15" customHeight="1" outlineLevel="2">
      <c r="A543" s="219"/>
      <c r="B543" s="242"/>
      <c r="C543" s="242" t="s">
        <v>2056</v>
      </c>
      <c r="D543" s="303" t="str">
        <f>INDEX(Regional.Technologies[Description],MATCH($B$2&amp;"."&amp;G.30.levels.AlternativeFuels[[#This Row],[Technology code]],Regional.Technologies[Code],0))</f>
        <v>Global Natural Gas use in the Hisarna Oxygen steel technology</v>
      </c>
      <c r="E543" s="121">
        <v>3</v>
      </c>
      <c r="F543" s="121" t="s">
        <v>2168</v>
      </c>
      <c r="G543" s="242"/>
      <c r="H543" s="242"/>
      <c r="I543" s="370">
        <v>0</v>
      </c>
      <c r="J543" s="370">
        <f t="shared" si="23"/>
        <v>3.0769230769230769E-3</v>
      </c>
      <c r="K543" s="370">
        <f t="shared" si="23"/>
        <v>6.9230769230769233E-3</v>
      </c>
      <c r="L543" s="370">
        <f t="shared" si="23"/>
        <v>1.0769230769230769E-2</v>
      </c>
      <c r="M543" s="370">
        <f t="shared" si="23"/>
        <v>1.4615384615384615E-2</v>
      </c>
      <c r="N543" s="370">
        <f t="shared" si="23"/>
        <v>1.846153846153846E-2</v>
      </c>
      <c r="O543" s="370">
        <f t="shared" si="23"/>
        <v>2.2307692307692306E-2</v>
      </c>
      <c r="P543" s="370">
        <f t="shared" si="23"/>
        <v>2.6153846153846153E-2</v>
      </c>
      <c r="Q543" s="370">
        <v>0.03</v>
      </c>
      <c r="R543" s="242"/>
      <c r="T543" s="20"/>
      <c r="U543" s="20"/>
      <c r="V543" s="20"/>
      <c r="W543" s="20"/>
      <c r="X543" s="20"/>
    </row>
    <row r="544" spans="1:24" s="65" customFormat="1" ht="15" customHeight="1" outlineLevel="2">
      <c r="A544" s="219"/>
      <c r="B544" s="242"/>
      <c r="C544" s="242" t="s">
        <v>2056</v>
      </c>
      <c r="D544" s="303" t="str">
        <f>INDEX(Regional.Technologies[Description],MATCH($B$2&amp;"."&amp;G.30.levels.AlternativeFuels[[#This Row],[Technology code]],Regional.Technologies[Code],0))</f>
        <v>Global Natural Gas use in the Hisarna Oxygen steel technology</v>
      </c>
      <c r="E544" s="121">
        <v>4</v>
      </c>
      <c r="F544" s="121" t="s">
        <v>2168</v>
      </c>
      <c r="G544" s="242"/>
      <c r="H544" s="242"/>
      <c r="I544" s="370">
        <v>0</v>
      </c>
      <c r="J544" s="370">
        <f t="shared" si="23"/>
        <v>5.1282051282051282E-3</v>
      </c>
      <c r="K544" s="370">
        <f t="shared" si="23"/>
        <v>1.1538461538461539E-2</v>
      </c>
      <c r="L544" s="370">
        <f t="shared" si="23"/>
        <v>1.7948717948717947E-2</v>
      </c>
      <c r="M544" s="370">
        <f t="shared" si="23"/>
        <v>2.4358974358974359E-2</v>
      </c>
      <c r="N544" s="370">
        <f t="shared" si="23"/>
        <v>3.0769230769230771E-2</v>
      </c>
      <c r="O544" s="370">
        <f t="shared" si="23"/>
        <v>3.7179487179487179E-2</v>
      </c>
      <c r="P544" s="370">
        <f t="shared" si="23"/>
        <v>4.3589743589743588E-2</v>
      </c>
      <c r="Q544" s="370">
        <v>0.05</v>
      </c>
      <c r="R544" s="242"/>
      <c r="T544" s="20"/>
      <c r="U544" s="20"/>
      <c r="V544" s="20"/>
      <c r="W544" s="20"/>
      <c r="X544" s="20"/>
    </row>
    <row r="545" spans="1:24" s="65" customFormat="1" ht="15" customHeight="1" outlineLevel="2">
      <c r="A545" s="219"/>
      <c r="B545" s="242"/>
      <c r="C545" s="242" t="s">
        <v>2057</v>
      </c>
      <c r="D545" s="303" t="str">
        <f>INDEX(Regional.Technologies[Description],MATCH($B$2&amp;"."&amp;G.30.levels.AlternativeFuels[[#This Row],[Technology code]],Regional.Technologies[Code],0))</f>
        <v>Global Solid Hydrocarbons use in the Hisarna Oxygen steel technology</v>
      </c>
      <c r="E545" s="121">
        <v>1</v>
      </c>
      <c r="F545" s="121" t="s">
        <v>1612</v>
      </c>
      <c r="G545" s="242"/>
      <c r="H545" s="242"/>
      <c r="I545" s="370">
        <v>0</v>
      </c>
      <c r="J545" s="370">
        <f t="shared" si="23"/>
        <v>0</v>
      </c>
      <c r="K545" s="370">
        <f t="shared" si="23"/>
        <v>0</v>
      </c>
      <c r="L545" s="370">
        <f t="shared" si="23"/>
        <v>0</v>
      </c>
      <c r="M545" s="370">
        <f t="shared" si="23"/>
        <v>0</v>
      </c>
      <c r="N545" s="370">
        <f t="shared" si="23"/>
        <v>0</v>
      </c>
      <c r="O545" s="370">
        <f t="shared" si="23"/>
        <v>0</v>
      </c>
      <c r="P545" s="370">
        <f t="shared" si="23"/>
        <v>0</v>
      </c>
      <c r="Q545" s="370">
        <v>0</v>
      </c>
      <c r="R545" s="242"/>
      <c r="T545" s="20"/>
      <c r="U545" s="20"/>
      <c r="V545" s="20"/>
      <c r="W545" s="20"/>
      <c r="X545" s="20"/>
    </row>
    <row r="546" spans="1:24" s="65" customFormat="1" ht="15" customHeight="1" outlineLevel="2">
      <c r="A546" s="219"/>
      <c r="B546" s="242"/>
      <c r="C546" s="242" t="s">
        <v>2057</v>
      </c>
      <c r="D546" s="303" t="str">
        <f>INDEX(Regional.Technologies[Description],MATCH($B$2&amp;"."&amp;G.30.levels.AlternativeFuels[[#This Row],[Technology code]],Regional.Technologies[Code],0))</f>
        <v>Global Solid Hydrocarbons use in the Hisarna Oxygen steel technology</v>
      </c>
      <c r="E546" s="121">
        <v>2</v>
      </c>
      <c r="F546" s="121" t="s">
        <v>1612</v>
      </c>
      <c r="G546" s="242"/>
      <c r="H546" s="242"/>
      <c r="I546" s="370">
        <v>0</v>
      </c>
      <c r="J546" s="370">
        <f t="shared" si="23"/>
        <v>2.0512820512820513E-3</v>
      </c>
      <c r="K546" s="370">
        <f t="shared" si="23"/>
        <v>4.6153846153846149E-3</v>
      </c>
      <c r="L546" s="370">
        <f t="shared" si="23"/>
        <v>7.1794871794871795E-3</v>
      </c>
      <c r="M546" s="370">
        <f t="shared" si="23"/>
        <v>9.743589743589744E-3</v>
      </c>
      <c r="N546" s="370">
        <f t="shared" si="23"/>
        <v>1.2307692307692308E-2</v>
      </c>
      <c r="O546" s="370">
        <f t="shared" si="23"/>
        <v>1.4871794871794871E-2</v>
      </c>
      <c r="P546" s="370">
        <f t="shared" si="23"/>
        <v>1.7435897435897435E-2</v>
      </c>
      <c r="Q546" s="370">
        <v>0.02</v>
      </c>
      <c r="R546" s="242"/>
      <c r="T546" s="20"/>
      <c r="U546" s="20"/>
      <c r="V546" s="20"/>
      <c r="W546" s="20"/>
      <c r="X546" s="20"/>
    </row>
    <row r="547" spans="1:24" s="65" customFormat="1" ht="15" customHeight="1" outlineLevel="2">
      <c r="A547" s="219"/>
      <c r="B547" s="242"/>
      <c r="C547" s="242" t="s">
        <v>2057</v>
      </c>
      <c r="D547" s="303" t="str">
        <f>INDEX(Regional.Technologies[Description],MATCH($B$2&amp;"."&amp;G.30.levels.AlternativeFuels[[#This Row],[Technology code]],Regional.Technologies[Code],0))</f>
        <v>Global Solid Hydrocarbons use in the Hisarna Oxygen steel technology</v>
      </c>
      <c r="E547" s="121">
        <v>3</v>
      </c>
      <c r="F547" s="121" t="s">
        <v>1612</v>
      </c>
      <c r="G547" s="242"/>
      <c r="H547" s="242"/>
      <c r="I547" s="370">
        <v>0</v>
      </c>
      <c r="J547" s="370">
        <f t="shared" si="23"/>
        <v>3.0769230769230769E-3</v>
      </c>
      <c r="K547" s="370">
        <f t="shared" si="23"/>
        <v>6.9230769230769233E-3</v>
      </c>
      <c r="L547" s="370">
        <f t="shared" si="23"/>
        <v>1.0769230769230769E-2</v>
      </c>
      <c r="M547" s="370">
        <f t="shared" si="23"/>
        <v>1.4615384615384615E-2</v>
      </c>
      <c r="N547" s="370">
        <f t="shared" si="23"/>
        <v>1.846153846153846E-2</v>
      </c>
      <c r="O547" s="370">
        <f t="shared" si="23"/>
        <v>2.2307692307692306E-2</v>
      </c>
      <c r="P547" s="370">
        <f t="shared" si="23"/>
        <v>2.6153846153846153E-2</v>
      </c>
      <c r="Q547" s="370">
        <v>0.03</v>
      </c>
      <c r="R547" s="242"/>
      <c r="T547" s="20"/>
      <c r="U547" s="20"/>
      <c r="V547" s="20"/>
      <c r="W547" s="20"/>
      <c r="X547" s="20"/>
    </row>
    <row r="548" spans="1:24" s="65" customFormat="1" ht="15" customHeight="1" outlineLevel="2">
      <c r="A548" s="219"/>
      <c r="B548" s="242"/>
      <c r="C548" s="242" t="s">
        <v>2057</v>
      </c>
      <c r="D548" s="303" t="str">
        <f>INDEX(Regional.Technologies[Description],MATCH($B$2&amp;"."&amp;G.30.levels.AlternativeFuels[[#This Row],[Technology code]],Regional.Technologies[Code],0))</f>
        <v>Global Solid Hydrocarbons use in the Hisarna Oxygen steel technology</v>
      </c>
      <c r="E548" s="121">
        <v>4</v>
      </c>
      <c r="F548" s="121" t="s">
        <v>1612</v>
      </c>
      <c r="G548" s="242"/>
      <c r="H548" s="242"/>
      <c r="I548" s="370">
        <v>0</v>
      </c>
      <c r="J548" s="370">
        <f t="shared" si="23"/>
        <v>5.1282051282051282E-3</v>
      </c>
      <c r="K548" s="370">
        <f t="shared" si="23"/>
        <v>1.1538461538461539E-2</v>
      </c>
      <c r="L548" s="370">
        <f t="shared" si="23"/>
        <v>1.7948717948717947E-2</v>
      </c>
      <c r="M548" s="370">
        <f t="shared" si="23"/>
        <v>2.4358974358974359E-2</v>
      </c>
      <c r="N548" s="370">
        <f t="shared" si="23"/>
        <v>3.0769230769230771E-2</v>
      </c>
      <c r="O548" s="370">
        <f t="shared" si="23"/>
        <v>3.7179487179487179E-2</v>
      </c>
      <c r="P548" s="370">
        <f t="shared" si="23"/>
        <v>4.3589743589743588E-2</v>
      </c>
      <c r="Q548" s="370">
        <v>0.05</v>
      </c>
      <c r="R548" s="242"/>
      <c r="T548" s="20"/>
      <c r="U548" s="20"/>
      <c r="V548" s="20"/>
      <c r="W548" s="20"/>
      <c r="X548" s="20"/>
    </row>
    <row r="549" spans="1:24" s="65" customFormat="1" ht="15" customHeight="1" outlineLevel="2">
      <c r="A549" s="219"/>
      <c r="B549" s="242"/>
      <c r="C549" s="242" t="s">
        <v>2054</v>
      </c>
      <c r="D549" s="303" t="str">
        <f>INDEX(Regional.Technologies[Description],MATCH($B$2&amp;"."&amp;G.30.levels.AlternativeFuels[[#This Row],[Technology code]],Regional.Technologies[Code],0))</f>
        <v>Global Coal use in the Hisarna Oxygen steel technology</v>
      </c>
      <c r="E549" s="121">
        <v>1</v>
      </c>
      <c r="F549" s="121" t="s">
        <v>2169</v>
      </c>
      <c r="G549" s="242"/>
      <c r="H549" s="242"/>
      <c r="I549" s="370" t="s">
        <v>2170</v>
      </c>
      <c r="J549" s="370" t="s">
        <v>2170</v>
      </c>
      <c r="K549" s="370" t="s">
        <v>2170</v>
      </c>
      <c r="L549" s="370" t="s">
        <v>2170</v>
      </c>
      <c r="M549" s="370" t="s">
        <v>2170</v>
      </c>
      <c r="N549" s="370" t="s">
        <v>2170</v>
      </c>
      <c r="O549" s="370" t="s">
        <v>2170</v>
      </c>
      <c r="P549" s="370" t="s">
        <v>2170</v>
      </c>
      <c r="Q549" s="370" t="s">
        <v>2170</v>
      </c>
      <c r="R549" s="242"/>
      <c r="T549" s="20"/>
      <c r="U549" s="20"/>
      <c r="V549" s="20"/>
      <c r="W549" s="20"/>
      <c r="X549" s="20"/>
    </row>
    <row r="550" spans="1:24" s="65" customFormat="1" ht="15" customHeight="1" outlineLevel="2">
      <c r="A550" s="219"/>
      <c r="B550" s="242"/>
      <c r="C550" s="242" t="s">
        <v>2054</v>
      </c>
      <c r="D550" s="303" t="str">
        <f>INDEX(Regional.Technologies[Description],MATCH($B$2&amp;"."&amp;G.30.levels.AlternativeFuels[[#This Row],[Technology code]],Regional.Technologies[Code],0))</f>
        <v>Global Coal use in the Hisarna Oxygen steel technology</v>
      </c>
      <c r="E550" s="121">
        <v>2</v>
      </c>
      <c r="F550" s="121" t="s">
        <v>2169</v>
      </c>
      <c r="G550" s="242"/>
      <c r="H550" s="242"/>
      <c r="I550" s="370" t="s">
        <v>2170</v>
      </c>
      <c r="J550" s="370" t="s">
        <v>2170</v>
      </c>
      <c r="K550" s="370" t="s">
        <v>2170</v>
      </c>
      <c r="L550" s="370" t="s">
        <v>2170</v>
      </c>
      <c r="M550" s="370" t="s">
        <v>2170</v>
      </c>
      <c r="N550" s="370" t="s">
        <v>2170</v>
      </c>
      <c r="O550" s="370" t="s">
        <v>2170</v>
      </c>
      <c r="P550" s="370" t="s">
        <v>2170</v>
      </c>
      <c r="Q550" s="370" t="s">
        <v>2170</v>
      </c>
      <c r="R550" s="242"/>
      <c r="T550" s="20"/>
      <c r="U550" s="20"/>
      <c r="V550" s="20"/>
      <c r="W550" s="20"/>
      <c r="X550" s="20"/>
    </row>
    <row r="551" spans="1:24" s="65" customFormat="1" ht="15" customHeight="1" outlineLevel="2">
      <c r="A551" s="219"/>
      <c r="B551" s="242"/>
      <c r="C551" s="242" t="s">
        <v>2054</v>
      </c>
      <c r="D551" s="303" t="str">
        <f>INDEX(Regional.Technologies[Description],MATCH($B$2&amp;"."&amp;G.30.levels.AlternativeFuels[[#This Row],[Technology code]],Regional.Technologies[Code],0))</f>
        <v>Global Coal use in the Hisarna Oxygen steel technology</v>
      </c>
      <c r="E551" s="121">
        <v>3</v>
      </c>
      <c r="F551" s="121" t="s">
        <v>2169</v>
      </c>
      <c r="G551" s="242"/>
      <c r="H551" s="242"/>
      <c r="I551" s="370" t="s">
        <v>2170</v>
      </c>
      <c r="J551" s="370" t="s">
        <v>2170</v>
      </c>
      <c r="K551" s="370" t="s">
        <v>2170</v>
      </c>
      <c r="L551" s="370" t="s">
        <v>2170</v>
      </c>
      <c r="M551" s="370" t="s">
        <v>2170</v>
      </c>
      <c r="N551" s="370" t="s">
        <v>2170</v>
      </c>
      <c r="O551" s="370" t="s">
        <v>2170</v>
      </c>
      <c r="P551" s="370" t="s">
        <v>2170</v>
      </c>
      <c r="Q551" s="370" t="s">
        <v>2170</v>
      </c>
      <c r="R551" s="242"/>
      <c r="T551" s="20"/>
      <c r="U551" s="20"/>
      <c r="V551" s="20"/>
      <c r="W551" s="20"/>
      <c r="X551" s="20"/>
    </row>
    <row r="552" spans="1:24" s="65" customFormat="1" ht="15" customHeight="1" outlineLevel="2">
      <c r="A552" s="219"/>
      <c r="B552" s="242"/>
      <c r="C552" s="242" t="s">
        <v>2054</v>
      </c>
      <c r="D552" s="303" t="str">
        <f>INDEX(Regional.Technologies[Description],MATCH($B$2&amp;"."&amp;G.30.levels.AlternativeFuels[[#This Row],[Technology code]],Regional.Technologies[Code],0))</f>
        <v>Global Coal use in the Hisarna Oxygen steel technology</v>
      </c>
      <c r="E552" s="121">
        <v>4</v>
      </c>
      <c r="F552" s="121" t="s">
        <v>2169</v>
      </c>
      <c r="G552" s="242"/>
      <c r="H552" s="242"/>
      <c r="I552" s="370" t="s">
        <v>2170</v>
      </c>
      <c r="J552" s="370" t="s">
        <v>2170</v>
      </c>
      <c r="K552" s="370" t="s">
        <v>2170</v>
      </c>
      <c r="L552" s="370" t="s">
        <v>2170</v>
      </c>
      <c r="M552" s="370" t="s">
        <v>2170</v>
      </c>
      <c r="N552" s="370" t="s">
        <v>2170</v>
      </c>
      <c r="O552" s="370" t="s">
        <v>2170</v>
      </c>
      <c r="P552" s="370" t="s">
        <v>2170</v>
      </c>
      <c r="Q552" s="370" t="s">
        <v>2170</v>
      </c>
      <c r="R552" s="242"/>
      <c r="T552" s="20"/>
      <c r="U552" s="20"/>
      <c r="V552" s="20"/>
      <c r="W552" s="20"/>
      <c r="X552" s="20"/>
    </row>
    <row r="553" spans="1:24" s="65" customFormat="1" ht="15" customHeight="1" outlineLevel="2">
      <c r="A553" s="219"/>
      <c r="B553" s="242"/>
      <c r="C553" s="242" t="s">
        <v>1816</v>
      </c>
      <c r="D553" s="121" t="str">
        <f>INDEX(Regional.Technologies[Description],MATCH($B$2&amp;"."&amp;G.30.levels.AlternativeFuels[[#This Row],[Technology code]],Regional.Technologies[Code],0))</f>
        <v>Global Solid Hydrocarbons use in the Primary Aluminium technology</v>
      </c>
      <c r="E553" s="121">
        <v>1</v>
      </c>
      <c r="F553" s="121" t="s">
        <v>2171</v>
      </c>
      <c r="G553" s="242"/>
      <c r="H553" s="242"/>
      <c r="I553" s="370">
        <v>0</v>
      </c>
      <c r="J553" s="370">
        <f t="shared" ref="J553:P585" si="24">(($Q553-$I553)/($Q$121-$I$121))*(J$121-$I$121)+$I553</f>
        <v>0</v>
      </c>
      <c r="K553" s="370">
        <f t="shared" si="24"/>
        <v>0</v>
      </c>
      <c r="L553" s="370">
        <f t="shared" si="24"/>
        <v>0</v>
      </c>
      <c r="M553" s="370">
        <f t="shared" si="24"/>
        <v>0</v>
      </c>
      <c r="N553" s="370">
        <f t="shared" si="24"/>
        <v>0</v>
      </c>
      <c r="O553" s="370">
        <f t="shared" si="24"/>
        <v>0</v>
      </c>
      <c r="P553" s="370">
        <f t="shared" si="24"/>
        <v>0</v>
      </c>
      <c r="Q553" s="370">
        <v>0</v>
      </c>
      <c r="R553" s="242"/>
      <c r="T553" s="20"/>
      <c r="U553" s="20"/>
      <c r="V553" s="20"/>
      <c r="W553" s="20"/>
      <c r="X553" s="20"/>
    </row>
    <row r="554" spans="1:24" s="65" customFormat="1" ht="15" customHeight="1" outlineLevel="2">
      <c r="A554" s="219"/>
      <c r="B554" s="242"/>
      <c r="C554" s="242" t="s">
        <v>1816</v>
      </c>
      <c r="D554" s="121" t="str">
        <f>INDEX(Regional.Technologies[Description],MATCH($B$2&amp;"."&amp;G.30.levels.AlternativeFuels[[#This Row],[Technology code]],Regional.Technologies[Code],0))</f>
        <v>Global Solid Hydrocarbons use in the Primary Aluminium technology</v>
      </c>
      <c r="E554" s="121">
        <v>2</v>
      </c>
      <c r="F554" s="121" t="s">
        <v>2171</v>
      </c>
      <c r="G554" s="242"/>
      <c r="H554" s="242"/>
      <c r="I554" s="370">
        <v>0</v>
      </c>
      <c r="J554" s="370">
        <f t="shared" si="24"/>
        <v>2.0512820512820513E-3</v>
      </c>
      <c r="K554" s="370">
        <f t="shared" si="24"/>
        <v>4.6153846153846149E-3</v>
      </c>
      <c r="L554" s="370">
        <f t="shared" si="24"/>
        <v>7.1794871794871795E-3</v>
      </c>
      <c r="M554" s="370">
        <f t="shared" si="24"/>
        <v>9.743589743589744E-3</v>
      </c>
      <c r="N554" s="370">
        <f t="shared" si="24"/>
        <v>1.2307692307692308E-2</v>
      </c>
      <c r="O554" s="370">
        <f t="shared" si="24"/>
        <v>1.4871794871794871E-2</v>
      </c>
      <c r="P554" s="370">
        <f t="shared" si="24"/>
        <v>1.7435897435897435E-2</v>
      </c>
      <c r="Q554" s="370">
        <v>0.02</v>
      </c>
      <c r="R554" s="242"/>
      <c r="T554" s="20"/>
      <c r="U554" s="20"/>
      <c r="V554" s="20"/>
      <c r="W554" s="20"/>
      <c r="X554" s="20"/>
    </row>
    <row r="555" spans="1:24" s="65" customFormat="1" ht="15" customHeight="1" outlineLevel="2">
      <c r="A555" s="219"/>
      <c r="B555" s="242"/>
      <c r="C555" s="242" t="s">
        <v>1816</v>
      </c>
      <c r="D555" s="121" t="str">
        <f>INDEX(Regional.Technologies[Description],MATCH($B$2&amp;"."&amp;G.30.levels.AlternativeFuels[[#This Row],[Technology code]],Regional.Technologies[Code],0))</f>
        <v>Global Solid Hydrocarbons use in the Primary Aluminium technology</v>
      </c>
      <c r="E555" s="121">
        <v>3</v>
      </c>
      <c r="F555" s="121" t="s">
        <v>2171</v>
      </c>
      <c r="G555" s="242"/>
      <c r="H555" s="242"/>
      <c r="I555" s="370">
        <v>0</v>
      </c>
      <c r="J555" s="370">
        <f t="shared" si="24"/>
        <v>3.0769230769230769E-3</v>
      </c>
      <c r="K555" s="370">
        <f t="shared" si="24"/>
        <v>6.9230769230769233E-3</v>
      </c>
      <c r="L555" s="370">
        <f t="shared" si="24"/>
        <v>1.0769230769230769E-2</v>
      </c>
      <c r="M555" s="370">
        <f t="shared" si="24"/>
        <v>1.4615384615384615E-2</v>
      </c>
      <c r="N555" s="370">
        <f t="shared" si="24"/>
        <v>1.846153846153846E-2</v>
      </c>
      <c r="O555" s="370">
        <f t="shared" si="24"/>
        <v>2.2307692307692306E-2</v>
      </c>
      <c r="P555" s="370">
        <f t="shared" si="24"/>
        <v>2.6153846153846153E-2</v>
      </c>
      <c r="Q555" s="370">
        <v>0.03</v>
      </c>
      <c r="R555" s="242"/>
      <c r="T555" s="20"/>
      <c r="U555" s="20"/>
      <c r="V555" s="20"/>
      <c r="W555" s="20"/>
      <c r="X555" s="20"/>
    </row>
    <row r="556" spans="1:24" s="65" customFormat="1" ht="15" customHeight="1" outlineLevel="2">
      <c r="A556" s="219"/>
      <c r="B556" s="242"/>
      <c r="C556" s="242" t="s">
        <v>1816</v>
      </c>
      <c r="D556" s="121" t="str">
        <f>INDEX(Regional.Technologies[Description],MATCH($B$2&amp;"."&amp;G.30.levels.AlternativeFuels[[#This Row],[Technology code]],Regional.Technologies[Code],0))</f>
        <v>Global Solid Hydrocarbons use in the Primary Aluminium technology</v>
      </c>
      <c r="E556" s="121">
        <v>4</v>
      </c>
      <c r="F556" s="121" t="s">
        <v>2171</v>
      </c>
      <c r="G556" s="242"/>
      <c r="H556" s="242"/>
      <c r="I556" s="370">
        <v>0</v>
      </c>
      <c r="J556" s="370">
        <f t="shared" si="24"/>
        <v>5.1282051282051282E-3</v>
      </c>
      <c r="K556" s="370">
        <f t="shared" si="24"/>
        <v>1.1538461538461539E-2</v>
      </c>
      <c r="L556" s="370">
        <f t="shared" si="24"/>
        <v>1.7948717948717947E-2</v>
      </c>
      <c r="M556" s="370">
        <f t="shared" si="24"/>
        <v>2.4358974358974359E-2</v>
      </c>
      <c r="N556" s="370">
        <f t="shared" si="24"/>
        <v>3.0769230769230771E-2</v>
      </c>
      <c r="O556" s="370">
        <f t="shared" si="24"/>
        <v>3.7179487179487179E-2</v>
      </c>
      <c r="P556" s="370">
        <f t="shared" si="24"/>
        <v>4.3589743589743588E-2</v>
      </c>
      <c r="Q556" s="370">
        <v>0.05</v>
      </c>
      <c r="R556" s="242"/>
      <c r="T556" s="20"/>
      <c r="U556" s="20"/>
      <c r="V556" s="20"/>
      <c r="W556" s="20"/>
      <c r="X556" s="20"/>
    </row>
    <row r="557" spans="1:24" s="65" customFormat="1" ht="15" customHeight="1" outlineLevel="2">
      <c r="A557" s="219"/>
      <c r="B557" s="242"/>
      <c r="C557" s="242" t="s">
        <v>1813</v>
      </c>
      <c r="D557" s="121" t="str">
        <f>INDEX(Regional.Technologies[Description],MATCH($B$2&amp;"."&amp;G.30.levels.AlternativeFuels[[#This Row],[Technology code]],Regional.Technologies[Code],0))</f>
        <v>Global Coal use in the Primary Aluminium technology</v>
      </c>
      <c r="E557" s="121">
        <v>1</v>
      </c>
      <c r="F557" s="121" t="s">
        <v>2169</v>
      </c>
      <c r="G557" s="242"/>
      <c r="H557" s="242"/>
      <c r="I557" s="370" t="s">
        <v>2170</v>
      </c>
      <c r="J557" s="370" t="s">
        <v>2170</v>
      </c>
      <c r="K557" s="370" t="s">
        <v>2170</v>
      </c>
      <c r="L557" s="370" t="s">
        <v>2170</v>
      </c>
      <c r="M557" s="370" t="s">
        <v>2170</v>
      </c>
      <c r="N557" s="370" t="s">
        <v>2170</v>
      </c>
      <c r="O557" s="370" t="s">
        <v>2170</v>
      </c>
      <c r="P557" s="370" t="s">
        <v>2170</v>
      </c>
      <c r="Q557" s="370" t="s">
        <v>2170</v>
      </c>
      <c r="R557" s="242"/>
      <c r="T557" s="20"/>
      <c r="U557" s="20"/>
      <c r="V557" s="20"/>
      <c r="W557" s="20"/>
      <c r="X557" s="20"/>
    </row>
    <row r="558" spans="1:24" s="65" customFormat="1" ht="15" customHeight="1" outlineLevel="2">
      <c r="A558" s="219"/>
      <c r="B558" s="242"/>
      <c r="C558" s="242" t="s">
        <v>1813</v>
      </c>
      <c r="D558" s="121" t="str">
        <f>INDEX(Regional.Technologies[Description],MATCH($B$2&amp;"."&amp;G.30.levels.AlternativeFuels[[#This Row],[Technology code]],Regional.Technologies[Code],0))</f>
        <v>Global Coal use in the Primary Aluminium technology</v>
      </c>
      <c r="E558" s="121">
        <v>2</v>
      </c>
      <c r="F558" s="121" t="s">
        <v>2169</v>
      </c>
      <c r="G558" s="242"/>
      <c r="H558" s="242"/>
      <c r="I558" s="370" t="s">
        <v>2170</v>
      </c>
      <c r="J558" s="370" t="s">
        <v>2170</v>
      </c>
      <c r="K558" s="370" t="s">
        <v>2170</v>
      </c>
      <c r="L558" s="370" t="s">
        <v>2170</v>
      </c>
      <c r="M558" s="370" t="s">
        <v>2170</v>
      </c>
      <c r="N558" s="370" t="s">
        <v>2170</v>
      </c>
      <c r="O558" s="370" t="s">
        <v>2170</v>
      </c>
      <c r="P558" s="370" t="s">
        <v>2170</v>
      </c>
      <c r="Q558" s="370" t="s">
        <v>2170</v>
      </c>
      <c r="R558" s="242"/>
      <c r="T558" s="20"/>
      <c r="U558" s="20"/>
      <c r="V558" s="20"/>
      <c r="W558" s="20"/>
      <c r="X558" s="20"/>
    </row>
    <row r="559" spans="1:24" s="65" customFormat="1" ht="15" customHeight="1" outlineLevel="2">
      <c r="A559" s="219"/>
      <c r="B559" s="242"/>
      <c r="C559" s="242" t="s">
        <v>1813</v>
      </c>
      <c r="D559" s="121" t="str">
        <f>INDEX(Regional.Technologies[Description],MATCH($B$2&amp;"."&amp;G.30.levels.AlternativeFuels[[#This Row],[Technology code]],Regional.Technologies[Code],0))</f>
        <v>Global Coal use in the Primary Aluminium technology</v>
      </c>
      <c r="E559" s="121">
        <v>3</v>
      </c>
      <c r="F559" s="121" t="s">
        <v>2169</v>
      </c>
      <c r="G559" s="242"/>
      <c r="H559" s="242"/>
      <c r="I559" s="370" t="s">
        <v>2170</v>
      </c>
      <c r="J559" s="370" t="s">
        <v>2170</v>
      </c>
      <c r="K559" s="370" t="s">
        <v>2170</v>
      </c>
      <c r="L559" s="370" t="s">
        <v>2170</v>
      </c>
      <c r="M559" s="370" t="s">
        <v>2170</v>
      </c>
      <c r="N559" s="370" t="s">
        <v>2170</v>
      </c>
      <c r="O559" s="370" t="s">
        <v>2170</v>
      </c>
      <c r="P559" s="370" t="s">
        <v>2170</v>
      </c>
      <c r="Q559" s="370" t="s">
        <v>2170</v>
      </c>
      <c r="R559" s="242"/>
      <c r="T559" s="20"/>
      <c r="U559" s="20"/>
      <c r="V559" s="20"/>
      <c r="W559" s="20"/>
      <c r="X559" s="20"/>
    </row>
    <row r="560" spans="1:24" s="65" customFormat="1" ht="15" customHeight="1" outlineLevel="2">
      <c r="A560" s="219"/>
      <c r="B560" s="242"/>
      <c r="C560" s="242" t="s">
        <v>1813</v>
      </c>
      <c r="D560" s="121" t="str">
        <f>INDEX(Regional.Technologies[Description],MATCH($B$2&amp;"."&amp;G.30.levels.AlternativeFuels[[#This Row],[Technology code]],Regional.Technologies[Code],0))</f>
        <v>Global Coal use in the Primary Aluminium technology</v>
      </c>
      <c r="E560" s="121">
        <v>4</v>
      </c>
      <c r="F560" s="121" t="s">
        <v>2169</v>
      </c>
      <c r="G560" s="242"/>
      <c r="H560" s="242"/>
      <c r="I560" s="370" t="s">
        <v>2170</v>
      </c>
      <c r="J560" s="370" t="s">
        <v>2170</v>
      </c>
      <c r="K560" s="370" t="s">
        <v>2170</v>
      </c>
      <c r="L560" s="370" t="s">
        <v>2170</v>
      </c>
      <c r="M560" s="370" t="s">
        <v>2170</v>
      </c>
      <c r="N560" s="370" t="s">
        <v>2170</v>
      </c>
      <c r="O560" s="370" t="s">
        <v>2170</v>
      </c>
      <c r="P560" s="370" t="s">
        <v>2170</v>
      </c>
      <c r="Q560" s="370" t="s">
        <v>2170</v>
      </c>
      <c r="R560" s="242"/>
      <c r="T560" s="20"/>
      <c r="U560" s="20"/>
      <c r="V560" s="20"/>
      <c r="W560" s="20"/>
      <c r="X560" s="20"/>
    </row>
    <row r="561" spans="1:24" s="65" customFormat="1" ht="15" customHeight="1" outlineLevel="2">
      <c r="A561" s="219"/>
      <c r="B561" s="242"/>
      <c r="C561" s="242" t="s">
        <v>1825</v>
      </c>
      <c r="D561" s="121" t="str">
        <f>INDEX(Regional.Technologies[Description],MATCH($B$2&amp;"."&amp;G.30.levels.AlternativeFuels[[#This Row],[Technology code]],Regional.Technologies[Code],0))</f>
        <v>Global Solid Hydrocarbons use in the Chemicals: High Value Chemicals  technology</v>
      </c>
      <c r="E561" s="121">
        <v>1</v>
      </c>
      <c r="F561" s="242" t="s">
        <v>2172</v>
      </c>
      <c r="G561" s="242"/>
      <c r="H561" s="242"/>
      <c r="I561" s="370">
        <v>0</v>
      </c>
      <c r="J561" s="370">
        <f t="shared" si="24"/>
        <v>0</v>
      </c>
      <c r="K561" s="370">
        <f t="shared" si="24"/>
        <v>0</v>
      </c>
      <c r="L561" s="370">
        <f t="shared" si="24"/>
        <v>0</v>
      </c>
      <c r="M561" s="370">
        <f t="shared" si="24"/>
        <v>0</v>
      </c>
      <c r="N561" s="370">
        <f t="shared" si="24"/>
        <v>0</v>
      </c>
      <c r="O561" s="370">
        <f t="shared" si="24"/>
        <v>0</v>
      </c>
      <c r="P561" s="370">
        <f t="shared" si="24"/>
        <v>0</v>
      </c>
      <c r="Q561" s="370">
        <v>0</v>
      </c>
      <c r="R561" s="242"/>
      <c r="T561" s="20"/>
      <c r="U561" s="20"/>
      <c r="V561" s="20"/>
      <c r="W561" s="20"/>
      <c r="X561" s="20"/>
    </row>
    <row r="562" spans="1:24" s="65" customFormat="1" ht="15" customHeight="1" outlineLevel="2">
      <c r="A562" s="219"/>
      <c r="B562" s="242"/>
      <c r="C562" s="242" t="s">
        <v>1825</v>
      </c>
      <c r="D562" s="121" t="str">
        <f>INDEX(Regional.Technologies[Description],MATCH($B$2&amp;"."&amp;G.30.levels.AlternativeFuels[[#This Row],[Technology code]],Regional.Technologies[Code],0))</f>
        <v>Global Solid Hydrocarbons use in the Chemicals: High Value Chemicals  technology</v>
      </c>
      <c r="E562" s="121">
        <v>2</v>
      </c>
      <c r="F562" s="242" t="s">
        <v>2172</v>
      </c>
      <c r="G562" s="242"/>
      <c r="H562" s="242"/>
      <c r="I562" s="370">
        <v>0</v>
      </c>
      <c r="J562" s="370">
        <f t="shared" si="24"/>
        <v>2.0512820512820513E-3</v>
      </c>
      <c r="K562" s="370">
        <f t="shared" si="24"/>
        <v>4.6153846153846149E-3</v>
      </c>
      <c r="L562" s="370">
        <f t="shared" si="24"/>
        <v>7.1794871794871795E-3</v>
      </c>
      <c r="M562" s="370">
        <f t="shared" si="24"/>
        <v>9.743589743589744E-3</v>
      </c>
      <c r="N562" s="370">
        <f t="shared" si="24"/>
        <v>1.2307692307692308E-2</v>
      </c>
      <c r="O562" s="370">
        <f t="shared" si="24"/>
        <v>1.4871794871794871E-2</v>
      </c>
      <c r="P562" s="370">
        <f t="shared" si="24"/>
        <v>1.7435897435897435E-2</v>
      </c>
      <c r="Q562" s="370">
        <v>0.02</v>
      </c>
      <c r="R562" s="242"/>
      <c r="T562" s="20"/>
      <c r="U562" s="20"/>
      <c r="V562" s="20"/>
      <c r="W562" s="20"/>
      <c r="X562" s="20"/>
    </row>
    <row r="563" spans="1:24" s="65" customFormat="1" ht="15" customHeight="1" outlineLevel="2">
      <c r="A563" s="219"/>
      <c r="B563" s="242"/>
      <c r="C563" s="242" t="s">
        <v>1825</v>
      </c>
      <c r="D563" s="121" t="str">
        <f>INDEX(Regional.Technologies[Description],MATCH($B$2&amp;"."&amp;G.30.levels.AlternativeFuels[[#This Row],[Technology code]],Regional.Technologies[Code],0))</f>
        <v>Global Solid Hydrocarbons use in the Chemicals: High Value Chemicals  technology</v>
      </c>
      <c r="E563" s="121">
        <v>3</v>
      </c>
      <c r="F563" s="242" t="s">
        <v>2172</v>
      </c>
      <c r="G563" s="242"/>
      <c r="H563" s="242"/>
      <c r="I563" s="370">
        <v>0</v>
      </c>
      <c r="J563" s="370">
        <f t="shared" si="24"/>
        <v>3.0769230769230769E-3</v>
      </c>
      <c r="K563" s="370">
        <f t="shared" si="24"/>
        <v>6.9230769230769233E-3</v>
      </c>
      <c r="L563" s="370">
        <f t="shared" si="24"/>
        <v>1.0769230769230769E-2</v>
      </c>
      <c r="M563" s="370">
        <f t="shared" si="24"/>
        <v>1.4615384615384615E-2</v>
      </c>
      <c r="N563" s="370">
        <f t="shared" si="24"/>
        <v>1.846153846153846E-2</v>
      </c>
      <c r="O563" s="370">
        <f t="shared" si="24"/>
        <v>2.2307692307692306E-2</v>
      </c>
      <c r="P563" s="370">
        <f t="shared" si="24"/>
        <v>2.6153846153846153E-2</v>
      </c>
      <c r="Q563" s="370">
        <v>0.03</v>
      </c>
      <c r="R563" s="242"/>
      <c r="T563" s="20"/>
      <c r="U563" s="20"/>
      <c r="V563" s="20"/>
      <c r="W563" s="20"/>
      <c r="X563" s="20"/>
    </row>
    <row r="564" spans="1:24" s="65" customFormat="1" ht="15" customHeight="1" outlineLevel="2">
      <c r="A564" s="219"/>
      <c r="B564" s="242"/>
      <c r="C564" s="242" t="s">
        <v>1825</v>
      </c>
      <c r="D564" s="121" t="str">
        <f>INDEX(Regional.Technologies[Description],MATCH($B$2&amp;"."&amp;G.30.levels.AlternativeFuels[[#This Row],[Technology code]],Regional.Technologies[Code],0))</f>
        <v>Global Solid Hydrocarbons use in the Chemicals: High Value Chemicals  technology</v>
      </c>
      <c r="E564" s="121">
        <v>4</v>
      </c>
      <c r="F564" s="242" t="s">
        <v>2172</v>
      </c>
      <c r="G564" s="242"/>
      <c r="H564" s="242"/>
      <c r="I564" s="370">
        <v>0</v>
      </c>
      <c r="J564" s="370">
        <f t="shared" si="24"/>
        <v>5.1282051282051282E-3</v>
      </c>
      <c r="K564" s="370">
        <f t="shared" si="24"/>
        <v>1.1538461538461539E-2</v>
      </c>
      <c r="L564" s="370">
        <f t="shared" si="24"/>
        <v>1.7948717948717947E-2</v>
      </c>
      <c r="M564" s="370">
        <f t="shared" si="24"/>
        <v>2.4358974358974359E-2</v>
      </c>
      <c r="N564" s="370">
        <f t="shared" si="24"/>
        <v>3.0769230769230771E-2</v>
      </c>
      <c r="O564" s="370">
        <f t="shared" si="24"/>
        <v>3.7179487179487179E-2</v>
      </c>
      <c r="P564" s="370">
        <f t="shared" si="24"/>
        <v>4.3589743589743588E-2</v>
      </c>
      <c r="Q564" s="370">
        <v>0.05</v>
      </c>
      <c r="R564" s="242"/>
      <c r="T564" s="20"/>
      <c r="U564" s="20"/>
      <c r="V564" s="20"/>
      <c r="W564" s="20"/>
      <c r="X564" s="20"/>
    </row>
    <row r="565" spans="1:24" s="65" customFormat="1" ht="15" customHeight="1" outlineLevel="2">
      <c r="A565" s="219"/>
      <c r="B565" s="242"/>
      <c r="C565" s="242" t="s">
        <v>1822</v>
      </c>
      <c r="D565" s="121" t="str">
        <f>INDEX(Regional.Technologies[Description],MATCH($B$2&amp;"."&amp;G.30.levels.AlternativeFuels[[#This Row],[Technology code]],Regional.Technologies[Code],0))</f>
        <v>Global Coal use in the Chemicals: High Value Chemicals  technology</v>
      </c>
      <c r="E565" s="121">
        <v>1</v>
      </c>
      <c r="F565" s="121" t="s">
        <v>2169</v>
      </c>
      <c r="G565" s="242"/>
      <c r="H565" s="242"/>
      <c r="I565" s="370" t="s">
        <v>2170</v>
      </c>
      <c r="J565" s="370" t="s">
        <v>2170</v>
      </c>
      <c r="K565" s="370" t="s">
        <v>2170</v>
      </c>
      <c r="L565" s="370" t="s">
        <v>2170</v>
      </c>
      <c r="M565" s="370" t="s">
        <v>2170</v>
      </c>
      <c r="N565" s="370" t="s">
        <v>2170</v>
      </c>
      <c r="O565" s="370" t="s">
        <v>2170</v>
      </c>
      <c r="P565" s="370" t="s">
        <v>2170</v>
      </c>
      <c r="Q565" s="370" t="s">
        <v>2170</v>
      </c>
      <c r="R565" s="242"/>
      <c r="T565" s="20"/>
      <c r="U565" s="20"/>
      <c r="V565" s="20"/>
      <c r="W565" s="20"/>
      <c r="X565" s="20"/>
    </row>
    <row r="566" spans="1:24" s="65" customFormat="1" ht="15" customHeight="1" outlineLevel="2">
      <c r="A566" s="219"/>
      <c r="B566" s="242"/>
      <c r="C566" s="242" t="s">
        <v>1822</v>
      </c>
      <c r="D566" s="121" t="str">
        <f>INDEX(Regional.Technologies[Description],MATCH($B$2&amp;"."&amp;G.30.levels.AlternativeFuels[[#This Row],[Technology code]],Regional.Technologies[Code],0))</f>
        <v>Global Coal use in the Chemicals: High Value Chemicals  technology</v>
      </c>
      <c r="E566" s="121">
        <v>2</v>
      </c>
      <c r="F566" s="121" t="s">
        <v>2169</v>
      </c>
      <c r="G566" s="242"/>
      <c r="H566" s="242"/>
      <c r="I566" s="370" t="s">
        <v>2170</v>
      </c>
      <c r="J566" s="370" t="s">
        <v>2170</v>
      </c>
      <c r="K566" s="370" t="s">
        <v>2170</v>
      </c>
      <c r="L566" s="370" t="s">
        <v>2170</v>
      </c>
      <c r="M566" s="370" t="s">
        <v>2170</v>
      </c>
      <c r="N566" s="370" t="s">
        <v>2170</v>
      </c>
      <c r="O566" s="370" t="s">
        <v>2170</v>
      </c>
      <c r="P566" s="370" t="s">
        <v>2170</v>
      </c>
      <c r="Q566" s="370" t="s">
        <v>2170</v>
      </c>
      <c r="R566" s="242"/>
      <c r="T566" s="20"/>
      <c r="U566" s="20"/>
      <c r="V566" s="20"/>
      <c r="W566" s="20"/>
      <c r="X566" s="20"/>
    </row>
    <row r="567" spans="1:24" s="65" customFormat="1" ht="15" customHeight="1" outlineLevel="2">
      <c r="A567" s="219"/>
      <c r="B567" s="242"/>
      <c r="C567" s="242" t="s">
        <v>1822</v>
      </c>
      <c r="D567" s="121" t="str">
        <f>INDEX(Regional.Technologies[Description],MATCH($B$2&amp;"."&amp;G.30.levels.AlternativeFuels[[#This Row],[Technology code]],Regional.Technologies[Code],0))</f>
        <v>Global Coal use in the Chemicals: High Value Chemicals  technology</v>
      </c>
      <c r="E567" s="121">
        <v>3</v>
      </c>
      <c r="F567" s="121" t="s">
        <v>2169</v>
      </c>
      <c r="G567" s="242"/>
      <c r="H567" s="242"/>
      <c r="I567" s="370" t="s">
        <v>2170</v>
      </c>
      <c r="J567" s="370" t="s">
        <v>2170</v>
      </c>
      <c r="K567" s="370" t="s">
        <v>2170</v>
      </c>
      <c r="L567" s="370" t="s">
        <v>2170</v>
      </c>
      <c r="M567" s="370" t="s">
        <v>2170</v>
      </c>
      <c r="N567" s="370" t="s">
        <v>2170</v>
      </c>
      <c r="O567" s="370" t="s">
        <v>2170</v>
      </c>
      <c r="P567" s="370" t="s">
        <v>2170</v>
      </c>
      <c r="Q567" s="370" t="s">
        <v>2170</v>
      </c>
      <c r="R567" s="242"/>
      <c r="T567" s="20"/>
      <c r="U567" s="20"/>
      <c r="V567" s="20"/>
      <c r="W567" s="20"/>
      <c r="X567" s="20"/>
    </row>
    <row r="568" spans="1:24" s="65" customFormat="1" ht="15" customHeight="1" outlineLevel="2">
      <c r="A568" s="219"/>
      <c r="B568" s="242"/>
      <c r="C568" s="242" t="s">
        <v>1822</v>
      </c>
      <c r="D568" s="121" t="str">
        <f>INDEX(Regional.Technologies[Description],MATCH($B$2&amp;"."&amp;G.30.levels.AlternativeFuels[[#This Row],[Technology code]],Regional.Technologies[Code],0))</f>
        <v>Global Coal use in the Chemicals: High Value Chemicals  technology</v>
      </c>
      <c r="E568" s="121">
        <v>4</v>
      </c>
      <c r="F568" s="121" t="s">
        <v>2169</v>
      </c>
      <c r="G568" s="242"/>
      <c r="H568" s="242"/>
      <c r="I568" s="370" t="s">
        <v>2170</v>
      </c>
      <c r="J568" s="370" t="s">
        <v>2170</v>
      </c>
      <c r="K568" s="370" t="s">
        <v>2170</v>
      </c>
      <c r="L568" s="370" t="s">
        <v>2170</v>
      </c>
      <c r="M568" s="370" t="s">
        <v>2170</v>
      </c>
      <c r="N568" s="370" t="s">
        <v>2170</v>
      </c>
      <c r="O568" s="370" t="s">
        <v>2170</v>
      </c>
      <c r="P568" s="370" t="s">
        <v>2170</v>
      </c>
      <c r="Q568" s="370" t="s">
        <v>2170</v>
      </c>
      <c r="R568" s="242"/>
      <c r="T568" s="20"/>
      <c r="U568" s="20"/>
      <c r="V568" s="20"/>
      <c r="W568" s="20"/>
      <c r="X568" s="20"/>
    </row>
    <row r="569" spans="1:24" s="65" customFormat="1" ht="15" customHeight="1" outlineLevel="2">
      <c r="A569" s="219"/>
      <c r="B569" s="242"/>
      <c r="C569" s="242" t="s">
        <v>1831</v>
      </c>
      <c r="D569" s="121" t="str">
        <f>INDEX(Regional.Technologies[Description],MATCH($B$2&amp;"."&amp;G.30.levels.AlternativeFuels[[#This Row],[Technology code]],Regional.Technologies[Code],0))</f>
        <v>Global Solid Hydrocarbons use in the Chemicals: Ammonia technology</v>
      </c>
      <c r="E569" s="121">
        <v>1</v>
      </c>
      <c r="F569" s="242" t="s">
        <v>2173</v>
      </c>
      <c r="G569" s="242"/>
      <c r="H569" s="242"/>
      <c r="I569" s="370">
        <v>0</v>
      </c>
      <c r="J569" s="370">
        <f t="shared" si="24"/>
        <v>0</v>
      </c>
      <c r="K569" s="370">
        <f t="shared" si="24"/>
        <v>0</v>
      </c>
      <c r="L569" s="370">
        <f t="shared" si="24"/>
        <v>0</v>
      </c>
      <c r="M569" s="370">
        <f t="shared" si="24"/>
        <v>0</v>
      </c>
      <c r="N569" s="370">
        <f t="shared" si="24"/>
        <v>0</v>
      </c>
      <c r="O569" s="370">
        <f t="shared" si="24"/>
        <v>0</v>
      </c>
      <c r="P569" s="370">
        <f t="shared" si="24"/>
        <v>0</v>
      </c>
      <c r="Q569" s="370">
        <v>0</v>
      </c>
      <c r="R569" s="242"/>
      <c r="T569" s="20"/>
      <c r="U569" s="20"/>
      <c r="V569" s="20"/>
      <c r="W569" s="20"/>
      <c r="X569" s="20"/>
    </row>
    <row r="570" spans="1:24" s="65" customFormat="1" ht="15" customHeight="1" outlineLevel="2">
      <c r="A570" s="219"/>
      <c r="B570" s="242"/>
      <c r="C570" s="242" t="s">
        <v>1831</v>
      </c>
      <c r="D570" s="121" t="str">
        <f>INDEX(Regional.Technologies[Description],MATCH($B$2&amp;"."&amp;G.30.levels.AlternativeFuels[[#This Row],[Technology code]],Regional.Technologies[Code],0))</f>
        <v>Global Solid Hydrocarbons use in the Chemicals: Ammonia technology</v>
      </c>
      <c r="E570" s="121">
        <v>2</v>
      </c>
      <c r="F570" s="242" t="s">
        <v>2173</v>
      </c>
      <c r="G570" s="242"/>
      <c r="H570" s="242"/>
      <c r="I570" s="370">
        <v>0</v>
      </c>
      <c r="J570" s="370">
        <f t="shared" si="24"/>
        <v>2.0512820512820513E-3</v>
      </c>
      <c r="K570" s="370">
        <f t="shared" si="24"/>
        <v>4.6153846153846149E-3</v>
      </c>
      <c r="L570" s="370">
        <f t="shared" si="24"/>
        <v>7.1794871794871795E-3</v>
      </c>
      <c r="M570" s="370">
        <f t="shared" si="24"/>
        <v>9.743589743589744E-3</v>
      </c>
      <c r="N570" s="370">
        <f t="shared" si="24"/>
        <v>1.2307692307692308E-2</v>
      </c>
      <c r="O570" s="370">
        <f t="shared" si="24"/>
        <v>1.4871794871794871E-2</v>
      </c>
      <c r="P570" s="370">
        <f t="shared" si="24"/>
        <v>1.7435897435897435E-2</v>
      </c>
      <c r="Q570" s="370">
        <v>0.02</v>
      </c>
      <c r="R570" s="242"/>
      <c r="T570" s="20"/>
      <c r="U570" s="20"/>
      <c r="V570" s="20"/>
      <c r="W570" s="20"/>
      <c r="X570" s="20"/>
    </row>
    <row r="571" spans="1:24" s="65" customFormat="1" ht="15" customHeight="1" outlineLevel="2">
      <c r="A571" s="219"/>
      <c r="B571" s="242"/>
      <c r="C571" s="242" t="s">
        <v>1831</v>
      </c>
      <c r="D571" s="121" t="str">
        <f>INDEX(Regional.Technologies[Description],MATCH($B$2&amp;"."&amp;G.30.levels.AlternativeFuels[[#This Row],[Technology code]],Regional.Technologies[Code],0))</f>
        <v>Global Solid Hydrocarbons use in the Chemicals: Ammonia technology</v>
      </c>
      <c r="E571" s="121">
        <v>3</v>
      </c>
      <c r="F571" s="242" t="s">
        <v>2173</v>
      </c>
      <c r="G571" s="242"/>
      <c r="H571" s="242"/>
      <c r="I571" s="370">
        <v>0</v>
      </c>
      <c r="J571" s="370">
        <f t="shared" si="24"/>
        <v>3.0769230769230769E-3</v>
      </c>
      <c r="K571" s="370">
        <f t="shared" si="24"/>
        <v>6.9230769230769233E-3</v>
      </c>
      <c r="L571" s="370">
        <f t="shared" si="24"/>
        <v>1.0769230769230769E-2</v>
      </c>
      <c r="M571" s="370">
        <f t="shared" si="24"/>
        <v>1.4615384615384615E-2</v>
      </c>
      <c r="N571" s="370">
        <f t="shared" si="24"/>
        <v>1.846153846153846E-2</v>
      </c>
      <c r="O571" s="370">
        <f t="shared" si="24"/>
        <v>2.2307692307692306E-2</v>
      </c>
      <c r="P571" s="370">
        <f t="shared" si="24"/>
        <v>2.6153846153846153E-2</v>
      </c>
      <c r="Q571" s="370">
        <v>0.03</v>
      </c>
      <c r="R571" s="242"/>
      <c r="T571" s="20"/>
      <c r="U571" s="20"/>
      <c r="V571" s="20"/>
      <c r="W571" s="20"/>
      <c r="X571" s="20"/>
    </row>
    <row r="572" spans="1:24" s="65" customFormat="1" ht="15" customHeight="1" outlineLevel="2">
      <c r="A572" s="219"/>
      <c r="B572" s="242"/>
      <c r="C572" s="242" t="s">
        <v>1831</v>
      </c>
      <c r="D572" s="121" t="str">
        <f>INDEX(Regional.Technologies[Description],MATCH($B$2&amp;"."&amp;G.30.levels.AlternativeFuels[[#This Row],[Technology code]],Regional.Technologies[Code],0))</f>
        <v>Global Solid Hydrocarbons use in the Chemicals: Ammonia technology</v>
      </c>
      <c r="E572" s="121">
        <v>4</v>
      </c>
      <c r="F572" s="242" t="s">
        <v>2173</v>
      </c>
      <c r="G572" s="242"/>
      <c r="H572" s="242"/>
      <c r="I572" s="370">
        <v>0</v>
      </c>
      <c r="J572" s="370">
        <f t="shared" si="24"/>
        <v>5.1282051282051282E-3</v>
      </c>
      <c r="K572" s="370">
        <f t="shared" si="24"/>
        <v>1.1538461538461539E-2</v>
      </c>
      <c r="L572" s="370">
        <f t="shared" si="24"/>
        <v>1.7948717948717947E-2</v>
      </c>
      <c r="M572" s="370">
        <f t="shared" si="24"/>
        <v>2.4358974358974359E-2</v>
      </c>
      <c r="N572" s="370">
        <f t="shared" si="24"/>
        <v>3.0769230769230771E-2</v>
      </c>
      <c r="O572" s="370">
        <f t="shared" si="24"/>
        <v>3.7179487179487179E-2</v>
      </c>
      <c r="P572" s="370">
        <f t="shared" si="24"/>
        <v>4.3589743589743588E-2</v>
      </c>
      <c r="Q572" s="370">
        <v>0.05</v>
      </c>
      <c r="R572" s="242"/>
      <c r="T572" s="20"/>
      <c r="U572" s="20"/>
      <c r="V572" s="20"/>
      <c r="W572" s="20"/>
      <c r="X572" s="20"/>
    </row>
    <row r="573" spans="1:24" s="65" customFormat="1" ht="15" customHeight="1" outlineLevel="2">
      <c r="A573" s="219"/>
      <c r="B573" s="242"/>
      <c r="C573" s="242" t="s">
        <v>1828</v>
      </c>
      <c r="D573" s="121" t="str">
        <f>INDEX(Regional.Technologies[Description],MATCH($B$2&amp;"."&amp;G.30.levels.AlternativeFuels[[#This Row],[Technology code]],Regional.Technologies[Code],0))</f>
        <v>Global Coal use in the Chemicals: Ammonia technology</v>
      </c>
      <c r="E573" s="121">
        <v>1</v>
      </c>
      <c r="F573" s="121" t="s">
        <v>2169</v>
      </c>
      <c r="G573" s="242"/>
      <c r="H573" s="242"/>
      <c r="I573" s="370" t="s">
        <v>2170</v>
      </c>
      <c r="J573" s="370" t="s">
        <v>2170</v>
      </c>
      <c r="K573" s="370" t="s">
        <v>2170</v>
      </c>
      <c r="L573" s="370" t="s">
        <v>2170</v>
      </c>
      <c r="M573" s="370" t="s">
        <v>2170</v>
      </c>
      <c r="N573" s="370" t="s">
        <v>2170</v>
      </c>
      <c r="O573" s="370" t="s">
        <v>2170</v>
      </c>
      <c r="P573" s="370" t="s">
        <v>2170</v>
      </c>
      <c r="Q573" s="370" t="s">
        <v>2170</v>
      </c>
      <c r="R573" s="242"/>
      <c r="T573" s="20"/>
      <c r="U573" s="20"/>
      <c r="V573" s="20"/>
      <c r="W573" s="20"/>
      <c r="X573" s="20"/>
    </row>
    <row r="574" spans="1:24" s="65" customFormat="1" ht="15" customHeight="1" outlineLevel="2">
      <c r="A574" s="219"/>
      <c r="B574" s="242"/>
      <c r="C574" s="242" t="s">
        <v>1828</v>
      </c>
      <c r="D574" s="121" t="str">
        <f>INDEX(Regional.Technologies[Description],MATCH($B$2&amp;"."&amp;G.30.levels.AlternativeFuels[[#This Row],[Technology code]],Regional.Technologies[Code],0))</f>
        <v>Global Coal use in the Chemicals: Ammonia technology</v>
      </c>
      <c r="E574" s="121">
        <v>2</v>
      </c>
      <c r="F574" s="121" t="s">
        <v>2169</v>
      </c>
      <c r="G574" s="242"/>
      <c r="H574" s="242"/>
      <c r="I574" s="370" t="s">
        <v>2170</v>
      </c>
      <c r="J574" s="370" t="s">
        <v>2170</v>
      </c>
      <c r="K574" s="370" t="s">
        <v>2170</v>
      </c>
      <c r="L574" s="370" t="s">
        <v>2170</v>
      </c>
      <c r="M574" s="370" t="s">
        <v>2170</v>
      </c>
      <c r="N574" s="370" t="s">
        <v>2170</v>
      </c>
      <c r="O574" s="370" t="s">
        <v>2170</v>
      </c>
      <c r="P574" s="370" t="s">
        <v>2170</v>
      </c>
      <c r="Q574" s="370" t="s">
        <v>2170</v>
      </c>
      <c r="R574" s="242"/>
      <c r="T574" s="20"/>
      <c r="U574" s="20"/>
      <c r="V574" s="20"/>
      <c r="W574" s="20"/>
      <c r="X574" s="20"/>
    </row>
    <row r="575" spans="1:24" s="65" customFormat="1" ht="15" customHeight="1" outlineLevel="2">
      <c r="A575" s="219"/>
      <c r="B575" s="242"/>
      <c r="C575" s="242" t="s">
        <v>1828</v>
      </c>
      <c r="D575" s="121" t="str">
        <f>INDEX(Regional.Technologies[Description],MATCH($B$2&amp;"."&amp;G.30.levels.AlternativeFuels[[#This Row],[Technology code]],Regional.Technologies[Code],0))</f>
        <v>Global Coal use in the Chemicals: Ammonia technology</v>
      </c>
      <c r="E575" s="121">
        <v>3</v>
      </c>
      <c r="F575" s="121" t="s">
        <v>2169</v>
      </c>
      <c r="G575" s="242"/>
      <c r="H575" s="242"/>
      <c r="I575" s="370" t="s">
        <v>2170</v>
      </c>
      <c r="J575" s="370" t="s">
        <v>2170</v>
      </c>
      <c r="K575" s="370" t="s">
        <v>2170</v>
      </c>
      <c r="L575" s="370" t="s">
        <v>2170</v>
      </c>
      <c r="M575" s="370" t="s">
        <v>2170</v>
      </c>
      <c r="N575" s="370" t="s">
        <v>2170</v>
      </c>
      <c r="O575" s="370" t="s">
        <v>2170</v>
      </c>
      <c r="P575" s="370" t="s">
        <v>2170</v>
      </c>
      <c r="Q575" s="370" t="s">
        <v>2170</v>
      </c>
      <c r="R575" s="242"/>
      <c r="T575" s="20"/>
      <c r="U575" s="20"/>
      <c r="V575" s="20"/>
      <c r="W575" s="20"/>
      <c r="X575" s="20"/>
    </row>
    <row r="576" spans="1:24" s="65" customFormat="1" ht="15" customHeight="1" outlineLevel="2">
      <c r="A576" s="219"/>
      <c r="B576" s="242"/>
      <c r="C576" s="242" t="s">
        <v>1828</v>
      </c>
      <c r="D576" s="121" t="str">
        <f>INDEX(Regional.Technologies[Description],MATCH($B$2&amp;"."&amp;G.30.levels.AlternativeFuels[[#This Row],[Technology code]],Regional.Technologies[Code],0))</f>
        <v>Global Coal use in the Chemicals: Ammonia technology</v>
      </c>
      <c r="E576" s="121">
        <v>4</v>
      </c>
      <c r="F576" s="121" t="s">
        <v>2169</v>
      </c>
      <c r="G576" s="242"/>
      <c r="H576" s="242"/>
      <c r="I576" s="370" t="s">
        <v>2170</v>
      </c>
      <c r="J576" s="370" t="s">
        <v>2170</v>
      </c>
      <c r="K576" s="370" t="s">
        <v>2170</v>
      </c>
      <c r="L576" s="370" t="s">
        <v>2170</v>
      </c>
      <c r="M576" s="370" t="s">
        <v>2170</v>
      </c>
      <c r="N576" s="370" t="s">
        <v>2170</v>
      </c>
      <c r="O576" s="370" t="s">
        <v>2170</v>
      </c>
      <c r="P576" s="370" t="s">
        <v>2170</v>
      </c>
      <c r="Q576" s="370" t="s">
        <v>2170</v>
      </c>
      <c r="R576" s="242"/>
      <c r="T576" s="20"/>
      <c r="U576" s="20"/>
      <c r="V576" s="20"/>
      <c r="W576" s="20"/>
      <c r="X576" s="20"/>
    </row>
    <row r="577" spans="1:24" s="65" customFormat="1" ht="15" customHeight="1" outlineLevel="2">
      <c r="A577" s="219"/>
      <c r="B577" s="242"/>
      <c r="C577" s="242" t="s">
        <v>1837</v>
      </c>
      <c r="D577" s="121" t="str">
        <f>INDEX(Regional.Technologies[Description],MATCH($B$2&amp;"."&amp;G.30.levels.AlternativeFuels[[#This Row],[Technology code]],Regional.Technologies[Code],0))</f>
        <v>Global Solid Hydrocarbons use in the Chemicals: Methanol technology</v>
      </c>
      <c r="E577" s="121">
        <v>1</v>
      </c>
      <c r="F577" s="242" t="s">
        <v>2174</v>
      </c>
      <c r="G577" s="242"/>
      <c r="H577" s="242"/>
      <c r="I577" s="370">
        <v>0</v>
      </c>
      <c r="J577" s="370">
        <f t="shared" si="24"/>
        <v>0</v>
      </c>
      <c r="K577" s="370">
        <f t="shared" si="24"/>
        <v>0</v>
      </c>
      <c r="L577" s="370">
        <f t="shared" si="24"/>
        <v>0</v>
      </c>
      <c r="M577" s="370">
        <f t="shared" si="24"/>
        <v>0</v>
      </c>
      <c r="N577" s="370">
        <f t="shared" si="24"/>
        <v>0</v>
      </c>
      <c r="O577" s="370">
        <f t="shared" si="24"/>
        <v>0</v>
      </c>
      <c r="P577" s="370">
        <f t="shared" si="24"/>
        <v>0</v>
      </c>
      <c r="Q577" s="370">
        <v>0</v>
      </c>
      <c r="R577" s="242"/>
      <c r="T577" s="20"/>
      <c r="U577" s="20"/>
      <c r="V577" s="20"/>
      <c r="W577" s="20"/>
      <c r="X577" s="20"/>
    </row>
    <row r="578" spans="1:24" s="65" customFormat="1" ht="15" customHeight="1" outlineLevel="2">
      <c r="A578" s="219"/>
      <c r="B578" s="242"/>
      <c r="C578" s="242" t="s">
        <v>1837</v>
      </c>
      <c r="D578" s="121" t="str">
        <f>INDEX(Regional.Technologies[Description],MATCH($B$2&amp;"."&amp;G.30.levels.AlternativeFuels[[#This Row],[Technology code]],Regional.Technologies[Code],0))</f>
        <v>Global Solid Hydrocarbons use in the Chemicals: Methanol technology</v>
      </c>
      <c r="E578" s="121">
        <v>2</v>
      </c>
      <c r="F578" s="242" t="s">
        <v>2174</v>
      </c>
      <c r="G578" s="242"/>
      <c r="H578" s="242"/>
      <c r="I578" s="370">
        <v>0</v>
      </c>
      <c r="J578" s="370">
        <f t="shared" si="24"/>
        <v>2.0512820512820513E-3</v>
      </c>
      <c r="K578" s="370">
        <f t="shared" si="24"/>
        <v>4.6153846153846149E-3</v>
      </c>
      <c r="L578" s="370">
        <f t="shared" si="24"/>
        <v>7.1794871794871795E-3</v>
      </c>
      <c r="M578" s="370">
        <f t="shared" si="24"/>
        <v>9.743589743589744E-3</v>
      </c>
      <c r="N578" s="370">
        <f t="shared" si="24"/>
        <v>1.2307692307692308E-2</v>
      </c>
      <c r="O578" s="370">
        <f t="shared" si="24"/>
        <v>1.4871794871794871E-2</v>
      </c>
      <c r="P578" s="370">
        <f t="shared" si="24"/>
        <v>1.7435897435897435E-2</v>
      </c>
      <c r="Q578" s="370">
        <v>0.02</v>
      </c>
      <c r="R578" s="242"/>
      <c r="T578" s="20"/>
      <c r="U578" s="20"/>
      <c r="V578" s="20"/>
      <c r="W578" s="20"/>
      <c r="X578" s="20"/>
    </row>
    <row r="579" spans="1:24" s="65" customFormat="1" ht="15" customHeight="1" outlineLevel="2">
      <c r="A579" s="219"/>
      <c r="B579" s="242"/>
      <c r="C579" s="242" t="s">
        <v>1837</v>
      </c>
      <c r="D579" s="121" t="str">
        <f>INDEX(Regional.Technologies[Description],MATCH($B$2&amp;"."&amp;G.30.levels.AlternativeFuels[[#This Row],[Technology code]],Regional.Technologies[Code],0))</f>
        <v>Global Solid Hydrocarbons use in the Chemicals: Methanol technology</v>
      </c>
      <c r="E579" s="121">
        <v>3</v>
      </c>
      <c r="F579" s="242" t="s">
        <v>2174</v>
      </c>
      <c r="G579" s="242"/>
      <c r="H579" s="242"/>
      <c r="I579" s="370">
        <v>0</v>
      </c>
      <c r="J579" s="370">
        <f t="shared" si="24"/>
        <v>3.0769230769230769E-3</v>
      </c>
      <c r="K579" s="370">
        <f t="shared" si="24"/>
        <v>6.9230769230769233E-3</v>
      </c>
      <c r="L579" s="370">
        <f t="shared" si="24"/>
        <v>1.0769230769230769E-2</v>
      </c>
      <c r="M579" s="370">
        <f t="shared" si="24"/>
        <v>1.4615384615384615E-2</v>
      </c>
      <c r="N579" s="370">
        <f t="shared" si="24"/>
        <v>1.846153846153846E-2</v>
      </c>
      <c r="O579" s="370">
        <f t="shared" si="24"/>
        <v>2.2307692307692306E-2</v>
      </c>
      <c r="P579" s="370">
        <f t="shared" si="24"/>
        <v>2.6153846153846153E-2</v>
      </c>
      <c r="Q579" s="370">
        <v>0.03</v>
      </c>
      <c r="R579" s="242"/>
      <c r="T579" s="20"/>
      <c r="U579" s="20"/>
      <c r="V579" s="20"/>
      <c r="W579" s="20"/>
      <c r="X579" s="20"/>
    </row>
    <row r="580" spans="1:24" s="65" customFormat="1" ht="15" customHeight="1" outlineLevel="2">
      <c r="A580" s="219"/>
      <c r="B580" s="242"/>
      <c r="C580" s="242" t="s">
        <v>1837</v>
      </c>
      <c r="D580" s="121" t="str">
        <f>INDEX(Regional.Technologies[Description],MATCH($B$2&amp;"."&amp;G.30.levels.AlternativeFuels[[#This Row],[Technology code]],Regional.Technologies[Code],0))</f>
        <v>Global Solid Hydrocarbons use in the Chemicals: Methanol technology</v>
      </c>
      <c r="E580" s="121">
        <v>4</v>
      </c>
      <c r="F580" s="242" t="s">
        <v>2174</v>
      </c>
      <c r="G580" s="242"/>
      <c r="H580" s="242"/>
      <c r="I580" s="370">
        <v>0</v>
      </c>
      <c r="J580" s="370">
        <f t="shared" si="24"/>
        <v>5.1282051282051282E-3</v>
      </c>
      <c r="K580" s="370">
        <f t="shared" si="24"/>
        <v>1.1538461538461539E-2</v>
      </c>
      <c r="L580" s="370">
        <f t="shared" si="24"/>
        <v>1.7948717948717947E-2</v>
      </c>
      <c r="M580" s="370">
        <f t="shared" si="24"/>
        <v>2.4358974358974359E-2</v>
      </c>
      <c r="N580" s="370">
        <f t="shared" si="24"/>
        <v>3.0769230769230771E-2</v>
      </c>
      <c r="O580" s="370">
        <f t="shared" si="24"/>
        <v>3.7179487179487179E-2</v>
      </c>
      <c r="P580" s="370">
        <f t="shared" si="24"/>
        <v>4.3589743589743588E-2</v>
      </c>
      <c r="Q580" s="370">
        <v>0.05</v>
      </c>
      <c r="R580" s="242"/>
      <c r="T580" s="20"/>
      <c r="U580" s="20"/>
      <c r="V580" s="20"/>
      <c r="W580" s="20"/>
      <c r="X580" s="20"/>
    </row>
    <row r="581" spans="1:24" s="65" customFormat="1" ht="15" customHeight="1" outlineLevel="2">
      <c r="A581" s="219"/>
      <c r="B581" s="242"/>
      <c r="C581" s="242" t="s">
        <v>1834</v>
      </c>
      <c r="D581" s="121" t="str">
        <f>INDEX(Regional.Technologies[Description],MATCH($B$2&amp;"."&amp;G.30.levels.AlternativeFuels[[#This Row],[Technology code]],Regional.Technologies[Code],0))</f>
        <v>Global Coal use in the Chemicals: Methanol technology</v>
      </c>
      <c r="E581" s="121">
        <v>1</v>
      </c>
      <c r="F581" s="121" t="s">
        <v>2169</v>
      </c>
      <c r="G581" s="242"/>
      <c r="H581" s="242"/>
      <c r="I581" s="370" t="s">
        <v>2170</v>
      </c>
      <c r="J581" s="370" t="s">
        <v>2170</v>
      </c>
      <c r="K581" s="370" t="s">
        <v>2170</v>
      </c>
      <c r="L581" s="370" t="s">
        <v>2170</v>
      </c>
      <c r="M581" s="370" t="s">
        <v>2170</v>
      </c>
      <c r="N581" s="370" t="s">
        <v>2170</v>
      </c>
      <c r="O581" s="370" t="s">
        <v>2170</v>
      </c>
      <c r="P581" s="370" t="s">
        <v>2170</v>
      </c>
      <c r="Q581" s="370" t="s">
        <v>2170</v>
      </c>
      <c r="R581" s="242"/>
      <c r="T581" s="20"/>
      <c r="U581" s="20"/>
      <c r="V581" s="20"/>
      <c r="W581" s="20"/>
      <c r="X581" s="20"/>
    </row>
    <row r="582" spans="1:24" s="65" customFormat="1" ht="15" customHeight="1" outlineLevel="2">
      <c r="A582" s="219"/>
      <c r="B582" s="242"/>
      <c r="C582" s="242" t="s">
        <v>1834</v>
      </c>
      <c r="D582" s="121" t="str">
        <f>INDEX(Regional.Technologies[Description],MATCH($B$2&amp;"."&amp;G.30.levels.AlternativeFuels[[#This Row],[Technology code]],Regional.Technologies[Code],0))</f>
        <v>Global Coal use in the Chemicals: Methanol technology</v>
      </c>
      <c r="E582" s="121">
        <v>2</v>
      </c>
      <c r="F582" s="121" t="s">
        <v>2169</v>
      </c>
      <c r="G582" s="242"/>
      <c r="H582" s="242"/>
      <c r="I582" s="370" t="s">
        <v>2170</v>
      </c>
      <c r="J582" s="370" t="s">
        <v>2170</v>
      </c>
      <c r="K582" s="370" t="s">
        <v>2170</v>
      </c>
      <c r="L582" s="370" t="s">
        <v>2170</v>
      </c>
      <c r="M582" s="370" t="s">
        <v>2170</v>
      </c>
      <c r="N582" s="370" t="s">
        <v>2170</v>
      </c>
      <c r="O582" s="370" t="s">
        <v>2170</v>
      </c>
      <c r="P582" s="370" t="s">
        <v>2170</v>
      </c>
      <c r="Q582" s="370" t="s">
        <v>2170</v>
      </c>
      <c r="R582" s="242"/>
      <c r="T582" s="20"/>
      <c r="U582" s="20"/>
      <c r="V582" s="20"/>
      <c r="W582" s="20"/>
      <c r="X582" s="20"/>
    </row>
    <row r="583" spans="1:24" s="65" customFormat="1" ht="15" customHeight="1" outlineLevel="2">
      <c r="A583" s="219"/>
      <c r="B583" s="242"/>
      <c r="C583" s="242" t="s">
        <v>1834</v>
      </c>
      <c r="D583" s="121" t="str">
        <f>INDEX(Regional.Technologies[Description],MATCH($B$2&amp;"."&amp;G.30.levels.AlternativeFuels[[#This Row],[Technology code]],Regional.Technologies[Code],0))</f>
        <v>Global Coal use in the Chemicals: Methanol technology</v>
      </c>
      <c r="E583" s="121">
        <v>3</v>
      </c>
      <c r="F583" s="121" t="s">
        <v>2169</v>
      </c>
      <c r="G583" s="242"/>
      <c r="H583" s="242"/>
      <c r="I583" s="370" t="s">
        <v>2170</v>
      </c>
      <c r="J583" s="370" t="s">
        <v>2170</v>
      </c>
      <c r="K583" s="370" t="s">
        <v>2170</v>
      </c>
      <c r="L583" s="370" t="s">
        <v>2170</v>
      </c>
      <c r="M583" s="370" t="s">
        <v>2170</v>
      </c>
      <c r="N583" s="370" t="s">
        <v>2170</v>
      </c>
      <c r="O583" s="370" t="s">
        <v>2170</v>
      </c>
      <c r="P583" s="370" t="s">
        <v>2170</v>
      </c>
      <c r="Q583" s="370" t="s">
        <v>2170</v>
      </c>
      <c r="R583" s="242"/>
      <c r="T583" s="20"/>
      <c r="U583" s="20"/>
      <c r="V583" s="20"/>
      <c r="W583" s="20"/>
      <c r="X583" s="20"/>
    </row>
    <row r="584" spans="1:24" s="65" customFormat="1" ht="15" customHeight="1" outlineLevel="2">
      <c r="A584" s="219"/>
      <c r="B584" s="242"/>
      <c r="C584" s="242" t="s">
        <v>1834</v>
      </c>
      <c r="D584" s="121" t="str">
        <f>INDEX(Regional.Technologies[Description],MATCH($B$2&amp;"."&amp;G.30.levels.AlternativeFuels[[#This Row],[Technology code]],Regional.Technologies[Code],0))</f>
        <v>Global Coal use in the Chemicals: Methanol technology</v>
      </c>
      <c r="E584" s="121">
        <v>4</v>
      </c>
      <c r="F584" s="121" t="s">
        <v>2169</v>
      </c>
      <c r="G584" s="242"/>
      <c r="H584" s="242"/>
      <c r="I584" s="370" t="s">
        <v>2170</v>
      </c>
      <c r="J584" s="370" t="s">
        <v>2170</v>
      </c>
      <c r="K584" s="370" t="s">
        <v>2170</v>
      </c>
      <c r="L584" s="370" t="s">
        <v>2170</v>
      </c>
      <c r="M584" s="370" t="s">
        <v>2170</v>
      </c>
      <c r="N584" s="370" t="s">
        <v>2170</v>
      </c>
      <c r="O584" s="370" t="s">
        <v>2170</v>
      </c>
      <c r="P584" s="370" t="s">
        <v>2170</v>
      </c>
      <c r="Q584" s="370" t="s">
        <v>2170</v>
      </c>
      <c r="R584" s="242"/>
      <c r="T584" s="20"/>
      <c r="U584" s="20"/>
      <c r="V584" s="20"/>
      <c r="W584" s="20"/>
      <c r="X584" s="20"/>
    </row>
    <row r="585" spans="1:24" s="65" customFormat="1" ht="15" customHeight="1" outlineLevel="2">
      <c r="A585" s="219"/>
      <c r="B585" s="242"/>
      <c r="C585" s="242" t="s">
        <v>1843</v>
      </c>
      <c r="D585" s="121" t="str">
        <f>INDEX(Regional.Technologies[Description],MATCH($B$2&amp;"."&amp;G.30.levels.AlternativeFuels[[#This Row],[Technology code]],Regional.Technologies[Code],0))</f>
        <v>Global Solid Hydrocarbons use in the Chemicals: Others technology</v>
      </c>
      <c r="E585" s="121">
        <v>1</v>
      </c>
      <c r="F585" s="242" t="s">
        <v>2175</v>
      </c>
      <c r="G585" s="242"/>
      <c r="H585" s="242"/>
      <c r="I585" s="370">
        <v>0</v>
      </c>
      <c r="J585" s="370">
        <f t="shared" si="24"/>
        <v>0</v>
      </c>
      <c r="K585" s="370">
        <f t="shared" si="24"/>
        <v>0</v>
      </c>
      <c r="L585" s="370">
        <f t="shared" si="24"/>
        <v>0</v>
      </c>
      <c r="M585" s="370">
        <f t="shared" si="24"/>
        <v>0</v>
      </c>
      <c r="N585" s="370">
        <f t="shared" si="24"/>
        <v>0</v>
      </c>
      <c r="O585" s="370">
        <f t="shared" si="24"/>
        <v>0</v>
      </c>
      <c r="P585" s="370">
        <f t="shared" si="24"/>
        <v>0</v>
      </c>
      <c r="Q585" s="370">
        <v>0</v>
      </c>
      <c r="R585" s="242"/>
      <c r="T585" s="20"/>
      <c r="U585" s="20"/>
      <c r="V585" s="20"/>
      <c r="W585" s="20"/>
      <c r="X585" s="20"/>
    </row>
    <row r="586" spans="1:24" s="65" customFormat="1" ht="15" customHeight="1" outlineLevel="2">
      <c r="A586" s="219"/>
      <c r="B586" s="242"/>
      <c r="C586" s="242" t="s">
        <v>1843</v>
      </c>
      <c r="D586" s="121" t="str">
        <f>INDEX(Regional.Technologies[Description],MATCH($B$2&amp;"."&amp;G.30.levels.AlternativeFuels[[#This Row],[Technology code]],Regional.Technologies[Code],0))</f>
        <v>Global Solid Hydrocarbons use in the Chemicals: Others technology</v>
      </c>
      <c r="E586" s="121">
        <v>2</v>
      </c>
      <c r="F586" s="242" t="s">
        <v>2175</v>
      </c>
      <c r="G586" s="242"/>
      <c r="H586" s="242"/>
      <c r="I586" s="370">
        <v>0</v>
      </c>
      <c r="J586" s="370">
        <f t="shared" ref="J586:P620" si="25">(($Q586-$I586)/($Q$121-$I$121))*(J$121-$I$121)+$I586</f>
        <v>2.0512820512820513E-3</v>
      </c>
      <c r="K586" s="370">
        <f t="shared" si="25"/>
        <v>4.6153846153846149E-3</v>
      </c>
      <c r="L586" s="370">
        <f t="shared" si="25"/>
        <v>7.1794871794871795E-3</v>
      </c>
      <c r="M586" s="370">
        <f t="shared" si="25"/>
        <v>9.743589743589744E-3</v>
      </c>
      <c r="N586" s="370">
        <f t="shared" si="25"/>
        <v>1.2307692307692308E-2</v>
      </c>
      <c r="O586" s="370">
        <f t="shared" si="25"/>
        <v>1.4871794871794871E-2</v>
      </c>
      <c r="P586" s="370">
        <f t="shared" si="25"/>
        <v>1.7435897435897435E-2</v>
      </c>
      <c r="Q586" s="370">
        <v>0.02</v>
      </c>
      <c r="R586" s="242"/>
      <c r="T586" s="20"/>
      <c r="U586" s="20"/>
      <c r="V586" s="20"/>
      <c r="W586" s="20"/>
      <c r="X586" s="20"/>
    </row>
    <row r="587" spans="1:24" s="65" customFormat="1" ht="15" customHeight="1" outlineLevel="2">
      <c r="A587" s="219"/>
      <c r="B587" s="242"/>
      <c r="C587" s="242" t="s">
        <v>1843</v>
      </c>
      <c r="D587" s="121" t="str">
        <f>INDEX(Regional.Technologies[Description],MATCH($B$2&amp;"."&amp;G.30.levels.AlternativeFuels[[#This Row],[Technology code]],Regional.Technologies[Code],0))</f>
        <v>Global Solid Hydrocarbons use in the Chemicals: Others technology</v>
      </c>
      <c r="E587" s="121">
        <v>3</v>
      </c>
      <c r="F587" s="242" t="s">
        <v>2175</v>
      </c>
      <c r="G587" s="242"/>
      <c r="H587" s="242"/>
      <c r="I587" s="370">
        <v>0</v>
      </c>
      <c r="J587" s="370">
        <f t="shared" si="25"/>
        <v>3.0769230769230769E-3</v>
      </c>
      <c r="K587" s="370">
        <f t="shared" si="25"/>
        <v>6.9230769230769233E-3</v>
      </c>
      <c r="L587" s="370">
        <f t="shared" si="25"/>
        <v>1.0769230769230769E-2</v>
      </c>
      <c r="M587" s="370">
        <f t="shared" si="25"/>
        <v>1.4615384615384615E-2</v>
      </c>
      <c r="N587" s="370">
        <f t="shared" si="25"/>
        <v>1.846153846153846E-2</v>
      </c>
      <c r="O587" s="370">
        <f t="shared" si="25"/>
        <v>2.2307692307692306E-2</v>
      </c>
      <c r="P587" s="370">
        <f t="shared" si="25"/>
        <v>2.6153846153846153E-2</v>
      </c>
      <c r="Q587" s="370">
        <v>0.03</v>
      </c>
      <c r="R587" s="242"/>
      <c r="T587" s="20"/>
      <c r="U587" s="20"/>
      <c r="V587" s="20"/>
      <c r="W587" s="20"/>
      <c r="X587" s="20"/>
    </row>
    <row r="588" spans="1:24" s="65" customFormat="1" ht="15" customHeight="1" outlineLevel="2">
      <c r="A588" s="219"/>
      <c r="B588" s="242"/>
      <c r="C588" s="242" t="s">
        <v>1843</v>
      </c>
      <c r="D588" s="121" t="str">
        <f>INDEX(Regional.Technologies[Description],MATCH($B$2&amp;"."&amp;G.30.levels.AlternativeFuels[[#This Row],[Technology code]],Regional.Technologies[Code],0))</f>
        <v>Global Solid Hydrocarbons use in the Chemicals: Others technology</v>
      </c>
      <c r="E588" s="121">
        <v>4</v>
      </c>
      <c r="F588" s="242" t="s">
        <v>2175</v>
      </c>
      <c r="G588" s="242"/>
      <c r="H588" s="242"/>
      <c r="I588" s="370">
        <v>0</v>
      </c>
      <c r="J588" s="370">
        <f t="shared" si="25"/>
        <v>5.1282051282051282E-3</v>
      </c>
      <c r="K588" s="370">
        <f t="shared" si="25"/>
        <v>1.1538461538461539E-2</v>
      </c>
      <c r="L588" s="370">
        <f t="shared" si="25"/>
        <v>1.7948717948717947E-2</v>
      </c>
      <c r="M588" s="370">
        <f t="shared" si="25"/>
        <v>2.4358974358974359E-2</v>
      </c>
      <c r="N588" s="370">
        <f t="shared" si="25"/>
        <v>3.0769230769230771E-2</v>
      </c>
      <c r="O588" s="370">
        <f t="shared" si="25"/>
        <v>3.7179487179487179E-2</v>
      </c>
      <c r="P588" s="370">
        <f t="shared" si="25"/>
        <v>4.3589743589743588E-2</v>
      </c>
      <c r="Q588" s="370">
        <v>0.05</v>
      </c>
      <c r="R588" s="242"/>
      <c r="T588" s="20"/>
      <c r="U588" s="20"/>
      <c r="V588" s="20"/>
      <c r="W588" s="20"/>
      <c r="X588" s="20"/>
    </row>
    <row r="589" spans="1:24" s="65" customFormat="1" ht="15" customHeight="1" outlineLevel="2">
      <c r="A589" s="219"/>
      <c r="B589" s="242"/>
      <c r="C589" s="242" t="s">
        <v>1840</v>
      </c>
      <c r="D589" s="121" t="str">
        <f>INDEX(Regional.Technologies[Description],MATCH($B$2&amp;"."&amp;G.30.levels.AlternativeFuels[[#This Row],[Technology code]],Regional.Technologies[Code],0))</f>
        <v>Global Coal use in the Chemicals: Others technology</v>
      </c>
      <c r="E589" s="121">
        <v>1</v>
      </c>
      <c r="F589" s="121" t="s">
        <v>2169</v>
      </c>
      <c r="G589" s="242"/>
      <c r="H589" s="242"/>
      <c r="I589" s="370" t="s">
        <v>2170</v>
      </c>
      <c r="J589" s="370" t="s">
        <v>2170</v>
      </c>
      <c r="K589" s="370" t="s">
        <v>2170</v>
      </c>
      <c r="L589" s="370" t="s">
        <v>2170</v>
      </c>
      <c r="M589" s="370" t="s">
        <v>2170</v>
      </c>
      <c r="N589" s="370" t="s">
        <v>2170</v>
      </c>
      <c r="O589" s="370" t="s">
        <v>2170</v>
      </c>
      <c r="P589" s="370" t="s">
        <v>2170</v>
      </c>
      <c r="Q589" s="370" t="s">
        <v>2170</v>
      </c>
      <c r="R589" s="242"/>
      <c r="T589" s="20"/>
      <c r="U589" s="20"/>
      <c r="V589" s="20"/>
      <c r="W589" s="20"/>
      <c r="X589" s="20"/>
    </row>
    <row r="590" spans="1:24" s="65" customFormat="1" ht="15" customHeight="1" outlineLevel="2">
      <c r="A590" s="219"/>
      <c r="B590" s="242"/>
      <c r="C590" s="242" t="s">
        <v>1840</v>
      </c>
      <c r="D590" s="121" t="str">
        <f>INDEX(Regional.Technologies[Description],MATCH($B$2&amp;"."&amp;G.30.levels.AlternativeFuels[[#This Row],[Technology code]],Regional.Technologies[Code],0))</f>
        <v>Global Coal use in the Chemicals: Others technology</v>
      </c>
      <c r="E590" s="121">
        <v>2</v>
      </c>
      <c r="F590" s="121" t="s">
        <v>2169</v>
      </c>
      <c r="G590" s="242"/>
      <c r="H590" s="242"/>
      <c r="I590" s="370" t="s">
        <v>2170</v>
      </c>
      <c r="J590" s="370" t="s">
        <v>2170</v>
      </c>
      <c r="K590" s="370" t="s">
        <v>2170</v>
      </c>
      <c r="L590" s="370" t="s">
        <v>2170</v>
      </c>
      <c r="M590" s="370" t="s">
        <v>2170</v>
      </c>
      <c r="N590" s="370" t="s">
        <v>2170</v>
      </c>
      <c r="O590" s="370" t="s">
        <v>2170</v>
      </c>
      <c r="P590" s="370" t="s">
        <v>2170</v>
      </c>
      <c r="Q590" s="370" t="s">
        <v>2170</v>
      </c>
      <c r="R590" s="242"/>
      <c r="T590" s="20"/>
      <c r="U590" s="20"/>
      <c r="V590" s="20"/>
      <c r="W590" s="20"/>
      <c r="X590" s="20"/>
    </row>
    <row r="591" spans="1:24" s="65" customFormat="1" ht="15" customHeight="1" outlineLevel="2">
      <c r="A591" s="219"/>
      <c r="B591" s="242"/>
      <c r="C591" s="242" t="s">
        <v>1840</v>
      </c>
      <c r="D591" s="121" t="str">
        <f>INDEX(Regional.Technologies[Description],MATCH($B$2&amp;"."&amp;G.30.levels.AlternativeFuels[[#This Row],[Technology code]],Regional.Technologies[Code],0))</f>
        <v>Global Coal use in the Chemicals: Others technology</v>
      </c>
      <c r="E591" s="121">
        <v>3</v>
      </c>
      <c r="F591" s="121" t="s">
        <v>2169</v>
      </c>
      <c r="G591" s="242"/>
      <c r="H591" s="242"/>
      <c r="I591" s="370" t="s">
        <v>2170</v>
      </c>
      <c r="J591" s="370" t="s">
        <v>2170</v>
      </c>
      <c r="K591" s="370" t="s">
        <v>2170</v>
      </c>
      <c r="L591" s="370" t="s">
        <v>2170</v>
      </c>
      <c r="M591" s="370" t="s">
        <v>2170</v>
      </c>
      <c r="N591" s="370" t="s">
        <v>2170</v>
      </c>
      <c r="O591" s="370" t="s">
        <v>2170</v>
      </c>
      <c r="P591" s="370" t="s">
        <v>2170</v>
      </c>
      <c r="Q591" s="370" t="s">
        <v>2170</v>
      </c>
      <c r="R591" s="242"/>
      <c r="T591" s="20"/>
      <c r="U591" s="20"/>
      <c r="V591" s="20"/>
      <c r="W591" s="20"/>
      <c r="X591" s="20"/>
    </row>
    <row r="592" spans="1:24" s="65" customFormat="1" ht="15" customHeight="1" outlineLevel="2">
      <c r="A592" s="219"/>
      <c r="B592" s="242"/>
      <c r="C592" s="242" t="s">
        <v>1840</v>
      </c>
      <c r="D592" s="121" t="str">
        <f>INDEX(Regional.Technologies[Description],MATCH($B$2&amp;"."&amp;G.30.levels.AlternativeFuels[[#This Row],[Technology code]],Regional.Technologies[Code],0))</f>
        <v>Global Coal use in the Chemicals: Others technology</v>
      </c>
      <c r="E592" s="121">
        <v>4</v>
      </c>
      <c r="F592" s="121" t="s">
        <v>2169</v>
      </c>
      <c r="G592" s="242"/>
      <c r="H592" s="242"/>
      <c r="I592" s="370" t="s">
        <v>2170</v>
      </c>
      <c r="J592" s="370" t="s">
        <v>2170</v>
      </c>
      <c r="K592" s="370" t="s">
        <v>2170</v>
      </c>
      <c r="L592" s="370" t="s">
        <v>2170</v>
      </c>
      <c r="M592" s="370" t="s">
        <v>2170</v>
      </c>
      <c r="N592" s="370" t="s">
        <v>2170</v>
      </c>
      <c r="O592" s="370" t="s">
        <v>2170</v>
      </c>
      <c r="P592" s="370" t="s">
        <v>2170</v>
      </c>
      <c r="Q592" s="370" t="s">
        <v>2170</v>
      </c>
      <c r="R592" s="242"/>
      <c r="T592" s="20"/>
      <c r="U592" s="20"/>
      <c r="V592" s="20"/>
      <c r="W592" s="20"/>
      <c r="X592" s="20"/>
    </row>
    <row r="593" spans="1:24" s="65" customFormat="1" ht="15" customHeight="1" outlineLevel="2">
      <c r="A593" s="219"/>
      <c r="B593" s="242"/>
      <c r="C593" s="242" t="s">
        <v>1849</v>
      </c>
      <c r="D593" s="121" t="str">
        <f>INDEX(Regional.Technologies[Description],MATCH($B$2&amp;"."&amp;G.30.levels.AlternativeFuels[[#This Row],[Technology code]],Regional.Technologies[Code],0))</f>
        <v>Global Solid Hydrocarbons use in the Pulp &amp; paper: Pulp technology</v>
      </c>
      <c r="E593" s="121">
        <v>1</v>
      </c>
      <c r="F593" s="242" t="s">
        <v>2176</v>
      </c>
      <c r="G593" s="242"/>
      <c r="H593" s="242"/>
      <c r="I593" s="370">
        <v>0</v>
      </c>
      <c r="J593" s="370">
        <f t="shared" si="25"/>
        <v>0</v>
      </c>
      <c r="K593" s="370">
        <f t="shared" si="25"/>
        <v>0</v>
      </c>
      <c r="L593" s="370">
        <f t="shared" si="25"/>
        <v>0</v>
      </c>
      <c r="M593" s="370">
        <f t="shared" si="25"/>
        <v>0</v>
      </c>
      <c r="N593" s="370">
        <f t="shared" si="25"/>
        <v>0</v>
      </c>
      <c r="O593" s="370">
        <f t="shared" si="25"/>
        <v>0</v>
      </c>
      <c r="P593" s="370">
        <f t="shared" si="25"/>
        <v>0</v>
      </c>
      <c r="Q593" s="370">
        <v>0</v>
      </c>
      <c r="R593" s="242"/>
      <c r="T593" s="20"/>
      <c r="U593" s="20"/>
      <c r="V593" s="20"/>
      <c r="W593" s="20"/>
      <c r="X593" s="20"/>
    </row>
    <row r="594" spans="1:24" s="65" customFormat="1" ht="15" customHeight="1" outlineLevel="2">
      <c r="A594" s="219"/>
      <c r="B594" s="242"/>
      <c r="C594" s="242" t="s">
        <v>1849</v>
      </c>
      <c r="D594" s="121" t="str">
        <f>INDEX(Regional.Technologies[Description],MATCH($B$2&amp;"."&amp;G.30.levels.AlternativeFuels[[#This Row],[Technology code]],Regional.Technologies[Code],0))</f>
        <v>Global Solid Hydrocarbons use in the Pulp &amp; paper: Pulp technology</v>
      </c>
      <c r="E594" s="121">
        <v>2</v>
      </c>
      <c r="F594" s="242" t="s">
        <v>2176</v>
      </c>
      <c r="G594" s="242"/>
      <c r="H594" s="242"/>
      <c r="I594" s="370">
        <v>0</v>
      </c>
      <c r="J594" s="370">
        <f t="shared" si="25"/>
        <v>2.0512820512820513E-3</v>
      </c>
      <c r="K594" s="370">
        <f t="shared" si="25"/>
        <v>4.6153846153846149E-3</v>
      </c>
      <c r="L594" s="370">
        <f t="shared" si="25"/>
        <v>7.1794871794871795E-3</v>
      </c>
      <c r="M594" s="370">
        <f t="shared" si="25"/>
        <v>9.743589743589744E-3</v>
      </c>
      <c r="N594" s="370">
        <f t="shared" si="25"/>
        <v>1.2307692307692308E-2</v>
      </c>
      <c r="O594" s="370">
        <f t="shared" si="25"/>
        <v>1.4871794871794871E-2</v>
      </c>
      <c r="P594" s="370">
        <f t="shared" si="25"/>
        <v>1.7435897435897435E-2</v>
      </c>
      <c r="Q594" s="370">
        <v>0.02</v>
      </c>
      <c r="R594" s="242"/>
      <c r="T594" s="20"/>
      <c r="U594" s="20"/>
      <c r="V594" s="20"/>
      <c r="W594" s="20"/>
      <c r="X594" s="20"/>
    </row>
    <row r="595" spans="1:24" s="65" customFormat="1" ht="15" customHeight="1" outlineLevel="2">
      <c r="A595" s="219"/>
      <c r="B595" s="242"/>
      <c r="C595" s="242" t="s">
        <v>1849</v>
      </c>
      <c r="D595" s="121" t="str">
        <f>INDEX(Regional.Technologies[Description],MATCH($B$2&amp;"."&amp;G.30.levels.AlternativeFuels[[#This Row],[Technology code]],Regional.Technologies[Code],0))</f>
        <v>Global Solid Hydrocarbons use in the Pulp &amp; paper: Pulp technology</v>
      </c>
      <c r="E595" s="121">
        <v>3</v>
      </c>
      <c r="F595" s="242" t="s">
        <v>2176</v>
      </c>
      <c r="G595" s="242"/>
      <c r="H595" s="242"/>
      <c r="I595" s="370">
        <v>0</v>
      </c>
      <c r="J595" s="370">
        <f t="shared" si="25"/>
        <v>3.0769230769230769E-3</v>
      </c>
      <c r="K595" s="370">
        <f t="shared" si="25"/>
        <v>6.9230769230769233E-3</v>
      </c>
      <c r="L595" s="370">
        <f t="shared" si="25"/>
        <v>1.0769230769230769E-2</v>
      </c>
      <c r="M595" s="370">
        <f t="shared" si="25"/>
        <v>1.4615384615384615E-2</v>
      </c>
      <c r="N595" s="370">
        <f t="shared" si="25"/>
        <v>1.846153846153846E-2</v>
      </c>
      <c r="O595" s="370">
        <f t="shared" si="25"/>
        <v>2.2307692307692306E-2</v>
      </c>
      <c r="P595" s="370">
        <f t="shared" si="25"/>
        <v>2.6153846153846153E-2</v>
      </c>
      <c r="Q595" s="370">
        <v>0.03</v>
      </c>
      <c r="R595" s="242"/>
      <c r="T595" s="20"/>
      <c r="U595" s="20"/>
      <c r="V595" s="20"/>
      <c r="W595" s="20"/>
      <c r="X595" s="20"/>
    </row>
    <row r="596" spans="1:24" s="65" customFormat="1" ht="15" customHeight="1" outlineLevel="2">
      <c r="A596" s="219"/>
      <c r="B596" s="242"/>
      <c r="C596" s="242" t="s">
        <v>1849</v>
      </c>
      <c r="D596" s="121" t="str">
        <f>INDEX(Regional.Technologies[Description],MATCH($B$2&amp;"."&amp;G.30.levels.AlternativeFuels[[#This Row],[Technology code]],Regional.Technologies[Code],0))</f>
        <v>Global Solid Hydrocarbons use in the Pulp &amp; paper: Pulp technology</v>
      </c>
      <c r="E596" s="121">
        <v>4</v>
      </c>
      <c r="F596" s="242" t="s">
        <v>2176</v>
      </c>
      <c r="G596" s="242"/>
      <c r="H596" s="242"/>
      <c r="I596" s="370">
        <v>0</v>
      </c>
      <c r="J596" s="370">
        <f t="shared" si="25"/>
        <v>5.1282051282051282E-3</v>
      </c>
      <c r="K596" s="370">
        <f t="shared" si="25"/>
        <v>1.1538461538461539E-2</v>
      </c>
      <c r="L596" s="370">
        <f t="shared" si="25"/>
        <v>1.7948717948717947E-2</v>
      </c>
      <c r="M596" s="370">
        <f t="shared" si="25"/>
        <v>2.4358974358974359E-2</v>
      </c>
      <c r="N596" s="370">
        <f t="shared" si="25"/>
        <v>3.0769230769230771E-2</v>
      </c>
      <c r="O596" s="370">
        <f t="shared" si="25"/>
        <v>3.7179487179487179E-2</v>
      </c>
      <c r="P596" s="370">
        <f t="shared" si="25"/>
        <v>4.3589743589743588E-2</v>
      </c>
      <c r="Q596" s="370">
        <v>0.05</v>
      </c>
      <c r="R596" s="242"/>
      <c r="T596" s="20"/>
      <c r="U596" s="20"/>
      <c r="V596" s="20"/>
      <c r="W596" s="20"/>
      <c r="X596" s="20"/>
    </row>
    <row r="597" spans="1:24" s="65" customFormat="1" ht="15" customHeight="1" outlineLevel="2">
      <c r="A597" s="219"/>
      <c r="B597" s="242"/>
      <c r="C597" s="242" t="s">
        <v>1846</v>
      </c>
      <c r="D597" s="121" t="str">
        <f>INDEX(Regional.Technologies[Description],MATCH($B$2&amp;"."&amp;G.30.levels.AlternativeFuels[[#This Row],[Technology code]],Regional.Technologies[Code],0))</f>
        <v>Global Coal use in the Pulp &amp; paper: Pulp technology</v>
      </c>
      <c r="E597" s="121">
        <v>1</v>
      </c>
      <c r="F597" s="121" t="s">
        <v>2169</v>
      </c>
      <c r="G597" s="242"/>
      <c r="H597" s="242"/>
      <c r="I597" s="370" t="s">
        <v>2170</v>
      </c>
      <c r="J597" s="370" t="s">
        <v>2170</v>
      </c>
      <c r="K597" s="370" t="s">
        <v>2170</v>
      </c>
      <c r="L597" s="370" t="s">
        <v>2170</v>
      </c>
      <c r="M597" s="370" t="s">
        <v>2170</v>
      </c>
      <c r="N597" s="370" t="s">
        <v>2170</v>
      </c>
      <c r="O597" s="370" t="s">
        <v>2170</v>
      </c>
      <c r="P597" s="370" t="s">
        <v>2170</v>
      </c>
      <c r="Q597" s="370" t="s">
        <v>2170</v>
      </c>
      <c r="R597" s="242"/>
      <c r="T597" s="20"/>
      <c r="U597" s="20"/>
      <c r="V597" s="20"/>
      <c r="W597" s="20"/>
      <c r="X597" s="20"/>
    </row>
    <row r="598" spans="1:24" s="65" customFormat="1" ht="15" customHeight="1" outlineLevel="2">
      <c r="A598" s="219"/>
      <c r="B598" s="242"/>
      <c r="C598" s="242" t="s">
        <v>1846</v>
      </c>
      <c r="D598" s="121" t="str">
        <f>INDEX(Regional.Technologies[Description],MATCH($B$2&amp;"."&amp;G.30.levels.AlternativeFuels[[#This Row],[Technology code]],Regional.Technologies[Code],0))</f>
        <v>Global Coal use in the Pulp &amp; paper: Pulp technology</v>
      </c>
      <c r="E598" s="121">
        <v>2</v>
      </c>
      <c r="F598" s="121" t="s">
        <v>2169</v>
      </c>
      <c r="G598" s="242"/>
      <c r="H598" s="242"/>
      <c r="I598" s="370" t="s">
        <v>2170</v>
      </c>
      <c r="J598" s="370" t="s">
        <v>2170</v>
      </c>
      <c r="K598" s="370" t="s">
        <v>2170</v>
      </c>
      <c r="L598" s="370" t="s">
        <v>2170</v>
      </c>
      <c r="M598" s="370" t="s">
        <v>2170</v>
      </c>
      <c r="N598" s="370" t="s">
        <v>2170</v>
      </c>
      <c r="O598" s="370" t="s">
        <v>2170</v>
      </c>
      <c r="P598" s="370" t="s">
        <v>2170</v>
      </c>
      <c r="Q598" s="370" t="s">
        <v>2170</v>
      </c>
      <c r="R598" s="242"/>
      <c r="T598" s="20"/>
      <c r="U598" s="20"/>
      <c r="V598" s="20"/>
      <c r="W598" s="20"/>
      <c r="X598" s="20"/>
    </row>
    <row r="599" spans="1:24" s="65" customFormat="1" ht="15" customHeight="1" outlineLevel="2">
      <c r="A599" s="219"/>
      <c r="B599" s="242"/>
      <c r="C599" s="242" t="s">
        <v>1846</v>
      </c>
      <c r="D599" s="121" t="str">
        <f>INDEX(Regional.Technologies[Description],MATCH($B$2&amp;"."&amp;G.30.levels.AlternativeFuels[[#This Row],[Technology code]],Regional.Technologies[Code],0))</f>
        <v>Global Coal use in the Pulp &amp; paper: Pulp technology</v>
      </c>
      <c r="E599" s="121">
        <v>3</v>
      </c>
      <c r="F599" s="121" t="s">
        <v>2169</v>
      </c>
      <c r="G599" s="242"/>
      <c r="H599" s="242"/>
      <c r="I599" s="370" t="s">
        <v>2170</v>
      </c>
      <c r="J599" s="370" t="s">
        <v>2170</v>
      </c>
      <c r="K599" s="370" t="s">
        <v>2170</v>
      </c>
      <c r="L599" s="370" t="s">
        <v>2170</v>
      </c>
      <c r="M599" s="370" t="s">
        <v>2170</v>
      </c>
      <c r="N599" s="370" t="s">
        <v>2170</v>
      </c>
      <c r="O599" s="370" t="s">
        <v>2170</v>
      </c>
      <c r="P599" s="370" t="s">
        <v>2170</v>
      </c>
      <c r="Q599" s="370" t="s">
        <v>2170</v>
      </c>
      <c r="R599" s="242"/>
      <c r="T599" s="20"/>
      <c r="U599" s="20"/>
      <c r="V599" s="20"/>
      <c r="W599" s="20"/>
      <c r="X599" s="20"/>
    </row>
    <row r="600" spans="1:24" s="65" customFormat="1" ht="15" customHeight="1" outlineLevel="2">
      <c r="A600" s="219"/>
      <c r="B600" s="242"/>
      <c r="C600" s="242" t="s">
        <v>1846</v>
      </c>
      <c r="D600" s="121" t="str">
        <f>INDEX(Regional.Technologies[Description],MATCH($B$2&amp;"."&amp;G.30.levels.AlternativeFuels[[#This Row],[Technology code]],Regional.Technologies[Code],0))</f>
        <v>Global Coal use in the Pulp &amp; paper: Pulp technology</v>
      </c>
      <c r="E600" s="121">
        <v>4</v>
      </c>
      <c r="F600" s="121" t="s">
        <v>2169</v>
      </c>
      <c r="G600" s="242"/>
      <c r="H600" s="242"/>
      <c r="I600" s="370" t="s">
        <v>2170</v>
      </c>
      <c r="J600" s="370" t="s">
        <v>2170</v>
      </c>
      <c r="K600" s="370" t="s">
        <v>2170</v>
      </c>
      <c r="L600" s="370" t="s">
        <v>2170</v>
      </c>
      <c r="M600" s="370" t="s">
        <v>2170</v>
      </c>
      <c r="N600" s="370" t="s">
        <v>2170</v>
      </c>
      <c r="O600" s="370" t="s">
        <v>2170</v>
      </c>
      <c r="P600" s="370" t="s">
        <v>2170</v>
      </c>
      <c r="Q600" s="370" t="s">
        <v>2170</v>
      </c>
      <c r="R600" s="242"/>
      <c r="T600" s="20"/>
      <c r="U600" s="20"/>
      <c r="V600" s="20"/>
      <c r="W600" s="20"/>
      <c r="X600" s="20"/>
    </row>
    <row r="601" spans="1:24" s="65" customFormat="1" ht="15" customHeight="1" outlineLevel="2">
      <c r="A601" s="219"/>
      <c r="B601" s="242"/>
      <c r="C601" s="242" t="s">
        <v>1854</v>
      </c>
      <c r="D601" s="121" t="str">
        <f>INDEX(Regional.Technologies[Description],MATCH($B$2&amp;"."&amp;G.30.levels.AlternativeFuels[[#This Row],[Technology code]],Regional.Technologies[Code],0))</f>
        <v>Global Solid Hydrocarbons use in the Pulp &amp; paper: Virgin technology</v>
      </c>
      <c r="E601" s="121">
        <v>1</v>
      </c>
      <c r="F601" s="242" t="s">
        <v>2177</v>
      </c>
      <c r="G601" s="242"/>
      <c r="H601" s="242"/>
      <c r="I601" s="370">
        <v>0</v>
      </c>
      <c r="J601" s="370">
        <f t="shared" si="25"/>
        <v>0</v>
      </c>
      <c r="K601" s="370">
        <f t="shared" si="25"/>
        <v>0</v>
      </c>
      <c r="L601" s="370">
        <f t="shared" si="25"/>
        <v>0</v>
      </c>
      <c r="M601" s="370">
        <f t="shared" si="25"/>
        <v>0</v>
      </c>
      <c r="N601" s="370">
        <f t="shared" si="25"/>
        <v>0</v>
      </c>
      <c r="O601" s="370">
        <f t="shared" si="25"/>
        <v>0</v>
      </c>
      <c r="P601" s="370">
        <f t="shared" si="25"/>
        <v>0</v>
      </c>
      <c r="Q601" s="370">
        <v>0</v>
      </c>
      <c r="R601" s="242"/>
      <c r="T601" s="20"/>
      <c r="U601" s="20"/>
      <c r="V601" s="20"/>
      <c r="W601" s="20"/>
      <c r="X601" s="20"/>
    </row>
    <row r="602" spans="1:24" s="65" customFormat="1" ht="15" customHeight="1" outlineLevel="2">
      <c r="A602" s="219"/>
      <c r="B602" s="242"/>
      <c r="C602" s="242" t="s">
        <v>1854</v>
      </c>
      <c r="D602" s="121" t="str">
        <f>INDEX(Regional.Technologies[Description],MATCH($B$2&amp;"."&amp;G.30.levels.AlternativeFuels[[#This Row],[Technology code]],Regional.Technologies[Code],0))</f>
        <v>Global Solid Hydrocarbons use in the Pulp &amp; paper: Virgin technology</v>
      </c>
      <c r="E602" s="121">
        <v>2</v>
      </c>
      <c r="F602" s="242" t="s">
        <v>2177</v>
      </c>
      <c r="G602" s="242"/>
      <c r="H602" s="242"/>
      <c r="I602" s="370">
        <v>0</v>
      </c>
      <c r="J602" s="370">
        <f t="shared" si="25"/>
        <v>2.0512820512820513E-3</v>
      </c>
      <c r="K602" s="370">
        <f t="shared" si="25"/>
        <v>4.6153846153846149E-3</v>
      </c>
      <c r="L602" s="370">
        <f t="shared" si="25"/>
        <v>7.1794871794871795E-3</v>
      </c>
      <c r="M602" s="370">
        <f t="shared" si="25"/>
        <v>9.743589743589744E-3</v>
      </c>
      <c r="N602" s="370">
        <f t="shared" si="25"/>
        <v>1.2307692307692308E-2</v>
      </c>
      <c r="O602" s="370">
        <f t="shared" si="25"/>
        <v>1.4871794871794871E-2</v>
      </c>
      <c r="P602" s="370">
        <f t="shared" si="25"/>
        <v>1.7435897435897435E-2</v>
      </c>
      <c r="Q602" s="370">
        <v>0.02</v>
      </c>
      <c r="R602" s="242"/>
      <c r="T602" s="20"/>
      <c r="U602" s="20"/>
      <c r="V602" s="20"/>
      <c r="W602" s="20"/>
      <c r="X602" s="20"/>
    </row>
    <row r="603" spans="1:24" s="65" customFormat="1" ht="15" customHeight="1" outlineLevel="2">
      <c r="A603" s="219"/>
      <c r="B603" s="242"/>
      <c r="C603" s="242" t="s">
        <v>1854</v>
      </c>
      <c r="D603" s="121" t="str">
        <f>INDEX(Regional.Technologies[Description],MATCH($B$2&amp;"."&amp;G.30.levels.AlternativeFuels[[#This Row],[Technology code]],Regional.Technologies[Code],0))</f>
        <v>Global Solid Hydrocarbons use in the Pulp &amp; paper: Virgin technology</v>
      </c>
      <c r="E603" s="121">
        <v>3</v>
      </c>
      <c r="F603" s="242" t="s">
        <v>2177</v>
      </c>
      <c r="G603" s="242"/>
      <c r="H603" s="242"/>
      <c r="I603" s="370">
        <v>0</v>
      </c>
      <c r="J603" s="370">
        <f t="shared" si="25"/>
        <v>3.0769230769230769E-3</v>
      </c>
      <c r="K603" s="370">
        <f t="shared" si="25"/>
        <v>6.9230769230769233E-3</v>
      </c>
      <c r="L603" s="370">
        <f t="shared" si="25"/>
        <v>1.0769230769230769E-2</v>
      </c>
      <c r="M603" s="370">
        <f t="shared" si="25"/>
        <v>1.4615384615384615E-2</v>
      </c>
      <c r="N603" s="370">
        <f t="shared" si="25"/>
        <v>1.846153846153846E-2</v>
      </c>
      <c r="O603" s="370">
        <f t="shared" si="25"/>
        <v>2.2307692307692306E-2</v>
      </c>
      <c r="P603" s="370">
        <f t="shared" si="25"/>
        <v>2.6153846153846153E-2</v>
      </c>
      <c r="Q603" s="370">
        <v>0.03</v>
      </c>
      <c r="R603" s="242"/>
      <c r="T603" s="20"/>
      <c r="U603" s="20"/>
      <c r="V603" s="20"/>
      <c r="W603" s="20"/>
      <c r="X603" s="20"/>
    </row>
    <row r="604" spans="1:24" s="65" customFormat="1" ht="15" customHeight="1" outlineLevel="2">
      <c r="A604" s="219"/>
      <c r="B604" s="242"/>
      <c r="C604" s="242" t="s">
        <v>1854</v>
      </c>
      <c r="D604" s="121" t="str">
        <f>INDEX(Regional.Technologies[Description],MATCH($B$2&amp;"."&amp;G.30.levels.AlternativeFuels[[#This Row],[Technology code]],Regional.Technologies[Code],0))</f>
        <v>Global Solid Hydrocarbons use in the Pulp &amp; paper: Virgin technology</v>
      </c>
      <c r="E604" s="121">
        <v>4</v>
      </c>
      <c r="F604" s="242" t="s">
        <v>2177</v>
      </c>
      <c r="G604" s="242"/>
      <c r="H604" s="242"/>
      <c r="I604" s="370">
        <v>0</v>
      </c>
      <c r="J604" s="370">
        <f t="shared" si="25"/>
        <v>5.1282051282051282E-3</v>
      </c>
      <c r="K604" s="370">
        <f t="shared" si="25"/>
        <v>1.1538461538461539E-2</v>
      </c>
      <c r="L604" s="370">
        <f t="shared" si="25"/>
        <v>1.7948717948717947E-2</v>
      </c>
      <c r="M604" s="370">
        <f t="shared" si="25"/>
        <v>2.4358974358974359E-2</v>
      </c>
      <c r="N604" s="370">
        <f t="shared" si="25"/>
        <v>3.0769230769230771E-2</v>
      </c>
      <c r="O604" s="370">
        <f t="shared" si="25"/>
        <v>3.7179487179487179E-2</v>
      </c>
      <c r="P604" s="370">
        <f t="shared" si="25"/>
        <v>4.3589743589743588E-2</v>
      </c>
      <c r="Q604" s="370">
        <v>0.05</v>
      </c>
      <c r="R604" s="242"/>
      <c r="T604" s="20"/>
      <c r="U604" s="20"/>
      <c r="V604" s="20"/>
      <c r="W604" s="20"/>
      <c r="X604" s="20"/>
    </row>
    <row r="605" spans="1:24" s="65" customFormat="1" ht="15" customHeight="1" outlineLevel="2">
      <c r="A605" s="219"/>
      <c r="B605" s="242"/>
      <c r="C605" s="242" t="s">
        <v>1851</v>
      </c>
      <c r="D605" s="121" t="str">
        <f>INDEX(Regional.Technologies[Description],MATCH($B$2&amp;"."&amp;G.30.levels.AlternativeFuels[[#This Row],[Technology code]],Regional.Technologies[Code],0))</f>
        <v>Global Coal use in the Pulp &amp; paper: Virgin technology</v>
      </c>
      <c r="E605" s="121">
        <v>1</v>
      </c>
      <c r="F605" s="121" t="s">
        <v>2169</v>
      </c>
      <c r="G605" s="242"/>
      <c r="H605" s="242"/>
      <c r="I605" s="370" t="s">
        <v>2170</v>
      </c>
      <c r="J605" s="370" t="s">
        <v>2170</v>
      </c>
      <c r="K605" s="370" t="s">
        <v>2170</v>
      </c>
      <c r="L605" s="370" t="s">
        <v>2170</v>
      </c>
      <c r="M605" s="370" t="s">
        <v>2170</v>
      </c>
      <c r="N605" s="370" t="s">
        <v>2170</v>
      </c>
      <c r="O605" s="370" t="s">
        <v>2170</v>
      </c>
      <c r="P605" s="370" t="s">
        <v>2170</v>
      </c>
      <c r="Q605" s="370" t="s">
        <v>2170</v>
      </c>
      <c r="R605" s="242"/>
      <c r="T605" s="20"/>
      <c r="U605" s="20"/>
      <c r="V605" s="20"/>
      <c r="W605" s="20"/>
      <c r="X605" s="20"/>
    </row>
    <row r="606" spans="1:24" s="65" customFormat="1" ht="15" customHeight="1" outlineLevel="2">
      <c r="A606" s="219"/>
      <c r="B606" s="242"/>
      <c r="C606" s="242" t="s">
        <v>1851</v>
      </c>
      <c r="D606" s="121" t="str">
        <f>INDEX(Regional.Technologies[Description],MATCH($B$2&amp;"."&amp;G.30.levels.AlternativeFuels[[#This Row],[Technology code]],Regional.Technologies[Code],0))</f>
        <v>Global Coal use in the Pulp &amp; paper: Virgin technology</v>
      </c>
      <c r="E606" s="121">
        <v>2</v>
      </c>
      <c r="F606" s="121" t="s">
        <v>2169</v>
      </c>
      <c r="G606" s="242"/>
      <c r="H606" s="242"/>
      <c r="I606" s="370" t="s">
        <v>2170</v>
      </c>
      <c r="J606" s="370" t="s">
        <v>2170</v>
      </c>
      <c r="K606" s="370" t="s">
        <v>2170</v>
      </c>
      <c r="L606" s="370" t="s">
        <v>2170</v>
      </c>
      <c r="M606" s="370" t="s">
        <v>2170</v>
      </c>
      <c r="N606" s="370" t="s">
        <v>2170</v>
      </c>
      <c r="O606" s="370" t="s">
        <v>2170</v>
      </c>
      <c r="P606" s="370" t="s">
        <v>2170</v>
      </c>
      <c r="Q606" s="370" t="s">
        <v>2170</v>
      </c>
      <c r="R606" s="242"/>
      <c r="T606" s="20"/>
      <c r="U606" s="20"/>
      <c r="V606" s="20"/>
      <c r="W606" s="20"/>
      <c r="X606" s="20"/>
    </row>
    <row r="607" spans="1:24" s="65" customFormat="1" ht="15" customHeight="1" outlineLevel="2">
      <c r="A607" s="219"/>
      <c r="B607" s="242"/>
      <c r="C607" s="242" t="s">
        <v>1851</v>
      </c>
      <c r="D607" s="121" t="str">
        <f>INDEX(Regional.Technologies[Description],MATCH($B$2&amp;"."&amp;G.30.levels.AlternativeFuels[[#This Row],[Technology code]],Regional.Technologies[Code],0))</f>
        <v>Global Coal use in the Pulp &amp; paper: Virgin technology</v>
      </c>
      <c r="E607" s="121">
        <v>3</v>
      </c>
      <c r="F607" s="121" t="s">
        <v>2169</v>
      </c>
      <c r="G607" s="242"/>
      <c r="H607" s="242"/>
      <c r="I607" s="370" t="s">
        <v>2170</v>
      </c>
      <c r="J607" s="370" t="s">
        <v>2170</v>
      </c>
      <c r="K607" s="370" t="s">
        <v>2170</v>
      </c>
      <c r="L607" s="370" t="s">
        <v>2170</v>
      </c>
      <c r="M607" s="370" t="s">
        <v>2170</v>
      </c>
      <c r="N607" s="370" t="s">
        <v>2170</v>
      </c>
      <c r="O607" s="370" t="s">
        <v>2170</v>
      </c>
      <c r="P607" s="370" t="s">
        <v>2170</v>
      </c>
      <c r="Q607" s="370" t="s">
        <v>2170</v>
      </c>
      <c r="R607" s="242"/>
      <c r="T607" s="20"/>
      <c r="U607" s="20"/>
      <c r="V607" s="20"/>
      <c r="W607" s="20"/>
      <c r="X607" s="20"/>
    </row>
    <row r="608" spans="1:24" s="65" customFormat="1" ht="15" customHeight="1" outlineLevel="2">
      <c r="A608" s="219"/>
      <c r="B608" s="242"/>
      <c r="C608" s="242" t="s">
        <v>1851</v>
      </c>
      <c r="D608" s="121" t="str">
        <f>INDEX(Regional.Technologies[Description],MATCH($B$2&amp;"."&amp;G.30.levels.AlternativeFuels[[#This Row],[Technology code]],Regional.Technologies[Code],0))</f>
        <v>Global Coal use in the Pulp &amp; paper: Virgin technology</v>
      </c>
      <c r="E608" s="121">
        <v>4</v>
      </c>
      <c r="F608" s="121" t="s">
        <v>2169</v>
      </c>
      <c r="G608" s="242"/>
      <c r="H608" s="242"/>
      <c r="I608" s="370" t="s">
        <v>2170</v>
      </c>
      <c r="J608" s="370" t="s">
        <v>2170</v>
      </c>
      <c r="K608" s="370" t="s">
        <v>2170</v>
      </c>
      <c r="L608" s="370" t="s">
        <v>2170</v>
      </c>
      <c r="M608" s="370" t="s">
        <v>2170</v>
      </c>
      <c r="N608" s="370" t="s">
        <v>2170</v>
      </c>
      <c r="O608" s="370" t="s">
        <v>2170</v>
      </c>
      <c r="P608" s="370" t="s">
        <v>2170</v>
      </c>
      <c r="Q608" s="370" t="s">
        <v>2170</v>
      </c>
      <c r="R608" s="242"/>
      <c r="T608" s="20"/>
      <c r="U608" s="20"/>
      <c r="V608" s="20"/>
      <c r="W608" s="20"/>
      <c r="X608" s="20"/>
    </row>
    <row r="609" spans="1:24" s="65" customFormat="1" ht="15" customHeight="1" outlineLevel="2">
      <c r="A609" s="219"/>
      <c r="B609" s="242"/>
      <c r="C609" s="242" t="s">
        <v>1859</v>
      </c>
      <c r="D609" s="121" t="str">
        <f>INDEX(Regional.Technologies[Description],MATCH($B$2&amp;"."&amp;G.30.levels.AlternativeFuels[[#This Row],[Technology code]],Regional.Technologies[Code],0))</f>
        <v>Global Solid Hydrocarbons use in the Pulp &amp; paper: Recycled technology</v>
      </c>
      <c r="E609" s="121">
        <v>1</v>
      </c>
      <c r="F609" s="242" t="s">
        <v>2178</v>
      </c>
      <c r="G609" s="242"/>
      <c r="H609" s="242"/>
      <c r="I609" s="370">
        <v>0</v>
      </c>
      <c r="J609" s="370">
        <f t="shared" si="25"/>
        <v>0</v>
      </c>
      <c r="K609" s="370">
        <f t="shared" si="25"/>
        <v>0</v>
      </c>
      <c r="L609" s="370">
        <f t="shared" si="25"/>
        <v>0</v>
      </c>
      <c r="M609" s="370">
        <f t="shared" si="25"/>
        <v>0</v>
      </c>
      <c r="N609" s="370">
        <f t="shared" si="25"/>
        <v>0</v>
      </c>
      <c r="O609" s="370">
        <f t="shared" si="25"/>
        <v>0</v>
      </c>
      <c r="P609" s="370">
        <f t="shared" si="25"/>
        <v>0</v>
      </c>
      <c r="Q609" s="370">
        <v>0</v>
      </c>
      <c r="R609" s="242"/>
      <c r="T609" s="20"/>
      <c r="U609" s="20"/>
      <c r="V609" s="20"/>
      <c r="W609" s="20"/>
      <c r="X609" s="20"/>
    </row>
    <row r="610" spans="1:24" s="65" customFormat="1" ht="15" customHeight="1" outlineLevel="2">
      <c r="A610" s="219"/>
      <c r="B610" s="242"/>
      <c r="C610" s="242" t="s">
        <v>1859</v>
      </c>
      <c r="D610" s="121" t="str">
        <f>INDEX(Regional.Technologies[Description],MATCH($B$2&amp;"."&amp;G.30.levels.AlternativeFuels[[#This Row],[Technology code]],Regional.Technologies[Code],0))</f>
        <v>Global Solid Hydrocarbons use in the Pulp &amp; paper: Recycled technology</v>
      </c>
      <c r="E610" s="121">
        <v>2</v>
      </c>
      <c r="F610" s="242" t="s">
        <v>2178</v>
      </c>
      <c r="G610" s="242"/>
      <c r="H610" s="242"/>
      <c r="I610" s="370">
        <v>0</v>
      </c>
      <c r="J610" s="370">
        <f t="shared" si="25"/>
        <v>2.0512820512820513E-3</v>
      </c>
      <c r="K610" s="370">
        <f t="shared" si="25"/>
        <v>4.6153846153846149E-3</v>
      </c>
      <c r="L610" s="370">
        <f t="shared" si="25"/>
        <v>7.1794871794871795E-3</v>
      </c>
      <c r="M610" s="370">
        <f t="shared" si="25"/>
        <v>9.743589743589744E-3</v>
      </c>
      <c r="N610" s="370">
        <f t="shared" si="25"/>
        <v>1.2307692307692308E-2</v>
      </c>
      <c r="O610" s="370">
        <f t="shared" si="25"/>
        <v>1.4871794871794871E-2</v>
      </c>
      <c r="P610" s="370">
        <f t="shared" si="25"/>
        <v>1.7435897435897435E-2</v>
      </c>
      <c r="Q610" s="370">
        <v>0.02</v>
      </c>
      <c r="R610" s="242"/>
      <c r="T610" s="20"/>
      <c r="U610" s="20"/>
      <c r="V610" s="20"/>
      <c r="W610" s="20"/>
      <c r="X610" s="20"/>
    </row>
    <row r="611" spans="1:24" s="65" customFormat="1" ht="15" customHeight="1" outlineLevel="2">
      <c r="A611" s="219"/>
      <c r="B611" s="242"/>
      <c r="C611" s="242" t="s">
        <v>1859</v>
      </c>
      <c r="D611" s="121" t="str">
        <f>INDEX(Regional.Technologies[Description],MATCH($B$2&amp;"."&amp;G.30.levels.AlternativeFuels[[#This Row],[Technology code]],Regional.Technologies[Code],0))</f>
        <v>Global Solid Hydrocarbons use in the Pulp &amp; paper: Recycled technology</v>
      </c>
      <c r="E611" s="121">
        <v>3</v>
      </c>
      <c r="F611" s="242" t="s">
        <v>2178</v>
      </c>
      <c r="G611" s="242"/>
      <c r="H611" s="242"/>
      <c r="I611" s="370">
        <v>0</v>
      </c>
      <c r="J611" s="370">
        <f t="shared" si="25"/>
        <v>3.0769230769230769E-3</v>
      </c>
      <c r="K611" s="370">
        <f t="shared" si="25"/>
        <v>6.9230769230769233E-3</v>
      </c>
      <c r="L611" s="370">
        <f t="shared" si="25"/>
        <v>1.0769230769230769E-2</v>
      </c>
      <c r="M611" s="370">
        <f t="shared" si="25"/>
        <v>1.4615384615384615E-2</v>
      </c>
      <c r="N611" s="370">
        <f t="shared" si="25"/>
        <v>1.846153846153846E-2</v>
      </c>
      <c r="O611" s="370">
        <f t="shared" si="25"/>
        <v>2.2307692307692306E-2</v>
      </c>
      <c r="P611" s="370">
        <f t="shared" si="25"/>
        <v>2.6153846153846153E-2</v>
      </c>
      <c r="Q611" s="370">
        <v>0.03</v>
      </c>
      <c r="R611" s="242"/>
      <c r="T611" s="20"/>
      <c r="U611" s="20"/>
      <c r="V611" s="20"/>
      <c r="W611" s="20"/>
      <c r="X611" s="20"/>
    </row>
    <row r="612" spans="1:24" s="65" customFormat="1" ht="15" customHeight="1" outlineLevel="2">
      <c r="A612" s="219"/>
      <c r="B612" s="242"/>
      <c r="C612" s="242" t="s">
        <v>1859</v>
      </c>
      <c r="D612" s="121" t="str">
        <f>INDEX(Regional.Technologies[Description],MATCH($B$2&amp;"."&amp;G.30.levels.AlternativeFuels[[#This Row],[Technology code]],Regional.Technologies[Code],0))</f>
        <v>Global Solid Hydrocarbons use in the Pulp &amp; paper: Recycled technology</v>
      </c>
      <c r="E612" s="121">
        <v>4</v>
      </c>
      <c r="F612" s="242" t="s">
        <v>2178</v>
      </c>
      <c r="G612" s="242"/>
      <c r="H612" s="242"/>
      <c r="I612" s="370">
        <v>0</v>
      </c>
      <c r="J612" s="370">
        <f t="shared" si="25"/>
        <v>5.1282051282051282E-3</v>
      </c>
      <c r="K612" s="370">
        <f t="shared" si="25"/>
        <v>1.1538461538461539E-2</v>
      </c>
      <c r="L612" s="370">
        <f t="shared" si="25"/>
        <v>1.7948717948717947E-2</v>
      </c>
      <c r="M612" s="370">
        <f t="shared" si="25"/>
        <v>2.4358974358974359E-2</v>
      </c>
      <c r="N612" s="370">
        <f t="shared" si="25"/>
        <v>3.0769230769230771E-2</v>
      </c>
      <c r="O612" s="370">
        <f t="shared" si="25"/>
        <v>3.7179487179487179E-2</v>
      </c>
      <c r="P612" s="370">
        <f t="shared" si="25"/>
        <v>4.3589743589743588E-2</v>
      </c>
      <c r="Q612" s="370">
        <v>0.05</v>
      </c>
      <c r="R612" s="242"/>
      <c r="T612" s="20"/>
      <c r="U612" s="20"/>
      <c r="V612" s="20"/>
      <c r="W612" s="20"/>
      <c r="X612" s="20"/>
    </row>
    <row r="613" spans="1:24" s="65" customFormat="1" ht="15" customHeight="1" outlineLevel="2">
      <c r="A613" s="219"/>
      <c r="B613" s="242"/>
      <c r="C613" s="242" t="s">
        <v>1856</v>
      </c>
      <c r="D613" s="121" t="str">
        <f>INDEX(Regional.Technologies[Description],MATCH($B$2&amp;"."&amp;G.30.levels.AlternativeFuels[[#This Row],[Technology code]],Regional.Technologies[Code],0))</f>
        <v>Global Coal use in the Pulp &amp; paper: Recycled technology</v>
      </c>
      <c r="E613" s="121">
        <v>1</v>
      </c>
      <c r="F613" s="121" t="s">
        <v>2169</v>
      </c>
      <c r="G613" s="242"/>
      <c r="H613" s="242"/>
      <c r="I613" s="370" t="s">
        <v>2170</v>
      </c>
      <c r="J613" s="370" t="s">
        <v>2170</v>
      </c>
      <c r="K613" s="370" t="s">
        <v>2170</v>
      </c>
      <c r="L613" s="370" t="s">
        <v>2170</v>
      </c>
      <c r="M613" s="370" t="s">
        <v>2170</v>
      </c>
      <c r="N613" s="370" t="s">
        <v>2170</v>
      </c>
      <c r="O613" s="370" t="s">
        <v>2170</v>
      </c>
      <c r="P613" s="370" t="s">
        <v>2170</v>
      </c>
      <c r="Q613" s="370" t="s">
        <v>2170</v>
      </c>
      <c r="R613" s="242"/>
      <c r="T613" s="20"/>
      <c r="U613" s="20"/>
      <c r="V613" s="20"/>
      <c r="W613" s="20"/>
      <c r="X613" s="20"/>
    </row>
    <row r="614" spans="1:24" s="65" customFormat="1" ht="15" customHeight="1" outlineLevel="2">
      <c r="A614" s="219"/>
      <c r="B614" s="242"/>
      <c r="C614" s="242" t="s">
        <v>1856</v>
      </c>
      <c r="D614" s="121" t="str">
        <f>INDEX(Regional.Technologies[Description],MATCH($B$2&amp;"."&amp;G.30.levels.AlternativeFuels[[#This Row],[Technology code]],Regional.Technologies[Code],0))</f>
        <v>Global Coal use in the Pulp &amp; paper: Recycled technology</v>
      </c>
      <c r="E614" s="121">
        <v>2</v>
      </c>
      <c r="F614" s="121" t="s">
        <v>2169</v>
      </c>
      <c r="G614" s="242"/>
      <c r="H614" s="242"/>
      <c r="I614" s="370" t="s">
        <v>2170</v>
      </c>
      <c r="J614" s="370" t="s">
        <v>2170</v>
      </c>
      <c r="K614" s="370" t="s">
        <v>2170</v>
      </c>
      <c r="L614" s="370" t="s">
        <v>2170</v>
      </c>
      <c r="M614" s="370" t="s">
        <v>2170</v>
      </c>
      <c r="N614" s="370" t="s">
        <v>2170</v>
      </c>
      <c r="O614" s="370" t="s">
        <v>2170</v>
      </c>
      <c r="P614" s="370" t="s">
        <v>2170</v>
      </c>
      <c r="Q614" s="370" t="s">
        <v>2170</v>
      </c>
      <c r="R614" s="242"/>
      <c r="T614" s="20"/>
      <c r="U614" s="20"/>
      <c r="V614" s="20"/>
      <c r="W614" s="20"/>
      <c r="X614" s="20"/>
    </row>
    <row r="615" spans="1:24" s="65" customFormat="1" ht="15" customHeight="1" outlineLevel="2">
      <c r="A615" s="219"/>
      <c r="B615" s="242"/>
      <c r="C615" s="242" t="s">
        <v>1856</v>
      </c>
      <c r="D615" s="121" t="str">
        <f>INDEX(Regional.Technologies[Description],MATCH($B$2&amp;"."&amp;G.30.levels.AlternativeFuels[[#This Row],[Technology code]],Regional.Technologies[Code],0))</f>
        <v>Global Coal use in the Pulp &amp; paper: Recycled technology</v>
      </c>
      <c r="E615" s="121">
        <v>3</v>
      </c>
      <c r="F615" s="121" t="s">
        <v>2169</v>
      </c>
      <c r="G615" s="242"/>
      <c r="H615" s="242"/>
      <c r="I615" s="370" t="s">
        <v>2170</v>
      </c>
      <c r="J615" s="370" t="s">
        <v>2170</v>
      </c>
      <c r="K615" s="370" t="s">
        <v>2170</v>
      </c>
      <c r="L615" s="370" t="s">
        <v>2170</v>
      </c>
      <c r="M615" s="370" t="s">
        <v>2170</v>
      </c>
      <c r="N615" s="370" t="s">
        <v>2170</v>
      </c>
      <c r="O615" s="370" t="s">
        <v>2170</v>
      </c>
      <c r="P615" s="370" t="s">
        <v>2170</v>
      </c>
      <c r="Q615" s="370" t="s">
        <v>2170</v>
      </c>
      <c r="R615" s="242"/>
      <c r="T615" s="20"/>
      <c r="U615" s="20"/>
      <c r="V615" s="20"/>
      <c r="W615" s="20"/>
      <c r="X615" s="20"/>
    </row>
    <row r="616" spans="1:24" s="65" customFormat="1" ht="15" customHeight="1" outlineLevel="2">
      <c r="A616" s="219"/>
      <c r="B616" s="242"/>
      <c r="C616" s="242" t="s">
        <v>1856</v>
      </c>
      <c r="D616" s="121" t="str">
        <f>INDEX(Regional.Technologies[Description],MATCH($B$2&amp;"."&amp;G.30.levels.AlternativeFuels[[#This Row],[Technology code]],Regional.Technologies[Code],0))</f>
        <v>Global Coal use in the Pulp &amp; paper: Recycled technology</v>
      </c>
      <c r="E616" s="121">
        <v>4</v>
      </c>
      <c r="F616" s="121" t="s">
        <v>2169</v>
      </c>
      <c r="G616" s="242"/>
      <c r="H616" s="242"/>
      <c r="I616" s="370" t="s">
        <v>2170</v>
      </c>
      <c r="J616" s="370" t="s">
        <v>2170</v>
      </c>
      <c r="K616" s="370" t="s">
        <v>2170</v>
      </c>
      <c r="L616" s="370" t="s">
        <v>2170</v>
      </c>
      <c r="M616" s="370" t="s">
        <v>2170</v>
      </c>
      <c r="N616" s="370" t="s">
        <v>2170</v>
      </c>
      <c r="O616" s="370" t="s">
        <v>2170</v>
      </c>
      <c r="P616" s="370" t="s">
        <v>2170</v>
      </c>
      <c r="Q616" s="370" t="s">
        <v>2170</v>
      </c>
      <c r="R616" s="242"/>
      <c r="T616" s="20"/>
      <c r="U616" s="20"/>
      <c r="V616" s="20"/>
      <c r="W616" s="20"/>
      <c r="X616" s="20"/>
    </row>
    <row r="617" spans="1:24" s="65" customFormat="1" ht="15" customHeight="1" outlineLevel="2">
      <c r="A617" s="219"/>
      <c r="B617" s="242"/>
      <c r="C617" s="242" t="s">
        <v>1868</v>
      </c>
      <c r="D617" s="121" t="str">
        <f>INDEX(Regional.Technologies[Description],MATCH($B$2&amp;"."&amp;G.30.levels.AlternativeFuels[[#This Row],[Technology code]],Regional.Technologies[Code],0))</f>
        <v>Global Solid Hydrocarbons use in the Other industries technology</v>
      </c>
      <c r="E617" s="121">
        <v>1</v>
      </c>
      <c r="F617" s="242" t="s">
        <v>2179</v>
      </c>
      <c r="G617" s="242"/>
      <c r="H617" s="242"/>
      <c r="I617" s="370">
        <v>0</v>
      </c>
      <c r="J617" s="370">
        <f t="shared" si="25"/>
        <v>0</v>
      </c>
      <c r="K617" s="370">
        <f t="shared" si="25"/>
        <v>0</v>
      </c>
      <c r="L617" s="370">
        <f t="shared" si="25"/>
        <v>0</v>
      </c>
      <c r="M617" s="370">
        <f t="shared" si="25"/>
        <v>0</v>
      </c>
      <c r="N617" s="370">
        <f t="shared" si="25"/>
        <v>0</v>
      </c>
      <c r="O617" s="370">
        <f t="shared" si="25"/>
        <v>0</v>
      </c>
      <c r="P617" s="370">
        <f t="shared" si="25"/>
        <v>0</v>
      </c>
      <c r="Q617" s="370">
        <v>0</v>
      </c>
      <c r="R617" s="242"/>
      <c r="T617" s="20"/>
      <c r="U617" s="20"/>
      <c r="V617" s="20"/>
      <c r="W617" s="20"/>
      <c r="X617" s="20"/>
    </row>
    <row r="618" spans="1:24" s="65" customFormat="1" ht="15" customHeight="1" outlineLevel="2">
      <c r="A618" s="219"/>
      <c r="B618" s="242"/>
      <c r="C618" s="242" t="s">
        <v>1868</v>
      </c>
      <c r="D618" s="121" t="str">
        <f>INDEX(Regional.Technologies[Description],MATCH($B$2&amp;"."&amp;G.30.levels.AlternativeFuels[[#This Row],[Technology code]],Regional.Technologies[Code],0))</f>
        <v>Global Solid Hydrocarbons use in the Other industries technology</v>
      </c>
      <c r="E618" s="121">
        <v>2</v>
      </c>
      <c r="F618" s="242" t="s">
        <v>2179</v>
      </c>
      <c r="G618" s="242"/>
      <c r="H618" s="242"/>
      <c r="I618" s="370">
        <v>0</v>
      </c>
      <c r="J618" s="370">
        <f t="shared" si="25"/>
        <v>2.0512820512820513E-3</v>
      </c>
      <c r="K618" s="370">
        <f t="shared" si="25"/>
        <v>4.6153846153846149E-3</v>
      </c>
      <c r="L618" s="370">
        <f t="shared" si="25"/>
        <v>7.1794871794871795E-3</v>
      </c>
      <c r="M618" s="370">
        <f t="shared" si="25"/>
        <v>9.743589743589744E-3</v>
      </c>
      <c r="N618" s="370">
        <f t="shared" si="25"/>
        <v>1.2307692307692308E-2</v>
      </c>
      <c r="O618" s="370">
        <f t="shared" si="25"/>
        <v>1.4871794871794871E-2</v>
      </c>
      <c r="P618" s="370">
        <f t="shared" si="25"/>
        <v>1.7435897435897435E-2</v>
      </c>
      <c r="Q618" s="370">
        <v>0.02</v>
      </c>
      <c r="R618" s="242"/>
      <c r="T618" s="20"/>
      <c r="U618" s="20"/>
      <c r="V618" s="20"/>
      <c r="W618" s="20"/>
      <c r="X618" s="20"/>
    </row>
    <row r="619" spans="1:24" s="65" customFormat="1" ht="15" customHeight="1" outlineLevel="2">
      <c r="A619" s="219"/>
      <c r="B619" s="242"/>
      <c r="C619" s="242" t="s">
        <v>1868</v>
      </c>
      <c r="D619" s="121" t="str">
        <f>INDEX(Regional.Technologies[Description],MATCH($B$2&amp;"."&amp;G.30.levels.AlternativeFuels[[#This Row],[Technology code]],Regional.Technologies[Code],0))</f>
        <v>Global Solid Hydrocarbons use in the Other industries technology</v>
      </c>
      <c r="E619" s="121">
        <v>3</v>
      </c>
      <c r="F619" s="242" t="s">
        <v>2179</v>
      </c>
      <c r="G619" s="242"/>
      <c r="H619" s="242"/>
      <c r="I619" s="370">
        <v>0</v>
      </c>
      <c r="J619" s="370">
        <f t="shared" si="25"/>
        <v>3.0769230769230769E-3</v>
      </c>
      <c r="K619" s="370">
        <f t="shared" si="25"/>
        <v>6.9230769230769233E-3</v>
      </c>
      <c r="L619" s="370">
        <f t="shared" si="25"/>
        <v>1.0769230769230769E-2</v>
      </c>
      <c r="M619" s="370">
        <f t="shared" si="25"/>
        <v>1.4615384615384615E-2</v>
      </c>
      <c r="N619" s="370">
        <f t="shared" si="25"/>
        <v>1.846153846153846E-2</v>
      </c>
      <c r="O619" s="370">
        <f t="shared" si="25"/>
        <v>2.2307692307692306E-2</v>
      </c>
      <c r="P619" s="370">
        <f t="shared" si="25"/>
        <v>2.6153846153846153E-2</v>
      </c>
      <c r="Q619" s="370">
        <v>0.03</v>
      </c>
      <c r="R619" s="242"/>
      <c r="T619" s="20"/>
      <c r="U619" s="20"/>
      <c r="V619" s="20"/>
      <c r="W619" s="20"/>
      <c r="X619" s="20"/>
    </row>
    <row r="620" spans="1:24" s="65" customFormat="1" ht="15" customHeight="1" outlineLevel="2">
      <c r="A620" s="219"/>
      <c r="B620" s="242"/>
      <c r="C620" s="242" t="s">
        <v>1868</v>
      </c>
      <c r="D620" s="121" t="str">
        <f>INDEX(Regional.Technologies[Description],MATCH($B$2&amp;"."&amp;G.30.levels.AlternativeFuels[[#This Row],[Technology code]],Regional.Technologies[Code],0))</f>
        <v>Global Solid Hydrocarbons use in the Other industries technology</v>
      </c>
      <c r="E620" s="121">
        <v>4</v>
      </c>
      <c r="F620" s="242" t="s">
        <v>2179</v>
      </c>
      <c r="G620" s="242"/>
      <c r="H620" s="242"/>
      <c r="I620" s="370">
        <v>0</v>
      </c>
      <c r="J620" s="370">
        <f t="shared" si="25"/>
        <v>5.1282051282051282E-3</v>
      </c>
      <c r="K620" s="370">
        <f t="shared" si="25"/>
        <v>1.1538461538461539E-2</v>
      </c>
      <c r="L620" s="370">
        <f t="shared" si="25"/>
        <v>1.7948717948717947E-2</v>
      </c>
      <c r="M620" s="370">
        <f t="shared" si="25"/>
        <v>2.4358974358974359E-2</v>
      </c>
      <c r="N620" s="370">
        <f t="shared" si="25"/>
        <v>3.0769230769230771E-2</v>
      </c>
      <c r="O620" s="370">
        <f t="shared" si="25"/>
        <v>3.7179487179487179E-2</v>
      </c>
      <c r="P620" s="370">
        <f t="shared" si="25"/>
        <v>4.3589743589743588E-2</v>
      </c>
      <c r="Q620" s="370">
        <v>0.05</v>
      </c>
      <c r="R620" s="242"/>
      <c r="T620" s="20"/>
      <c r="U620" s="20"/>
      <c r="V620" s="20"/>
      <c r="W620" s="20"/>
      <c r="X620" s="20"/>
    </row>
    <row r="621" spans="1:24" s="65" customFormat="1" ht="15" customHeight="1" outlineLevel="2">
      <c r="A621" s="219"/>
      <c r="B621" s="242"/>
      <c r="C621" s="242" t="s">
        <v>1865</v>
      </c>
      <c r="D621" s="121" t="str">
        <f>INDEX(Regional.Technologies[Description],MATCH($B$2&amp;"."&amp;G.30.levels.AlternativeFuels[[#This Row],[Technology code]],Regional.Technologies[Code],0))</f>
        <v>Global Coal use in the Other industries technology</v>
      </c>
      <c r="E621" s="121">
        <v>1</v>
      </c>
      <c r="F621" s="121" t="s">
        <v>2169</v>
      </c>
      <c r="G621" s="242"/>
      <c r="H621" s="242"/>
      <c r="I621" s="370" t="s">
        <v>2170</v>
      </c>
      <c r="J621" s="370" t="s">
        <v>2170</v>
      </c>
      <c r="K621" s="370" t="s">
        <v>2170</v>
      </c>
      <c r="L621" s="370" t="s">
        <v>2170</v>
      </c>
      <c r="M621" s="370" t="s">
        <v>2170</v>
      </c>
      <c r="N621" s="370" t="s">
        <v>2170</v>
      </c>
      <c r="O621" s="370" t="s">
        <v>2170</v>
      </c>
      <c r="P621" s="370" t="s">
        <v>2170</v>
      </c>
      <c r="Q621" s="370" t="s">
        <v>2170</v>
      </c>
      <c r="R621" s="242"/>
      <c r="T621" s="20"/>
      <c r="U621" s="20"/>
      <c r="V621" s="20"/>
      <c r="W621" s="20"/>
      <c r="X621" s="20"/>
    </row>
    <row r="622" spans="1:24" s="65" customFormat="1" ht="15" customHeight="1" outlineLevel="2">
      <c r="A622" s="219"/>
      <c r="B622" s="242"/>
      <c r="C622" s="242" t="s">
        <v>1865</v>
      </c>
      <c r="D622" s="121" t="str">
        <f>INDEX(Regional.Technologies[Description],MATCH($B$2&amp;"."&amp;G.30.levels.AlternativeFuels[[#This Row],[Technology code]],Regional.Technologies[Code],0))</f>
        <v>Global Coal use in the Other industries technology</v>
      </c>
      <c r="E622" s="121">
        <v>2</v>
      </c>
      <c r="F622" s="121" t="s">
        <v>2169</v>
      </c>
      <c r="G622" s="242"/>
      <c r="H622" s="242"/>
      <c r="I622" s="370" t="s">
        <v>2170</v>
      </c>
      <c r="J622" s="370" t="s">
        <v>2170</v>
      </c>
      <c r="K622" s="370" t="s">
        <v>2170</v>
      </c>
      <c r="L622" s="370" t="s">
        <v>2170</v>
      </c>
      <c r="M622" s="370" t="s">
        <v>2170</v>
      </c>
      <c r="N622" s="370" t="s">
        <v>2170</v>
      </c>
      <c r="O622" s="370" t="s">
        <v>2170</v>
      </c>
      <c r="P622" s="370" t="s">
        <v>2170</v>
      </c>
      <c r="Q622" s="370" t="s">
        <v>2170</v>
      </c>
      <c r="R622" s="242"/>
      <c r="T622" s="20"/>
      <c r="U622" s="20"/>
      <c r="V622" s="20"/>
      <c r="W622" s="20"/>
      <c r="X622" s="20"/>
    </row>
    <row r="623" spans="1:24" s="65" customFormat="1" ht="15" customHeight="1" outlineLevel="2">
      <c r="A623" s="219"/>
      <c r="B623" s="242"/>
      <c r="C623" s="242" t="s">
        <v>1865</v>
      </c>
      <c r="D623" s="121" t="str">
        <f>INDEX(Regional.Technologies[Description],MATCH($B$2&amp;"."&amp;G.30.levels.AlternativeFuels[[#This Row],[Technology code]],Regional.Technologies[Code],0))</f>
        <v>Global Coal use in the Other industries technology</v>
      </c>
      <c r="E623" s="121">
        <v>3</v>
      </c>
      <c r="F623" s="121" t="s">
        <v>2169</v>
      </c>
      <c r="G623" s="242"/>
      <c r="H623" s="242"/>
      <c r="I623" s="370" t="s">
        <v>2170</v>
      </c>
      <c r="J623" s="370" t="s">
        <v>2170</v>
      </c>
      <c r="K623" s="370" t="s">
        <v>2170</v>
      </c>
      <c r="L623" s="370" t="s">
        <v>2170</v>
      </c>
      <c r="M623" s="370" t="s">
        <v>2170</v>
      </c>
      <c r="N623" s="370" t="s">
        <v>2170</v>
      </c>
      <c r="O623" s="370" t="s">
        <v>2170</v>
      </c>
      <c r="P623" s="370" t="s">
        <v>2170</v>
      </c>
      <c r="Q623" s="370" t="s">
        <v>2170</v>
      </c>
      <c r="R623" s="242"/>
      <c r="T623" s="20"/>
      <c r="U623" s="20"/>
      <c r="V623" s="20"/>
      <c r="W623" s="20"/>
      <c r="X623" s="20"/>
    </row>
    <row r="624" spans="1:24" s="65" customFormat="1" ht="15" customHeight="1" outlineLevel="2">
      <c r="A624" s="219"/>
      <c r="B624" s="242"/>
      <c r="C624" s="242" t="s">
        <v>1865</v>
      </c>
      <c r="D624" s="121" t="str">
        <f>INDEX(Regional.Technologies[Description],MATCH($B$2&amp;"."&amp;G.30.levels.AlternativeFuels[[#This Row],[Technology code]],Regional.Technologies[Code],0))</f>
        <v>Global Coal use in the Other industries technology</v>
      </c>
      <c r="E624" s="121">
        <v>4</v>
      </c>
      <c r="F624" s="121" t="s">
        <v>2169</v>
      </c>
      <c r="G624" s="242"/>
      <c r="H624" s="242"/>
      <c r="I624" s="370" t="s">
        <v>2170</v>
      </c>
      <c r="J624" s="370" t="s">
        <v>2170</v>
      </c>
      <c r="K624" s="370" t="s">
        <v>2170</v>
      </c>
      <c r="L624" s="370" t="s">
        <v>2170</v>
      </c>
      <c r="M624" s="370" t="s">
        <v>2170</v>
      </c>
      <c r="N624" s="370" t="s">
        <v>2170</v>
      </c>
      <c r="O624" s="370" t="s">
        <v>2170</v>
      </c>
      <c r="P624" s="370" t="s">
        <v>2170</v>
      </c>
      <c r="Q624" s="370" t="s">
        <v>2170</v>
      </c>
      <c r="R624" s="242"/>
      <c r="T624" s="20"/>
      <c r="U624" s="20"/>
      <c r="V624" s="20"/>
      <c r="W624" s="20"/>
      <c r="X624" s="20"/>
    </row>
    <row r="625" spans="1:24" s="65" customFormat="1" ht="15" customHeight="1" outlineLevel="2">
      <c r="A625" s="219"/>
      <c r="B625" s="242"/>
      <c r="C625" s="244"/>
      <c r="D625" s="242"/>
      <c r="E625" s="242"/>
      <c r="F625" s="242"/>
      <c r="G625" s="242"/>
      <c r="H625" s="242"/>
      <c r="I625" s="242"/>
      <c r="J625" s="242"/>
      <c r="K625" s="242"/>
      <c r="L625" s="242"/>
      <c r="M625" s="242"/>
      <c r="N625" s="242"/>
      <c r="O625" s="242"/>
      <c r="P625" s="242"/>
      <c r="Q625" s="242"/>
      <c r="R625" s="242"/>
      <c r="T625" s="20"/>
      <c r="U625" s="20"/>
      <c r="V625" s="20"/>
      <c r="W625" s="20"/>
      <c r="X625" s="20"/>
    </row>
    <row r="626" spans="1:24" s="65" customFormat="1" ht="15" customHeight="1" outlineLevel="2">
      <c r="A626" s="219"/>
      <c r="B626" s="242"/>
      <c r="C626" s="244" t="s">
        <v>2180</v>
      </c>
      <c r="D626" s="242"/>
      <c r="E626" s="242"/>
      <c r="F626" s="242"/>
      <c r="G626" s="242"/>
      <c r="H626" s="242"/>
      <c r="I626" s="242"/>
      <c r="J626" s="242"/>
      <c r="K626" s="242"/>
      <c r="L626" s="242"/>
      <c r="M626" s="242"/>
      <c r="N626" s="242"/>
      <c r="O626" s="242"/>
      <c r="P626" s="242"/>
      <c r="Q626" s="242"/>
      <c r="R626" s="242"/>
      <c r="T626" s="20"/>
      <c r="U626" s="20"/>
      <c r="V626" s="20"/>
      <c r="W626" s="20"/>
      <c r="X626" s="20"/>
    </row>
    <row r="627" spans="1:24" s="65" customFormat="1" ht="15" customHeight="1" outlineLevel="2">
      <c r="A627" s="219"/>
      <c r="B627" s="242"/>
      <c r="C627" s="244"/>
      <c r="D627" s="242"/>
      <c r="E627" s="242"/>
      <c r="F627" s="242"/>
      <c r="G627" s="242"/>
      <c r="H627" s="242"/>
      <c r="I627" s="242"/>
      <c r="J627" s="242"/>
      <c r="K627" s="242"/>
      <c r="L627" s="242"/>
      <c r="M627" s="242"/>
      <c r="N627" s="242"/>
      <c r="O627" s="242"/>
      <c r="P627" s="242"/>
      <c r="Q627" s="242"/>
      <c r="R627" s="242"/>
      <c r="T627" s="20"/>
      <c r="U627" s="20"/>
      <c r="V627" s="20"/>
      <c r="W627" s="20"/>
      <c r="X627" s="20"/>
    </row>
    <row r="628" spans="1:24" s="65" customFormat="1" ht="15" customHeight="1" outlineLevel="2">
      <c r="A628" s="219"/>
      <c r="B628" s="242"/>
      <c r="C628" s="242" t="s">
        <v>454</v>
      </c>
      <c r="D628" s="242" t="s">
        <v>241</v>
      </c>
      <c r="E628" s="242" t="s">
        <v>207</v>
      </c>
      <c r="F628" s="242" t="s">
        <v>274</v>
      </c>
      <c r="G628" s="242" t="s">
        <v>509</v>
      </c>
      <c r="H628" s="242" t="s">
        <v>510</v>
      </c>
      <c r="I628" s="183" t="s">
        <v>1107</v>
      </c>
      <c r="J628" s="242" t="s">
        <v>210</v>
      </c>
      <c r="K628" s="242" t="s">
        <v>211</v>
      </c>
      <c r="L628" s="242" t="s">
        <v>212</v>
      </c>
      <c r="M628" s="242" t="s">
        <v>213</v>
      </c>
      <c r="N628" s="242" t="s">
        <v>214</v>
      </c>
      <c r="O628" s="242" t="s">
        <v>215</v>
      </c>
      <c r="P628" s="242" t="s">
        <v>216</v>
      </c>
      <c r="Q628" s="242" t="s">
        <v>217</v>
      </c>
      <c r="R628" s="242"/>
      <c r="T628" s="20"/>
      <c r="U628" s="20"/>
      <c r="V628" s="20"/>
      <c r="W628" s="20"/>
      <c r="X628" s="20"/>
    </row>
    <row r="629" spans="1:24" s="65" customFormat="1" ht="15" customHeight="1" outlineLevel="2">
      <c r="A629" s="219"/>
      <c r="B629" s="242"/>
      <c r="C629" s="245" t="s">
        <v>1376</v>
      </c>
      <c r="D629" s="121" t="str">
        <f t="array" ref="D629">INDEX(Regional.Technologies[Description],MATCH($B$2&amp;"."&amp;G.30.levels.EnergyEfficiencyCHP[[#This Row],[Technology code]],Regional.Technologies[Code],0))</f>
        <v>Global Electricity use in the Oxygen steel technology</v>
      </c>
      <c r="E629" s="121">
        <v>1</v>
      </c>
      <c r="F629" s="242" t="s">
        <v>1643</v>
      </c>
      <c r="G629" s="242"/>
      <c r="H629" s="242"/>
      <c r="I629" s="370">
        <v>0</v>
      </c>
      <c r="J629" s="370">
        <f t="shared" ref="J629:P644" si="26">(($Q629-$I629)/($Q$121-$I$121))*(J$121-$I$121)+$I629</f>
        <v>0</v>
      </c>
      <c r="K629" s="370">
        <f t="shared" si="26"/>
        <v>0</v>
      </c>
      <c r="L629" s="370">
        <f t="shared" si="26"/>
        <v>0</v>
      </c>
      <c r="M629" s="370">
        <f t="shared" si="26"/>
        <v>0</v>
      </c>
      <c r="N629" s="370">
        <f t="shared" si="26"/>
        <v>0</v>
      </c>
      <c r="O629" s="370">
        <f t="shared" si="26"/>
        <v>0</v>
      </c>
      <c r="P629" s="370">
        <f t="shared" si="26"/>
        <v>0</v>
      </c>
      <c r="Q629" s="370">
        <v>0</v>
      </c>
      <c r="R629" s="242"/>
      <c r="T629" s="20"/>
      <c r="U629" s="20"/>
      <c r="V629" s="20"/>
      <c r="W629" s="20"/>
      <c r="X629" s="20"/>
    </row>
    <row r="630" spans="1:24" s="65" customFormat="1" ht="15" customHeight="1" outlineLevel="2">
      <c r="A630" s="219"/>
      <c r="B630" s="242"/>
      <c r="C630" s="245" t="s">
        <v>1376</v>
      </c>
      <c r="D630" s="121" t="str">
        <f t="array" ref="D630">INDEX(Regional.Technologies[Description],MATCH($B$2&amp;"."&amp;G.30.levels.EnergyEfficiencyCHP[[#This Row],[Technology code]],Regional.Technologies[Code],0))</f>
        <v>Global Electricity use in the Oxygen steel technology</v>
      </c>
      <c r="E630" s="121">
        <v>2</v>
      </c>
      <c r="F630" s="242" t="s">
        <v>1643</v>
      </c>
      <c r="G630" s="242"/>
      <c r="H630" s="242"/>
      <c r="I630" s="370">
        <v>0</v>
      </c>
      <c r="J630" s="370">
        <f t="shared" si="26"/>
        <v>0</v>
      </c>
      <c r="K630" s="370">
        <f t="shared" si="26"/>
        <v>0</v>
      </c>
      <c r="L630" s="370">
        <f t="shared" si="26"/>
        <v>0</v>
      </c>
      <c r="M630" s="370">
        <f t="shared" si="26"/>
        <v>0</v>
      </c>
      <c r="N630" s="370">
        <f t="shared" si="26"/>
        <v>0</v>
      </c>
      <c r="O630" s="370">
        <f t="shared" si="26"/>
        <v>0</v>
      </c>
      <c r="P630" s="370">
        <f t="shared" si="26"/>
        <v>0</v>
      </c>
      <c r="Q630" s="370">
        <v>0</v>
      </c>
      <c r="R630" s="242"/>
      <c r="T630" s="20"/>
      <c r="U630" s="20"/>
      <c r="V630" s="20"/>
      <c r="W630" s="20"/>
      <c r="X630" s="20"/>
    </row>
    <row r="631" spans="1:24" s="65" customFormat="1" ht="15" customHeight="1" outlineLevel="2">
      <c r="A631" s="219"/>
      <c r="B631" s="242"/>
      <c r="C631" s="245" t="s">
        <v>1376</v>
      </c>
      <c r="D631" s="121" t="str">
        <f t="array" ref="D631">INDEX(Regional.Technologies[Description],MATCH($B$2&amp;"."&amp;G.30.levels.EnergyEfficiencyCHP[[#This Row],[Technology code]],Regional.Technologies[Code],0))</f>
        <v>Global Electricity use in the Oxygen steel technology</v>
      </c>
      <c r="E631" s="121">
        <v>3</v>
      </c>
      <c r="F631" s="242" t="s">
        <v>1643</v>
      </c>
      <c r="G631" s="242"/>
      <c r="H631" s="242"/>
      <c r="I631" s="370">
        <v>0</v>
      </c>
      <c r="J631" s="370">
        <f t="shared" si="26"/>
        <v>0</v>
      </c>
      <c r="K631" s="370">
        <f t="shared" si="26"/>
        <v>0</v>
      </c>
      <c r="L631" s="370">
        <f t="shared" si="26"/>
        <v>0</v>
      </c>
      <c r="M631" s="370">
        <f t="shared" si="26"/>
        <v>0</v>
      </c>
      <c r="N631" s="370">
        <f t="shared" si="26"/>
        <v>0</v>
      </c>
      <c r="O631" s="370">
        <f t="shared" si="26"/>
        <v>0</v>
      </c>
      <c r="P631" s="370">
        <f t="shared" si="26"/>
        <v>0</v>
      </c>
      <c r="Q631" s="370">
        <v>0</v>
      </c>
      <c r="R631" s="242"/>
      <c r="T631" s="20"/>
      <c r="U631" s="20"/>
      <c r="V631" s="20"/>
      <c r="W631" s="20"/>
      <c r="X631" s="20"/>
    </row>
    <row r="632" spans="1:24" s="65" customFormat="1" ht="15" customHeight="1" outlineLevel="2">
      <c r="A632" s="219"/>
      <c r="B632" s="242"/>
      <c r="C632" s="245" t="s">
        <v>1376</v>
      </c>
      <c r="D632" s="121" t="str">
        <f t="array" ref="D632">INDEX(Regional.Technologies[Description],MATCH($B$2&amp;"."&amp;G.30.levels.EnergyEfficiencyCHP[[#This Row],[Technology code]],Regional.Technologies[Code],0))</f>
        <v>Global Electricity use in the Oxygen steel technology</v>
      </c>
      <c r="E632" s="121">
        <v>4</v>
      </c>
      <c r="F632" s="242" t="s">
        <v>1643</v>
      </c>
      <c r="G632" s="242"/>
      <c r="H632" s="242"/>
      <c r="I632" s="370">
        <v>0</v>
      </c>
      <c r="J632" s="370">
        <f t="shared" si="26"/>
        <v>0</v>
      </c>
      <c r="K632" s="370">
        <f t="shared" si="26"/>
        <v>0</v>
      </c>
      <c r="L632" s="370">
        <f t="shared" si="26"/>
        <v>0</v>
      </c>
      <c r="M632" s="370">
        <f t="shared" si="26"/>
        <v>0</v>
      </c>
      <c r="N632" s="370">
        <f t="shared" si="26"/>
        <v>0</v>
      </c>
      <c r="O632" s="370">
        <f t="shared" si="26"/>
        <v>0</v>
      </c>
      <c r="P632" s="370">
        <f t="shared" si="26"/>
        <v>0</v>
      </c>
      <c r="Q632" s="370">
        <v>0</v>
      </c>
      <c r="R632" s="242"/>
      <c r="T632" s="20"/>
      <c r="U632" s="20"/>
      <c r="V632" s="20"/>
      <c r="W632" s="20"/>
      <c r="X632" s="20"/>
    </row>
    <row r="633" spans="1:24" s="65" customFormat="1" ht="15" customHeight="1" outlineLevel="2">
      <c r="A633" s="219"/>
      <c r="B633" s="242"/>
      <c r="C633" s="245" t="s">
        <v>2053</v>
      </c>
      <c r="D633" s="275" t="str">
        <f t="array" ref="D633">INDEX(Regional.Technologies[Description],MATCH($B$2&amp;"."&amp;G.30.levels.EnergyEfficiencyCHP[[#This Row],[Technology code]],Regional.Technologies[Code],0))</f>
        <v>Global Electricity use in the Hisarna Oxygen steel technology</v>
      </c>
      <c r="E633" s="121">
        <v>1</v>
      </c>
      <c r="F633" s="242" t="s">
        <v>1643</v>
      </c>
      <c r="G633" s="242"/>
      <c r="H633" s="242"/>
      <c r="I633" s="370">
        <v>0</v>
      </c>
      <c r="J633" s="370">
        <f t="shared" si="26"/>
        <v>0</v>
      </c>
      <c r="K633" s="370">
        <f t="shared" si="26"/>
        <v>0</v>
      </c>
      <c r="L633" s="370">
        <f t="shared" si="26"/>
        <v>0</v>
      </c>
      <c r="M633" s="370">
        <f t="shared" si="26"/>
        <v>0</v>
      </c>
      <c r="N633" s="370">
        <f t="shared" si="26"/>
        <v>0</v>
      </c>
      <c r="O633" s="370">
        <f t="shared" si="26"/>
        <v>0</v>
      </c>
      <c r="P633" s="370">
        <f t="shared" si="26"/>
        <v>0</v>
      </c>
      <c r="Q633" s="370">
        <v>0</v>
      </c>
      <c r="R633" s="242"/>
      <c r="T633" s="20"/>
      <c r="U633" s="20"/>
      <c r="V633" s="20"/>
      <c r="W633" s="20"/>
      <c r="X633" s="20"/>
    </row>
    <row r="634" spans="1:24" s="65" customFormat="1" ht="15" customHeight="1" outlineLevel="2">
      <c r="A634" s="219"/>
      <c r="B634" s="242"/>
      <c r="C634" s="245" t="s">
        <v>2053</v>
      </c>
      <c r="D634" s="275" t="str">
        <f t="array" ref="D634">INDEX(Regional.Technologies[Description],MATCH($B$2&amp;"."&amp;G.30.levels.EnergyEfficiencyCHP[[#This Row],[Technology code]],Regional.Technologies[Code],0))</f>
        <v>Global Electricity use in the Hisarna Oxygen steel technology</v>
      </c>
      <c r="E634" s="121">
        <v>2</v>
      </c>
      <c r="F634" s="242" t="s">
        <v>1643</v>
      </c>
      <c r="G634" s="242"/>
      <c r="H634" s="242"/>
      <c r="I634" s="370">
        <v>0</v>
      </c>
      <c r="J634" s="370">
        <f t="shared" si="26"/>
        <v>0</v>
      </c>
      <c r="K634" s="370">
        <f t="shared" si="26"/>
        <v>0</v>
      </c>
      <c r="L634" s="370">
        <f t="shared" si="26"/>
        <v>0</v>
      </c>
      <c r="M634" s="370">
        <f t="shared" si="26"/>
        <v>0</v>
      </c>
      <c r="N634" s="370">
        <f t="shared" si="26"/>
        <v>0</v>
      </c>
      <c r="O634" s="370">
        <f t="shared" si="26"/>
        <v>0</v>
      </c>
      <c r="P634" s="370">
        <f t="shared" si="26"/>
        <v>0</v>
      </c>
      <c r="Q634" s="370">
        <v>0</v>
      </c>
      <c r="R634" s="242"/>
      <c r="T634" s="20"/>
      <c r="U634" s="20"/>
      <c r="V634" s="20"/>
      <c r="W634" s="20"/>
      <c r="X634" s="20"/>
    </row>
    <row r="635" spans="1:24" s="65" customFormat="1" ht="15" customHeight="1" outlineLevel="2">
      <c r="A635" s="219"/>
      <c r="B635" s="242"/>
      <c r="C635" s="245" t="s">
        <v>2053</v>
      </c>
      <c r="D635" s="275" t="str">
        <f t="array" ref="D635">INDEX(Regional.Technologies[Description],MATCH($B$2&amp;"."&amp;G.30.levels.EnergyEfficiencyCHP[[#This Row],[Technology code]],Regional.Technologies[Code],0))</f>
        <v>Global Electricity use in the Hisarna Oxygen steel technology</v>
      </c>
      <c r="E635" s="121">
        <v>3</v>
      </c>
      <c r="F635" s="242" t="s">
        <v>1643</v>
      </c>
      <c r="G635" s="242"/>
      <c r="H635" s="242"/>
      <c r="I635" s="370">
        <v>0</v>
      </c>
      <c r="J635" s="370">
        <f t="shared" si="26"/>
        <v>0</v>
      </c>
      <c r="K635" s="370">
        <f t="shared" si="26"/>
        <v>0</v>
      </c>
      <c r="L635" s="370">
        <f t="shared" si="26"/>
        <v>0</v>
      </c>
      <c r="M635" s="370">
        <f t="shared" si="26"/>
        <v>0</v>
      </c>
      <c r="N635" s="370">
        <f t="shared" si="26"/>
        <v>0</v>
      </c>
      <c r="O635" s="370">
        <f t="shared" si="26"/>
        <v>0</v>
      </c>
      <c r="P635" s="370">
        <f t="shared" si="26"/>
        <v>0</v>
      </c>
      <c r="Q635" s="370">
        <v>0</v>
      </c>
      <c r="R635" s="242"/>
      <c r="T635" s="20"/>
      <c r="U635" s="20"/>
      <c r="V635" s="20"/>
      <c r="W635" s="20"/>
      <c r="X635" s="20"/>
    </row>
    <row r="636" spans="1:24" s="65" customFormat="1" ht="15" customHeight="1" outlineLevel="2">
      <c r="A636" s="219"/>
      <c r="B636" s="242"/>
      <c r="C636" s="245" t="s">
        <v>2053</v>
      </c>
      <c r="D636" s="275" t="str">
        <f t="array" ref="D636">INDEX(Regional.Technologies[Description],MATCH($B$2&amp;"."&amp;G.30.levels.EnergyEfficiencyCHP[[#This Row],[Technology code]],Regional.Technologies[Code],0))</f>
        <v>Global Electricity use in the Hisarna Oxygen steel technology</v>
      </c>
      <c r="E636" s="121">
        <v>4</v>
      </c>
      <c r="F636" s="242" t="s">
        <v>1643</v>
      </c>
      <c r="G636" s="242"/>
      <c r="H636" s="242"/>
      <c r="I636" s="370">
        <v>0</v>
      </c>
      <c r="J636" s="370">
        <f t="shared" si="26"/>
        <v>0</v>
      </c>
      <c r="K636" s="370">
        <f t="shared" si="26"/>
        <v>0</v>
      </c>
      <c r="L636" s="370">
        <f t="shared" si="26"/>
        <v>0</v>
      </c>
      <c r="M636" s="370">
        <f t="shared" si="26"/>
        <v>0</v>
      </c>
      <c r="N636" s="370">
        <f t="shared" si="26"/>
        <v>0</v>
      </c>
      <c r="O636" s="370">
        <f t="shared" si="26"/>
        <v>0</v>
      </c>
      <c r="P636" s="370">
        <f t="shared" si="26"/>
        <v>0</v>
      </c>
      <c r="Q636" s="370">
        <v>0</v>
      </c>
      <c r="R636" s="242"/>
      <c r="T636" s="20"/>
      <c r="U636" s="20"/>
      <c r="V636" s="20"/>
      <c r="W636" s="20"/>
      <c r="X636" s="20"/>
    </row>
    <row r="637" spans="1:24" s="65" customFormat="1" ht="15" customHeight="1" outlineLevel="2">
      <c r="A637" s="219"/>
      <c r="B637" s="242"/>
      <c r="C637" s="242" t="s">
        <v>1379</v>
      </c>
      <c r="D637" s="121" t="str">
        <f t="array" ref="D637">INDEX(Regional.Technologies[Description],MATCH($B$2&amp;"."&amp;G.30.levels.EnergyEfficiencyCHP[[#This Row],[Technology code]],Regional.Technologies[Code],0))</f>
        <v>Global Electricity use in the Electric steel technology</v>
      </c>
      <c r="E637" s="121">
        <v>1</v>
      </c>
      <c r="F637" s="242" t="s">
        <v>1643</v>
      </c>
      <c r="G637" s="242"/>
      <c r="H637" s="242"/>
      <c r="I637" s="370">
        <v>0</v>
      </c>
      <c r="J637" s="370">
        <f t="shared" si="26"/>
        <v>0</v>
      </c>
      <c r="K637" s="370">
        <f t="shared" si="26"/>
        <v>0</v>
      </c>
      <c r="L637" s="370">
        <f t="shared" si="26"/>
        <v>0</v>
      </c>
      <c r="M637" s="370">
        <f t="shared" si="26"/>
        <v>0</v>
      </c>
      <c r="N637" s="370">
        <f t="shared" si="26"/>
        <v>0</v>
      </c>
      <c r="O637" s="370">
        <f t="shared" si="26"/>
        <v>0</v>
      </c>
      <c r="P637" s="370">
        <f t="shared" si="26"/>
        <v>0</v>
      </c>
      <c r="Q637" s="370">
        <v>0</v>
      </c>
      <c r="R637" s="242"/>
      <c r="T637" s="20"/>
      <c r="U637" s="20"/>
      <c r="V637" s="20"/>
      <c r="W637" s="20"/>
      <c r="X637" s="20"/>
    </row>
    <row r="638" spans="1:24" s="65" customFormat="1" ht="15" customHeight="1" outlineLevel="2">
      <c r="A638" s="219"/>
      <c r="B638" s="242"/>
      <c r="C638" s="242" t="s">
        <v>1379</v>
      </c>
      <c r="D638" s="121" t="str">
        <f t="array" ref="D638">INDEX(Regional.Technologies[Description],MATCH($B$2&amp;"."&amp;G.30.levels.EnergyEfficiencyCHP[[#This Row],[Technology code]],Regional.Technologies[Code],0))</f>
        <v>Global Electricity use in the Electric steel technology</v>
      </c>
      <c r="E638" s="121">
        <v>2</v>
      </c>
      <c r="F638" s="242" t="s">
        <v>1643</v>
      </c>
      <c r="G638" s="242"/>
      <c r="H638" s="242"/>
      <c r="I638" s="370">
        <v>0</v>
      </c>
      <c r="J638" s="370">
        <f t="shared" si="26"/>
        <v>0</v>
      </c>
      <c r="K638" s="370">
        <f t="shared" si="26"/>
        <v>0</v>
      </c>
      <c r="L638" s="370">
        <f t="shared" si="26"/>
        <v>0</v>
      </c>
      <c r="M638" s="370">
        <f t="shared" si="26"/>
        <v>0</v>
      </c>
      <c r="N638" s="370">
        <f t="shared" si="26"/>
        <v>0</v>
      </c>
      <c r="O638" s="370">
        <f t="shared" si="26"/>
        <v>0</v>
      </c>
      <c r="P638" s="370">
        <f t="shared" si="26"/>
        <v>0</v>
      </c>
      <c r="Q638" s="370">
        <v>0</v>
      </c>
      <c r="R638" s="242"/>
      <c r="T638" s="20"/>
      <c r="U638" s="20"/>
      <c r="V638" s="20"/>
      <c r="W638" s="20"/>
      <c r="X638" s="20"/>
    </row>
    <row r="639" spans="1:24" s="65" customFormat="1" ht="15" customHeight="1" outlineLevel="2">
      <c r="A639" s="219"/>
      <c r="B639" s="242"/>
      <c r="C639" s="242" t="s">
        <v>1379</v>
      </c>
      <c r="D639" s="121" t="str">
        <f t="array" ref="D639">INDEX(Regional.Technologies[Description],MATCH($B$2&amp;"."&amp;G.30.levels.EnergyEfficiencyCHP[[#This Row],[Technology code]],Regional.Technologies[Code],0))</f>
        <v>Global Electricity use in the Electric steel technology</v>
      </c>
      <c r="E639" s="121">
        <v>3</v>
      </c>
      <c r="F639" s="242" t="s">
        <v>1643</v>
      </c>
      <c r="G639" s="242"/>
      <c r="H639" s="242"/>
      <c r="I639" s="370">
        <v>0</v>
      </c>
      <c r="J639" s="370">
        <f t="shared" si="26"/>
        <v>0</v>
      </c>
      <c r="K639" s="370">
        <f t="shared" si="26"/>
        <v>0</v>
      </c>
      <c r="L639" s="370">
        <f t="shared" si="26"/>
        <v>0</v>
      </c>
      <c r="M639" s="370">
        <f t="shared" si="26"/>
        <v>0</v>
      </c>
      <c r="N639" s="370">
        <f t="shared" si="26"/>
        <v>0</v>
      </c>
      <c r="O639" s="370">
        <f t="shared" si="26"/>
        <v>0</v>
      </c>
      <c r="P639" s="370">
        <f t="shared" si="26"/>
        <v>0</v>
      </c>
      <c r="Q639" s="370">
        <v>0</v>
      </c>
      <c r="R639" s="242"/>
      <c r="T639" s="20"/>
      <c r="U639" s="20"/>
      <c r="V639" s="20"/>
      <c r="W639" s="20"/>
      <c r="X639" s="20"/>
    </row>
    <row r="640" spans="1:24" s="65" customFormat="1" ht="15" customHeight="1" outlineLevel="2">
      <c r="A640" s="219"/>
      <c r="B640" s="242"/>
      <c r="C640" s="242" t="s">
        <v>1379</v>
      </c>
      <c r="D640" s="121" t="str">
        <f t="array" ref="D640">INDEX(Regional.Technologies[Description],MATCH($B$2&amp;"."&amp;G.30.levels.EnergyEfficiencyCHP[[#This Row],[Technology code]],Regional.Technologies[Code],0))</f>
        <v>Global Electricity use in the Electric steel technology</v>
      </c>
      <c r="E640" s="121">
        <v>4</v>
      </c>
      <c r="F640" s="242" t="s">
        <v>1643</v>
      </c>
      <c r="G640" s="242"/>
      <c r="H640" s="242"/>
      <c r="I640" s="370">
        <v>0</v>
      </c>
      <c r="J640" s="370">
        <f t="shared" si="26"/>
        <v>0</v>
      </c>
      <c r="K640" s="370">
        <f t="shared" si="26"/>
        <v>0</v>
      </c>
      <c r="L640" s="370">
        <f t="shared" si="26"/>
        <v>0</v>
      </c>
      <c r="M640" s="370">
        <f t="shared" si="26"/>
        <v>0</v>
      </c>
      <c r="N640" s="370">
        <f t="shared" si="26"/>
        <v>0</v>
      </c>
      <c r="O640" s="370">
        <f t="shared" si="26"/>
        <v>0</v>
      </c>
      <c r="P640" s="370">
        <f t="shared" si="26"/>
        <v>0</v>
      </c>
      <c r="Q640" s="370">
        <v>0</v>
      </c>
      <c r="R640" s="242"/>
      <c r="T640" s="20"/>
      <c r="U640" s="20"/>
      <c r="V640" s="20"/>
      <c r="W640" s="20"/>
      <c r="X640" s="20"/>
    </row>
    <row r="641" spans="1:24" s="65" customFormat="1" ht="15" customHeight="1" outlineLevel="2">
      <c r="A641" s="219"/>
      <c r="B641" s="242"/>
      <c r="C641" s="245" t="s">
        <v>1639</v>
      </c>
      <c r="D641" s="121" t="str">
        <f t="array" ref="D641">INDEX(Regional.Technologies[Description],MATCH($B$2&amp;"."&amp;G.30.levels.EnergyEfficiencyCHP[[#This Row],[Technology code]],Regional.Technologies[Code],0))</f>
        <v>Global Electricity use in the Primary Aluminium technology</v>
      </c>
      <c r="E641" s="121">
        <v>1</v>
      </c>
      <c r="F641" s="242" t="s">
        <v>1418</v>
      </c>
      <c r="G641" s="242"/>
      <c r="H641" s="242"/>
      <c r="I641" s="370">
        <v>0.05</v>
      </c>
      <c r="J641" s="370">
        <f t="shared" si="26"/>
        <v>0.05</v>
      </c>
      <c r="K641" s="370">
        <f t="shared" si="26"/>
        <v>0.05</v>
      </c>
      <c r="L641" s="370">
        <f t="shared" si="26"/>
        <v>0.05</v>
      </c>
      <c r="M641" s="370">
        <f t="shared" si="26"/>
        <v>0.05</v>
      </c>
      <c r="N641" s="370">
        <f t="shared" si="26"/>
        <v>0.05</v>
      </c>
      <c r="O641" s="370">
        <f t="shared" si="26"/>
        <v>0.05</v>
      </c>
      <c r="P641" s="370">
        <f t="shared" si="26"/>
        <v>0.05</v>
      </c>
      <c r="Q641" s="370">
        <v>0.05</v>
      </c>
      <c r="R641" s="242"/>
      <c r="T641" s="20"/>
      <c r="U641" s="20"/>
      <c r="V641" s="20"/>
      <c r="W641" s="20"/>
      <c r="X641" s="20"/>
    </row>
    <row r="642" spans="1:24" s="65" customFormat="1" ht="15" customHeight="1" outlineLevel="2">
      <c r="A642" s="219"/>
      <c r="B642" s="242"/>
      <c r="C642" s="245" t="s">
        <v>1639</v>
      </c>
      <c r="D642" s="121" t="str">
        <f t="array" ref="D642">INDEX(Regional.Technologies[Description],MATCH($B$2&amp;"."&amp;G.30.levels.EnergyEfficiencyCHP[[#This Row],[Technology code]],Regional.Technologies[Code],0))</f>
        <v>Global Electricity use in the Primary Aluminium technology</v>
      </c>
      <c r="E642" s="121">
        <v>2</v>
      </c>
      <c r="F642" s="242" t="s">
        <v>1418</v>
      </c>
      <c r="G642" s="242"/>
      <c r="H642" s="242"/>
      <c r="I642" s="370">
        <v>0.05</v>
      </c>
      <c r="J642" s="370">
        <f t="shared" si="26"/>
        <v>5.5128205128205134E-2</v>
      </c>
      <c r="K642" s="370">
        <f t="shared" si="26"/>
        <v>6.1538461538461542E-2</v>
      </c>
      <c r="L642" s="370">
        <f t="shared" si="26"/>
        <v>6.7948717948717957E-2</v>
      </c>
      <c r="M642" s="370">
        <f t="shared" si="26"/>
        <v>7.4358974358974358E-2</v>
      </c>
      <c r="N642" s="370">
        <f t="shared" si="26"/>
        <v>8.0769230769230774E-2</v>
      </c>
      <c r="O642" s="370">
        <f t="shared" si="26"/>
        <v>8.7179487179487175E-2</v>
      </c>
      <c r="P642" s="370">
        <f t="shared" si="26"/>
        <v>9.358974358974359E-2</v>
      </c>
      <c r="Q642" s="370">
        <v>0.1</v>
      </c>
      <c r="R642" s="242"/>
      <c r="T642" s="20"/>
      <c r="U642" s="20"/>
      <c r="V642" s="20"/>
      <c r="W642" s="20"/>
      <c r="X642" s="20"/>
    </row>
    <row r="643" spans="1:24" s="65" customFormat="1" ht="15" customHeight="1" outlineLevel="2">
      <c r="A643" s="219"/>
      <c r="B643" s="242"/>
      <c r="C643" s="245" t="s">
        <v>1639</v>
      </c>
      <c r="D643" s="121" t="str">
        <f t="array" ref="D643">INDEX(Regional.Technologies[Description],MATCH($B$2&amp;"."&amp;G.30.levels.EnergyEfficiencyCHP[[#This Row],[Technology code]],Regional.Technologies[Code],0))</f>
        <v>Global Electricity use in the Primary Aluminium technology</v>
      </c>
      <c r="E643" s="121">
        <v>3</v>
      </c>
      <c r="F643" s="242" t="s">
        <v>1418</v>
      </c>
      <c r="G643" s="242"/>
      <c r="H643" s="242"/>
      <c r="I643" s="370">
        <v>0.05</v>
      </c>
      <c r="J643" s="370">
        <f t="shared" si="26"/>
        <v>6.0256410256410257E-2</v>
      </c>
      <c r="K643" s="370">
        <f t="shared" si="26"/>
        <v>7.3076923076923081E-2</v>
      </c>
      <c r="L643" s="370">
        <f t="shared" si="26"/>
        <v>8.5897435897435898E-2</v>
      </c>
      <c r="M643" s="370">
        <f t="shared" si="26"/>
        <v>9.8717948717948728E-2</v>
      </c>
      <c r="N643" s="370">
        <f t="shared" si="26"/>
        <v>0.11153846153846154</v>
      </c>
      <c r="O643" s="370">
        <f t="shared" si="26"/>
        <v>0.12435897435897436</v>
      </c>
      <c r="P643" s="370">
        <f t="shared" si="26"/>
        <v>0.13717948717948719</v>
      </c>
      <c r="Q643" s="370">
        <v>0.15</v>
      </c>
      <c r="R643" s="242"/>
      <c r="T643" s="20"/>
      <c r="U643" s="20"/>
      <c r="V643" s="20"/>
      <c r="W643" s="20"/>
      <c r="X643" s="20"/>
    </row>
    <row r="644" spans="1:24" s="65" customFormat="1" ht="15" customHeight="1" outlineLevel="2">
      <c r="A644" s="219"/>
      <c r="B644" s="242"/>
      <c r="C644" s="245" t="s">
        <v>1639</v>
      </c>
      <c r="D644" s="121" t="str">
        <f t="array" ref="D644">INDEX(Regional.Technologies[Description],MATCH($B$2&amp;"."&amp;G.30.levels.EnergyEfficiencyCHP[[#This Row],[Technology code]],Regional.Technologies[Code],0))</f>
        <v>Global Electricity use in the Primary Aluminium technology</v>
      </c>
      <c r="E644" s="121">
        <v>4</v>
      </c>
      <c r="F644" s="242" t="s">
        <v>1418</v>
      </c>
      <c r="G644" s="242"/>
      <c r="H644" s="242"/>
      <c r="I644" s="370">
        <v>0.05</v>
      </c>
      <c r="J644" s="370">
        <f t="shared" si="26"/>
        <v>6.5384615384615388E-2</v>
      </c>
      <c r="K644" s="370">
        <f t="shared" si="26"/>
        <v>8.461538461538462E-2</v>
      </c>
      <c r="L644" s="370">
        <f t="shared" si="26"/>
        <v>0.10384615384615387</v>
      </c>
      <c r="M644" s="370">
        <f t="shared" si="26"/>
        <v>0.1230769230769231</v>
      </c>
      <c r="N644" s="370">
        <f t="shared" si="26"/>
        <v>0.14230769230769233</v>
      </c>
      <c r="O644" s="370">
        <f t="shared" si="26"/>
        <v>0.16153846153846158</v>
      </c>
      <c r="P644" s="370">
        <f t="shared" si="26"/>
        <v>0.18076923076923079</v>
      </c>
      <c r="Q644" s="370">
        <v>0.2</v>
      </c>
      <c r="R644" s="242"/>
      <c r="T644" s="20"/>
      <c r="U644" s="20"/>
      <c r="V644" s="20"/>
      <c r="W644" s="20"/>
      <c r="X644" s="20"/>
    </row>
    <row r="645" spans="1:24" s="65" customFormat="1" ht="15" customHeight="1" outlineLevel="2">
      <c r="A645" s="219"/>
      <c r="B645" s="242"/>
      <c r="C645" s="242" t="s">
        <v>1641</v>
      </c>
      <c r="D645" s="121" t="str">
        <f t="array" ref="D645">INDEX(Regional.Technologies[Description],MATCH($B$2&amp;"."&amp;G.30.levels.EnergyEfficiencyCHP[[#This Row],[Technology code]],Regional.Technologies[Code],0))</f>
        <v>Global Electricity use in the Secondary Aluminium technology</v>
      </c>
      <c r="E645" s="121">
        <v>1</v>
      </c>
      <c r="F645" s="242" t="s">
        <v>1418</v>
      </c>
      <c r="G645" s="242"/>
      <c r="H645" s="242"/>
      <c r="I645" s="370">
        <v>0.05</v>
      </c>
      <c r="J645" s="370">
        <f t="shared" ref="J645:P660" si="27">(($Q645-$I645)/($Q$121-$I$121))*(J$121-$I$121)+$I645</f>
        <v>0.05</v>
      </c>
      <c r="K645" s="370">
        <f t="shared" si="27"/>
        <v>0.05</v>
      </c>
      <c r="L645" s="370">
        <f t="shared" si="27"/>
        <v>0.05</v>
      </c>
      <c r="M645" s="370">
        <f t="shared" si="27"/>
        <v>0.05</v>
      </c>
      <c r="N645" s="370">
        <f t="shared" si="27"/>
        <v>0.05</v>
      </c>
      <c r="O645" s="370">
        <f t="shared" si="27"/>
        <v>0.05</v>
      </c>
      <c r="P645" s="370">
        <f t="shared" si="27"/>
        <v>0.05</v>
      </c>
      <c r="Q645" s="370">
        <v>0.05</v>
      </c>
      <c r="R645" s="242"/>
      <c r="T645" s="20"/>
      <c r="U645" s="20"/>
      <c r="V645" s="20"/>
      <c r="W645" s="20"/>
      <c r="X645" s="20"/>
    </row>
    <row r="646" spans="1:24" s="65" customFormat="1" ht="15" customHeight="1" outlineLevel="2">
      <c r="A646" s="219"/>
      <c r="B646" s="242"/>
      <c r="C646" s="242" t="s">
        <v>1641</v>
      </c>
      <c r="D646" s="121" t="str">
        <f t="array" ref="D646">INDEX(Regional.Technologies[Description],MATCH($B$2&amp;"."&amp;G.30.levels.EnergyEfficiencyCHP[[#This Row],[Technology code]],Regional.Technologies[Code],0))</f>
        <v>Global Electricity use in the Secondary Aluminium technology</v>
      </c>
      <c r="E646" s="121">
        <v>2</v>
      </c>
      <c r="F646" s="242" t="s">
        <v>1418</v>
      </c>
      <c r="G646" s="242"/>
      <c r="H646" s="242"/>
      <c r="I646" s="370">
        <v>0.05</v>
      </c>
      <c r="J646" s="370">
        <f t="shared" si="27"/>
        <v>5.5128205128205134E-2</v>
      </c>
      <c r="K646" s="370">
        <f t="shared" si="27"/>
        <v>6.1538461538461542E-2</v>
      </c>
      <c r="L646" s="370">
        <f t="shared" si="27"/>
        <v>6.7948717948717957E-2</v>
      </c>
      <c r="M646" s="370">
        <f t="shared" si="27"/>
        <v>7.4358974358974358E-2</v>
      </c>
      <c r="N646" s="370">
        <f t="shared" si="27"/>
        <v>8.0769230769230774E-2</v>
      </c>
      <c r="O646" s="370">
        <f t="shared" si="27"/>
        <v>8.7179487179487175E-2</v>
      </c>
      <c r="P646" s="370">
        <f t="shared" si="27"/>
        <v>9.358974358974359E-2</v>
      </c>
      <c r="Q646" s="370">
        <v>0.1</v>
      </c>
      <c r="R646" s="242"/>
      <c r="T646" s="20"/>
      <c r="U646" s="20"/>
      <c r="V646" s="20"/>
      <c r="W646" s="20"/>
      <c r="X646" s="20"/>
    </row>
    <row r="647" spans="1:24" s="65" customFormat="1" ht="15" customHeight="1" outlineLevel="2">
      <c r="A647" s="219"/>
      <c r="B647" s="242"/>
      <c r="C647" s="242" t="s">
        <v>1641</v>
      </c>
      <c r="D647" s="121" t="str">
        <f t="array" ref="D647">INDEX(Regional.Technologies[Description],MATCH($B$2&amp;"."&amp;G.30.levels.EnergyEfficiencyCHP[[#This Row],[Technology code]],Regional.Technologies[Code],0))</f>
        <v>Global Electricity use in the Secondary Aluminium technology</v>
      </c>
      <c r="E647" s="121">
        <v>3</v>
      </c>
      <c r="F647" s="242" t="s">
        <v>1418</v>
      </c>
      <c r="G647" s="242"/>
      <c r="H647" s="242"/>
      <c r="I647" s="370">
        <v>0.05</v>
      </c>
      <c r="J647" s="370">
        <f t="shared" si="27"/>
        <v>6.0256410256410257E-2</v>
      </c>
      <c r="K647" s="370">
        <f t="shared" si="27"/>
        <v>7.3076923076923081E-2</v>
      </c>
      <c r="L647" s="370">
        <f t="shared" si="27"/>
        <v>8.5897435897435898E-2</v>
      </c>
      <c r="M647" s="370">
        <f t="shared" si="27"/>
        <v>9.8717948717948728E-2</v>
      </c>
      <c r="N647" s="370">
        <f t="shared" si="27"/>
        <v>0.11153846153846154</v>
      </c>
      <c r="O647" s="370">
        <f t="shared" si="27"/>
        <v>0.12435897435897436</v>
      </c>
      <c r="P647" s="370">
        <f t="shared" si="27"/>
        <v>0.13717948717948719</v>
      </c>
      <c r="Q647" s="370">
        <v>0.15</v>
      </c>
      <c r="R647" s="242"/>
      <c r="T647" s="20"/>
      <c r="U647" s="20"/>
      <c r="V647" s="20"/>
      <c r="W647" s="20"/>
      <c r="X647" s="20"/>
    </row>
    <row r="648" spans="1:24" s="65" customFormat="1" ht="15" customHeight="1" outlineLevel="2">
      <c r="A648" s="219"/>
      <c r="B648" s="242"/>
      <c r="C648" s="242" t="s">
        <v>1641</v>
      </c>
      <c r="D648" s="121" t="str">
        <f t="array" ref="D648">INDEX(Regional.Technologies[Description],MATCH($B$2&amp;"."&amp;G.30.levels.EnergyEfficiencyCHP[[#This Row],[Technology code]],Regional.Technologies[Code],0))</f>
        <v>Global Electricity use in the Secondary Aluminium technology</v>
      </c>
      <c r="E648" s="121">
        <v>4</v>
      </c>
      <c r="F648" s="242" t="s">
        <v>1418</v>
      </c>
      <c r="G648" s="242"/>
      <c r="H648" s="242"/>
      <c r="I648" s="370">
        <v>0.05</v>
      </c>
      <c r="J648" s="370">
        <f t="shared" si="27"/>
        <v>6.5384615384615388E-2</v>
      </c>
      <c r="K648" s="370">
        <f t="shared" si="27"/>
        <v>8.461538461538462E-2</v>
      </c>
      <c r="L648" s="370">
        <f t="shared" si="27"/>
        <v>0.10384615384615387</v>
      </c>
      <c r="M648" s="370">
        <f t="shared" si="27"/>
        <v>0.1230769230769231</v>
      </c>
      <c r="N648" s="370">
        <f t="shared" si="27"/>
        <v>0.14230769230769233</v>
      </c>
      <c r="O648" s="370">
        <f t="shared" si="27"/>
        <v>0.16153846153846158</v>
      </c>
      <c r="P648" s="370">
        <f t="shared" si="27"/>
        <v>0.18076923076923079</v>
      </c>
      <c r="Q648" s="370">
        <v>0.2</v>
      </c>
      <c r="R648" s="242"/>
      <c r="T648" s="20"/>
      <c r="U648" s="20"/>
      <c r="V648" s="20"/>
      <c r="W648" s="20"/>
      <c r="X648" s="20"/>
    </row>
    <row r="649" spans="1:24" s="65" customFormat="1" ht="15" customHeight="1" outlineLevel="2">
      <c r="A649" s="219"/>
      <c r="B649" s="242"/>
      <c r="C649" s="242" t="s">
        <v>1821</v>
      </c>
      <c r="D649" s="121" t="str">
        <f t="array" ref="D649">INDEX(Regional.Technologies[Description],MATCH($B$2&amp;"."&amp;G.30.levels.EnergyEfficiencyCHP[[#This Row],[Technology code]],Regional.Technologies[Code],0))</f>
        <v>Global Electricity use in the Chemicals: High Value Chemicals  technology</v>
      </c>
      <c r="E649" s="121">
        <v>1</v>
      </c>
      <c r="F649" s="121" t="s">
        <v>1917</v>
      </c>
      <c r="G649" s="242"/>
      <c r="H649" s="242"/>
      <c r="I649" s="370">
        <v>0.05</v>
      </c>
      <c r="J649" s="370">
        <f t="shared" si="27"/>
        <v>0.05</v>
      </c>
      <c r="K649" s="370">
        <f t="shared" si="27"/>
        <v>0.05</v>
      </c>
      <c r="L649" s="370">
        <f t="shared" si="27"/>
        <v>0.05</v>
      </c>
      <c r="M649" s="370">
        <f t="shared" si="27"/>
        <v>0.05</v>
      </c>
      <c r="N649" s="370">
        <f t="shared" si="27"/>
        <v>0.05</v>
      </c>
      <c r="O649" s="370">
        <f t="shared" si="27"/>
        <v>0.05</v>
      </c>
      <c r="P649" s="370">
        <f t="shared" si="27"/>
        <v>0.05</v>
      </c>
      <c r="Q649" s="370">
        <v>0.05</v>
      </c>
      <c r="R649" s="242"/>
      <c r="T649" s="20"/>
      <c r="U649" s="20"/>
      <c r="V649" s="20"/>
      <c r="W649" s="20"/>
      <c r="X649" s="20"/>
    </row>
    <row r="650" spans="1:24" s="65" customFormat="1" ht="15" customHeight="1" outlineLevel="2">
      <c r="A650" s="219"/>
      <c r="B650" s="242"/>
      <c r="C650" s="242" t="s">
        <v>1821</v>
      </c>
      <c r="D650" s="121" t="str">
        <f t="array" ref="D650">INDEX(Regional.Technologies[Description],MATCH($B$2&amp;"."&amp;G.30.levels.EnergyEfficiencyCHP[[#This Row],[Technology code]],Regional.Technologies[Code],0))</f>
        <v>Global Electricity use in the Chemicals: High Value Chemicals  technology</v>
      </c>
      <c r="E650" s="121">
        <v>2</v>
      </c>
      <c r="F650" s="121" t="s">
        <v>1917</v>
      </c>
      <c r="G650" s="242"/>
      <c r="H650" s="242"/>
      <c r="I650" s="370">
        <v>0.05</v>
      </c>
      <c r="J650" s="370">
        <f t="shared" si="27"/>
        <v>5.5128205128205134E-2</v>
      </c>
      <c r="K650" s="370">
        <f t="shared" si="27"/>
        <v>6.1538461538461542E-2</v>
      </c>
      <c r="L650" s="370">
        <f t="shared" si="27"/>
        <v>6.7948717948717957E-2</v>
      </c>
      <c r="M650" s="370">
        <f t="shared" si="27"/>
        <v>7.4358974358974358E-2</v>
      </c>
      <c r="N650" s="370">
        <f t="shared" si="27"/>
        <v>8.0769230769230774E-2</v>
      </c>
      <c r="O650" s="370">
        <f t="shared" si="27"/>
        <v>8.7179487179487175E-2</v>
      </c>
      <c r="P650" s="370">
        <f t="shared" si="27"/>
        <v>9.358974358974359E-2</v>
      </c>
      <c r="Q650" s="370">
        <v>0.1</v>
      </c>
      <c r="R650" s="242"/>
      <c r="T650" s="20"/>
      <c r="U650" s="20"/>
      <c r="V650" s="20"/>
      <c r="W650" s="20"/>
      <c r="X650" s="20"/>
    </row>
    <row r="651" spans="1:24" s="65" customFormat="1" ht="15" customHeight="1" outlineLevel="2">
      <c r="A651" s="219"/>
      <c r="B651" s="242"/>
      <c r="C651" s="242" t="s">
        <v>1821</v>
      </c>
      <c r="D651" s="121" t="str">
        <f t="array" ref="D651">INDEX(Regional.Technologies[Description],MATCH($B$2&amp;"."&amp;G.30.levels.EnergyEfficiencyCHP[[#This Row],[Technology code]],Regional.Technologies[Code],0))</f>
        <v>Global Electricity use in the Chemicals: High Value Chemicals  technology</v>
      </c>
      <c r="E651" s="121">
        <v>3</v>
      </c>
      <c r="F651" s="121" t="s">
        <v>1917</v>
      </c>
      <c r="G651" s="242"/>
      <c r="H651" s="242"/>
      <c r="I651" s="370">
        <v>0.05</v>
      </c>
      <c r="J651" s="370">
        <f t="shared" si="27"/>
        <v>6.0256410256410257E-2</v>
      </c>
      <c r="K651" s="370">
        <f t="shared" si="27"/>
        <v>7.3076923076923081E-2</v>
      </c>
      <c r="L651" s="370">
        <f t="shared" si="27"/>
        <v>8.5897435897435898E-2</v>
      </c>
      <c r="M651" s="370">
        <f t="shared" si="27"/>
        <v>9.8717948717948728E-2</v>
      </c>
      <c r="N651" s="370">
        <f t="shared" si="27"/>
        <v>0.11153846153846154</v>
      </c>
      <c r="O651" s="370">
        <f t="shared" si="27"/>
        <v>0.12435897435897436</v>
      </c>
      <c r="P651" s="370">
        <f t="shared" si="27"/>
        <v>0.13717948717948719</v>
      </c>
      <c r="Q651" s="370">
        <v>0.15</v>
      </c>
      <c r="R651" s="242"/>
      <c r="T651" s="20"/>
      <c r="U651" s="20"/>
      <c r="V651" s="20"/>
      <c r="W651" s="20"/>
      <c r="X651" s="20"/>
    </row>
    <row r="652" spans="1:24" s="65" customFormat="1" ht="15" customHeight="1" outlineLevel="2">
      <c r="A652" s="219"/>
      <c r="B652" s="242"/>
      <c r="C652" s="242" t="s">
        <v>1821</v>
      </c>
      <c r="D652" s="121" t="str">
        <f t="array" ref="D652">INDEX(Regional.Technologies[Description],MATCH($B$2&amp;"."&amp;G.30.levels.EnergyEfficiencyCHP[[#This Row],[Technology code]],Regional.Technologies[Code],0))</f>
        <v>Global Electricity use in the Chemicals: High Value Chemicals  technology</v>
      </c>
      <c r="E652" s="121">
        <v>4</v>
      </c>
      <c r="F652" s="121" t="s">
        <v>1917</v>
      </c>
      <c r="G652" s="242"/>
      <c r="H652" s="242"/>
      <c r="I652" s="370">
        <v>0.05</v>
      </c>
      <c r="J652" s="370">
        <f t="shared" si="27"/>
        <v>6.5384615384615388E-2</v>
      </c>
      <c r="K652" s="370">
        <f t="shared" si="27"/>
        <v>8.461538461538462E-2</v>
      </c>
      <c r="L652" s="370">
        <f t="shared" si="27"/>
        <v>0.10384615384615387</v>
      </c>
      <c r="M652" s="370">
        <f t="shared" si="27"/>
        <v>0.1230769230769231</v>
      </c>
      <c r="N652" s="370">
        <f t="shared" si="27"/>
        <v>0.14230769230769233</v>
      </c>
      <c r="O652" s="370">
        <f t="shared" si="27"/>
        <v>0.16153846153846158</v>
      </c>
      <c r="P652" s="370">
        <f t="shared" si="27"/>
        <v>0.18076923076923079</v>
      </c>
      <c r="Q652" s="370">
        <v>0.2</v>
      </c>
      <c r="R652" s="242"/>
      <c r="T652" s="20"/>
      <c r="U652" s="20"/>
      <c r="V652" s="20"/>
      <c r="W652" s="20"/>
      <c r="X652" s="20"/>
    </row>
    <row r="653" spans="1:24" s="65" customFormat="1" ht="15" customHeight="1" outlineLevel="2">
      <c r="A653" s="219"/>
      <c r="B653" s="242"/>
      <c r="C653" s="242" t="s">
        <v>1827</v>
      </c>
      <c r="D653" s="121" t="str">
        <f t="array" ref="D653">INDEX(Regional.Technologies[Description],MATCH($B$2&amp;"."&amp;G.30.levels.EnergyEfficiencyCHP[[#This Row],[Technology code]],Regional.Technologies[Code],0))</f>
        <v>Global Electricity use in the Chemicals: Ammonia technology</v>
      </c>
      <c r="E653" s="121">
        <v>1</v>
      </c>
      <c r="F653" s="242" t="s">
        <v>1918</v>
      </c>
      <c r="G653" s="242"/>
      <c r="H653" s="242"/>
      <c r="I653" s="370">
        <v>0.05</v>
      </c>
      <c r="J653" s="370">
        <f t="shared" si="27"/>
        <v>0.05</v>
      </c>
      <c r="K653" s="370">
        <f t="shared" si="27"/>
        <v>0.05</v>
      </c>
      <c r="L653" s="370">
        <f t="shared" si="27"/>
        <v>0.05</v>
      </c>
      <c r="M653" s="370">
        <f t="shared" si="27"/>
        <v>0.05</v>
      </c>
      <c r="N653" s="370">
        <f t="shared" si="27"/>
        <v>0.05</v>
      </c>
      <c r="O653" s="370">
        <f t="shared" si="27"/>
        <v>0.05</v>
      </c>
      <c r="P653" s="370">
        <f t="shared" si="27"/>
        <v>0.05</v>
      </c>
      <c r="Q653" s="370">
        <v>0.05</v>
      </c>
      <c r="R653" s="242"/>
      <c r="T653" s="20"/>
      <c r="U653" s="20"/>
      <c r="V653" s="20"/>
      <c r="W653" s="20"/>
      <c r="X653" s="20"/>
    </row>
    <row r="654" spans="1:24" s="65" customFormat="1" ht="15" customHeight="1" outlineLevel="2">
      <c r="A654" s="219"/>
      <c r="B654" s="242"/>
      <c r="C654" s="242" t="s">
        <v>1827</v>
      </c>
      <c r="D654" s="121" t="str">
        <f t="array" ref="D654">INDEX(Regional.Technologies[Description],MATCH($B$2&amp;"."&amp;G.30.levels.EnergyEfficiencyCHP[[#This Row],[Technology code]],Regional.Technologies[Code],0))</f>
        <v>Global Electricity use in the Chemicals: Ammonia technology</v>
      </c>
      <c r="E654" s="121">
        <v>2</v>
      </c>
      <c r="F654" s="242" t="s">
        <v>1918</v>
      </c>
      <c r="G654" s="242"/>
      <c r="H654" s="242"/>
      <c r="I654" s="370">
        <v>0.05</v>
      </c>
      <c r="J654" s="370">
        <f t="shared" si="27"/>
        <v>5.5128205128205134E-2</v>
      </c>
      <c r="K654" s="370">
        <f t="shared" si="27"/>
        <v>6.1538461538461542E-2</v>
      </c>
      <c r="L654" s="370">
        <f t="shared" si="27"/>
        <v>6.7948717948717957E-2</v>
      </c>
      <c r="M654" s="370">
        <f t="shared" si="27"/>
        <v>7.4358974358974358E-2</v>
      </c>
      <c r="N654" s="370">
        <f t="shared" si="27"/>
        <v>8.0769230769230774E-2</v>
      </c>
      <c r="O654" s="370">
        <f t="shared" si="27"/>
        <v>8.7179487179487175E-2</v>
      </c>
      <c r="P654" s="370">
        <f t="shared" si="27"/>
        <v>9.358974358974359E-2</v>
      </c>
      <c r="Q654" s="370">
        <v>0.1</v>
      </c>
      <c r="R654" s="242"/>
      <c r="T654" s="20"/>
      <c r="U654" s="20"/>
      <c r="V654" s="20"/>
      <c r="W654" s="20"/>
      <c r="X654" s="20"/>
    </row>
    <row r="655" spans="1:24" s="65" customFormat="1" ht="15" customHeight="1" outlineLevel="2">
      <c r="A655" s="219"/>
      <c r="B655" s="242"/>
      <c r="C655" s="242" t="s">
        <v>1827</v>
      </c>
      <c r="D655" s="121" t="str">
        <f t="array" ref="D655">INDEX(Regional.Technologies[Description],MATCH($B$2&amp;"."&amp;G.30.levels.EnergyEfficiencyCHP[[#This Row],[Technology code]],Regional.Technologies[Code],0))</f>
        <v>Global Electricity use in the Chemicals: Ammonia technology</v>
      </c>
      <c r="E655" s="121">
        <v>3</v>
      </c>
      <c r="F655" s="242" t="s">
        <v>1918</v>
      </c>
      <c r="G655" s="242"/>
      <c r="H655" s="242"/>
      <c r="I655" s="370">
        <v>0.05</v>
      </c>
      <c r="J655" s="370">
        <f t="shared" si="27"/>
        <v>6.0256410256410257E-2</v>
      </c>
      <c r="K655" s="370">
        <f t="shared" si="27"/>
        <v>7.3076923076923081E-2</v>
      </c>
      <c r="L655" s="370">
        <f t="shared" si="27"/>
        <v>8.5897435897435898E-2</v>
      </c>
      <c r="M655" s="370">
        <f t="shared" si="27"/>
        <v>9.8717948717948728E-2</v>
      </c>
      <c r="N655" s="370">
        <f t="shared" si="27"/>
        <v>0.11153846153846154</v>
      </c>
      <c r="O655" s="370">
        <f t="shared" si="27"/>
        <v>0.12435897435897436</v>
      </c>
      <c r="P655" s="370">
        <f t="shared" si="27"/>
        <v>0.13717948717948719</v>
      </c>
      <c r="Q655" s="370">
        <v>0.15</v>
      </c>
      <c r="R655" s="242"/>
      <c r="T655" s="20"/>
      <c r="U655" s="20"/>
      <c r="V655" s="20"/>
      <c r="W655" s="20"/>
      <c r="X655" s="20"/>
    </row>
    <row r="656" spans="1:24" s="65" customFormat="1" ht="15" customHeight="1" outlineLevel="2">
      <c r="A656" s="219"/>
      <c r="B656" s="242"/>
      <c r="C656" s="242" t="s">
        <v>1827</v>
      </c>
      <c r="D656" s="121" t="str">
        <f t="array" ref="D656">INDEX(Regional.Technologies[Description],MATCH($B$2&amp;"."&amp;G.30.levels.EnergyEfficiencyCHP[[#This Row],[Technology code]],Regional.Technologies[Code],0))</f>
        <v>Global Electricity use in the Chemicals: Ammonia technology</v>
      </c>
      <c r="E656" s="121">
        <v>4</v>
      </c>
      <c r="F656" s="242" t="s">
        <v>1918</v>
      </c>
      <c r="G656" s="242"/>
      <c r="H656" s="242"/>
      <c r="I656" s="370">
        <v>0.05</v>
      </c>
      <c r="J656" s="370">
        <f t="shared" si="27"/>
        <v>6.5384615384615388E-2</v>
      </c>
      <c r="K656" s="370">
        <f t="shared" si="27"/>
        <v>8.461538461538462E-2</v>
      </c>
      <c r="L656" s="370">
        <f t="shared" si="27"/>
        <v>0.10384615384615387</v>
      </c>
      <c r="M656" s="370">
        <f t="shared" si="27"/>
        <v>0.1230769230769231</v>
      </c>
      <c r="N656" s="370">
        <f t="shared" si="27"/>
        <v>0.14230769230769233</v>
      </c>
      <c r="O656" s="370">
        <f t="shared" si="27"/>
        <v>0.16153846153846158</v>
      </c>
      <c r="P656" s="370">
        <f t="shared" si="27"/>
        <v>0.18076923076923079</v>
      </c>
      <c r="Q656" s="370">
        <v>0.2</v>
      </c>
      <c r="R656" s="242"/>
      <c r="T656" s="20"/>
      <c r="U656" s="20"/>
      <c r="V656" s="20"/>
      <c r="W656" s="20"/>
      <c r="X656" s="20"/>
    </row>
    <row r="657" spans="1:24" s="65" customFormat="1" ht="15" customHeight="1" outlineLevel="2">
      <c r="A657" s="219"/>
      <c r="B657" s="242"/>
      <c r="C657" s="242" t="s">
        <v>1833</v>
      </c>
      <c r="D657" s="121" t="str">
        <f t="array" ref="D657">INDEX(Regional.Technologies[Description],MATCH($B$2&amp;"."&amp;G.30.levels.EnergyEfficiencyCHP[[#This Row],[Technology code]],Regional.Technologies[Code],0))</f>
        <v>Global Electricity use in the Chemicals: Methanol technology</v>
      </c>
      <c r="E657" s="121">
        <v>1</v>
      </c>
      <c r="F657" s="242" t="s">
        <v>1919</v>
      </c>
      <c r="G657" s="242"/>
      <c r="H657" s="242"/>
      <c r="I657" s="370">
        <v>0.05</v>
      </c>
      <c r="J657" s="370">
        <f t="shared" si="27"/>
        <v>0.05</v>
      </c>
      <c r="K657" s="370">
        <f t="shared" si="27"/>
        <v>0.05</v>
      </c>
      <c r="L657" s="370">
        <f t="shared" si="27"/>
        <v>0.05</v>
      </c>
      <c r="M657" s="370">
        <f t="shared" si="27"/>
        <v>0.05</v>
      </c>
      <c r="N657" s="370">
        <f t="shared" si="27"/>
        <v>0.05</v>
      </c>
      <c r="O657" s="370">
        <f t="shared" si="27"/>
        <v>0.05</v>
      </c>
      <c r="P657" s="370">
        <f t="shared" si="27"/>
        <v>0.05</v>
      </c>
      <c r="Q657" s="370">
        <v>0.05</v>
      </c>
      <c r="R657" s="242"/>
      <c r="T657" s="20"/>
      <c r="U657" s="20"/>
      <c r="V657" s="20"/>
      <c r="W657" s="20"/>
      <c r="X657" s="20"/>
    </row>
    <row r="658" spans="1:24" s="65" customFormat="1" ht="15" customHeight="1" outlineLevel="2">
      <c r="A658" s="219"/>
      <c r="B658" s="242"/>
      <c r="C658" s="242" t="s">
        <v>1833</v>
      </c>
      <c r="D658" s="121" t="str">
        <f t="array" ref="D658">INDEX(Regional.Technologies[Description],MATCH($B$2&amp;"."&amp;G.30.levels.EnergyEfficiencyCHP[[#This Row],[Technology code]],Regional.Technologies[Code],0))</f>
        <v>Global Electricity use in the Chemicals: Methanol technology</v>
      </c>
      <c r="E658" s="121">
        <v>2</v>
      </c>
      <c r="F658" s="242" t="s">
        <v>1919</v>
      </c>
      <c r="G658" s="242"/>
      <c r="H658" s="242"/>
      <c r="I658" s="370">
        <v>0.05</v>
      </c>
      <c r="J658" s="370">
        <f t="shared" si="27"/>
        <v>5.5128205128205134E-2</v>
      </c>
      <c r="K658" s="370">
        <f t="shared" si="27"/>
        <v>6.1538461538461542E-2</v>
      </c>
      <c r="L658" s="370">
        <f t="shared" si="27"/>
        <v>6.7948717948717957E-2</v>
      </c>
      <c r="M658" s="370">
        <f t="shared" si="27"/>
        <v>7.4358974358974358E-2</v>
      </c>
      <c r="N658" s="370">
        <f t="shared" si="27"/>
        <v>8.0769230769230774E-2</v>
      </c>
      <c r="O658" s="370">
        <f t="shared" si="27"/>
        <v>8.7179487179487175E-2</v>
      </c>
      <c r="P658" s="370">
        <f t="shared" si="27"/>
        <v>9.358974358974359E-2</v>
      </c>
      <c r="Q658" s="370">
        <v>0.1</v>
      </c>
      <c r="R658" s="242"/>
      <c r="T658" s="20"/>
      <c r="U658" s="20"/>
      <c r="V658" s="20"/>
      <c r="W658" s="20"/>
      <c r="X658" s="20"/>
    </row>
    <row r="659" spans="1:24" s="65" customFormat="1" ht="15" customHeight="1" outlineLevel="2">
      <c r="A659" s="219"/>
      <c r="B659" s="242"/>
      <c r="C659" s="242" t="s">
        <v>1833</v>
      </c>
      <c r="D659" s="121" t="str">
        <f t="array" ref="D659">INDEX(Regional.Technologies[Description],MATCH($B$2&amp;"."&amp;G.30.levels.EnergyEfficiencyCHP[[#This Row],[Technology code]],Regional.Technologies[Code],0))</f>
        <v>Global Electricity use in the Chemicals: Methanol technology</v>
      </c>
      <c r="E659" s="121">
        <v>3</v>
      </c>
      <c r="F659" s="242" t="s">
        <v>1919</v>
      </c>
      <c r="G659" s="242"/>
      <c r="H659" s="242"/>
      <c r="I659" s="370">
        <v>0.05</v>
      </c>
      <c r="J659" s="370">
        <f t="shared" si="27"/>
        <v>6.0256410256410257E-2</v>
      </c>
      <c r="K659" s="370">
        <f t="shared" si="27"/>
        <v>7.3076923076923081E-2</v>
      </c>
      <c r="L659" s="370">
        <f t="shared" si="27"/>
        <v>8.5897435897435898E-2</v>
      </c>
      <c r="M659" s="370">
        <f t="shared" si="27"/>
        <v>9.8717948717948728E-2</v>
      </c>
      <c r="N659" s="370">
        <f t="shared" si="27"/>
        <v>0.11153846153846154</v>
      </c>
      <c r="O659" s="370">
        <f t="shared" si="27"/>
        <v>0.12435897435897436</v>
      </c>
      <c r="P659" s="370">
        <f t="shared" si="27"/>
        <v>0.13717948717948719</v>
      </c>
      <c r="Q659" s="370">
        <v>0.15</v>
      </c>
      <c r="R659" s="242"/>
      <c r="T659" s="20"/>
      <c r="U659" s="20"/>
      <c r="V659" s="20"/>
      <c r="W659" s="20"/>
      <c r="X659" s="20"/>
    </row>
    <row r="660" spans="1:24" s="65" customFormat="1" ht="15" customHeight="1" outlineLevel="2">
      <c r="A660" s="219"/>
      <c r="B660" s="242"/>
      <c r="C660" s="242" t="s">
        <v>1833</v>
      </c>
      <c r="D660" s="121" t="str">
        <f t="array" ref="D660">INDEX(Regional.Technologies[Description],MATCH($B$2&amp;"."&amp;G.30.levels.EnergyEfficiencyCHP[[#This Row],[Technology code]],Regional.Technologies[Code],0))</f>
        <v>Global Electricity use in the Chemicals: Methanol technology</v>
      </c>
      <c r="E660" s="121">
        <v>4</v>
      </c>
      <c r="F660" s="242" t="s">
        <v>1919</v>
      </c>
      <c r="G660" s="242"/>
      <c r="H660" s="242"/>
      <c r="I660" s="370">
        <v>0.05</v>
      </c>
      <c r="J660" s="370">
        <f t="shared" si="27"/>
        <v>6.5384615384615388E-2</v>
      </c>
      <c r="K660" s="370">
        <f t="shared" si="27"/>
        <v>8.461538461538462E-2</v>
      </c>
      <c r="L660" s="370">
        <f t="shared" si="27"/>
        <v>0.10384615384615387</v>
      </c>
      <c r="M660" s="370">
        <f t="shared" si="27"/>
        <v>0.1230769230769231</v>
      </c>
      <c r="N660" s="370">
        <f t="shared" si="27"/>
        <v>0.14230769230769233</v>
      </c>
      <c r="O660" s="370">
        <f t="shared" si="27"/>
        <v>0.16153846153846158</v>
      </c>
      <c r="P660" s="370">
        <f t="shared" si="27"/>
        <v>0.18076923076923079</v>
      </c>
      <c r="Q660" s="370">
        <v>0.2</v>
      </c>
      <c r="R660" s="242"/>
      <c r="T660" s="20"/>
      <c r="U660" s="20"/>
      <c r="V660" s="20"/>
      <c r="W660" s="20"/>
      <c r="X660" s="20"/>
    </row>
    <row r="661" spans="1:24" s="65" customFormat="1" ht="15" customHeight="1" outlineLevel="2">
      <c r="A661" s="219"/>
      <c r="B661" s="242"/>
      <c r="C661" s="242" t="s">
        <v>1839</v>
      </c>
      <c r="D661" s="121" t="str">
        <f t="array" ref="D661">INDEX(Regional.Technologies[Description],MATCH($B$2&amp;"."&amp;G.30.levels.EnergyEfficiencyCHP[[#This Row],[Technology code]],Regional.Technologies[Code],0))</f>
        <v>Global Electricity use in the Chemicals: Others technology</v>
      </c>
      <c r="E661" s="121">
        <v>1</v>
      </c>
      <c r="F661" s="242" t="s">
        <v>1920</v>
      </c>
      <c r="G661" s="242"/>
      <c r="H661" s="242"/>
      <c r="I661" s="370">
        <v>0.05</v>
      </c>
      <c r="J661" s="370">
        <f t="shared" ref="J661:P676" si="28">(($Q661-$I661)/($Q$121-$I$121))*(J$121-$I$121)+$I661</f>
        <v>0.05</v>
      </c>
      <c r="K661" s="370">
        <f t="shared" si="28"/>
        <v>0.05</v>
      </c>
      <c r="L661" s="370">
        <f t="shared" si="28"/>
        <v>0.05</v>
      </c>
      <c r="M661" s="370">
        <f t="shared" si="28"/>
        <v>0.05</v>
      </c>
      <c r="N661" s="370">
        <f t="shared" si="28"/>
        <v>0.05</v>
      </c>
      <c r="O661" s="370">
        <f t="shared" si="28"/>
        <v>0.05</v>
      </c>
      <c r="P661" s="370">
        <f t="shared" si="28"/>
        <v>0.05</v>
      </c>
      <c r="Q661" s="370">
        <v>0.05</v>
      </c>
      <c r="R661" s="242"/>
      <c r="T661" s="20"/>
      <c r="U661" s="20"/>
      <c r="V661" s="20"/>
      <c r="W661" s="20"/>
      <c r="X661" s="20"/>
    </row>
    <row r="662" spans="1:24" s="65" customFormat="1" ht="15" customHeight="1" outlineLevel="2">
      <c r="A662" s="219"/>
      <c r="B662" s="242"/>
      <c r="C662" s="242" t="s">
        <v>1839</v>
      </c>
      <c r="D662" s="121" t="str">
        <f t="array" ref="D662">INDEX(Regional.Technologies[Description],MATCH($B$2&amp;"."&amp;G.30.levels.EnergyEfficiencyCHP[[#This Row],[Technology code]],Regional.Technologies[Code],0))</f>
        <v>Global Electricity use in the Chemicals: Others technology</v>
      </c>
      <c r="E662" s="121">
        <v>2</v>
      </c>
      <c r="F662" s="242" t="s">
        <v>1920</v>
      </c>
      <c r="G662" s="242"/>
      <c r="H662" s="242"/>
      <c r="I662" s="370">
        <v>0.05</v>
      </c>
      <c r="J662" s="370">
        <f t="shared" si="28"/>
        <v>5.5128205128205134E-2</v>
      </c>
      <c r="K662" s="370">
        <f t="shared" si="28"/>
        <v>6.1538461538461542E-2</v>
      </c>
      <c r="L662" s="370">
        <f t="shared" si="28"/>
        <v>6.7948717948717957E-2</v>
      </c>
      <c r="M662" s="370">
        <f t="shared" si="28"/>
        <v>7.4358974358974358E-2</v>
      </c>
      <c r="N662" s="370">
        <f t="shared" si="28"/>
        <v>8.0769230769230774E-2</v>
      </c>
      <c r="O662" s="370">
        <f t="shared" si="28"/>
        <v>8.7179487179487175E-2</v>
      </c>
      <c r="P662" s="370">
        <f t="shared" si="28"/>
        <v>9.358974358974359E-2</v>
      </c>
      <c r="Q662" s="370">
        <v>0.1</v>
      </c>
      <c r="R662" s="242"/>
      <c r="T662" s="20"/>
      <c r="U662" s="20"/>
      <c r="V662" s="20"/>
      <c r="W662" s="20"/>
      <c r="X662" s="20"/>
    </row>
    <row r="663" spans="1:24" s="65" customFormat="1" ht="15" customHeight="1" outlineLevel="2">
      <c r="A663" s="219"/>
      <c r="B663" s="242"/>
      <c r="C663" s="242" t="s">
        <v>1839</v>
      </c>
      <c r="D663" s="121" t="str">
        <f t="array" ref="D663">INDEX(Regional.Technologies[Description],MATCH($B$2&amp;"."&amp;G.30.levels.EnergyEfficiencyCHP[[#This Row],[Technology code]],Regional.Technologies[Code],0))</f>
        <v>Global Electricity use in the Chemicals: Others technology</v>
      </c>
      <c r="E663" s="121">
        <v>3</v>
      </c>
      <c r="F663" s="242" t="s">
        <v>1920</v>
      </c>
      <c r="G663" s="242"/>
      <c r="H663" s="242"/>
      <c r="I663" s="370">
        <v>0.05</v>
      </c>
      <c r="J663" s="370">
        <f t="shared" si="28"/>
        <v>6.0256410256410257E-2</v>
      </c>
      <c r="K663" s="370">
        <f t="shared" si="28"/>
        <v>7.3076923076923081E-2</v>
      </c>
      <c r="L663" s="370">
        <f t="shared" si="28"/>
        <v>8.5897435897435898E-2</v>
      </c>
      <c r="M663" s="370">
        <f t="shared" si="28"/>
        <v>9.8717948717948728E-2</v>
      </c>
      <c r="N663" s="370">
        <f t="shared" si="28"/>
        <v>0.11153846153846154</v>
      </c>
      <c r="O663" s="370">
        <f t="shared" si="28"/>
        <v>0.12435897435897436</v>
      </c>
      <c r="P663" s="370">
        <f t="shared" si="28"/>
        <v>0.13717948717948719</v>
      </c>
      <c r="Q663" s="370">
        <v>0.15</v>
      </c>
      <c r="R663" s="242"/>
      <c r="T663" s="20"/>
      <c r="U663" s="20"/>
      <c r="V663" s="20"/>
      <c r="W663" s="20"/>
      <c r="X663" s="20"/>
    </row>
    <row r="664" spans="1:24" s="65" customFormat="1" ht="15" customHeight="1" outlineLevel="2">
      <c r="A664" s="219"/>
      <c r="B664" s="242"/>
      <c r="C664" s="242" t="s">
        <v>1839</v>
      </c>
      <c r="D664" s="121" t="str">
        <f t="array" ref="D664">INDEX(Regional.Technologies[Description],MATCH($B$2&amp;"."&amp;G.30.levels.EnergyEfficiencyCHP[[#This Row],[Technology code]],Regional.Technologies[Code],0))</f>
        <v>Global Electricity use in the Chemicals: Others technology</v>
      </c>
      <c r="E664" s="121">
        <v>4</v>
      </c>
      <c r="F664" s="242" t="s">
        <v>1920</v>
      </c>
      <c r="G664" s="242"/>
      <c r="H664" s="242"/>
      <c r="I664" s="370">
        <v>0.05</v>
      </c>
      <c r="J664" s="370">
        <f t="shared" si="28"/>
        <v>6.5384615384615388E-2</v>
      </c>
      <c r="K664" s="370">
        <f t="shared" si="28"/>
        <v>8.461538461538462E-2</v>
      </c>
      <c r="L664" s="370">
        <f t="shared" si="28"/>
        <v>0.10384615384615387</v>
      </c>
      <c r="M664" s="370">
        <f t="shared" si="28"/>
        <v>0.1230769230769231</v>
      </c>
      <c r="N664" s="370">
        <f t="shared" si="28"/>
        <v>0.14230769230769233</v>
      </c>
      <c r="O664" s="370">
        <f t="shared" si="28"/>
        <v>0.16153846153846158</v>
      </c>
      <c r="P664" s="370">
        <f t="shared" si="28"/>
        <v>0.18076923076923079</v>
      </c>
      <c r="Q664" s="370">
        <v>0.2</v>
      </c>
      <c r="R664" s="242"/>
      <c r="T664" s="20"/>
      <c r="U664" s="20"/>
      <c r="V664" s="20"/>
      <c r="W664" s="20"/>
      <c r="X664" s="20"/>
    </row>
    <row r="665" spans="1:24" s="65" customFormat="1" ht="15" customHeight="1" outlineLevel="2">
      <c r="A665" s="219"/>
      <c r="B665" s="242"/>
      <c r="C665" s="242" t="s">
        <v>1845</v>
      </c>
      <c r="D665" s="121" t="str">
        <f t="array" ref="D665">INDEX(Regional.Technologies[Description],MATCH($B$2&amp;"."&amp;G.30.levels.EnergyEfficiencyCHP[[#This Row],[Technology code]],Regional.Technologies[Code],0))</f>
        <v>Global Electricity use in the Pulp &amp; paper: Pulp technology</v>
      </c>
      <c r="E665" s="121">
        <v>1</v>
      </c>
      <c r="F665" s="242" t="s">
        <v>1921</v>
      </c>
      <c r="G665" s="242"/>
      <c r="H665" s="242"/>
      <c r="I665" s="370">
        <v>0.05</v>
      </c>
      <c r="J665" s="370">
        <f t="shared" si="28"/>
        <v>0.05</v>
      </c>
      <c r="K665" s="370">
        <f t="shared" si="28"/>
        <v>0.05</v>
      </c>
      <c r="L665" s="370">
        <f t="shared" si="28"/>
        <v>0.05</v>
      </c>
      <c r="M665" s="370">
        <f t="shared" si="28"/>
        <v>0.05</v>
      </c>
      <c r="N665" s="370">
        <f t="shared" si="28"/>
        <v>0.05</v>
      </c>
      <c r="O665" s="370">
        <f t="shared" si="28"/>
        <v>0.05</v>
      </c>
      <c r="P665" s="370">
        <f t="shared" si="28"/>
        <v>0.05</v>
      </c>
      <c r="Q665" s="370">
        <v>0.05</v>
      </c>
      <c r="R665" s="242"/>
      <c r="T665" s="20"/>
      <c r="U665" s="20"/>
      <c r="V665" s="20"/>
      <c r="W665" s="20"/>
      <c r="X665" s="20"/>
    </row>
    <row r="666" spans="1:24" s="65" customFormat="1" ht="15" customHeight="1" outlineLevel="2">
      <c r="A666" s="219"/>
      <c r="B666" s="242"/>
      <c r="C666" s="242" t="s">
        <v>1845</v>
      </c>
      <c r="D666" s="121" t="str">
        <f t="array" ref="D666">INDEX(Regional.Technologies[Description],MATCH($B$2&amp;"."&amp;G.30.levels.EnergyEfficiencyCHP[[#This Row],[Technology code]],Regional.Technologies[Code],0))</f>
        <v>Global Electricity use in the Pulp &amp; paper: Pulp technology</v>
      </c>
      <c r="E666" s="121">
        <v>2</v>
      </c>
      <c r="F666" s="242" t="s">
        <v>1921</v>
      </c>
      <c r="G666" s="242"/>
      <c r="H666" s="242"/>
      <c r="I666" s="370">
        <v>0.05</v>
      </c>
      <c r="J666" s="370">
        <f t="shared" si="28"/>
        <v>5.5128205128205134E-2</v>
      </c>
      <c r="K666" s="370">
        <f t="shared" si="28"/>
        <v>6.1538461538461542E-2</v>
      </c>
      <c r="L666" s="370">
        <f t="shared" si="28"/>
        <v>6.7948717948717957E-2</v>
      </c>
      <c r="M666" s="370">
        <f t="shared" si="28"/>
        <v>7.4358974358974358E-2</v>
      </c>
      <c r="N666" s="370">
        <f t="shared" si="28"/>
        <v>8.0769230769230774E-2</v>
      </c>
      <c r="O666" s="370">
        <f t="shared" si="28"/>
        <v>8.7179487179487175E-2</v>
      </c>
      <c r="P666" s="370">
        <f t="shared" si="28"/>
        <v>9.358974358974359E-2</v>
      </c>
      <c r="Q666" s="370">
        <v>0.1</v>
      </c>
      <c r="R666" s="242"/>
      <c r="T666" s="20"/>
      <c r="U666" s="20"/>
      <c r="V666" s="20"/>
      <c r="W666" s="20"/>
      <c r="X666" s="20"/>
    </row>
    <row r="667" spans="1:24" s="65" customFormat="1" ht="15" customHeight="1" outlineLevel="2">
      <c r="A667" s="219"/>
      <c r="B667" s="242"/>
      <c r="C667" s="242" t="s">
        <v>1845</v>
      </c>
      <c r="D667" s="121" t="str">
        <f t="array" ref="D667">INDEX(Regional.Technologies[Description],MATCH($B$2&amp;"."&amp;G.30.levels.EnergyEfficiencyCHP[[#This Row],[Technology code]],Regional.Technologies[Code],0))</f>
        <v>Global Electricity use in the Pulp &amp; paper: Pulp technology</v>
      </c>
      <c r="E667" s="121">
        <v>3</v>
      </c>
      <c r="F667" s="242" t="s">
        <v>1921</v>
      </c>
      <c r="G667" s="242"/>
      <c r="H667" s="242"/>
      <c r="I667" s="370">
        <v>0.05</v>
      </c>
      <c r="J667" s="370">
        <f t="shared" si="28"/>
        <v>6.0256410256410257E-2</v>
      </c>
      <c r="K667" s="370">
        <f t="shared" si="28"/>
        <v>7.3076923076923081E-2</v>
      </c>
      <c r="L667" s="370">
        <f t="shared" si="28"/>
        <v>8.5897435897435898E-2</v>
      </c>
      <c r="M667" s="370">
        <f t="shared" si="28"/>
        <v>9.8717948717948728E-2</v>
      </c>
      <c r="N667" s="370">
        <f t="shared" si="28"/>
        <v>0.11153846153846154</v>
      </c>
      <c r="O667" s="370">
        <f t="shared" si="28"/>
        <v>0.12435897435897436</v>
      </c>
      <c r="P667" s="370">
        <f t="shared" si="28"/>
        <v>0.13717948717948719</v>
      </c>
      <c r="Q667" s="370">
        <v>0.15</v>
      </c>
      <c r="R667" s="242"/>
      <c r="T667" s="20"/>
      <c r="U667" s="20"/>
      <c r="V667" s="20"/>
      <c r="W667" s="20"/>
      <c r="X667" s="20"/>
    </row>
    <row r="668" spans="1:24" s="65" customFormat="1" ht="15" customHeight="1" outlineLevel="2">
      <c r="A668" s="219"/>
      <c r="B668" s="242"/>
      <c r="C668" s="242" t="s">
        <v>1845</v>
      </c>
      <c r="D668" s="121" t="str">
        <f t="array" ref="D668">INDEX(Regional.Technologies[Description],MATCH($B$2&amp;"."&amp;G.30.levels.EnergyEfficiencyCHP[[#This Row],[Technology code]],Regional.Technologies[Code],0))</f>
        <v>Global Electricity use in the Pulp &amp; paper: Pulp technology</v>
      </c>
      <c r="E668" s="121">
        <v>4</v>
      </c>
      <c r="F668" s="242" t="s">
        <v>1921</v>
      </c>
      <c r="G668" s="242"/>
      <c r="H668" s="242"/>
      <c r="I668" s="370">
        <v>0.05</v>
      </c>
      <c r="J668" s="370">
        <f t="shared" si="28"/>
        <v>6.5384615384615388E-2</v>
      </c>
      <c r="K668" s="370">
        <f t="shared" si="28"/>
        <v>8.461538461538462E-2</v>
      </c>
      <c r="L668" s="370">
        <f t="shared" si="28"/>
        <v>0.10384615384615387</v>
      </c>
      <c r="M668" s="370">
        <f t="shared" si="28"/>
        <v>0.1230769230769231</v>
      </c>
      <c r="N668" s="370">
        <f t="shared" si="28"/>
        <v>0.14230769230769233</v>
      </c>
      <c r="O668" s="370">
        <f t="shared" si="28"/>
        <v>0.16153846153846158</v>
      </c>
      <c r="P668" s="370">
        <f t="shared" si="28"/>
        <v>0.18076923076923079</v>
      </c>
      <c r="Q668" s="370">
        <v>0.2</v>
      </c>
      <c r="R668" s="242"/>
      <c r="T668" s="20"/>
      <c r="U668" s="20"/>
      <c r="V668" s="20"/>
      <c r="W668" s="20"/>
      <c r="X668" s="20"/>
    </row>
    <row r="669" spans="1:24" s="65" customFormat="1" ht="15" customHeight="1" outlineLevel="2">
      <c r="A669" s="219"/>
      <c r="B669" s="242"/>
      <c r="C669" s="242" t="s">
        <v>1631</v>
      </c>
      <c r="D669" s="121" t="str">
        <f t="array" ref="D669">INDEX(Regional.Technologies[Description],MATCH($B$2&amp;"."&amp;G.30.levels.EnergyEfficiencyCHP[[#This Row],[Technology code]],Regional.Technologies[Code],0))</f>
        <v>Global Electricity use in the Pulp &amp; paper: Virgin technology</v>
      </c>
      <c r="E669" s="121">
        <v>1</v>
      </c>
      <c r="F669" s="242" t="s">
        <v>1922</v>
      </c>
      <c r="G669" s="242"/>
      <c r="H669" s="242"/>
      <c r="I669" s="370">
        <v>0.05</v>
      </c>
      <c r="J669" s="370">
        <f t="shared" si="28"/>
        <v>0.05</v>
      </c>
      <c r="K669" s="370">
        <f t="shared" si="28"/>
        <v>0.05</v>
      </c>
      <c r="L669" s="370">
        <f t="shared" si="28"/>
        <v>0.05</v>
      </c>
      <c r="M669" s="370">
        <f t="shared" si="28"/>
        <v>0.05</v>
      </c>
      <c r="N669" s="370">
        <f t="shared" si="28"/>
        <v>0.05</v>
      </c>
      <c r="O669" s="370">
        <f t="shared" si="28"/>
        <v>0.05</v>
      </c>
      <c r="P669" s="370">
        <f t="shared" si="28"/>
        <v>0.05</v>
      </c>
      <c r="Q669" s="370">
        <v>0.05</v>
      </c>
      <c r="R669" s="242"/>
      <c r="T669" s="20"/>
      <c r="U669" s="20"/>
      <c r="V669" s="20"/>
      <c r="W669" s="20"/>
      <c r="X669" s="20"/>
    </row>
    <row r="670" spans="1:24" s="65" customFormat="1" ht="15" customHeight="1" outlineLevel="2">
      <c r="A670" s="219"/>
      <c r="B670" s="242"/>
      <c r="C670" s="242" t="s">
        <v>1631</v>
      </c>
      <c r="D670" s="121" t="str">
        <f t="array" ref="D670">INDEX(Regional.Technologies[Description],MATCH($B$2&amp;"."&amp;G.30.levels.EnergyEfficiencyCHP[[#This Row],[Technology code]],Regional.Technologies[Code],0))</f>
        <v>Global Electricity use in the Pulp &amp; paper: Virgin technology</v>
      </c>
      <c r="E670" s="121">
        <v>2</v>
      </c>
      <c r="F670" s="242" t="s">
        <v>1922</v>
      </c>
      <c r="G670" s="242"/>
      <c r="H670" s="242"/>
      <c r="I670" s="370">
        <v>0.05</v>
      </c>
      <c r="J670" s="370">
        <f t="shared" si="28"/>
        <v>5.5128205128205134E-2</v>
      </c>
      <c r="K670" s="370">
        <f t="shared" si="28"/>
        <v>6.1538461538461542E-2</v>
      </c>
      <c r="L670" s="370">
        <f t="shared" si="28"/>
        <v>6.7948717948717957E-2</v>
      </c>
      <c r="M670" s="370">
        <f t="shared" si="28"/>
        <v>7.4358974358974358E-2</v>
      </c>
      <c r="N670" s="370">
        <f t="shared" si="28"/>
        <v>8.0769230769230774E-2</v>
      </c>
      <c r="O670" s="370">
        <f t="shared" si="28"/>
        <v>8.7179487179487175E-2</v>
      </c>
      <c r="P670" s="370">
        <f t="shared" si="28"/>
        <v>9.358974358974359E-2</v>
      </c>
      <c r="Q670" s="370">
        <v>0.1</v>
      </c>
      <c r="R670" s="242"/>
      <c r="T670" s="20"/>
      <c r="U670" s="20"/>
      <c r="V670" s="20"/>
      <c r="W670" s="20"/>
      <c r="X670" s="20"/>
    </row>
    <row r="671" spans="1:24" s="65" customFormat="1" ht="15" customHeight="1" outlineLevel="2">
      <c r="A671" s="219"/>
      <c r="B671" s="242"/>
      <c r="C671" s="242" t="s">
        <v>1631</v>
      </c>
      <c r="D671" s="121" t="str">
        <f t="array" ref="D671">INDEX(Regional.Technologies[Description],MATCH($B$2&amp;"."&amp;G.30.levels.EnergyEfficiencyCHP[[#This Row],[Technology code]],Regional.Technologies[Code],0))</f>
        <v>Global Electricity use in the Pulp &amp; paper: Virgin technology</v>
      </c>
      <c r="E671" s="121">
        <v>3</v>
      </c>
      <c r="F671" s="242" t="s">
        <v>1922</v>
      </c>
      <c r="G671" s="242"/>
      <c r="H671" s="242"/>
      <c r="I671" s="370">
        <v>0.05</v>
      </c>
      <c r="J671" s="370">
        <f t="shared" si="28"/>
        <v>6.0256410256410257E-2</v>
      </c>
      <c r="K671" s="370">
        <f t="shared" si="28"/>
        <v>7.3076923076923081E-2</v>
      </c>
      <c r="L671" s="370">
        <f t="shared" si="28"/>
        <v>8.5897435897435898E-2</v>
      </c>
      <c r="M671" s="370">
        <f t="shared" si="28"/>
        <v>9.8717948717948728E-2</v>
      </c>
      <c r="N671" s="370">
        <f t="shared" si="28"/>
        <v>0.11153846153846154</v>
      </c>
      <c r="O671" s="370">
        <f t="shared" si="28"/>
        <v>0.12435897435897436</v>
      </c>
      <c r="P671" s="370">
        <f t="shared" si="28"/>
        <v>0.13717948717948719</v>
      </c>
      <c r="Q671" s="370">
        <v>0.15</v>
      </c>
      <c r="R671" s="242"/>
      <c r="T671" s="20"/>
      <c r="U671" s="20"/>
      <c r="V671" s="20"/>
      <c r="W671" s="20"/>
      <c r="X671" s="20"/>
    </row>
    <row r="672" spans="1:24" s="65" customFormat="1" ht="15" customHeight="1" outlineLevel="2">
      <c r="A672" s="219"/>
      <c r="B672" s="242"/>
      <c r="C672" s="242" t="s">
        <v>1631</v>
      </c>
      <c r="D672" s="121" t="str">
        <f t="array" ref="D672">INDEX(Regional.Technologies[Description],MATCH($B$2&amp;"."&amp;G.30.levels.EnergyEfficiencyCHP[[#This Row],[Technology code]],Regional.Technologies[Code],0))</f>
        <v>Global Electricity use in the Pulp &amp; paper: Virgin technology</v>
      </c>
      <c r="E672" s="121">
        <v>4</v>
      </c>
      <c r="F672" s="242" t="s">
        <v>1922</v>
      </c>
      <c r="G672" s="242"/>
      <c r="H672" s="242"/>
      <c r="I672" s="370">
        <v>0.05</v>
      </c>
      <c r="J672" s="370">
        <f t="shared" si="28"/>
        <v>6.5384615384615388E-2</v>
      </c>
      <c r="K672" s="370">
        <f t="shared" si="28"/>
        <v>8.461538461538462E-2</v>
      </c>
      <c r="L672" s="370">
        <f t="shared" si="28"/>
        <v>0.10384615384615387</v>
      </c>
      <c r="M672" s="370">
        <f t="shared" si="28"/>
        <v>0.1230769230769231</v>
      </c>
      <c r="N672" s="370">
        <f t="shared" si="28"/>
        <v>0.14230769230769233</v>
      </c>
      <c r="O672" s="370">
        <f t="shared" si="28"/>
        <v>0.16153846153846158</v>
      </c>
      <c r="P672" s="370">
        <f t="shared" si="28"/>
        <v>0.18076923076923079</v>
      </c>
      <c r="Q672" s="370">
        <v>0.2</v>
      </c>
      <c r="R672" s="242"/>
      <c r="T672" s="20"/>
      <c r="U672" s="20"/>
      <c r="V672" s="20"/>
      <c r="W672" s="20"/>
      <c r="X672" s="20"/>
    </row>
    <row r="673" spans="1:24" s="65" customFormat="1" ht="15" customHeight="1" outlineLevel="2">
      <c r="A673" s="219"/>
      <c r="B673" s="242"/>
      <c r="C673" s="242" t="s">
        <v>1632</v>
      </c>
      <c r="D673" s="121" t="str">
        <f t="array" ref="D673">INDEX(Regional.Technologies[Description],MATCH($B$2&amp;"."&amp;G.30.levels.EnergyEfficiencyCHP[[#This Row],[Technology code]],Regional.Technologies[Code],0))</f>
        <v>Global Electricity use in the Pulp &amp; paper: Recycled technology</v>
      </c>
      <c r="E673" s="121">
        <v>1</v>
      </c>
      <c r="F673" s="242" t="s">
        <v>1923</v>
      </c>
      <c r="G673" s="242"/>
      <c r="H673" s="242"/>
      <c r="I673" s="370">
        <v>0.05</v>
      </c>
      <c r="J673" s="370">
        <f t="shared" si="28"/>
        <v>0.05</v>
      </c>
      <c r="K673" s="370">
        <f t="shared" si="28"/>
        <v>0.05</v>
      </c>
      <c r="L673" s="370">
        <f t="shared" si="28"/>
        <v>0.05</v>
      </c>
      <c r="M673" s="370">
        <f t="shared" si="28"/>
        <v>0.05</v>
      </c>
      <c r="N673" s="370">
        <f t="shared" si="28"/>
        <v>0.05</v>
      </c>
      <c r="O673" s="370">
        <f t="shared" si="28"/>
        <v>0.05</v>
      </c>
      <c r="P673" s="370">
        <f t="shared" si="28"/>
        <v>0.05</v>
      </c>
      <c r="Q673" s="370">
        <v>0.05</v>
      </c>
      <c r="R673" s="242"/>
      <c r="T673" s="20"/>
      <c r="U673" s="20"/>
      <c r="V673" s="20"/>
      <c r="W673" s="20"/>
      <c r="X673" s="20"/>
    </row>
    <row r="674" spans="1:24" s="65" customFormat="1" ht="15" customHeight="1" outlineLevel="2">
      <c r="A674" s="219"/>
      <c r="B674" s="242"/>
      <c r="C674" s="242" t="s">
        <v>1632</v>
      </c>
      <c r="D674" s="121" t="str">
        <f t="array" ref="D674">INDEX(Regional.Technologies[Description],MATCH($B$2&amp;"."&amp;G.30.levels.EnergyEfficiencyCHP[[#This Row],[Technology code]],Regional.Technologies[Code],0))</f>
        <v>Global Electricity use in the Pulp &amp; paper: Recycled technology</v>
      </c>
      <c r="E674" s="121">
        <v>2</v>
      </c>
      <c r="F674" s="242" t="s">
        <v>1923</v>
      </c>
      <c r="G674" s="242"/>
      <c r="H674" s="242"/>
      <c r="I674" s="370">
        <v>0.05</v>
      </c>
      <c r="J674" s="370">
        <f t="shared" si="28"/>
        <v>5.5128205128205134E-2</v>
      </c>
      <c r="K674" s="370">
        <f t="shared" si="28"/>
        <v>6.1538461538461542E-2</v>
      </c>
      <c r="L674" s="370">
        <f t="shared" si="28"/>
        <v>6.7948717948717957E-2</v>
      </c>
      <c r="M674" s="370">
        <f t="shared" si="28"/>
        <v>7.4358974358974358E-2</v>
      </c>
      <c r="N674" s="370">
        <f t="shared" si="28"/>
        <v>8.0769230769230774E-2</v>
      </c>
      <c r="O674" s="370">
        <f t="shared" si="28"/>
        <v>8.7179487179487175E-2</v>
      </c>
      <c r="P674" s="370">
        <f t="shared" si="28"/>
        <v>9.358974358974359E-2</v>
      </c>
      <c r="Q674" s="370">
        <v>0.1</v>
      </c>
      <c r="R674" s="242"/>
      <c r="T674" s="20"/>
      <c r="U674" s="20"/>
      <c r="V674" s="20"/>
      <c r="W674" s="20"/>
      <c r="X674" s="20"/>
    </row>
    <row r="675" spans="1:24" s="65" customFormat="1" ht="15" customHeight="1" outlineLevel="2">
      <c r="A675" s="219"/>
      <c r="B675" s="242"/>
      <c r="C675" s="242" t="s">
        <v>1632</v>
      </c>
      <c r="D675" s="121" t="str">
        <f t="array" ref="D675">INDEX(Regional.Technologies[Description],MATCH($B$2&amp;"."&amp;G.30.levels.EnergyEfficiencyCHP[[#This Row],[Technology code]],Regional.Technologies[Code],0))</f>
        <v>Global Electricity use in the Pulp &amp; paper: Recycled technology</v>
      </c>
      <c r="E675" s="121">
        <v>3</v>
      </c>
      <c r="F675" s="242" t="s">
        <v>1923</v>
      </c>
      <c r="G675" s="242"/>
      <c r="H675" s="242"/>
      <c r="I675" s="370">
        <v>0.05</v>
      </c>
      <c r="J675" s="370">
        <f t="shared" si="28"/>
        <v>6.0256410256410257E-2</v>
      </c>
      <c r="K675" s="370">
        <f t="shared" si="28"/>
        <v>7.3076923076923081E-2</v>
      </c>
      <c r="L675" s="370">
        <f t="shared" si="28"/>
        <v>8.5897435897435898E-2</v>
      </c>
      <c r="M675" s="370">
        <f t="shared" si="28"/>
        <v>9.8717948717948728E-2</v>
      </c>
      <c r="N675" s="370">
        <f t="shared" si="28"/>
        <v>0.11153846153846154</v>
      </c>
      <c r="O675" s="370">
        <f t="shared" si="28"/>
        <v>0.12435897435897436</v>
      </c>
      <c r="P675" s="370">
        <f t="shared" si="28"/>
        <v>0.13717948717948719</v>
      </c>
      <c r="Q675" s="370">
        <v>0.15</v>
      </c>
      <c r="R675" s="242"/>
      <c r="T675" s="20"/>
      <c r="U675" s="20"/>
      <c r="V675" s="20"/>
      <c r="W675" s="20"/>
      <c r="X675" s="20"/>
    </row>
    <row r="676" spans="1:24" s="65" customFormat="1" ht="15" customHeight="1" outlineLevel="2">
      <c r="A676" s="219"/>
      <c r="B676" s="242"/>
      <c r="C676" s="242" t="s">
        <v>1632</v>
      </c>
      <c r="D676" s="121" t="str">
        <f t="array" ref="D676">INDEX(Regional.Technologies[Description],MATCH($B$2&amp;"."&amp;G.30.levels.EnergyEfficiencyCHP[[#This Row],[Technology code]],Regional.Technologies[Code],0))</f>
        <v>Global Electricity use in the Pulp &amp; paper: Recycled technology</v>
      </c>
      <c r="E676" s="121">
        <v>4</v>
      </c>
      <c r="F676" s="242" t="s">
        <v>1923</v>
      </c>
      <c r="G676" s="242"/>
      <c r="H676" s="242"/>
      <c r="I676" s="370">
        <v>0.05</v>
      </c>
      <c r="J676" s="370">
        <f t="shared" si="28"/>
        <v>6.5384615384615388E-2</v>
      </c>
      <c r="K676" s="370">
        <f t="shared" si="28"/>
        <v>8.461538461538462E-2</v>
      </c>
      <c r="L676" s="370">
        <f t="shared" si="28"/>
        <v>0.10384615384615387</v>
      </c>
      <c r="M676" s="370">
        <f t="shared" si="28"/>
        <v>0.1230769230769231</v>
      </c>
      <c r="N676" s="370">
        <f t="shared" si="28"/>
        <v>0.14230769230769233</v>
      </c>
      <c r="O676" s="370">
        <f t="shared" si="28"/>
        <v>0.16153846153846158</v>
      </c>
      <c r="P676" s="370">
        <f t="shared" si="28"/>
        <v>0.18076923076923079</v>
      </c>
      <c r="Q676" s="370">
        <v>0.2</v>
      </c>
      <c r="R676" s="242"/>
      <c r="T676" s="20"/>
      <c r="U676" s="20"/>
      <c r="V676" s="20"/>
      <c r="W676" s="20"/>
      <c r="X676" s="20"/>
    </row>
    <row r="677" spans="1:24" s="65" customFormat="1" ht="15" customHeight="1" outlineLevel="2">
      <c r="A677" s="219"/>
      <c r="B677" s="242"/>
      <c r="C677" s="242" t="s">
        <v>1634</v>
      </c>
      <c r="D677" s="121" t="str">
        <f t="array" ref="D677">INDEX(Regional.Technologies[Description],MATCH($B$2&amp;"."&amp;G.30.levels.EnergyEfficiencyCHP[[#This Row],[Technology code]],Regional.Technologies[Code],0))</f>
        <v>Global Electricity use in the Other industries technology</v>
      </c>
      <c r="E677" s="121">
        <v>1</v>
      </c>
      <c r="F677" s="242" t="s">
        <v>1457</v>
      </c>
      <c r="G677" s="242"/>
      <c r="H677" s="242"/>
      <c r="I677" s="370">
        <v>0.05</v>
      </c>
      <c r="J677" s="370">
        <f t="shared" ref="J677:P680" si="29">(($Q677-$I677)/($Q$121-$I$121))*(J$121-$I$121)+$I677</f>
        <v>0.05</v>
      </c>
      <c r="K677" s="370">
        <f t="shared" si="29"/>
        <v>0.05</v>
      </c>
      <c r="L677" s="370">
        <f t="shared" si="29"/>
        <v>0.05</v>
      </c>
      <c r="M677" s="370">
        <f t="shared" si="29"/>
        <v>0.05</v>
      </c>
      <c r="N677" s="370">
        <f t="shared" si="29"/>
        <v>0.05</v>
      </c>
      <c r="O677" s="370">
        <f t="shared" si="29"/>
        <v>0.05</v>
      </c>
      <c r="P677" s="370">
        <f t="shared" si="29"/>
        <v>0.05</v>
      </c>
      <c r="Q677" s="370">
        <v>0.05</v>
      </c>
      <c r="R677" s="242"/>
      <c r="T677" s="20"/>
      <c r="U677" s="20"/>
      <c r="V677" s="20"/>
      <c r="W677" s="20"/>
      <c r="X677" s="20"/>
    </row>
    <row r="678" spans="1:24" s="65" customFormat="1" ht="15" customHeight="1" outlineLevel="2">
      <c r="A678" s="219"/>
      <c r="B678" s="242"/>
      <c r="C678" s="242" t="s">
        <v>1634</v>
      </c>
      <c r="D678" s="121" t="str">
        <f t="array" ref="D678">INDEX(Regional.Technologies[Description],MATCH($B$2&amp;"."&amp;G.30.levels.EnergyEfficiencyCHP[[#This Row],[Technology code]],Regional.Technologies[Code],0))</f>
        <v>Global Electricity use in the Other industries technology</v>
      </c>
      <c r="E678" s="121">
        <v>2</v>
      </c>
      <c r="F678" s="242" t="s">
        <v>1457</v>
      </c>
      <c r="G678" s="242"/>
      <c r="H678" s="242"/>
      <c r="I678" s="370">
        <v>0.05</v>
      </c>
      <c r="J678" s="370">
        <f t="shared" si="29"/>
        <v>5.5128205128205134E-2</v>
      </c>
      <c r="K678" s="370">
        <f t="shared" si="29"/>
        <v>6.1538461538461542E-2</v>
      </c>
      <c r="L678" s="370">
        <f t="shared" si="29"/>
        <v>6.7948717948717957E-2</v>
      </c>
      <c r="M678" s="370">
        <f t="shared" si="29"/>
        <v>7.4358974358974358E-2</v>
      </c>
      <c r="N678" s="370">
        <f t="shared" si="29"/>
        <v>8.0769230769230774E-2</v>
      </c>
      <c r="O678" s="370">
        <f t="shared" si="29"/>
        <v>8.7179487179487175E-2</v>
      </c>
      <c r="P678" s="370">
        <f t="shared" si="29"/>
        <v>9.358974358974359E-2</v>
      </c>
      <c r="Q678" s="370">
        <v>0.1</v>
      </c>
      <c r="R678" s="242"/>
      <c r="T678" s="20"/>
      <c r="U678" s="20"/>
      <c r="V678" s="20"/>
      <c r="W678" s="20"/>
      <c r="X678" s="20"/>
    </row>
    <row r="679" spans="1:24" s="65" customFormat="1" ht="15" customHeight="1" outlineLevel="2">
      <c r="A679" s="219"/>
      <c r="B679" s="242"/>
      <c r="C679" s="242" t="s">
        <v>1634</v>
      </c>
      <c r="D679" s="121" t="str">
        <f t="array" ref="D679">INDEX(Regional.Technologies[Description],MATCH($B$2&amp;"."&amp;G.30.levels.EnergyEfficiencyCHP[[#This Row],[Technology code]],Regional.Technologies[Code],0))</f>
        <v>Global Electricity use in the Other industries technology</v>
      </c>
      <c r="E679" s="121">
        <v>3</v>
      </c>
      <c r="F679" s="242" t="s">
        <v>1457</v>
      </c>
      <c r="G679" s="242"/>
      <c r="H679" s="242"/>
      <c r="I679" s="370">
        <v>0.05</v>
      </c>
      <c r="J679" s="370">
        <f t="shared" si="29"/>
        <v>6.0256410256410257E-2</v>
      </c>
      <c r="K679" s="370">
        <f t="shared" si="29"/>
        <v>7.3076923076923081E-2</v>
      </c>
      <c r="L679" s="370">
        <f t="shared" si="29"/>
        <v>8.5897435897435898E-2</v>
      </c>
      <c r="M679" s="370">
        <f t="shared" si="29"/>
        <v>9.8717948717948728E-2</v>
      </c>
      <c r="N679" s="370">
        <f t="shared" si="29"/>
        <v>0.11153846153846154</v>
      </c>
      <c r="O679" s="370">
        <f t="shared" si="29"/>
        <v>0.12435897435897436</v>
      </c>
      <c r="P679" s="370">
        <f t="shared" si="29"/>
        <v>0.13717948717948719</v>
      </c>
      <c r="Q679" s="370">
        <v>0.15</v>
      </c>
      <c r="R679" s="242"/>
      <c r="T679" s="20"/>
      <c r="U679" s="20"/>
      <c r="V679" s="20"/>
      <c r="W679" s="20"/>
      <c r="X679" s="20"/>
    </row>
    <row r="680" spans="1:24" s="65" customFormat="1" ht="15" customHeight="1" outlineLevel="2">
      <c r="A680" s="219"/>
      <c r="B680" s="242"/>
      <c r="C680" s="242" t="s">
        <v>1634</v>
      </c>
      <c r="D680" s="121" t="str">
        <f t="array" ref="D680">INDEX(Regional.Technologies[Description],MATCH($B$2&amp;"."&amp;G.30.levels.EnergyEfficiencyCHP[[#This Row],[Technology code]],Regional.Technologies[Code],0))</f>
        <v>Global Electricity use in the Other industries technology</v>
      </c>
      <c r="E680" s="121">
        <v>4</v>
      </c>
      <c r="F680" s="242" t="s">
        <v>1457</v>
      </c>
      <c r="G680" s="242"/>
      <c r="H680" s="242"/>
      <c r="I680" s="370">
        <v>0.05</v>
      </c>
      <c r="J680" s="370">
        <f t="shared" si="29"/>
        <v>6.5384615384615388E-2</v>
      </c>
      <c r="K680" s="370">
        <f t="shared" si="29"/>
        <v>8.461538461538462E-2</v>
      </c>
      <c r="L680" s="370">
        <f t="shared" si="29"/>
        <v>0.10384615384615387</v>
      </c>
      <c r="M680" s="370">
        <f t="shared" si="29"/>
        <v>0.1230769230769231</v>
      </c>
      <c r="N680" s="370">
        <f t="shared" si="29"/>
        <v>0.14230769230769233</v>
      </c>
      <c r="O680" s="370">
        <f t="shared" si="29"/>
        <v>0.16153846153846158</v>
      </c>
      <c r="P680" s="370">
        <f t="shared" si="29"/>
        <v>0.18076923076923079</v>
      </c>
      <c r="Q680" s="370">
        <v>0.2</v>
      </c>
      <c r="R680" s="242"/>
      <c r="T680" s="20"/>
      <c r="U680" s="20"/>
      <c r="V680" s="20"/>
      <c r="W680" s="20"/>
      <c r="X680" s="20"/>
    </row>
    <row r="681" spans="1:24" s="65" customFormat="1" ht="15" customHeight="1" outlineLevel="2">
      <c r="A681" s="219"/>
      <c r="B681" s="242"/>
      <c r="C681" s="244"/>
      <c r="D681" s="242"/>
      <c r="E681" s="242"/>
      <c r="F681" s="242"/>
      <c r="G681" s="242"/>
      <c r="H681" s="242"/>
      <c r="I681" s="242"/>
      <c r="J681" s="242"/>
      <c r="K681" s="242"/>
      <c r="L681" s="242"/>
      <c r="M681" s="242"/>
      <c r="N681" s="242"/>
      <c r="O681" s="242"/>
      <c r="P681" s="242"/>
      <c r="Q681" s="242"/>
      <c r="R681" s="242"/>
      <c r="T681" s="20"/>
      <c r="U681" s="20"/>
      <c r="V681" s="20"/>
      <c r="W681" s="20"/>
      <c r="X681" s="20"/>
    </row>
    <row r="682" spans="1:24" s="65" customFormat="1" ht="15" customHeight="1" outlineLevel="2">
      <c r="A682" s="219"/>
      <c r="B682" s="242"/>
      <c r="C682" s="244" t="s">
        <v>1430</v>
      </c>
      <c r="D682" s="242"/>
      <c r="E682" s="242"/>
      <c r="F682" s="242"/>
      <c r="G682" s="242"/>
      <c r="H682" s="242"/>
      <c r="I682" s="242"/>
      <c r="J682" s="242"/>
      <c r="K682" s="242"/>
      <c r="L682" s="242"/>
      <c r="M682" s="242"/>
      <c r="N682" s="242"/>
      <c r="O682" s="242"/>
      <c r="P682" s="242"/>
      <c r="Q682" s="242" t="s">
        <v>511</v>
      </c>
      <c r="R682" s="242"/>
      <c r="T682" s="20"/>
      <c r="U682" s="20"/>
      <c r="V682" s="20"/>
      <c r="W682" s="20"/>
      <c r="X682" s="20"/>
    </row>
    <row r="683" spans="1:24" s="65" customFormat="1" ht="15" customHeight="1" outlineLevel="2">
      <c r="A683" s="219"/>
      <c r="B683" s="242"/>
      <c r="C683" s="244"/>
      <c r="D683" s="242"/>
      <c r="E683" s="242"/>
      <c r="F683" s="242"/>
      <c r="G683" s="242"/>
      <c r="H683" s="242"/>
      <c r="I683" s="242"/>
      <c r="J683" s="242"/>
      <c r="K683" s="242"/>
      <c r="L683" s="242"/>
      <c r="M683" s="242"/>
      <c r="N683" s="242"/>
      <c r="O683" s="242"/>
      <c r="P683" s="242"/>
      <c r="Q683" s="242"/>
      <c r="R683" s="242"/>
      <c r="T683" s="20"/>
      <c r="U683" s="20"/>
      <c r="V683" s="20"/>
      <c r="W683" s="20"/>
      <c r="X683" s="20"/>
    </row>
    <row r="684" spans="1:24" s="65" customFormat="1" ht="15" customHeight="1" outlineLevel="2">
      <c r="A684" s="219"/>
      <c r="B684" s="242"/>
      <c r="C684" s="242" t="s">
        <v>454</v>
      </c>
      <c r="D684" s="242" t="s">
        <v>241</v>
      </c>
      <c r="E684" s="242" t="s">
        <v>207</v>
      </c>
      <c r="F684" s="242" t="s">
        <v>274</v>
      </c>
      <c r="G684" s="242" t="s">
        <v>509</v>
      </c>
      <c r="H684" s="242" t="s">
        <v>510</v>
      </c>
      <c r="I684" s="183" t="s">
        <v>1107</v>
      </c>
      <c r="J684" s="242" t="s">
        <v>210</v>
      </c>
      <c r="K684" s="242" t="s">
        <v>211</v>
      </c>
      <c r="L684" s="242" t="s">
        <v>212</v>
      </c>
      <c r="M684" s="242" t="s">
        <v>213</v>
      </c>
      <c r="N684" s="242" t="s">
        <v>214</v>
      </c>
      <c r="O684" s="242" t="s">
        <v>215</v>
      </c>
      <c r="P684" s="242" t="s">
        <v>216</v>
      </c>
      <c r="Q684" s="242" t="s">
        <v>217</v>
      </c>
      <c r="R684" s="242"/>
      <c r="T684" s="179" t="str">
        <f>$T$6</f>
        <v>Source</v>
      </c>
      <c r="U684" s="179" t="str">
        <f>$U$6</f>
        <v>Link</v>
      </c>
      <c r="V684" s="179" t="str">
        <f>$V$6</f>
        <v>Risk (Green, Amber/Green, Amber, Red/Amber, Red)</v>
      </c>
      <c r="W684" s="179" t="s">
        <v>869</v>
      </c>
      <c r="X684" s="179" t="str">
        <f>$X$6</f>
        <v>Comment author</v>
      </c>
    </row>
    <row r="685" spans="1:24" s="65" customFormat="1" ht="15" customHeight="1" outlineLevel="2">
      <c r="A685" s="219"/>
      <c r="B685" s="242"/>
      <c r="C685" s="245" t="s">
        <v>1376</v>
      </c>
      <c r="D685" s="121" t="str">
        <f>INDEX(Regional.Technologies[Description],MATCH($B$2&amp;"."&amp;G.30.levels.EnergyEfficiency[[#This Row],[Technology code]],Regional.Technologies[Code],0))</f>
        <v>Global Electricity use in the Oxygen steel technology</v>
      </c>
      <c r="E685" s="121">
        <v>1</v>
      </c>
      <c r="F685" s="242" t="s">
        <v>1643</v>
      </c>
      <c r="G685" s="242"/>
      <c r="H685" s="242"/>
      <c r="I685" s="370">
        <v>0</v>
      </c>
      <c r="J685" s="370">
        <f t="shared" ref="J685:P721" si="30">(($Q685-$I685)/($Q$121-$I$121))*(J$121-$I$121)+$I685</f>
        <v>0</v>
      </c>
      <c r="K685" s="370">
        <f t="shared" si="30"/>
        <v>0</v>
      </c>
      <c r="L685" s="370">
        <f t="shared" si="30"/>
        <v>0</v>
      </c>
      <c r="M685" s="370">
        <f t="shared" si="30"/>
        <v>0</v>
      </c>
      <c r="N685" s="370">
        <f t="shared" si="30"/>
        <v>0</v>
      </c>
      <c r="O685" s="370">
        <f t="shared" si="30"/>
        <v>0</v>
      </c>
      <c r="P685" s="370">
        <f t="shared" si="30"/>
        <v>0</v>
      </c>
      <c r="Q685" s="370">
        <v>0</v>
      </c>
      <c r="R685" s="242"/>
      <c r="T685" s="20"/>
      <c r="U685" s="20"/>
      <c r="V685" s="20"/>
      <c r="W685" s="20"/>
      <c r="X685" s="20"/>
    </row>
    <row r="686" spans="1:24" s="65" customFormat="1" ht="15" customHeight="1" outlineLevel="2">
      <c r="A686" s="219"/>
      <c r="B686" s="242"/>
      <c r="C686" s="245" t="s">
        <v>1376</v>
      </c>
      <c r="D686" s="121" t="str">
        <f>INDEX(Regional.Technologies[Description],MATCH($B$2&amp;"."&amp;G.30.levels.EnergyEfficiency[[#This Row],[Technology code]],Regional.Technologies[Code],0))</f>
        <v>Global Electricity use in the Oxygen steel technology</v>
      </c>
      <c r="E686" s="121">
        <v>2</v>
      </c>
      <c r="F686" s="242" t="s">
        <v>1643</v>
      </c>
      <c r="G686" s="242"/>
      <c r="H686" s="242"/>
      <c r="I686" s="370">
        <v>0</v>
      </c>
      <c r="J686" s="370">
        <f t="shared" si="30"/>
        <v>2.5641025641025641E-3</v>
      </c>
      <c r="K686" s="370">
        <f t="shared" si="30"/>
        <v>5.7692307692307696E-3</v>
      </c>
      <c r="L686" s="370">
        <f t="shared" si="30"/>
        <v>8.9743589743589737E-3</v>
      </c>
      <c r="M686" s="370">
        <f t="shared" si="30"/>
        <v>1.217948717948718E-2</v>
      </c>
      <c r="N686" s="370">
        <f t="shared" si="30"/>
        <v>1.5384615384615385E-2</v>
      </c>
      <c r="O686" s="370">
        <f t="shared" si="30"/>
        <v>1.858974358974359E-2</v>
      </c>
      <c r="P686" s="370">
        <f t="shared" si="30"/>
        <v>2.1794871794871794E-2</v>
      </c>
      <c r="Q686" s="370">
        <v>2.5000000000000001E-2</v>
      </c>
      <c r="R686" s="242"/>
      <c r="T686" s="20"/>
      <c r="U686" s="20"/>
      <c r="V686" s="20"/>
      <c r="W686" s="20"/>
      <c r="X686" s="20"/>
    </row>
    <row r="687" spans="1:24" s="65" customFormat="1" ht="15" customHeight="1" outlineLevel="2">
      <c r="A687" s="219"/>
      <c r="B687" s="242"/>
      <c r="C687" s="245" t="s">
        <v>1376</v>
      </c>
      <c r="D687" s="121" t="str">
        <f>INDEX(Regional.Technologies[Description],MATCH($B$2&amp;"."&amp;G.30.levels.EnergyEfficiency[[#This Row],[Technology code]],Regional.Technologies[Code],0))</f>
        <v>Global Electricity use in the Oxygen steel technology</v>
      </c>
      <c r="E687" s="121">
        <v>3</v>
      </c>
      <c r="F687" s="242" t="s">
        <v>1643</v>
      </c>
      <c r="G687" s="242"/>
      <c r="H687" s="242"/>
      <c r="I687" s="370">
        <v>0</v>
      </c>
      <c r="J687" s="370">
        <f t="shared" si="30"/>
        <v>5.1282051282051282E-3</v>
      </c>
      <c r="K687" s="370">
        <f t="shared" si="30"/>
        <v>1.1538461538461539E-2</v>
      </c>
      <c r="L687" s="370">
        <f t="shared" si="30"/>
        <v>1.7948717948717947E-2</v>
      </c>
      <c r="M687" s="370">
        <f t="shared" si="30"/>
        <v>2.4358974358974359E-2</v>
      </c>
      <c r="N687" s="370">
        <f t="shared" si="30"/>
        <v>3.0769230769230771E-2</v>
      </c>
      <c r="O687" s="370">
        <f t="shared" si="30"/>
        <v>3.7179487179487179E-2</v>
      </c>
      <c r="P687" s="370">
        <f t="shared" si="30"/>
        <v>4.3589743589743588E-2</v>
      </c>
      <c r="Q687" s="370">
        <v>0.05</v>
      </c>
      <c r="R687" s="242"/>
      <c r="T687" s="20"/>
      <c r="U687" s="20"/>
      <c r="V687" s="20"/>
      <c r="W687" s="20"/>
      <c r="X687" s="20"/>
    </row>
    <row r="688" spans="1:24" s="65" customFormat="1" ht="15" customHeight="1" outlineLevel="2">
      <c r="A688" s="219"/>
      <c r="B688" s="242"/>
      <c r="C688" s="245" t="s">
        <v>1376</v>
      </c>
      <c r="D688" s="121" t="str">
        <f>INDEX(Regional.Technologies[Description],MATCH($B$2&amp;"."&amp;G.30.levels.EnergyEfficiency[[#This Row],[Technology code]],Regional.Technologies[Code],0))</f>
        <v>Global Electricity use in the Oxygen steel technology</v>
      </c>
      <c r="E688" s="121">
        <v>4</v>
      </c>
      <c r="F688" s="242" t="s">
        <v>1643</v>
      </c>
      <c r="G688" s="242"/>
      <c r="H688" s="242"/>
      <c r="I688" s="370">
        <v>0</v>
      </c>
      <c r="J688" s="370">
        <f t="shared" si="30"/>
        <v>1.0256410256410256E-2</v>
      </c>
      <c r="K688" s="370">
        <f t="shared" si="30"/>
        <v>2.3076923076923078E-2</v>
      </c>
      <c r="L688" s="370">
        <f t="shared" si="30"/>
        <v>3.5897435897435895E-2</v>
      </c>
      <c r="M688" s="370">
        <f t="shared" si="30"/>
        <v>4.8717948717948718E-2</v>
      </c>
      <c r="N688" s="370">
        <f t="shared" si="30"/>
        <v>6.1538461538461542E-2</v>
      </c>
      <c r="O688" s="370">
        <f t="shared" si="30"/>
        <v>7.4358974358974358E-2</v>
      </c>
      <c r="P688" s="370">
        <f t="shared" si="30"/>
        <v>8.7179487179487175E-2</v>
      </c>
      <c r="Q688" s="370">
        <v>0.1</v>
      </c>
      <c r="R688" s="242"/>
      <c r="T688" s="20"/>
      <c r="U688" s="20"/>
      <c r="V688" s="20"/>
      <c r="W688" s="20"/>
      <c r="X688" s="20"/>
    </row>
    <row r="689" spans="1:24" s="65" customFormat="1" ht="15" customHeight="1" outlineLevel="2">
      <c r="A689" s="219"/>
      <c r="B689" s="242"/>
      <c r="C689" s="245" t="s">
        <v>1798</v>
      </c>
      <c r="D689" s="121" t="str">
        <f>INDEX(Regional.Technologies[Description],MATCH($B$2&amp;"."&amp;G.30.levels.EnergyEfficiency[[#This Row],[Technology code]],Regional.Technologies[Code],0))</f>
        <v>Global Coal use in the Oxygen steel technology</v>
      </c>
      <c r="E689" s="121">
        <v>1</v>
      </c>
      <c r="F689" s="242" t="s">
        <v>1643</v>
      </c>
      <c r="G689" s="242"/>
      <c r="H689" s="242"/>
      <c r="I689" s="370">
        <f>I685</f>
        <v>0</v>
      </c>
      <c r="J689" s="370">
        <f t="shared" si="30"/>
        <v>0</v>
      </c>
      <c r="K689" s="370">
        <f t="shared" si="30"/>
        <v>0</v>
      </c>
      <c r="L689" s="370">
        <f t="shared" si="30"/>
        <v>0</v>
      </c>
      <c r="M689" s="370">
        <f t="shared" si="30"/>
        <v>0</v>
      </c>
      <c r="N689" s="370">
        <f t="shared" si="30"/>
        <v>0</v>
      </c>
      <c r="O689" s="370">
        <f t="shared" si="30"/>
        <v>0</v>
      </c>
      <c r="P689" s="370">
        <f t="shared" si="30"/>
        <v>0</v>
      </c>
      <c r="Q689" s="370">
        <f t="shared" ref="Q689" si="31">Q685</f>
        <v>0</v>
      </c>
      <c r="R689" s="242"/>
      <c r="T689" s="20"/>
      <c r="U689" s="20"/>
      <c r="V689" s="20"/>
      <c r="W689" s="20"/>
      <c r="X689" s="20"/>
    </row>
    <row r="690" spans="1:24" s="65" customFormat="1" ht="15" customHeight="1" outlineLevel="2">
      <c r="A690" s="219"/>
      <c r="B690" s="242"/>
      <c r="C690" s="245" t="s">
        <v>1798</v>
      </c>
      <c r="D690" s="121" t="str">
        <f>INDEX(Regional.Technologies[Description],MATCH($B$2&amp;"."&amp;G.30.levels.EnergyEfficiency[[#This Row],[Technology code]],Regional.Technologies[Code],0))</f>
        <v>Global Coal use in the Oxygen steel technology</v>
      </c>
      <c r="E690" s="121">
        <v>2</v>
      </c>
      <c r="F690" s="242" t="s">
        <v>1643</v>
      </c>
      <c r="G690" s="242"/>
      <c r="H690" s="242"/>
      <c r="I690" s="370">
        <f t="shared" ref="I690:Q704" si="32">I686</f>
        <v>0</v>
      </c>
      <c r="J690" s="370">
        <f t="shared" si="30"/>
        <v>2.5641025641025641E-3</v>
      </c>
      <c r="K690" s="370">
        <f t="shared" si="30"/>
        <v>5.7692307692307696E-3</v>
      </c>
      <c r="L690" s="370">
        <f t="shared" si="30"/>
        <v>8.9743589743589737E-3</v>
      </c>
      <c r="M690" s="370">
        <f t="shared" si="30"/>
        <v>1.217948717948718E-2</v>
      </c>
      <c r="N690" s="370">
        <f t="shared" si="30"/>
        <v>1.5384615384615385E-2</v>
      </c>
      <c r="O690" s="370">
        <f t="shared" si="30"/>
        <v>1.858974358974359E-2</v>
      </c>
      <c r="P690" s="370">
        <f t="shared" si="30"/>
        <v>2.1794871794871794E-2</v>
      </c>
      <c r="Q690" s="370">
        <f t="shared" si="32"/>
        <v>2.5000000000000001E-2</v>
      </c>
      <c r="R690" s="242"/>
      <c r="T690" s="20"/>
      <c r="U690" s="20"/>
      <c r="V690" s="20"/>
      <c r="W690" s="20"/>
      <c r="X690" s="20"/>
    </row>
    <row r="691" spans="1:24" s="65" customFormat="1" ht="15" customHeight="1" outlineLevel="2">
      <c r="A691" s="219"/>
      <c r="B691" s="242"/>
      <c r="C691" s="245" t="s">
        <v>1798</v>
      </c>
      <c r="D691" s="121" t="str">
        <f>INDEX(Regional.Technologies[Description],MATCH($B$2&amp;"."&amp;G.30.levels.EnergyEfficiency[[#This Row],[Technology code]],Regional.Technologies[Code],0))</f>
        <v>Global Coal use in the Oxygen steel technology</v>
      </c>
      <c r="E691" s="121">
        <v>3</v>
      </c>
      <c r="F691" s="242" t="s">
        <v>1643</v>
      </c>
      <c r="G691" s="242"/>
      <c r="H691" s="242"/>
      <c r="I691" s="370">
        <f t="shared" si="32"/>
        <v>0</v>
      </c>
      <c r="J691" s="370">
        <f t="shared" si="30"/>
        <v>5.1282051282051282E-3</v>
      </c>
      <c r="K691" s="370">
        <f t="shared" si="30"/>
        <v>1.1538461538461539E-2</v>
      </c>
      <c r="L691" s="370">
        <f t="shared" si="30"/>
        <v>1.7948717948717947E-2</v>
      </c>
      <c r="M691" s="370">
        <f t="shared" si="30"/>
        <v>2.4358974358974359E-2</v>
      </c>
      <c r="N691" s="370">
        <f t="shared" si="30"/>
        <v>3.0769230769230771E-2</v>
      </c>
      <c r="O691" s="370">
        <f t="shared" si="30"/>
        <v>3.7179487179487179E-2</v>
      </c>
      <c r="P691" s="370">
        <f t="shared" si="30"/>
        <v>4.3589743589743588E-2</v>
      </c>
      <c r="Q691" s="370">
        <f t="shared" si="32"/>
        <v>0.05</v>
      </c>
      <c r="R691" s="242"/>
      <c r="T691" s="20"/>
      <c r="U691" s="20"/>
      <c r="V691" s="20"/>
      <c r="W691" s="20"/>
      <c r="X691" s="20"/>
    </row>
    <row r="692" spans="1:24" s="65" customFormat="1" ht="15" customHeight="1" outlineLevel="2">
      <c r="A692" s="219"/>
      <c r="B692" s="242"/>
      <c r="C692" s="245" t="s">
        <v>1798</v>
      </c>
      <c r="D692" s="121" t="str">
        <f>INDEX(Regional.Technologies[Description],MATCH($B$2&amp;"."&amp;G.30.levels.EnergyEfficiency[[#This Row],[Technology code]],Regional.Technologies[Code],0))</f>
        <v>Global Coal use in the Oxygen steel technology</v>
      </c>
      <c r="E692" s="121">
        <v>4</v>
      </c>
      <c r="F692" s="242" t="s">
        <v>1643</v>
      </c>
      <c r="G692" s="242"/>
      <c r="H692" s="242"/>
      <c r="I692" s="370">
        <f t="shared" si="32"/>
        <v>0</v>
      </c>
      <c r="J692" s="370">
        <f t="shared" si="30"/>
        <v>1.0256410256410256E-2</v>
      </c>
      <c r="K692" s="370">
        <f t="shared" si="30"/>
        <v>2.3076923076923078E-2</v>
      </c>
      <c r="L692" s="370">
        <f t="shared" si="30"/>
        <v>3.5897435897435895E-2</v>
      </c>
      <c r="M692" s="370">
        <f t="shared" si="30"/>
        <v>4.8717948717948718E-2</v>
      </c>
      <c r="N692" s="370">
        <f t="shared" si="30"/>
        <v>6.1538461538461542E-2</v>
      </c>
      <c r="O692" s="370">
        <f t="shared" si="30"/>
        <v>7.4358974358974358E-2</v>
      </c>
      <c r="P692" s="370">
        <f t="shared" si="30"/>
        <v>8.7179487179487175E-2</v>
      </c>
      <c r="Q692" s="370">
        <f t="shared" si="32"/>
        <v>0.1</v>
      </c>
      <c r="R692" s="242"/>
      <c r="T692" s="20"/>
      <c r="U692" s="20"/>
      <c r="V692" s="20"/>
      <c r="W692" s="20"/>
      <c r="X692" s="20"/>
    </row>
    <row r="693" spans="1:24" s="65" customFormat="1" ht="15" customHeight="1" outlineLevel="2">
      <c r="A693" s="219"/>
      <c r="B693" s="242"/>
      <c r="C693" s="242" t="s">
        <v>1799</v>
      </c>
      <c r="D693" s="121" t="str">
        <f>INDEX(Regional.Technologies[Description],MATCH($B$2&amp;"."&amp;G.30.levels.EnergyEfficiency[[#This Row],[Technology code]],Regional.Technologies[Code],0))</f>
        <v>Global Oil use in the Oxygen steel technology</v>
      </c>
      <c r="E693" s="121">
        <v>1</v>
      </c>
      <c r="F693" s="242" t="s">
        <v>1643</v>
      </c>
      <c r="G693" s="242"/>
      <c r="H693" s="242"/>
      <c r="I693" s="370">
        <f t="shared" si="32"/>
        <v>0</v>
      </c>
      <c r="J693" s="370">
        <f t="shared" si="30"/>
        <v>0</v>
      </c>
      <c r="K693" s="370">
        <f t="shared" si="30"/>
        <v>0</v>
      </c>
      <c r="L693" s="370">
        <f t="shared" si="30"/>
        <v>0</v>
      </c>
      <c r="M693" s="370">
        <f t="shared" si="30"/>
        <v>0</v>
      </c>
      <c r="N693" s="370">
        <f t="shared" si="30"/>
        <v>0</v>
      </c>
      <c r="O693" s="370">
        <f t="shared" si="30"/>
        <v>0</v>
      </c>
      <c r="P693" s="370">
        <f t="shared" si="30"/>
        <v>0</v>
      </c>
      <c r="Q693" s="370">
        <f t="shared" si="32"/>
        <v>0</v>
      </c>
      <c r="R693" s="242"/>
      <c r="T693" s="20"/>
      <c r="U693" s="20"/>
      <c r="V693" s="20"/>
      <c r="W693" s="20"/>
      <c r="X693" s="20"/>
    </row>
    <row r="694" spans="1:24" s="65" customFormat="1" ht="15" customHeight="1" outlineLevel="2">
      <c r="A694" s="219"/>
      <c r="B694" s="242"/>
      <c r="C694" s="242" t="s">
        <v>1799</v>
      </c>
      <c r="D694" s="121" t="str">
        <f>INDEX(Regional.Technologies[Description],MATCH($B$2&amp;"."&amp;G.30.levels.EnergyEfficiency[[#This Row],[Technology code]],Regional.Technologies[Code],0))</f>
        <v>Global Oil use in the Oxygen steel technology</v>
      </c>
      <c r="E694" s="121">
        <v>2</v>
      </c>
      <c r="F694" s="242" t="s">
        <v>1643</v>
      </c>
      <c r="G694" s="242"/>
      <c r="H694" s="242"/>
      <c r="I694" s="370">
        <f t="shared" si="32"/>
        <v>0</v>
      </c>
      <c r="J694" s="370">
        <f t="shared" si="30"/>
        <v>2.5641025641025641E-3</v>
      </c>
      <c r="K694" s="370">
        <f t="shared" si="30"/>
        <v>5.7692307692307696E-3</v>
      </c>
      <c r="L694" s="370">
        <f t="shared" si="30"/>
        <v>8.9743589743589737E-3</v>
      </c>
      <c r="M694" s="370">
        <f t="shared" si="30"/>
        <v>1.217948717948718E-2</v>
      </c>
      <c r="N694" s="370">
        <f t="shared" si="30"/>
        <v>1.5384615384615385E-2</v>
      </c>
      <c r="O694" s="370">
        <f t="shared" si="30"/>
        <v>1.858974358974359E-2</v>
      </c>
      <c r="P694" s="370">
        <f t="shared" si="30"/>
        <v>2.1794871794871794E-2</v>
      </c>
      <c r="Q694" s="370">
        <f t="shared" si="32"/>
        <v>2.5000000000000001E-2</v>
      </c>
      <c r="R694" s="242"/>
      <c r="T694" s="20"/>
      <c r="U694" s="20"/>
      <c r="V694" s="20"/>
      <c r="W694" s="20"/>
      <c r="X694" s="20"/>
    </row>
    <row r="695" spans="1:24" s="65" customFormat="1" ht="15" customHeight="1" outlineLevel="2">
      <c r="A695" s="219"/>
      <c r="B695" s="242"/>
      <c r="C695" s="242" t="s">
        <v>1799</v>
      </c>
      <c r="D695" s="121" t="str">
        <f>INDEX(Regional.Technologies[Description],MATCH($B$2&amp;"."&amp;G.30.levels.EnergyEfficiency[[#This Row],[Technology code]],Regional.Technologies[Code],0))</f>
        <v>Global Oil use in the Oxygen steel technology</v>
      </c>
      <c r="E695" s="121">
        <v>3</v>
      </c>
      <c r="F695" s="242" t="s">
        <v>1643</v>
      </c>
      <c r="G695" s="242"/>
      <c r="H695" s="242"/>
      <c r="I695" s="370">
        <f t="shared" si="32"/>
        <v>0</v>
      </c>
      <c r="J695" s="370">
        <f t="shared" si="30"/>
        <v>5.1282051282051282E-3</v>
      </c>
      <c r="K695" s="370">
        <f t="shared" si="30"/>
        <v>1.1538461538461539E-2</v>
      </c>
      <c r="L695" s="370">
        <f t="shared" si="30"/>
        <v>1.7948717948717947E-2</v>
      </c>
      <c r="M695" s="370">
        <f t="shared" si="30"/>
        <v>2.4358974358974359E-2</v>
      </c>
      <c r="N695" s="370">
        <f t="shared" si="30"/>
        <v>3.0769230769230771E-2</v>
      </c>
      <c r="O695" s="370">
        <f t="shared" si="30"/>
        <v>3.7179487179487179E-2</v>
      </c>
      <c r="P695" s="370">
        <f t="shared" si="30"/>
        <v>4.3589743589743588E-2</v>
      </c>
      <c r="Q695" s="370">
        <f t="shared" si="32"/>
        <v>0.05</v>
      </c>
      <c r="R695" s="242"/>
      <c r="T695" s="20"/>
      <c r="U695" s="20"/>
      <c r="V695" s="20"/>
      <c r="W695" s="20"/>
      <c r="X695" s="20"/>
    </row>
    <row r="696" spans="1:24" s="65" customFormat="1" ht="15" customHeight="1" outlineLevel="2">
      <c r="A696" s="219"/>
      <c r="B696" s="242"/>
      <c r="C696" s="242" t="s">
        <v>1799</v>
      </c>
      <c r="D696" s="121" t="str">
        <f>INDEX(Regional.Technologies[Description],MATCH($B$2&amp;"."&amp;G.30.levels.EnergyEfficiency[[#This Row],[Technology code]],Regional.Technologies[Code],0))</f>
        <v>Global Oil use in the Oxygen steel technology</v>
      </c>
      <c r="E696" s="121">
        <v>4</v>
      </c>
      <c r="F696" s="242" t="s">
        <v>1643</v>
      </c>
      <c r="G696" s="242"/>
      <c r="H696" s="242"/>
      <c r="I696" s="370">
        <f t="shared" si="32"/>
        <v>0</v>
      </c>
      <c r="J696" s="370">
        <f t="shared" si="30"/>
        <v>1.0256410256410256E-2</v>
      </c>
      <c r="K696" s="370">
        <f t="shared" si="30"/>
        <v>2.3076923076923078E-2</v>
      </c>
      <c r="L696" s="370">
        <f t="shared" si="30"/>
        <v>3.5897435897435895E-2</v>
      </c>
      <c r="M696" s="370">
        <f t="shared" si="30"/>
        <v>4.8717948717948718E-2</v>
      </c>
      <c r="N696" s="370">
        <f t="shared" si="30"/>
        <v>6.1538461538461542E-2</v>
      </c>
      <c r="O696" s="370">
        <f t="shared" si="30"/>
        <v>7.4358974358974358E-2</v>
      </c>
      <c r="P696" s="370">
        <f t="shared" si="30"/>
        <v>8.7179487179487175E-2</v>
      </c>
      <c r="Q696" s="370">
        <f t="shared" si="32"/>
        <v>0.1</v>
      </c>
      <c r="R696" s="242"/>
      <c r="T696" s="20"/>
      <c r="U696" s="20"/>
      <c r="V696" s="20"/>
      <c r="W696" s="20"/>
      <c r="X696" s="20"/>
    </row>
    <row r="697" spans="1:24" s="65" customFormat="1" ht="15" customHeight="1" outlineLevel="2">
      <c r="A697" s="219"/>
      <c r="B697" s="242"/>
      <c r="C697" s="242" t="s">
        <v>1800</v>
      </c>
      <c r="D697" s="121" t="str">
        <f>INDEX(Regional.Technologies[Description],MATCH($B$2&amp;"."&amp;G.30.levels.EnergyEfficiency[[#This Row],[Technology code]],Regional.Technologies[Code],0))</f>
        <v>Global Natural Gas use in the Oxygen steel technology</v>
      </c>
      <c r="E697" s="121">
        <v>1</v>
      </c>
      <c r="F697" s="242" t="s">
        <v>1643</v>
      </c>
      <c r="G697" s="242"/>
      <c r="H697" s="242"/>
      <c r="I697" s="370">
        <f t="shared" si="32"/>
        <v>0</v>
      </c>
      <c r="J697" s="370">
        <f t="shared" si="30"/>
        <v>0</v>
      </c>
      <c r="K697" s="370">
        <f t="shared" si="30"/>
        <v>0</v>
      </c>
      <c r="L697" s="370">
        <f t="shared" si="30"/>
        <v>0</v>
      </c>
      <c r="M697" s="370">
        <f t="shared" si="30"/>
        <v>0</v>
      </c>
      <c r="N697" s="370">
        <f t="shared" si="30"/>
        <v>0</v>
      </c>
      <c r="O697" s="370">
        <f t="shared" si="30"/>
        <v>0</v>
      </c>
      <c r="P697" s="370">
        <f t="shared" si="30"/>
        <v>0</v>
      </c>
      <c r="Q697" s="370">
        <f t="shared" si="32"/>
        <v>0</v>
      </c>
      <c r="R697" s="242"/>
      <c r="T697" s="20"/>
      <c r="U697" s="20"/>
      <c r="V697" s="20"/>
      <c r="W697" s="20"/>
      <c r="X697" s="20"/>
    </row>
    <row r="698" spans="1:24" s="65" customFormat="1" ht="15" customHeight="1" outlineLevel="2">
      <c r="A698" s="219"/>
      <c r="B698" s="242"/>
      <c r="C698" s="242" t="s">
        <v>1800</v>
      </c>
      <c r="D698" s="121" t="str">
        <f>INDEX(Regional.Technologies[Description],MATCH($B$2&amp;"."&amp;G.30.levels.EnergyEfficiency[[#This Row],[Technology code]],Regional.Technologies[Code],0))</f>
        <v>Global Natural Gas use in the Oxygen steel technology</v>
      </c>
      <c r="E698" s="121">
        <v>2</v>
      </c>
      <c r="F698" s="242" t="s">
        <v>1643</v>
      </c>
      <c r="G698" s="242"/>
      <c r="H698" s="242"/>
      <c r="I698" s="370">
        <f t="shared" si="32"/>
        <v>0</v>
      </c>
      <c r="J698" s="370">
        <f t="shared" si="30"/>
        <v>2.5641025641025641E-3</v>
      </c>
      <c r="K698" s="370">
        <f t="shared" si="30"/>
        <v>5.7692307692307696E-3</v>
      </c>
      <c r="L698" s="370">
        <f t="shared" si="30"/>
        <v>8.9743589743589737E-3</v>
      </c>
      <c r="M698" s="370">
        <f t="shared" si="30"/>
        <v>1.217948717948718E-2</v>
      </c>
      <c r="N698" s="370">
        <f t="shared" si="30"/>
        <v>1.5384615384615385E-2</v>
      </c>
      <c r="O698" s="370">
        <f t="shared" si="30"/>
        <v>1.858974358974359E-2</v>
      </c>
      <c r="P698" s="370">
        <f t="shared" si="30"/>
        <v>2.1794871794871794E-2</v>
      </c>
      <c r="Q698" s="370">
        <f t="shared" si="32"/>
        <v>2.5000000000000001E-2</v>
      </c>
      <c r="R698" s="242"/>
      <c r="T698" s="20"/>
      <c r="U698" s="20"/>
      <c r="V698" s="20"/>
      <c r="W698" s="20"/>
      <c r="X698" s="20"/>
    </row>
    <row r="699" spans="1:24" s="65" customFormat="1" ht="15" customHeight="1" outlineLevel="2">
      <c r="A699" s="219"/>
      <c r="B699" s="242"/>
      <c r="C699" s="242" t="s">
        <v>1800</v>
      </c>
      <c r="D699" s="121" t="str">
        <f>INDEX(Regional.Technologies[Description],MATCH($B$2&amp;"."&amp;G.30.levels.EnergyEfficiency[[#This Row],[Technology code]],Regional.Technologies[Code],0))</f>
        <v>Global Natural Gas use in the Oxygen steel technology</v>
      </c>
      <c r="E699" s="121">
        <v>3</v>
      </c>
      <c r="F699" s="242" t="s">
        <v>1643</v>
      </c>
      <c r="G699" s="242"/>
      <c r="H699" s="242"/>
      <c r="I699" s="370">
        <f t="shared" si="32"/>
        <v>0</v>
      </c>
      <c r="J699" s="370">
        <f t="shared" si="30"/>
        <v>5.1282051282051282E-3</v>
      </c>
      <c r="K699" s="370">
        <f t="shared" si="30"/>
        <v>1.1538461538461539E-2</v>
      </c>
      <c r="L699" s="370">
        <f t="shared" si="30"/>
        <v>1.7948717948717947E-2</v>
      </c>
      <c r="M699" s="370">
        <f t="shared" si="30"/>
        <v>2.4358974358974359E-2</v>
      </c>
      <c r="N699" s="370">
        <f t="shared" si="30"/>
        <v>3.0769230769230771E-2</v>
      </c>
      <c r="O699" s="370">
        <f t="shared" si="30"/>
        <v>3.7179487179487179E-2</v>
      </c>
      <c r="P699" s="370">
        <f t="shared" si="30"/>
        <v>4.3589743589743588E-2</v>
      </c>
      <c r="Q699" s="370">
        <f t="shared" si="32"/>
        <v>0.05</v>
      </c>
      <c r="R699" s="242"/>
      <c r="T699" s="20"/>
      <c r="U699" s="20"/>
      <c r="V699" s="20"/>
      <c r="W699" s="20"/>
      <c r="X699" s="20"/>
    </row>
    <row r="700" spans="1:24" s="65" customFormat="1" ht="15" customHeight="1" outlineLevel="2">
      <c r="A700" s="219"/>
      <c r="B700" s="242"/>
      <c r="C700" s="242" t="s">
        <v>1800</v>
      </c>
      <c r="D700" s="121" t="str">
        <f>INDEX(Regional.Technologies[Description],MATCH($B$2&amp;"."&amp;G.30.levels.EnergyEfficiency[[#This Row],[Technology code]],Regional.Technologies[Code],0))</f>
        <v>Global Natural Gas use in the Oxygen steel technology</v>
      </c>
      <c r="E700" s="121">
        <v>4</v>
      </c>
      <c r="F700" s="242" t="s">
        <v>1643</v>
      </c>
      <c r="G700" s="242"/>
      <c r="H700" s="242"/>
      <c r="I700" s="370">
        <f t="shared" si="32"/>
        <v>0</v>
      </c>
      <c r="J700" s="370">
        <f t="shared" si="30"/>
        <v>1.0256410256410256E-2</v>
      </c>
      <c r="K700" s="370">
        <f t="shared" si="30"/>
        <v>2.3076923076923078E-2</v>
      </c>
      <c r="L700" s="370">
        <f t="shared" si="30"/>
        <v>3.5897435897435895E-2</v>
      </c>
      <c r="M700" s="370">
        <f t="shared" si="30"/>
        <v>4.8717948717948718E-2</v>
      </c>
      <c r="N700" s="370">
        <f t="shared" si="30"/>
        <v>6.1538461538461542E-2</v>
      </c>
      <c r="O700" s="370">
        <f t="shared" si="30"/>
        <v>7.4358974358974358E-2</v>
      </c>
      <c r="P700" s="370">
        <f t="shared" si="30"/>
        <v>8.7179487179487175E-2</v>
      </c>
      <c r="Q700" s="370">
        <f t="shared" si="32"/>
        <v>0.1</v>
      </c>
      <c r="R700" s="242"/>
      <c r="T700" s="20"/>
      <c r="U700" s="20"/>
      <c r="V700" s="20"/>
      <c r="W700" s="20"/>
      <c r="X700" s="20"/>
    </row>
    <row r="701" spans="1:24" s="65" customFormat="1" ht="15" customHeight="1" outlineLevel="2">
      <c r="A701" s="219"/>
      <c r="B701" s="242"/>
      <c r="C701" s="242" t="s">
        <v>1802</v>
      </c>
      <c r="D701" s="121" t="str">
        <f>INDEX(Regional.Technologies[Description],MATCH($B$2&amp;"."&amp;G.30.levels.EnergyEfficiency[[#This Row],[Technology code]],Regional.Technologies[Code],0))</f>
        <v>Global Solid Hydrocarbons use in the Oxygen steel technology</v>
      </c>
      <c r="E701" s="121">
        <v>1</v>
      </c>
      <c r="F701" s="242" t="s">
        <v>1643</v>
      </c>
      <c r="G701" s="242"/>
      <c r="H701" s="242"/>
      <c r="I701" s="370">
        <f t="shared" si="32"/>
        <v>0</v>
      </c>
      <c r="J701" s="370">
        <f t="shared" si="30"/>
        <v>0</v>
      </c>
      <c r="K701" s="370">
        <f t="shared" si="30"/>
        <v>0</v>
      </c>
      <c r="L701" s="370">
        <f t="shared" si="30"/>
        <v>0</v>
      </c>
      <c r="M701" s="370">
        <f t="shared" si="30"/>
        <v>0</v>
      </c>
      <c r="N701" s="370">
        <f t="shared" si="30"/>
        <v>0</v>
      </c>
      <c r="O701" s="370">
        <f t="shared" si="30"/>
        <v>0</v>
      </c>
      <c r="P701" s="370">
        <f t="shared" si="30"/>
        <v>0</v>
      </c>
      <c r="Q701" s="370">
        <f t="shared" si="32"/>
        <v>0</v>
      </c>
      <c r="R701" s="242"/>
      <c r="T701" s="20"/>
      <c r="U701" s="20"/>
      <c r="V701" s="20"/>
      <c r="W701" s="20"/>
      <c r="X701" s="20"/>
    </row>
    <row r="702" spans="1:24" s="65" customFormat="1" ht="15" customHeight="1" outlineLevel="2">
      <c r="A702" s="219"/>
      <c r="B702" s="242"/>
      <c r="C702" s="242" t="s">
        <v>1802</v>
      </c>
      <c r="D702" s="121" t="str">
        <f>INDEX(Regional.Technologies[Description],MATCH($B$2&amp;"."&amp;G.30.levels.EnergyEfficiency[[#This Row],[Technology code]],Regional.Technologies[Code],0))</f>
        <v>Global Solid Hydrocarbons use in the Oxygen steel technology</v>
      </c>
      <c r="E702" s="121">
        <v>2</v>
      </c>
      <c r="F702" s="242" t="s">
        <v>1643</v>
      </c>
      <c r="G702" s="242"/>
      <c r="H702" s="242"/>
      <c r="I702" s="370">
        <f t="shared" si="32"/>
        <v>0</v>
      </c>
      <c r="J702" s="370">
        <f t="shared" si="30"/>
        <v>2.5641025641025641E-3</v>
      </c>
      <c r="K702" s="370">
        <f t="shared" si="30"/>
        <v>5.7692307692307696E-3</v>
      </c>
      <c r="L702" s="370">
        <f t="shared" si="30"/>
        <v>8.9743589743589737E-3</v>
      </c>
      <c r="M702" s="370">
        <f t="shared" si="30"/>
        <v>1.217948717948718E-2</v>
      </c>
      <c r="N702" s="370">
        <f t="shared" si="30"/>
        <v>1.5384615384615385E-2</v>
      </c>
      <c r="O702" s="370">
        <f t="shared" si="30"/>
        <v>1.858974358974359E-2</v>
      </c>
      <c r="P702" s="370">
        <f t="shared" si="30"/>
        <v>2.1794871794871794E-2</v>
      </c>
      <c r="Q702" s="370">
        <f t="shared" si="32"/>
        <v>2.5000000000000001E-2</v>
      </c>
      <c r="R702" s="242"/>
      <c r="T702" s="20"/>
      <c r="U702" s="20"/>
      <c r="V702" s="20"/>
      <c r="W702" s="20"/>
      <c r="X702" s="20"/>
    </row>
    <row r="703" spans="1:24" s="65" customFormat="1" ht="15" customHeight="1" outlineLevel="2">
      <c r="A703" s="219"/>
      <c r="B703" s="242"/>
      <c r="C703" s="242" t="s">
        <v>1802</v>
      </c>
      <c r="D703" s="121" t="str">
        <f>INDEX(Regional.Technologies[Description],MATCH($B$2&amp;"."&amp;G.30.levels.EnergyEfficiency[[#This Row],[Technology code]],Regional.Technologies[Code],0))</f>
        <v>Global Solid Hydrocarbons use in the Oxygen steel technology</v>
      </c>
      <c r="E703" s="121">
        <v>3</v>
      </c>
      <c r="F703" s="242" t="s">
        <v>1643</v>
      </c>
      <c r="G703" s="242"/>
      <c r="H703" s="242"/>
      <c r="I703" s="370">
        <f t="shared" si="32"/>
        <v>0</v>
      </c>
      <c r="J703" s="370">
        <f t="shared" si="30"/>
        <v>5.1282051282051282E-3</v>
      </c>
      <c r="K703" s="370">
        <f t="shared" si="30"/>
        <v>1.1538461538461539E-2</v>
      </c>
      <c r="L703" s="370">
        <f t="shared" si="30"/>
        <v>1.7948717948717947E-2</v>
      </c>
      <c r="M703" s="370">
        <f t="shared" si="30"/>
        <v>2.4358974358974359E-2</v>
      </c>
      <c r="N703" s="370">
        <f t="shared" si="30"/>
        <v>3.0769230769230771E-2</v>
      </c>
      <c r="O703" s="370">
        <f t="shared" si="30"/>
        <v>3.7179487179487179E-2</v>
      </c>
      <c r="P703" s="370">
        <f t="shared" si="30"/>
        <v>4.3589743589743588E-2</v>
      </c>
      <c r="Q703" s="370">
        <f t="shared" si="32"/>
        <v>0.05</v>
      </c>
      <c r="R703" s="242"/>
      <c r="T703" s="20"/>
      <c r="U703" s="20"/>
      <c r="V703" s="20"/>
      <c r="W703" s="20"/>
      <c r="X703" s="20"/>
    </row>
    <row r="704" spans="1:24" s="65" customFormat="1" ht="15" customHeight="1" outlineLevel="2">
      <c r="A704" s="219"/>
      <c r="B704" s="242"/>
      <c r="C704" s="242" t="s">
        <v>1802</v>
      </c>
      <c r="D704" s="121" t="str">
        <f>INDEX(Regional.Technologies[Description],MATCH($B$2&amp;"."&amp;G.30.levels.EnergyEfficiency[[#This Row],[Technology code]],Regional.Technologies[Code],0))</f>
        <v>Global Solid Hydrocarbons use in the Oxygen steel technology</v>
      </c>
      <c r="E704" s="121">
        <v>4</v>
      </c>
      <c r="F704" s="242" t="s">
        <v>1643</v>
      </c>
      <c r="G704" s="242"/>
      <c r="H704" s="242"/>
      <c r="I704" s="370">
        <f t="shared" si="32"/>
        <v>0</v>
      </c>
      <c r="J704" s="370">
        <f t="shared" si="30"/>
        <v>1.0256410256410256E-2</v>
      </c>
      <c r="K704" s="370">
        <f t="shared" si="30"/>
        <v>2.3076923076923078E-2</v>
      </c>
      <c r="L704" s="370">
        <f t="shared" si="30"/>
        <v>3.5897435897435895E-2</v>
      </c>
      <c r="M704" s="370">
        <f t="shared" si="30"/>
        <v>4.8717948717948718E-2</v>
      </c>
      <c r="N704" s="370">
        <f t="shared" si="30"/>
        <v>6.1538461538461542E-2</v>
      </c>
      <c r="O704" s="370">
        <f t="shared" si="30"/>
        <v>7.4358974358974358E-2</v>
      </c>
      <c r="P704" s="370">
        <f t="shared" si="30"/>
        <v>8.7179487179487175E-2</v>
      </c>
      <c r="Q704" s="370">
        <f t="shared" si="32"/>
        <v>0.1</v>
      </c>
      <c r="R704" s="242"/>
      <c r="T704" s="20"/>
      <c r="U704" s="20"/>
      <c r="V704" s="20"/>
      <c r="W704" s="20"/>
      <c r="X704" s="20"/>
    </row>
    <row r="705" spans="1:24" s="65" customFormat="1" ht="15" customHeight="1" outlineLevel="2">
      <c r="A705" s="219"/>
      <c r="B705" s="242"/>
      <c r="C705" s="245" t="s">
        <v>2053</v>
      </c>
      <c r="D705" s="121" t="str">
        <f>INDEX(Regional.Technologies[Description],MATCH($B$2&amp;"."&amp;G.30.levels.EnergyEfficiency[[#This Row],[Technology code]],Regional.Technologies[Code],0))</f>
        <v>Global Electricity use in the Hisarna Oxygen steel technology</v>
      </c>
      <c r="E705" s="121">
        <v>1</v>
      </c>
      <c r="F705" s="242" t="s">
        <v>1643</v>
      </c>
      <c r="G705" s="265"/>
      <c r="H705" s="265"/>
      <c r="I705" s="370">
        <v>0</v>
      </c>
      <c r="J705" s="370">
        <f t="shared" si="30"/>
        <v>0</v>
      </c>
      <c r="K705" s="370">
        <f t="shared" si="30"/>
        <v>0</v>
      </c>
      <c r="L705" s="370">
        <f t="shared" si="30"/>
        <v>0</v>
      </c>
      <c r="M705" s="370">
        <f t="shared" si="30"/>
        <v>0</v>
      </c>
      <c r="N705" s="370">
        <f t="shared" si="30"/>
        <v>0</v>
      </c>
      <c r="O705" s="370">
        <f t="shared" si="30"/>
        <v>0</v>
      </c>
      <c r="P705" s="370">
        <f t="shared" si="30"/>
        <v>0</v>
      </c>
      <c r="Q705" s="370">
        <v>0</v>
      </c>
      <c r="R705" s="242"/>
      <c r="T705" s="20"/>
      <c r="U705" s="20"/>
      <c r="V705" s="20"/>
      <c r="W705" s="20"/>
      <c r="X705" s="20"/>
    </row>
    <row r="706" spans="1:24" s="65" customFormat="1" ht="15" customHeight="1" outlineLevel="2">
      <c r="A706" s="219"/>
      <c r="B706" s="242"/>
      <c r="C706" s="245" t="s">
        <v>2053</v>
      </c>
      <c r="D706" s="121" t="str">
        <f>INDEX(Regional.Technologies[Description],MATCH($B$2&amp;"."&amp;G.30.levels.EnergyEfficiency[[#This Row],[Technology code]],Regional.Technologies[Code],0))</f>
        <v>Global Electricity use in the Hisarna Oxygen steel technology</v>
      </c>
      <c r="E706" s="121">
        <v>2</v>
      </c>
      <c r="F706" s="242" t="s">
        <v>1643</v>
      </c>
      <c r="G706" s="265"/>
      <c r="H706" s="265"/>
      <c r="I706" s="370">
        <v>0</v>
      </c>
      <c r="J706" s="370">
        <f t="shared" si="30"/>
        <v>2.5641025641025641E-3</v>
      </c>
      <c r="K706" s="370">
        <f t="shared" si="30"/>
        <v>5.7692307692307696E-3</v>
      </c>
      <c r="L706" s="370">
        <f t="shared" si="30"/>
        <v>8.9743589743589737E-3</v>
      </c>
      <c r="M706" s="370">
        <f t="shared" si="30"/>
        <v>1.217948717948718E-2</v>
      </c>
      <c r="N706" s="370">
        <f t="shared" si="30"/>
        <v>1.5384615384615385E-2</v>
      </c>
      <c r="O706" s="370">
        <f t="shared" si="30"/>
        <v>1.858974358974359E-2</v>
      </c>
      <c r="P706" s="370">
        <f t="shared" si="30"/>
        <v>2.1794871794871794E-2</v>
      </c>
      <c r="Q706" s="370">
        <v>2.5000000000000001E-2</v>
      </c>
      <c r="R706" s="242"/>
      <c r="T706" s="20"/>
      <c r="U706" s="20"/>
      <c r="V706" s="20"/>
      <c r="W706" s="20"/>
      <c r="X706" s="20"/>
    </row>
    <row r="707" spans="1:24" s="65" customFormat="1" ht="15" customHeight="1" outlineLevel="2">
      <c r="A707" s="219"/>
      <c r="B707" s="242"/>
      <c r="C707" s="245" t="s">
        <v>2053</v>
      </c>
      <c r="D707" s="121" t="str">
        <f>INDEX(Regional.Technologies[Description],MATCH($B$2&amp;"."&amp;G.30.levels.EnergyEfficiency[[#This Row],[Technology code]],Regional.Technologies[Code],0))</f>
        <v>Global Electricity use in the Hisarna Oxygen steel technology</v>
      </c>
      <c r="E707" s="121">
        <v>3</v>
      </c>
      <c r="F707" s="242" t="s">
        <v>1643</v>
      </c>
      <c r="G707" s="265"/>
      <c r="H707" s="265"/>
      <c r="I707" s="370">
        <v>0</v>
      </c>
      <c r="J707" s="370">
        <f t="shared" si="30"/>
        <v>5.1282051282051282E-3</v>
      </c>
      <c r="K707" s="370">
        <f t="shared" si="30"/>
        <v>1.1538461538461539E-2</v>
      </c>
      <c r="L707" s="370">
        <f t="shared" si="30"/>
        <v>1.7948717948717947E-2</v>
      </c>
      <c r="M707" s="370">
        <f t="shared" si="30"/>
        <v>2.4358974358974359E-2</v>
      </c>
      <c r="N707" s="370">
        <f t="shared" si="30"/>
        <v>3.0769230769230771E-2</v>
      </c>
      <c r="O707" s="370">
        <f t="shared" si="30"/>
        <v>3.7179487179487179E-2</v>
      </c>
      <c r="P707" s="370">
        <f t="shared" si="30"/>
        <v>4.3589743589743588E-2</v>
      </c>
      <c r="Q707" s="370">
        <v>0.05</v>
      </c>
      <c r="R707" s="242"/>
      <c r="T707" s="20"/>
      <c r="U707" s="20"/>
      <c r="V707" s="20"/>
      <c r="W707" s="20"/>
      <c r="X707" s="20"/>
    </row>
    <row r="708" spans="1:24" s="65" customFormat="1" ht="15" customHeight="1" outlineLevel="2">
      <c r="A708" s="219"/>
      <c r="B708" s="242"/>
      <c r="C708" s="245" t="s">
        <v>2053</v>
      </c>
      <c r="D708" s="121" t="str">
        <f>INDEX(Regional.Technologies[Description],MATCH($B$2&amp;"."&amp;G.30.levels.EnergyEfficiency[[#This Row],[Technology code]],Regional.Technologies[Code],0))</f>
        <v>Global Electricity use in the Hisarna Oxygen steel technology</v>
      </c>
      <c r="E708" s="121">
        <v>4</v>
      </c>
      <c r="F708" s="242" t="s">
        <v>1643</v>
      </c>
      <c r="G708" s="265"/>
      <c r="H708" s="265"/>
      <c r="I708" s="370">
        <v>0</v>
      </c>
      <c r="J708" s="370">
        <f t="shared" si="30"/>
        <v>1.0256410256410256E-2</v>
      </c>
      <c r="K708" s="370">
        <f t="shared" si="30"/>
        <v>2.3076923076923078E-2</v>
      </c>
      <c r="L708" s="370">
        <f t="shared" si="30"/>
        <v>3.5897435897435895E-2</v>
      </c>
      <c r="M708" s="370">
        <f t="shared" si="30"/>
        <v>4.8717948717948718E-2</v>
      </c>
      <c r="N708" s="370">
        <f t="shared" si="30"/>
        <v>6.1538461538461542E-2</v>
      </c>
      <c r="O708" s="370">
        <f t="shared" si="30"/>
        <v>7.4358974358974358E-2</v>
      </c>
      <c r="P708" s="370">
        <f t="shared" si="30"/>
        <v>8.7179487179487175E-2</v>
      </c>
      <c r="Q708" s="370">
        <v>0.1</v>
      </c>
      <c r="R708" s="242"/>
      <c r="T708" s="20"/>
      <c r="U708" s="20"/>
      <c r="V708" s="20"/>
      <c r="W708" s="20"/>
      <c r="X708" s="20"/>
    </row>
    <row r="709" spans="1:24" s="65" customFormat="1" ht="15" customHeight="1" outlineLevel="2">
      <c r="A709" s="219"/>
      <c r="B709" s="242"/>
      <c r="C709" s="245" t="s">
        <v>2054</v>
      </c>
      <c r="D709" s="121" t="str">
        <f>INDEX(Regional.Technologies[Description],MATCH($B$2&amp;"."&amp;G.30.levels.EnergyEfficiency[[#This Row],[Technology code]],Regional.Technologies[Code],0))</f>
        <v>Global Coal use in the Hisarna Oxygen steel technology</v>
      </c>
      <c r="E709" s="121">
        <v>1</v>
      </c>
      <c r="F709" s="242" t="s">
        <v>1643</v>
      </c>
      <c r="G709" s="265"/>
      <c r="H709" s="265"/>
      <c r="I709" s="370">
        <f>I705</f>
        <v>0</v>
      </c>
      <c r="J709" s="370">
        <f t="shared" si="30"/>
        <v>0</v>
      </c>
      <c r="K709" s="370">
        <f t="shared" si="30"/>
        <v>0</v>
      </c>
      <c r="L709" s="370">
        <f t="shared" si="30"/>
        <v>0</v>
      </c>
      <c r="M709" s="370">
        <f t="shared" si="30"/>
        <v>0</v>
      </c>
      <c r="N709" s="370">
        <f t="shared" si="30"/>
        <v>0</v>
      </c>
      <c r="O709" s="370">
        <f t="shared" si="30"/>
        <v>0</v>
      </c>
      <c r="P709" s="370">
        <f t="shared" si="30"/>
        <v>0</v>
      </c>
      <c r="Q709" s="370">
        <f t="shared" ref="Q709:Q724" si="33">Q705</f>
        <v>0</v>
      </c>
      <c r="R709" s="242"/>
      <c r="T709" s="20"/>
      <c r="U709" s="20"/>
      <c r="V709" s="20"/>
      <c r="W709" s="20"/>
      <c r="X709" s="20"/>
    </row>
    <row r="710" spans="1:24" s="65" customFormat="1" ht="15" customHeight="1" outlineLevel="2">
      <c r="A710" s="219"/>
      <c r="B710" s="242"/>
      <c r="C710" s="245" t="s">
        <v>2054</v>
      </c>
      <c r="D710" s="121" t="str">
        <f>INDEX(Regional.Technologies[Description],MATCH($B$2&amp;"."&amp;G.30.levels.EnergyEfficiency[[#This Row],[Technology code]],Regional.Technologies[Code],0))</f>
        <v>Global Coal use in the Hisarna Oxygen steel technology</v>
      </c>
      <c r="E710" s="121">
        <v>2</v>
      </c>
      <c r="F710" s="242" t="s">
        <v>1643</v>
      </c>
      <c r="G710" s="265"/>
      <c r="H710" s="265"/>
      <c r="I710" s="370">
        <f t="shared" ref="I710:I724" si="34">I706</f>
        <v>0</v>
      </c>
      <c r="J710" s="370">
        <f t="shared" si="30"/>
        <v>2.5641025641025641E-3</v>
      </c>
      <c r="K710" s="370">
        <f t="shared" si="30"/>
        <v>5.7692307692307696E-3</v>
      </c>
      <c r="L710" s="370">
        <f t="shared" si="30"/>
        <v>8.9743589743589737E-3</v>
      </c>
      <c r="M710" s="370">
        <f t="shared" si="30"/>
        <v>1.217948717948718E-2</v>
      </c>
      <c r="N710" s="370">
        <f t="shared" si="30"/>
        <v>1.5384615384615385E-2</v>
      </c>
      <c r="O710" s="370">
        <f t="shared" si="30"/>
        <v>1.858974358974359E-2</v>
      </c>
      <c r="P710" s="370">
        <f t="shared" si="30"/>
        <v>2.1794871794871794E-2</v>
      </c>
      <c r="Q710" s="370">
        <f t="shared" si="33"/>
        <v>2.5000000000000001E-2</v>
      </c>
      <c r="R710" s="242"/>
      <c r="T710" s="20"/>
      <c r="U710" s="20"/>
      <c r="V710" s="20"/>
      <c r="W710" s="20"/>
      <c r="X710" s="20"/>
    </row>
    <row r="711" spans="1:24" s="65" customFormat="1" ht="15" customHeight="1" outlineLevel="2">
      <c r="A711" s="219"/>
      <c r="B711" s="242"/>
      <c r="C711" s="245" t="s">
        <v>2054</v>
      </c>
      <c r="D711" s="121" t="str">
        <f>INDEX(Regional.Technologies[Description],MATCH($B$2&amp;"."&amp;G.30.levels.EnergyEfficiency[[#This Row],[Technology code]],Regional.Technologies[Code],0))</f>
        <v>Global Coal use in the Hisarna Oxygen steel technology</v>
      </c>
      <c r="E711" s="121">
        <v>3</v>
      </c>
      <c r="F711" s="242" t="s">
        <v>1643</v>
      </c>
      <c r="G711" s="265"/>
      <c r="H711" s="265"/>
      <c r="I711" s="370">
        <f t="shared" si="34"/>
        <v>0</v>
      </c>
      <c r="J711" s="370">
        <f t="shared" si="30"/>
        <v>5.1282051282051282E-3</v>
      </c>
      <c r="K711" s="370">
        <f t="shared" si="30"/>
        <v>1.1538461538461539E-2</v>
      </c>
      <c r="L711" s="370">
        <f t="shared" si="30"/>
        <v>1.7948717948717947E-2</v>
      </c>
      <c r="M711" s="370">
        <f t="shared" si="30"/>
        <v>2.4358974358974359E-2</v>
      </c>
      <c r="N711" s="370">
        <f t="shared" si="30"/>
        <v>3.0769230769230771E-2</v>
      </c>
      <c r="O711" s="370">
        <f t="shared" si="30"/>
        <v>3.7179487179487179E-2</v>
      </c>
      <c r="P711" s="370">
        <f t="shared" si="30"/>
        <v>4.3589743589743588E-2</v>
      </c>
      <c r="Q711" s="370">
        <f t="shared" si="33"/>
        <v>0.05</v>
      </c>
      <c r="R711" s="242"/>
      <c r="T711" s="20"/>
      <c r="U711" s="20"/>
      <c r="V711" s="20"/>
      <c r="W711" s="20"/>
      <c r="X711" s="20"/>
    </row>
    <row r="712" spans="1:24" s="65" customFormat="1" ht="15" customHeight="1" outlineLevel="2">
      <c r="A712" s="219"/>
      <c r="B712" s="242"/>
      <c r="C712" s="245" t="s">
        <v>2054</v>
      </c>
      <c r="D712" s="121" t="str">
        <f>INDEX(Regional.Technologies[Description],MATCH($B$2&amp;"."&amp;G.30.levels.EnergyEfficiency[[#This Row],[Technology code]],Regional.Technologies[Code],0))</f>
        <v>Global Coal use in the Hisarna Oxygen steel technology</v>
      </c>
      <c r="E712" s="121">
        <v>4</v>
      </c>
      <c r="F712" s="242" t="s">
        <v>1643</v>
      </c>
      <c r="G712" s="265"/>
      <c r="H712" s="265"/>
      <c r="I712" s="370">
        <f t="shared" si="34"/>
        <v>0</v>
      </c>
      <c r="J712" s="370">
        <f t="shared" si="30"/>
        <v>1.0256410256410256E-2</v>
      </c>
      <c r="K712" s="370">
        <f t="shared" si="30"/>
        <v>2.3076923076923078E-2</v>
      </c>
      <c r="L712" s="370">
        <f t="shared" si="30"/>
        <v>3.5897435897435895E-2</v>
      </c>
      <c r="M712" s="370">
        <f t="shared" si="30"/>
        <v>4.8717948717948718E-2</v>
      </c>
      <c r="N712" s="370">
        <f t="shared" si="30"/>
        <v>6.1538461538461542E-2</v>
      </c>
      <c r="O712" s="370">
        <f t="shared" si="30"/>
        <v>7.4358974358974358E-2</v>
      </c>
      <c r="P712" s="370">
        <f t="shared" si="30"/>
        <v>8.7179487179487175E-2</v>
      </c>
      <c r="Q712" s="370">
        <f t="shared" si="33"/>
        <v>0.1</v>
      </c>
      <c r="R712" s="242"/>
      <c r="T712" s="20"/>
      <c r="U712" s="20"/>
      <c r="V712" s="20"/>
      <c r="W712" s="20"/>
      <c r="X712" s="20"/>
    </row>
    <row r="713" spans="1:24" s="65" customFormat="1" ht="15" customHeight="1" outlineLevel="2">
      <c r="A713" s="219"/>
      <c r="B713" s="242"/>
      <c r="C713" s="242" t="s">
        <v>2055</v>
      </c>
      <c r="D713" s="121" t="str">
        <f>INDEX(Regional.Technologies[Description],MATCH($B$2&amp;"."&amp;G.30.levels.EnergyEfficiency[[#This Row],[Technology code]],Regional.Technologies[Code],0))</f>
        <v>Global Oil use in the Hisarna Oxygen steel technology</v>
      </c>
      <c r="E713" s="121">
        <v>1</v>
      </c>
      <c r="F713" s="242" t="s">
        <v>1643</v>
      </c>
      <c r="G713" s="265"/>
      <c r="H713" s="265"/>
      <c r="I713" s="370">
        <f t="shared" si="34"/>
        <v>0</v>
      </c>
      <c r="J713" s="370">
        <f t="shared" si="30"/>
        <v>0</v>
      </c>
      <c r="K713" s="370">
        <f t="shared" si="30"/>
        <v>0</v>
      </c>
      <c r="L713" s="370">
        <f t="shared" si="30"/>
        <v>0</v>
      </c>
      <c r="M713" s="370">
        <f t="shared" si="30"/>
        <v>0</v>
      </c>
      <c r="N713" s="370">
        <f t="shared" si="30"/>
        <v>0</v>
      </c>
      <c r="O713" s="370">
        <f t="shared" si="30"/>
        <v>0</v>
      </c>
      <c r="P713" s="370">
        <f t="shared" si="30"/>
        <v>0</v>
      </c>
      <c r="Q713" s="370">
        <f t="shared" si="33"/>
        <v>0</v>
      </c>
      <c r="R713" s="242"/>
      <c r="T713" s="20"/>
      <c r="U713" s="20"/>
      <c r="V713" s="20"/>
      <c r="W713" s="20"/>
      <c r="X713" s="20"/>
    </row>
    <row r="714" spans="1:24" s="65" customFormat="1" ht="15" customHeight="1" outlineLevel="2">
      <c r="A714" s="219"/>
      <c r="B714" s="242"/>
      <c r="C714" s="242" t="s">
        <v>2055</v>
      </c>
      <c r="D714" s="121" t="str">
        <f>INDEX(Regional.Technologies[Description],MATCH($B$2&amp;"."&amp;G.30.levels.EnergyEfficiency[[#This Row],[Technology code]],Regional.Technologies[Code],0))</f>
        <v>Global Oil use in the Hisarna Oxygen steel technology</v>
      </c>
      <c r="E714" s="121">
        <v>2</v>
      </c>
      <c r="F714" s="242" t="s">
        <v>1643</v>
      </c>
      <c r="G714" s="265"/>
      <c r="H714" s="265"/>
      <c r="I714" s="370">
        <f t="shared" si="34"/>
        <v>0</v>
      </c>
      <c r="J714" s="370">
        <f t="shared" si="30"/>
        <v>2.5641025641025641E-3</v>
      </c>
      <c r="K714" s="370">
        <f t="shared" si="30"/>
        <v>5.7692307692307696E-3</v>
      </c>
      <c r="L714" s="370">
        <f t="shared" si="30"/>
        <v>8.9743589743589737E-3</v>
      </c>
      <c r="M714" s="370">
        <f t="shared" si="30"/>
        <v>1.217948717948718E-2</v>
      </c>
      <c r="N714" s="370">
        <f t="shared" si="30"/>
        <v>1.5384615384615385E-2</v>
      </c>
      <c r="O714" s="370">
        <f t="shared" si="30"/>
        <v>1.858974358974359E-2</v>
      </c>
      <c r="P714" s="370">
        <f t="shared" si="30"/>
        <v>2.1794871794871794E-2</v>
      </c>
      <c r="Q714" s="370">
        <f t="shared" si="33"/>
        <v>2.5000000000000001E-2</v>
      </c>
      <c r="R714" s="242"/>
      <c r="T714" s="20"/>
      <c r="U714" s="20"/>
      <c r="V714" s="20"/>
      <c r="W714" s="20"/>
      <c r="X714" s="20"/>
    </row>
    <row r="715" spans="1:24" s="65" customFormat="1" ht="15" customHeight="1" outlineLevel="2">
      <c r="A715" s="219"/>
      <c r="B715" s="242"/>
      <c r="C715" s="242" t="s">
        <v>2055</v>
      </c>
      <c r="D715" s="121" t="str">
        <f>INDEX(Regional.Technologies[Description],MATCH($B$2&amp;"."&amp;G.30.levels.EnergyEfficiency[[#This Row],[Technology code]],Regional.Technologies[Code],0))</f>
        <v>Global Oil use in the Hisarna Oxygen steel technology</v>
      </c>
      <c r="E715" s="121">
        <v>3</v>
      </c>
      <c r="F715" s="242" t="s">
        <v>1643</v>
      </c>
      <c r="G715" s="265"/>
      <c r="H715" s="265"/>
      <c r="I715" s="370">
        <f t="shared" si="34"/>
        <v>0</v>
      </c>
      <c r="J715" s="370">
        <f t="shared" si="30"/>
        <v>5.1282051282051282E-3</v>
      </c>
      <c r="K715" s="370">
        <f t="shared" si="30"/>
        <v>1.1538461538461539E-2</v>
      </c>
      <c r="L715" s="370">
        <f t="shared" si="30"/>
        <v>1.7948717948717947E-2</v>
      </c>
      <c r="M715" s="370">
        <f t="shared" si="30"/>
        <v>2.4358974358974359E-2</v>
      </c>
      <c r="N715" s="370">
        <f t="shared" si="30"/>
        <v>3.0769230769230771E-2</v>
      </c>
      <c r="O715" s="370">
        <f t="shared" si="30"/>
        <v>3.7179487179487179E-2</v>
      </c>
      <c r="P715" s="370">
        <f t="shared" si="30"/>
        <v>4.3589743589743588E-2</v>
      </c>
      <c r="Q715" s="370">
        <f t="shared" si="33"/>
        <v>0.05</v>
      </c>
      <c r="R715" s="242"/>
      <c r="T715" s="20"/>
      <c r="U715" s="20"/>
      <c r="V715" s="20"/>
      <c r="W715" s="20"/>
      <c r="X715" s="20"/>
    </row>
    <row r="716" spans="1:24" s="65" customFormat="1" ht="15" customHeight="1" outlineLevel="2">
      <c r="A716" s="219"/>
      <c r="B716" s="242"/>
      <c r="C716" s="242" t="s">
        <v>2055</v>
      </c>
      <c r="D716" s="121" t="str">
        <f>INDEX(Regional.Technologies[Description],MATCH($B$2&amp;"."&amp;G.30.levels.EnergyEfficiency[[#This Row],[Technology code]],Regional.Technologies[Code],0))</f>
        <v>Global Oil use in the Hisarna Oxygen steel technology</v>
      </c>
      <c r="E716" s="121">
        <v>4</v>
      </c>
      <c r="F716" s="242" t="s">
        <v>1643</v>
      </c>
      <c r="G716" s="265"/>
      <c r="H716" s="265"/>
      <c r="I716" s="370">
        <f t="shared" si="34"/>
        <v>0</v>
      </c>
      <c r="J716" s="370">
        <f t="shared" si="30"/>
        <v>1.0256410256410256E-2</v>
      </c>
      <c r="K716" s="370">
        <f t="shared" si="30"/>
        <v>2.3076923076923078E-2</v>
      </c>
      <c r="L716" s="370">
        <f t="shared" si="30"/>
        <v>3.5897435897435895E-2</v>
      </c>
      <c r="M716" s="370">
        <f t="shared" si="30"/>
        <v>4.8717948717948718E-2</v>
      </c>
      <c r="N716" s="370">
        <f t="shared" si="30"/>
        <v>6.1538461538461542E-2</v>
      </c>
      <c r="O716" s="370">
        <f t="shared" si="30"/>
        <v>7.4358974358974358E-2</v>
      </c>
      <c r="P716" s="370">
        <f t="shared" si="30"/>
        <v>8.7179487179487175E-2</v>
      </c>
      <c r="Q716" s="370">
        <f t="shared" si="33"/>
        <v>0.1</v>
      </c>
      <c r="R716" s="242"/>
      <c r="T716" s="20"/>
      <c r="U716" s="20"/>
      <c r="V716" s="20"/>
      <c r="W716" s="20"/>
      <c r="X716" s="20"/>
    </row>
    <row r="717" spans="1:24" s="65" customFormat="1" ht="15" customHeight="1" outlineLevel="2">
      <c r="A717" s="219"/>
      <c r="B717" s="242"/>
      <c r="C717" s="242" t="s">
        <v>2056</v>
      </c>
      <c r="D717" s="121" t="str">
        <f>INDEX(Regional.Technologies[Description],MATCH($B$2&amp;"."&amp;G.30.levels.EnergyEfficiency[[#This Row],[Technology code]],Regional.Technologies[Code],0))</f>
        <v>Global Natural Gas use in the Hisarna Oxygen steel technology</v>
      </c>
      <c r="E717" s="121">
        <v>1</v>
      </c>
      <c r="F717" s="242" t="s">
        <v>1643</v>
      </c>
      <c r="G717" s="265"/>
      <c r="H717" s="265"/>
      <c r="I717" s="370">
        <f t="shared" si="34"/>
        <v>0</v>
      </c>
      <c r="J717" s="370">
        <f t="shared" si="30"/>
        <v>0</v>
      </c>
      <c r="K717" s="370">
        <f t="shared" si="30"/>
        <v>0</v>
      </c>
      <c r="L717" s="370">
        <f t="shared" si="30"/>
        <v>0</v>
      </c>
      <c r="M717" s="370">
        <f t="shared" si="30"/>
        <v>0</v>
      </c>
      <c r="N717" s="370">
        <f t="shared" si="30"/>
        <v>0</v>
      </c>
      <c r="O717" s="370">
        <f t="shared" si="30"/>
        <v>0</v>
      </c>
      <c r="P717" s="370">
        <f t="shared" si="30"/>
        <v>0</v>
      </c>
      <c r="Q717" s="370">
        <f t="shared" si="33"/>
        <v>0</v>
      </c>
      <c r="R717" s="242"/>
      <c r="T717" s="20"/>
      <c r="U717" s="20"/>
      <c r="V717" s="20"/>
      <c r="W717" s="20"/>
      <c r="X717" s="20"/>
    </row>
    <row r="718" spans="1:24" s="65" customFormat="1" ht="15" customHeight="1" outlineLevel="2">
      <c r="A718" s="219"/>
      <c r="B718" s="242"/>
      <c r="C718" s="242" t="s">
        <v>2056</v>
      </c>
      <c r="D718" s="121" t="str">
        <f>INDEX(Regional.Technologies[Description],MATCH($B$2&amp;"."&amp;G.30.levels.EnergyEfficiency[[#This Row],[Technology code]],Regional.Technologies[Code],0))</f>
        <v>Global Natural Gas use in the Hisarna Oxygen steel technology</v>
      </c>
      <c r="E718" s="121">
        <v>2</v>
      </c>
      <c r="F718" s="242" t="s">
        <v>1643</v>
      </c>
      <c r="G718" s="265"/>
      <c r="H718" s="265"/>
      <c r="I718" s="370">
        <f t="shared" si="34"/>
        <v>0</v>
      </c>
      <c r="J718" s="370">
        <f t="shared" si="30"/>
        <v>2.5641025641025641E-3</v>
      </c>
      <c r="K718" s="370">
        <f t="shared" si="30"/>
        <v>5.7692307692307696E-3</v>
      </c>
      <c r="L718" s="370">
        <f t="shared" si="30"/>
        <v>8.9743589743589737E-3</v>
      </c>
      <c r="M718" s="370">
        <f t="shared" si="30"/>
        <v>1.217948717948718E-2</v>
      </c>
      <c r="N718" s="370">
        <f t="shared" si="30"/>
        <v>1.5384615384615385E-2</v>
      </c>
      <c r="O718" s="370">
        <f t="shared" si="30"/>
        <v>1.858974358974359E-2</v>
      </c>
      <c r="P718" s="370">
        <f t="shared" si="30"/>
        <v>2.1794871794871794E-2</v>
      </c>
      <c r="Q718" s="370">
        <f t="shared" si="33"/>
        <v>2.5000000000000001E-2</v>
      </c>
      <c r="R718" s="242"/>
      <c r="T718" s="20"/>
      <c r="U718" s="20"/>
      <c r="V718" s="20"/>
      <c r="W718" s="20"/>
      <c r="X718" s="20"/>
    </row>
    <row r="719" spans="1:24" s="65" customFormat="1" ht="15" customHeight="1" outlineLevel="2">
      <c r="A719" s="219"/>
      <c r="B719" s="242"/>
      <c r="C719" s="242" t="s">
        <v>2056</v>
      </c>
      <c r="D719" s="121" t="str">
        <f>INDEX(Regional.Technologies[Description],MATCH($B$2&amp;"."&amp;G.30.levels.EnergyEfficiency[[#This Row],[Technology code]],Regional.Technologies[Code],0))</f>
        <v>Global Natural Gas use in the Hisarna Oxygen steel technology</v>
      </c>
      <c r="E719" s="121">
        <v>3</v>
      </c>
      <c r="F719" s="242" t="s">
        <v>1643</v>
      </c>
      <c r="G719" s="265"/>
      <c r="H719" s="265"/>
      <c r="I719" s="370">
        <f t="shared" si="34"/>
        <v>0</v>
      </c>
      <c r="J719" s="370">
        <f t="shared" si="30"/>
        <v>5.1282051282051282E-3</v>
      </c>
      <c r="K719" s="370">
        <f t="shared" si="30"/>
        <v>1.1538461538461539E-2</v>
      </c>
      <c r="L719" s="370">
        <f t="shared" si="30"/>
        <v>1.7948717948717947E-2</v>
      </c>
      <c r="M719" s="370">
        <f t="shared" si="30"/>
        <v>2.4358974358974359E-2</v>
      </c>
      <c r="N719" s="370">
        <f t="shared" si="30"/>
        <v>3.0769230769230771E-2</v>
      </c>
      <c r="O719" s="370">
        <f t="shared" si="30"/>
        <v>3.7179487179487179E-2</v>
      </c>
      <c r="P719" s="370">
        <f t="shared" si="30"/>
        <v>4.3589743589743588E-2</v>
      </c>
      <c r="Q719" s="370">
        <f t="shared" si="33"/>
        <v>0.05</v>
      </c>
      <c r="R719" s="242"/>
      <c r="T719" s="20"/>
      <c r="U719" s="20"/>
      <c r="V719" s="20"/>
      <c r="W719" s="20"/>
      <c r="X719" s="20"/>
    </row>
    <row r="720" spans="1:24" s="65" customFormat="1" ht="15" customHeight="1" outlineLevel="2">
      <c r="A720" s="219"/>
      <c r="B720" s="242"/>
      <c r="C720" s="242" t="s">
        <v>2056</v>
      </c>
      <c r="D720" s="121" t="str">
        <f>INDEX(Regional.Technologies[Description],MATCH($B$2&amp;"."&amp;G.30.levels.EnergyEfficiency[[#This Row],[Technology code]],Regional.Technologies[Code],0))</f>
        <v>Global Natural Gas use in the Hisarna Oxygen steel technology</v>
      </c>
      <c r="E720" s="121">
        <v>4</v>
      </c>
      <c r="F720" s="242" t="s">
        <v>1643</v>
      </c>
      <c r="G720" s="265"/>
      <c r="H720" s="265"/>
      <c r="I720" s="370">
        <f t="shared" si="34"/>
        <v>0</v>
      </c>
      <c r="J720" s="370">
        <f t="shared" si="30"/>
        <v>1.0256410256410256E-2</v>
      </c>
      <c r="K720" s="370">
        <f t="shared" si="30"/>
        <v>2.3076923076923078E-2</v>
      </c>
      <c r="L720" s="370">
        <f t="shared" si="30"/>
        <v>3.5897435897435895E-2</v>
      </c>
      <c r="M720" s="370">
        <f t="shared" si="30"/>
        <v>4.8717948717948718E-2</v>
      </c>
      <c r="N720" s="370">
        <f t="shared" si="30"/>
        <v>6.1538461538461542E-2</v>
      </c>
      <c r="O720" s="370">
        <f t="shared" si="30"/>
        <v>7.4358974358974358E-2</v>
      </c>
      <c r="P720" s="370">
        <f t="shared" si="30"/>
        <v>8.7179487179487175E-2</v>
      </c>
      <c r="Q720" s="370">
        <f t="shared" si="33"/>
        <v>0.1</v>
      </c>
      <c r="R720" s="242"/>
      <c r="T720" s="20"/>
      <c r="U720" s="20"/>
      <c r="V720" s="20"/>
      <c r="W720" s="20"/>
      <c r="X720" s="20"/>
    </row>
    <row r="721" spans="1:24" s="65" customFormat="1" ht="15" customHeight="1" outlineLevel="2">
      <c r="A721" s="219"/>
      <c r="B721" s="242"/>
      <c r="C721" s="242" t="s">
        <v>2057</v>
      </c>
      <c r="D721" s="121" t="str">
        <f>INDEX(Regional.Technologies[Description],MATCH($B$2&amp;"."&amp;G.30.levels.EnergyEfficiency[[#This Row],[Technology code]],Regional.Technologies[Code],0))</f>
        <v>Global Solid Hydrocarbons use in the Hisarna Oxygen steel technology</v>
      </c>
      <c r="E721" s="121">
        <v>1</v>
      </c>
      <c r="F721" s="242" t="s">
        <v>1643</v>
      </c>
      <c r="G721" s="265"/>
      <c r="H721" s="265"/>
      <c r="I721" s="370">
        <f t="shared" si="34"/>
        <v>0</v>
      </c>
      <c r="J721" s="370">
        <f t="shared" si="30"/>
        <v>0</v>
      </c>
      <c r="K721" s="370">
        <f t="shared" si="30"/>
        <v>0</v>
      </c>
      <c r="L721" s="370">
        <f t="shared" si="30"/>
        <v>0</v>
      </c>
      <c r="M721" s="370">
        <f t="shared" ref="J721:P740" si="35">(($Q721-$I721)/($Q$121-$I$121))*(M$121-$I$121)+$I721</f>
        <v>0</v>
      </c>
      <c r="N721" s="370">
        <f t="shared" si="35"/>
        <v>0</v>
      </c>
      <c r="O721" s="370">
        <f t="shared" si="35"/>
        <v>0</v>
      </c>
      <c r="P721" s="370">
        <f t="shared" si="35"/>
        <v>0</v>
      </c>
      <c r="Q721" s="370">
        <f t="shared" si="33"/>
        <v>0</v>
      </c>
      <c r="R721" s="242"/>
      <c r="T721" s="20"/>
      <c r="U721" s="20"/>
      <c r="V721" s="20"/>
      <c r="W721" s="20"/>
      <c r="X721" s="20"/>
    </row>
    <row r="722" spans="1:24" s="65" customFormat="1" ht="15" customHeight="1" outlineLevel="2">
      <c r="A722" s="219"/>
      <c r="B722" s="242"/>
      <c r="C722" s="242" t="s">
        <v>2057</v>
      </c>
      <c r="D722" s="121" t="str">
        <f>INDEX(Regional.Technologies[Description],MATCH($B$2&amp;"."&amp;G.30.levels.EnergyEfficiency[[#This Row],[Technology code]],Regional.Technologies[Code],0))</f>
        <v>Global Solid Hydrocarbons use in the Hisarna Oxygen steel technology</v>
      </c>
      <c r="E722" s="121">
        <v>2</v>
      </c>
      <c r="F722" s="242" t="s">
        <v>1643</v>
      </c>
      <c r="G722" s="265"/>
      <c r="H722" s="265"/>
      <c r="I722" s="370">
        <f t="shared" si="34"/>
        <v>0</v>
      </c>
      <c r="J722" s="370">
        <f t="shared" si="35"/>
        <v>2.5641025641025641E-3</v>
      </c>
      <c r="K722" s="370">
        <f t="shared" si="35"/>
        <v>5.7692307692307696E-3</v>
      </c>
      <c r="L722" s="370">
        <f t="shared" si="35"/>
        <v>8.9743589743589737E-3</v>
      </c>
      <c r="M722" s="370">
        <f t="shared" si="35"/>
        <v>1.217948717948718E-2</v>
      </c>
      <c r="N722" s="370">
        <f t="shared" si="35"/>
        <v>1.5384615384615385E-2</v>
      </c>
      <c r="O722" s="370">
        <f t="shared" si="35"/>
        <v>1.858974358974359E-2</v>
      </c>
      <c r="P722" s="370">
        <f t="shared" si="35"/>
        <v>2.1794871794871794E-2</v>
      </c>
      <c r="Q722" s="370">
        <f t="shared" si="33"/>
        <v>2.5000000000000001E-2</v>
      </c>
      <c r="R722" s="242"/>
      <c r="T722" s="20"/>
      <c r="U722" s="20"/>
      <c r="V722" s="20"/>
      <c r="W722" s="20"/>
      <c r="X722" s="20"/>
    </row>
    <row r="723" spans="1:24" s="65" customFormat="1" ht="15" customHeight="1" outlineLevel="2">
      <c r="A723" s="219"/>
      <c r="B723" s="242"/>
      <c r="C723" s="242" t="s">
        <v>2057</v>
      </c>
      <c r="D723" s="121" t="str">
        <f>INDEX(Regional.Technologies[Description],MATCH($B$2&amp;"."&amp;G.30.levels.EnergyEfficiency[[#This Row],[Technology code]],Regional.Technologies[Code],0))</f>
        <v>Global Solid Hydrocarbons use in the Hisarna Oxygen steel technology</v>
      </c>
      <c r="E723" s="121">
        <v>3</v>
      </c>
      <c r="F723" s="242" t="s">
        <v>1643</v>
      </c>
      <c r="G723" s="265"/>
      <c r="H723" s="265"/>
      <c r="I723" s="370">
        <f t="shared" si="34"/>
        <v>0</v>
      </c>
      <c r="J723" s="370">
        <f t="shared" si="35"/>
        <v>5.1282051282051282E-3</v>
      </c>
      <c r="K723" s="370">
        <f t="shared" si="35"/>
        <v>1.1538461538461539E-2</v>
      </c>
      <c r="L723" s="370">
        <f t="shared" si="35"/>
        <v>1.7948717948717947E-2</v>
      </c>
      <c r="M723" s="370">
        <f t="shared" si="35"/>
        <v>2.4358974358974359E-2</v>
      </c>
      <c r="N723" s="370">
        <f t="shared" si="35"/>
        <v>3.0769230769230771E-2</v>
      </c>
      <c r="O723" s="370">
        <f t="shared" si="35"/>
        <v>3.7179487179487179E-2</v>
      </c>
      <c r="P723" s="370">
        <f t="shared" si="35"/>
        <v>4.3589743589743588E-2</v>
      </c>
      <c r="Q723" s="370">
        <f t="shared" si="33"/>
        <v>0.05</v>
      </c>
      <c r="R723" s="242"/>
      <c r="T723" s="20"/>
      <c r="U723" s="20"/>
      <c r="V723" s="20"/>
      <c r="W723" s="20"/>
      <c r="X723" s="20"/>
    </row>
    <row r="724" spans="1:24" s="65" customFormat="1" ht="15" customHeight="1" outlineLevel="2">
      <c r="A724" s="219"/>
      <c r="B724" s="242"/>
      <c r="C724" s="242" t="s">
        <v>2057</v>
      </c>
      <c r="D724" s="121" t="str">
        <f>INDEX(Regional.Technologies[Description],MATCH($B$2&amp;"."&amp;G.30.levels.EnergyEfficiency[[#This Row],[Technology code]],Regional.Technologies[Code],0))</f>
        <v>Global Solid Hydrocarbons use in the Hisarna Oxygen steel technology</v>
      </c>
      <c r="E724" s="121">
        <v>4</v>
      </c>
      <c r="F724" s="242" t="s">
        <v>1643</v>
      </c>
      <c r="G724" s="265"/>
      <c r="H724" s="265"/>
      <c r="I724" s="370">
        <f t="shared" si="34"/>
        <v>0</v>
      </c>
      <c r="J724" s="370">
        <f t="shared" si="35"/>
        <v>1.0256410256410256E-2</v>
      </c>
      <c r="K724" s="370">
        <f t="shared" si="35"/>
        <v>2.3076923076923078E-2</v>
      </c>
      <c r="L724" s="370">
        <f t="shared" si="35"/>
        <v>3.5897435897435895E-2</v>
      </c>
      <c r="M724" s="370">
        <f t="shared" si="35"/>
        <v>4.8717948717948718E-2</v>
      </c>
      <c r="N724" s="370">
        <f t="shared" si="35"/>
        <v>6.1538461538461542E-2</v>
      </c>
      <c r="O724" s="370">
        <f t="shared" si="35"/>
        <v>7.4358974358974358E-2</v>
      </c>
      <c r="P724" s="370">
        <f t="shared" si="35"/>
        <v>8.7179487179487175E-2</v>
      </c>
      <c r="Q724" s="370">
        <f t="shared" si="33"/>
        <v>0.1</v>
      </c>
      <c r="R724" s="242"/>
      <c r="T724" s="20"/>
      <c r="U724" s="20"/>
      <c r="V724" s="20"/>
      <c r="W724" s="20"/>
      <c r="X724" s="20"/>
    </row>
    <row r="725" spans="1:24" s="65" customFormat="1" ht="15" customHeight="1" outlineLevel="2">
      <c r="A725" s="219"/>
      <c r="B725" s="242"/>
      <c r="C725" s="242" t="s">
        <v>1379</v>
      </c>
      <c r="D725" s="121" t="str">
        <f>INDEX(Regional.Technologies[Description],MATCH($B$2&amp;"."&amp;G.30.levels.EnergyEfficiency[[#This Row],[Technology code]],Regional.Technologies[Code],0))</f>
        <v>Global Electricity use in the Electric steel technology</v>
      </c>
      <c r="E725" s="121">
        <v>1</v>
      </c>
      <c r="F725" s="242" t="s">
        <v>1643</v>
      </c>
      <c r="G725" s="242"/>
      <c r="H725" s="242"/>
      <c r="I725" s="370">
        <v>0</v>
      </c>
      <c r="J725" s="370">
        <f t="shared" si="35"/>
        <v>0</v>
      </c>
      <c r="K725" s="370">
        <f t="shared" si="35"/>
        <v>0</v>
      </c>
      <c r="L725" s="370">
        <f t="shared" si="35"/>
        <v>0</v>
      </c>
      <c r="M725" s="370">
        <f t="shared" si="35"/>
        <v>0</v>
      </c>
      <c r="N725" s="370">
        <f t="shared" si="35"/>
        <v>0</v>
      </c>
      <c r="O725" s="370">
        <f t="shared" si="35"/>
        <v>0</v>
      </c>
      <c r="P725" s="370">
        <f t="shared" si="35"/>
        <v>0</v>
      </c>
      <c r="Q725" s="370">
        <v>0</v>
      </c>
      <c r="R725" s="242"/>
      <c r="T725" s="20"/>
      <c r="U725" s="20"/>
      <c r="V725" s="20"/>
      <c r="W725" s="20"/>
      <c r="X725" s="20"/>
    </row>
    <row r="726" spans="1:24" s="65" customFormat="1" ht="15" customHeight="1" outlineLevel="2">
      <c r="A726" s="219"/>
      <c r="B726" s="242"/>
      <c r="C726" s="242" t="s">
        <v>1379</v>
      </c>
      <c r="D726" s="121" t="str">
        <f>INDEX(Regional.Technologies[Description],MATCH($B$2&amp;"."&amp;G.30.levels.EnergyEfficiency[[#This Row],[Technology code]],Regional.Technologies[Code],0))</f>
        <v>Global Electricity use in the Electric steel technology</v>
      </c>
      <c r="E726" s="121">
        <v>2</v>
      </c>
      <c r="F726" s="242" t="s">
        <v>1643</v>
      </c>
      <c r="G726" s="242"/>
      <c r="H726" s="242"/>
      <c r="I726" s="370">
        <v>0</v>
      </c>
      <c r="J726" s="370">
        <f t="shared" si="35"/>
        <v>0</v>
      </c>
      <c r="K726" s="370">
        <f t="shared" si="35"/>
        <v>0</v>
      </c>
      <c r="L726" s="370">
        <f t="shared" si="35"/>
        <v>0</v>
      </c>
      <c r="M726" s="370">
        <f t="shared" si="35"/>
        <v>0</v>
      </c>
      <c r="N726" s="370">
        <f t="shared" si="35"/>
        <v>0</v>
      </c>
      <c r="O726" s="370">
        <f t="shared" si="35"/>
        <v>0</v>
      </c>
      <c r="P726" s="370">
        <f t="shared" si="35"/>
        <v>0</v>
      </c>
      <c r="Q726" s="370">
        <v>0</v>
      </c>
      <c r="R726" s="242"/>
      <c r="T726" s="20"/>
      <c r="U726" s="20"/>
      <c r="V726" s="20"/>
      <c r="W726" s="20"/>
      <c r="X726" s="20"/>
    </row>
    <row r="727" spans="1:24" s="65" customFormat="1" ht="15" customHeight="1" outlineLevel="2">
      <c r="A727" s="219"/>
      <c r="B727" s="242"/>
      <c r="C727" s="242" t="s">
        <v>1379</v>
      </c>
      <c r="D727" s="121" t="str">
        <f>INDEX(Regional.Technologies[Description],MATCH($B$2&amp;"."&amp;G.30.levels.EnergyEfficiency[[#This Row],[Technology code]],Regional.Technologies[Code],0))</f>
        <v>Global Electricity use in the Electric steel technology</v>
      </c>
      <c r="E727" s="121">
        <v>3</v>
      </c>
      <c r="F727" s="242" t="s">
        <v>1643</v>
      </c>
      <c r="G727" s="242"/>
      <c r="H727" s="242"/>
      <c r="I727" s="370">
        <v>0</v>
      </c>
      <c r="J727" s="370">
        <f t="shared" si="35"/>
        <v>0</v>
      </c>
      <c r="K727" s="370">
        <f t="shared" si="35"/>
        <v>0</v>
      </c>
      <c r="L727" s="370">
        <f t="shared" si="35"/>
        <v>0</v>
      </c>
      <c r="M727" s="370">
        <f t="shared" si="35"/>
        <v>0</v>
      </c>
      <c r="N727" s="370">
        <f t="shared" si="35"/>
        <v>0</v>
      </c>
      <c r="O727" s="370">
        <f t="shared" si="35"/>
        <v>0</v>
      </c>
      <c r="P727" s="370">
        <f t="shared" si="35"/>
        <v>0</v>
      </c>
      <c r="Q727" s="370">
        <v>0</v>
      </c>
      <c r="R727" s="242"/>
      <c r="T727" s="20"/>
      <c r="U727" s="20"/>
      <c r="V727" s="20"/>
      <c r="W727" s="20"/>
      <c r="X727" s="20"/>
    </row>
    <row r="728" spans="1:24" s="65" customFormat="1" ht="15" customHeight="1" outlineLevel="2">
      <c r="A728" s="219"/>
      <c r="B728" s="242"/>
      <c r="C728" s="242" t="s">
        <v>1379</v>
      </c>
      <c r="D728" s="121" t="str">
        <f>INDEX(Regional.Technologies[Description],MATCH($B$2&amp;"."&amp;G.30.levels.EnergyEfficiency[[#This Row],[Technology code]],Regional.Technologies[Code],0))</f>
        <v>Global Electricity use in the Electric steel technology</v>
      </c>
      <c r="E728" s="121">
        <v>4</v>
      </c>
      <c r="F728" s="242" t="s">
        <v>1643</v>
      </c>
      <c r="G728" s="242"/>
      <c r="H728" s="242"/>
      <c r="I728" s="370">
        <v>0</v>
      </c>
      <c r="J728" s="370">
        <f t="shared" si="35"/>
        <v>1.0256410256410256E-2</v>
      </c>
      <c r="K728" s="370">
        <f t="shared" si="35"/>
        <v>2.3076923076923078E-2</v>
      </c>
      <c r="L728" s="370">
        <f t="shared" si="35"/>
        <v>3.5897435897435895E-2</v>
      </c>
      <c r="M728" s="370">
        <f t="shared" si="35"/>
        <v>4.8717948717948718E-2</v>
      </c>
      <c r="N728" s="370">
        <f t="shared" si="35"/>
        <v>6.1538461538461542E-2</v>
      </c>
      <c r="O728" s="370">
        <f t="shared" si="35"/>
        <v>7.4358974358974358E-2</v>
      </c>
      <c r="P728" s="370">
        <f t="shared" si="35"/>
        <v>8.7179487179487175E-2</v>
      </c>
      <c r="Q728" s="370">
        <v>0.1</v>
      </c>
      <c r="R728" s="242"/>
      <c r="T728" s="20"/>
      <c r="U728" s="20"/>
      <c r="V728" s="20"/>
      <c r="W728" s="20"/>
      <c r="X728" s="20"/>
    </row>
    <row r="729" spans="1:24" s="65" customFormat="1" ht="15" customHeight="1" outlineLevel="2">
      <c r="A729" s="219"/>
      <c r="B729" s="242"/>
      <c r="C729" s="242" t="s">
        <v>1803</v>
      </c>
      <c r="D729" s="121" t="str">
        <f>INDEX(Regional.Technologies[Description],MATCH($B$2&amp;"."&amp;G.30.levels.EnergyEfficiency[[#This Row],[Technology code]],Regional.Technologies[Code],0))</f>
        <v>Global Coal use in the Electric steel technology</v>
      </c>
      <c r="E729" s="121">
        <v>1</v>
      </c>
      <c r="F729" s="242" t="s">
        <v>1643</v>
      </c>
      <c r="G729" s="242"/>
      <c r="H729" s="242"/>
      <c r="I729" s="370">
        <v>0</v>
      </c>
      <c r="J729" s="370">
        <f t="shared" si="35"/>
        <v>0</v>
      </c>
      <c r="K729" s="370">
        <f t="shared" si="35"/>
        <v>0</v>
      </c>
      <c r="L729" s="370">
        <f t="shared" si="35"/>
        <v>0</v>
      </c>
      <c r="M729" s="370">
        <f t="shared" si="35"/>
        <v>0</v>
      </c>
      <c r="N729" s="370">
        <f t="shared" si="35"/>
        <v>0</v>
      </c>
      <c r="O729" s="370">
        <f t="shared" si="35"/>
        <v>0</v>
      </c>
      <c r="P729" s="370">
        <f t="shared" si="35"/>
        <v>0</v>
      </c>
      <c r="Q729" s="370">
        <v>0</v>
      </c>
      <c r="R729" s="242"/>
      <c r="T729" s="20"/>
      <c r="U729" s="20"/>
      <c r="V729" s="20"/>
      <c r="W729" s="20"/>
      <c r="X729" s="20"/>
    </row>
    <row r="730" spans="1:24" s="65" customFormat="1" ht="15" customHeight="1" outlineLevel="2">
      <c r="A730" s="219"/>
      <c r="B730" s="242"/>
      <c r="C730" s="242" t="s">
        <v>1803</v>
      </c>
      <c r="D730" s="121" t="str">
        <f>INDEX(Regional.Technologies[Description],MATCH($B$2&amp;"."&amp;G.30.levels.EnergyEfficiency[[#This Row],[Technology code]],Regional.Technologies[Code],0))</f>
        <v>Global Coal use in the Electric steel technology</v>
      </c>
      <c r="E730" s="121">
        <v>2</v>
      </c>
      <c r="F730" s="242" t="s">
        <v>1643</v>
      </c>
      <c r="G730" s="242"/>
      <c r="H730" s="242"/>
      <c r="I730" s="370">
        <v>0</v>
      </c>
      <c r="J730" s="370">
        <f t="shared" si="35"/>
        <v>0</v>
      </c>
      <c r="K730" s="370">
        <f t="shared" si="35"/>
        <v>0</v>
      </c>
      <c r="L730" s="370">
        <f t="shared" si="35"/>
        <v>0</v>
      </c>
      <c r="M730" s="370">
        <f t="shared" si="35"/>
        <v>0</v>
      </c>
      <c r="N730" s="370">
        <f t="shared" si="35"/>
        <v>0</v>
      </c>
      <c r="O730" s="370">
        <f t="shared" si="35"/>
        <v>0</v>
      </c>
      <c r="P730" s="370">
        <f t="shared" si="35"/>
        <v>0</v>
      </c>
      <c r="Q730" s="370">
        <v>0</v>
      </c>
      <c r="R730" s="242"/>
      <c r="T730" s="20"/>
      <c r="U730" s="20"/>
      <c r="V730" s="20"/>
      <c r="W730" s="20"/>
      <c r="X730" s="20"/>
    </row>
    <row r="731" spans="1:24" s="65" customFormat="1" ht="15" customHeight="1" outlineLevel="2">
      <c r="A731" s="219"/>
      <c r="B731" s="242"/>
      <c r="C731" s="242" t="s">
        <v>1803</v>
      </c>
      <c r="D731" s="121" t="str">
        <f>INDEX(Regional.Technologies[Description],MATCH($B$2&amp;"."&amp;G.30.levels.EnergyEfficiency[[#This Row],[Technology code]],Regional.Technologies[Code],0))</f>
        <v>Global Coal use in the Electric steel technology</v>
      </c>
      <c r="E731" s="121">
        <v>3</v>
      </c>
      <c r="F731" s="242" t="s">
        <v>1643</v>
      </c>
      <c r="G731" s="242"/>
      <c r="H731" s="242"/>
      <c r="I731" s="370">
        <v>0</v>
      </c>
      <c r="J731" s="370">
        <f t="shared" si="35"/>
        <v>0</v>
      </c>
      <c r="K731" s="370">
        <f t="shared" si="35"/>
        <v>0</v>
      </c>
      <c r="L731" s="370">
        <f t="shared" si="35"/>
        <v>0</v>
      </c>
      <c r="M731" s="370">
        <f t="shared" si="35"/>
        <v>0</v>
      </c>
      <c r="N731" s="370">
        <f t="shared" si="35"/>
        <v>0</v>
      </c>
      <c r="O731" s="370">
        <f t="shared" si="35"/>
        <v>0</v>
      </c>
      <c r="P731" s="370">
        <f t="shared" si="35"/>
        <v>0</v>
      </c>
      <c r="Q731" s="370">
        <v>0</v>
      </c>
      <c r="R731" s="242"/>
      <c r="T731" s="20"/>
      <c r="U731" s="20"/>
      <c r="V731" s="20"/>
      <c r="W731" s="20"/>
      <c r="X731" s="20"/>
    </row>
    <row r="732" spans="1:24" s="65" customFormat="1" ht="15" customHeight="1" outlineLevel="2">
      <c r="A732" s="219"/>
      <c r="B732" s="242"/>
      <c r="C732" s="242" t="s">
        <v>1803</v>
      </c>
      <c r="D732" s="121" t="str">
        <f>INDEX(Regional.Technologies[Description],MATCH($B$2&amp;"."&amp;G.30.levels.EnergyEfficiency[[#This Row],[Technology code]],Regional.Technologies[Code],0))</f>
        <v>Global Coal use in the Electric steel technology</v>
      </c>
      <c r="E732" s="121">
        <v>4</v>
      </c>
      <c r="F732" s="242" t="s">
        <v>1643</v>
      </c>
      <c r="G732" s="242"/>
      <c r="H732" s="242"/>
      <c r="I732" s="370">
        <v>0</v>
      </c>
      <c r="J732" s="370">
        <f t="shared" si="35"/>
        <v>1.0256410256410256E-2</v>
      </c>
      <c r="K732" s="370">
        <f t="shared" si="35"/>
        <v>2.3076923076923078E-2</v>
      </c>
      <c r="L732" s="370">
        <f t="shared" si="35"/>
        <v>3.5897435897435895E-2</v>
      </c>
      <c r="M732" s="370">
        <f t="shared" si="35"/>
        <v>4.8717948717948718E-2</v>
      </c>
      <c r="N732" s="370">
        <f t="shared" si="35"/>
        <v>6.1538461538461542E-2</v>
      </c>
      <c r="O732" s="370">
        <f t="shared" si="35"/>
        <v>7.4358974358974358E-2</v>
      </c>
      <c r="P732" s="370">
        <f t="shared" si="35"/>
        <v>8.7179487179487175E-2</v>
      </c>
      <c r="Q732" s="370">
        <v>0.1</v>
      </c>
      <c r="R732" s="242"/>
      <c r="T732" s="20"/>
      <c r="U732" s="20"/>
      <c r="V732" s="20"/>
      <c r="W732" s="20"/>
      <c r="X732" s="20"/>
    </row>
    <row r="733" spans="1:24" s="65" customFormat="1" ht="15" customHeight="1" outlineLevel="2">
      <c r="A733" s="219"/>
      <c r="B733" s="242"/>
      <c r="C733" s="242" t="s">
        <v>1804</v>
      </c>
      <c r="D733" s="121" t="str">
        <f>INDEX(Regional.Technologies[Description],MATCH($B$2&amp;"."&amp;G.30.levels.EnergyEfficiency[[#This Row],[Technology code]],Regional.Technologies[Code],0))</f>
        <v>Global Oil use in the Electric steel technology</v>
      </c>
      <c r="E733" s="121">
        <v>1</v>
      </c>
      <c r="F733" s="242" t="s">
        <v>1643</v>
      </c>
      <c r="G733" s="242"/>
      <c r="H733" s="242"/>
      <c r="I733" s="370">
        <v>0</v>
      </c>
      <c r="J733" s="370">
        <f t="shared" si="35"/>
        <v>0</v>
      </c>
      <c r="K733" s="370">
        <f t="shared" si="35"/>
        <v>0</v>
      </c>
      <c r="L733" s="370">
        <f t="shared" si="35"/>
        <v>0</v>
      </c>
      <c r="M733" s="370">
        <f t="shared" si="35"/>
        <v>0</v>
      </c>
      <c r="N733" s="370">
        <f t="shared" si="35"/>
        <v>0</v>
      </c>
      <c r="O733" s="370">
        <f t="shared" si="35"/>
        <v>0</v>
      </c>
      <c r="P733" s="370">
        <f t="shared" si="35"/>
        <v>0</v>
      </c>
      <c r="Q733" s="370">
        <v>0</v>
      </c>
      <c r="R733" s="242"/>
      <c r="T733" s="20"/>
      <c r="U733" s="20"/>
      <c r="V733" s="20"/>
      <c r="W733" s="20"/>
      <c r="X733" s="20"/>
    </row>
    <row r="734" spans="1:24" s="65" customFormat="1" ht="15" customHeight="1" outlineLevel="2">
      <c r="A734" s="219"/>
      <c r="B734" s="242"/>
      <c r="C734" s="242" t="s">
        <v>1804</v>
      </c>
      <c r="D734" s="121" t="str">
        <f>INDEX(Regional.Technologies[Description],MATCH($B$2&amp;"."&amp;G.30.levels.EnergyEfficiency[[#This Row],[Technology code]],Regional.Technologies[Code],0))</f>
        <v>Global Oil use in the Electric steel technology</v>
      </c>
      <c r="E734" s="121">
        <v>2</v>
      </c>
      <c r="F734" s="242" t="s">
        <v>1643</v>
      </c>
      <c r="G734" s="242"/>
      <c r="H734" s="242"/>
      <c r="I734" s="370">
        <v>0</v>
      </c>
      <c r="J734" s="370">
        <f t="shared" si="35"/>
        <v>0</v>
      </c>
      <c r="K734" s="370">
        <f t="shared" si="35"/>
        <v>0</v>
      </c>
      <c r="L734" s="370">
        <f t="shared" si="35"/>
        <v>0</v>
      </c>
      <c r="M734" s="370">
        <f t="shared" si="35"/>
        <v>0</v>
      </c>
      <c r="N734" s="370">
        <f t="shared" si="35"/>
        <v>0</v>
      </c>
      <c r="O734" s="370">
        <f t="shared" si="35"/>
        <v>0</v>
      </c>
      <c r="P734" s="370">
        <f t="shared" si="35"/>
        <v>0</v>
      </c>
      <c r="Q734" s="370">
        <v>0</v>
      </c>
      <c r="R734" s="242"/>
      <c r="T734" s="20"/>
      <c r="U734" s="20"/>
      <c r="V734" s="20"/>
      <c r="W734" s="20"/>
      <c r="X734" s="20"/>
    </row>
    <row r="735" spans="1:24" s="65" customFormat="1" ht="15" customHeight="1" outlineLevel="2">
      <c r="A735" s="219"/>
      <c r="B735" s="242"/>
      <c r="C735" s="242" t="s">
        <v>1804</v>
      </c>
      <c r="D735" s="121" t="str">
        <f>INDEX(Regional.Technologies[Description],MATCH($B$2&amp;"."&amp;G.30.levels.EnergyEfficiency[[#This Row],[Technology code]],Regional.Technologies[Code],0))</f>
        <v>Global Oil use in the Electric steel technology</v>
      </c>
      <c r="E735" s="121">
        <v>3</v>
      </c>
      <c r="F735" s="242" t="s">
        <v>1643</v>
      </c>
      <c r="G735" s="242"/>
      <c r="H735" s="242"/>
      <c r="I735" s="370">
        <v>0</v>
      </c>
      <c r="J735" s="370">
        <f t="shared" si="35"/>
        <v>0</v>
      </c>
      <c r="K735" s="370">
        <f t="shared" si="35"/>
        <v>0</v>
      </c>
      <c r="L735" s="370">
        <f t="shared" si="35"/>
        <v>0</v>
      </c>
      <c r="M735" s="370">
        <f t="shared" si="35"/>
        <v>0</v>
      </c>
      <c r="N735" s="370">
        <f t="shared" si="35"/>
        <v>0</v>
      </c>
      <c r="O735" s="370">
        <f t="shared" si="35"/>
        <v>0</v>
      </c>
      <c r="P735" s="370">
        <f t="shared" si="35"/>
        <v>0</v>
      </c>
      <c r="Q735" s="370">
        <v>0</v>
      </c>
      <c r="R735" s="242"/>
      <c r="T735" s="20"/>
      <c r="U735" s="20"/>
      <c r="V735" s="20"/>
      <c r="W735" s="20"/>
      <c r="X735" s="20"/>
    </row>
    <row r="736" spans="1:24" s="65" customFormat="1" ht="15" customHeight="1" outlineLevel="2">
      <c r="A736" s="219"/>
      <c r="B736" s="242"/>
      <c r="C736" s="242" t="s">
        <v>1804</v>
      </c>
      <c r="D736" s="121" t="str">
        <f>INDEX(Regional.Technologies[Description],MATCH($B$2&amp;"."&amp;G.30.levels.EnergyEfficiency[[#This Row],[Technology code]],Regional.Technologies[Code],0))</f>
        <v>Global Oil use in the Electric steel technology</v>
      </c>
      <c r="E736" s="121">
        <v>4</v>
      </c>
      <c r="F736" s="242" t="s">
        <v>1643</v>
      </c>
      <c r="G736" s="242"/>
      <c r="H736" s="242"/>
      <c r="I736" s="370">
        <v>0</v>
      </c>
      <c r="J736" s="370">
        <f t="shared" si="35"/>
        <v>1.0256410256410256E-2</v>
      </c>
      <c r="K736" s="370">
        <f t="shared" si="35"/>
        <v>2.3076923076923078E-2</v>
      </c>
      <c r="L736" s="370">
        <f t="shared" si="35"/>
        <v>3.5897435897435895E-2</v>
      </c>
      <c r="M736" s="370">
        <f t="shared" si="35"/>
        <v>4.8717948717948718E-2</v>
      </c>
      <c r="N736" s="370">
        <f t="shared" si="35"/>
        <v>6.1538461538461542E-2</v>
      </c>
      <c r="O736" s="370">
        <f t="shared" si="35"/>
        <v>7.4358974358974358E-2</v>
      </c>
      <c r="P736" s="370">
        <f t="shared" si="35"/>
        <v>8.7179487179487175E-2</v>
      </c>
      <c r="Q736" s="370">
        <v>0.1</v>
      </c>
      <c r="R736" s="242"/>
      <c r="T736" s="20"/>
      <c r="U736" s="20"/>
      <c r="V736" s="20"/>
      <c r="W736" s="20"/>
      <c r="X736" s="20"/>
    </row>
    <row r="737" spans="1:24" s="65" customFormat="1" ht="15" customHeight="1" outlineLevel="2">
      <c r="A737" s="219"/>
      <c r="B737" s="242"/>
      <c r="C737" s="242" t="s">
        <v>1805</v>
      </c>
      <c r="D737" s="121" t="str">
        <f>INDEX(Regional.Technologies[Description],MATCH($B$2&amp;"."&amp;G.30.levels.EnergyEfficiency[[#This Row],[Technology code]],Regional.Technologies[Code],0))</f>
        <v>Global Natural Gas use in the Electric steel technology</v>
      </c>
      <c r="E737" s="121">
        <v>1</v>
      </c>
      <c r="F737" s="242" t="s">
        <v>1643</v>
      </c>
      <c r="G737" s="242"/>
      <c r="H737" s="242"/>
      <c r="I737" s="370">
        <v>0</v>
      </c>
      <c r="J737" s="370">
        <f t="shared" si="35"/>
        <v>0</v>
      </c>
      <c r="K737" s="370">
        <f t="shared" si="35"/>
        <v>0</v>
      </c>
      <c r="L737" s="370">
        <f t="shared" si="35"/>
        <v>0</v>
      </c>
      <c r="M737" s="370">
        <f t="shared" si="35"/>
        <v>0</v>
      </c>
      <c r="N737" s="370">
        <f t="shared" si="35"/>
        <v>0</v>
      </c>
      <c r="O737" s="370">
        <f t="shared" si="35"/>
        <v>0</v>
      </c>
      <c r="P737" s="370">
        <f t="shared" si="35"/>
        <v>0</v>
      </c>
      <c r="Q737" s="370">
        <v>0</v>
      </c>
      <c r="R737" s="242"/>
      <c r="T737" s="20"/>
      <c r="U737" s="20"/>
      <c r="V737" s="20"/>
      <c r="W737" s="20"/>
      <c r="X737" s="20"/>
    </row>
    <row r="738" spans="1:24" s="65" customFormat="1" ht="15" customHeight="1" outlineLevel="2">
      <c r="A738" s="219"/>
      <c r="B738" s="242"/>
      <c r="C738" s="242" t="s">
        <v>1805</v>
      </c>
      <c r="D738" s="121" t="str">
        <f>INDEX(Regional.Technologies[Description],MATCH($B$2&amp;"."&amp;G.30.levels.EnergyEfficiency[[#This Row],[Technology code]],Regional.Technologies[Code],0))</f>
        <v>Global Natural Gas use in the Electric steel technology</v>
      </c>
      <c r="E738" s="121">
        <v>2</v>
      </c>
      <c r="F738" s="242" t="s">
        <v>1643</v>
      </c>
      <c r="G738" s="242"/>
      <c r="H738" s="242"/>
      <c r="I738" s="370">
        <v>0</v>
      </c>
      <c r="J738" s="370">
        <f t="shared" si="35"/>
        <v>0</v>
      </c>
      <c r="K738" s="370">
        <f t="shared" si="35"/>
        <v>0</v>
      </c>
      <c r="L738" s="370">
        <f t="shared" si="35"/>
        <v>0</v>
      </c>
      <c r="M738" s="370">
        <f t="shared" si="35"/>
        <v>0</v>
      </c>
      <c r="N738" s="370">
        <f t="shared" si="35"/>
        <v>0</v>
      </c>
      <c r="O738" s="370">
        <f t="shared" si="35"/>
        <v>0</v>
      </c>
      <c r="P738" s="370">
        <f t="shared" si="35"/>
        <v>0</v>
      </c>
      <c r="Q738" s="370">
        <v>0</v>
      </c>
      <c r="R738" s="242"/>
      <c r="T738" s="20"/>
      <c r="U738" s="20"/>
      <c r="V738" s="20"/>
      <c r="W738" s="20"/>
      <c r="X738" s="20"/>
    </row>
    <row r="739" spans="1:24" s="65" customFormat="1" ht="15" customHeight="1" outlineLevel="2">
      <c r="A739" s="219"/>
      <c r="B739" s="242"/>
      <c r="C739" s="242" t="s">
        <v>1805</v>
      </c>
      <c r="D739" s="121" t="str">
        <f>INDEX(Regional.Technologies[Description],MATCH($B$2&amp;"."&amp;G.30.levels.EnergyEfficiency[[#This Row],[Technology code]],Regional.Technologies[Code],0))</f>
        <v>Global Natural Gas use in the Electric steel technology</v>
      </c>
      <c r="E739" s="121">
        <v>3</v>
      </c>
      <c r="F739" s="242" t="s">
        <v>1643</v>
      </c>
      <c r="G739" s="242"/>
      <c r="H739" s="242"/>
      <c r="I739" s="370">
        <v>0</v>
      </c>
      <c r="J739" s="370">
        <f t="shared" si="35"/>
        <v>0</v>
      </c>
      <c r="K739" s="370">
        <f t="shared" si="35"/>
        <v>0</v>
      </c>
      <c r="L739" s="370">
        <f t="shared" si="35"/>
        <v>0</v>
      </c>
      <c r="M739" s="370">
        <f t="shared" si="35"/>
        <v>0</v>
      </c>
      <c r="N739" s="370">
        <f t="shared" si="35"/>
        <v>0</v>
      </c>
      <c r="O739" s="370">
        <f t="shared" si="35"/>
        <v>0</v>
      </c>
      <c r="P739" s="370">
        <f t="shared" si="35"/>
        <v>0</v>
      </c>
      <c r="Q739" s="370">
        <v>0</v>
      </c>
      <c r="R739" s="242"/>
      <c r="T739" s="20"/>
      <c r="U739" s="20"/>
      <c r="V739" s="20"/>
      <c r="W739" s="20"/>
      <c r="X739" s="20"/>
    </row>
    <row r="740" spans="1:24" s="65" customFormat="1" ht="15" customHeight="1" outlineLevel="2">
      <c r="A740" s="219"/>
      <c r="B740" s="242"/>
      <c r="C740" s="242" t="s">
        <v>1805</v>
      </c>
      <c r="D740" s="121" t="str">
        <f>INDEX(Regional.Technologies[Description],MATCH($B$2&amp;"."&amp;G.30.levels.EnergyEfficiency[[#This Row],[Technology code]],Regional.Technologies[Code],0))</f>
        <v>Global Natural Gas use in the Electric steel technology</v>
      </c>
      <c r="E740" s="121">
        <v>4</v>
      </c>
      <c r="F740" s="242" t="s">
        <v>1643</v>
      </c>
      <c r="G740" s="242"/>
      <c r="H740" s="242"/>
      <c r="I740" s="370">
        <v>0</v>
      </c>
      <c r="J740" s="370">
        <f t="shared" si="35"/>
        <v>1.0256410256410256E-2</v>
      </c>
      <c r="K740" s="370">
        <f t="shared" si="35"/>
        <v>2.3076923076923078E-2</v>
      </c>
      <c r="L740" s="370">
        <f t="shared" si="35"/>
        <v>3.5897435897435895E-2</v>
      </c>
      <c r="M740" s="370">
        <f t="shared" si="35"/>
        <v>4.8717948717948718E-2</v>
      </c>
      <c r="N740" s="370">
        <f t="shared" si="35"/>
        <v>6.1538461538461542E-2</v>
      </c>
      <c r="O740" s="370">
        <f t="shared" si="35"/>
        <v>7.4358974358974358E-2</v>
      </c>
      <c r="P740" s="370">
        <f t="shared" si="35"/>
        <v>8.7179487179487175E-2</v>
      </c>
      <c r="Q740" s="370">
        <v>0.1</v>
      </c>
      <c r="R740" s="242"/>
      <c r="T740" s="20"/>
      <c r="U740" s="20"/>
      <c r="V740" s="20"/>
      <c r="W740" s="20"/>
      <c r="X740" s="20"/>
    </row>
    <row r="741" spans="1:24" s="65" customFormat="1" ht="15" customHeight="1" outlineLevel="2">
      <c r="A741" s="219"/>
      <c r="B741" s="242"/>
      <c r="C741" s="242" t="s">
        <v>1806</v>
      </c>
      <c r="D741" s="121" t="str">
        <f>INDEX(Regional.Technologies[Description],MATCH($B$2&amp;"."&amp;G.30.levels.EnergyEfficiency[[#This Row],[Technology code]],Regional.Technologies[Code],0))</f>
        <v>Global Solid Hydrocarbons use in the Electric steel technology</v>
      </c>
      <c r="E741" s="121">
        <v>1</v>
      </c>
      <c r="F741" s="242" t="s">
        <v>1643</v>
      </c>
      <c r="G741" s="242"/>
      <c r="H741" s="242"/>
      <c r="I741" s="370">
        <v>0</v>
      </c>
      <c r="J741" s="370">
        <f t="shared" ref="J741:P777" si="36">(($Q741-$I741)/($Q$121-$I$121))*(J$121-$I$121)+$I741</f>
        <v>0</v>
      </c>
      <c r="K741" s="370">
        <f t="shared" si="36"/>
        <v>0</v>
      </c>
      <c r="L741" s="370">
        <f t="shared" si="36"/>
        <v>0</v>
      </c>
      <c r="M741" s="370">
        <f t="shared" si="36"/>
        <v>0</v>
      </c>
      <c r="N741" s="370">
        <f t="shared" si="36"/>
        <v>0</v>
      </c>
      <c r="O741" s="370">
        <f t="shared" si="36"/>
        <v>0</v>
      </c>
      <c r="P741" s="370">
        <f t="shared" si="36"/>
        <v>0</v>
      </c>
      <c r="Q741" s="370">
        <v>0</v>
      </c>
      <c r="R741" s="242"/>
      <c r="T741" s="20"/>
      <c r="U741" s="20"/>
      <c r="V741" s="20"/>
      <c r="W741" s="20"/>
      <c r="X741" s="20"/>
    </row>
    <row r="742" spans="1:24" s="65" customFormat="1" ht="15" customHeight="1" outlineLevel="2">
      <c r="A742" s="219"/>
      <c r="B742" s="242"/>
      <c r="C742" s="242" t="s">
        <v>1806</v>
      </c>
      <c r="D742" s="121" t="str">
        <f>INDEX(Regional.Technologies[Description],MATCH($B$2&amp;"."&amp;G.30.levels.EnergyEfficiency[[#This Row],[Technology code]],Regional.Technologies[Code],0))</f>
        <v>Global Solid Hydrocarbons use in the Electric steel technology</v>
      </c>
      <c r="E742" s="121">
        <v>2</v>
      </c>
      <c r="F742" s="242" t="s">
        <v>1643</v>
      </c>
      <c r="G742" s="242"/>
      <c r="H742" s="242"/>
      <c r="I742" s="370">
        <v>0</v>
      </c>
      <c r="J742" s="370">
        <f t="shared" si="36"/>
        <v>0</v>
      </c>
      <c r="K742" s="370">
        <f t="shared" si="36"/>
        <v>0</v>
      </c>
      <c r="L742" s="370">
        <f t="shared" si="36"/>
        <v>0</v>
      </c>
      <c r="M742" s="370">
        <f t="shared" si="36"/>
        <v>0</v>
      </c>
      <c r="N742" s="370">
        <f t="shared" si="36"/>
        <v>0</v>
      </c>
      <c r="O742" s="370">
        <f t="shared" si="36"/>
        <v>0</v>
      </c>
      <c r="P742" s="370">
        <f t="shared" si="36"/>
        <v>0</v>
      </c>
      <c r="Q742" s="370">
        <v>0</v>
      </c>
      <c r="R742" s="242"/>
      <c r="T742" s="20"/>
      <c r="U742" s="20"/>
      <c r="V742" s="20"/>
      <c r="W742" s="20"/>
      <c r="X742" s="20"/>
    </row>
    <row r="743" spans="1:24" s="65" customFormat="1" ht="15" customHeight="1" outlineLevel="2">
      <c r="A743" s="219"/>
      <c r="B743" s="242"/>
      <c r="C743" s="242" t="s">
        <v>1806</v>
      </c>
      <c r="D743" s="121" t="str">
        <f>INDEX(Regional.Technologies[Description],MATCH($B$2&amp;"."&amp;G.30.levels.EnergyEfficiency[[#This Row],[Technology code]],Regional.Technologies[Code],0))</f>
        <v>Global Solid Hydrocarbons use in the Electric steel technology</v>
      </c>
      <c r="E743" s="121">
        <v>3</v>
      </c>
      <c r="F743" s="242" t="s">
        <v>1643</v>
      </c>
      <c r="G743" s="242"/>
      <c r="H743" s="242"/>
      <c r="I743" s="370">
        <v>0</v>
      </c>
      <c r="J743" s="370">
        <f t="shared" si="36"/>
        <v>0</v>
      </c>
      <c r="K743" s="370">
        <f t="shared" si="36"/>
        <v>0</v>
      </c>
      <c r="L743" s="370">
        <f t="shared" si="36"/>
        <v>0</v>
      </c>
      <c r="M743" s="370">
        <f t="shared" si="36"/>
        <v>0</v>
      </c>
      <c r="N743" s="370">
        <f t="shared" si="36"/>
        <v>0</v>
      </c>
      <c r="O743" s="370">
        <f t="shared" si="36"/>
        <v>0</v>
      </c>
      <c r="P743" s="370">
        <f t="shared" si="36"/>
        <v>0</v>
      </c>
      <c r="Q743" s="370">
        <v>0</v>
      </c>
      <c r="R743" s="242"/>
      <c r="T743" s="20"/>
      <c r="U743" s="20"/>
      <c r="V743" s="20"/>
      <c r="W743" s="20"/>
      <c r="X743" s="20"/>
    </row>
    <row r="744" spans="1:24" s="65" customFormat="1" ht="15" customHeight="1" outlineLevel="2">
      <c r="A744" s="219"/>
      <c r="B744" s="242"/>
      <c r="C744" s="242" t="s">
        <v>1806</v>
      </c>
      <c r="D744" s="121" t="str">
        <f>INDEX(Regional.Technologies[Description],MATCH($B$2&amp;"."&amp;G.30.levels.EnergyEfficiency[[#This Row],[Technology code]],Regional.Technologies[Code],0))</f>
        <v>Global Solid Hydrocarbons use in the Electric steel technology</v>
      </c>
      <c r="E744" s="121">
        <v>4</v>
      </c>
      <c r="F744" s="242" t="s">
        <v>1643</v>
      </c>
      <c r="G744" s="242"/>
      <c r="H744" s="242"/>
      <c r="I744" s="370">
        <v>0</v>
      </c>
      <c r="J744" s="370">
        <f t="shared" si="36"/>
        <v>1.0256410256410256E-2</v>
      </c>
      <c r="K744" s="370">
        <f t="shared" si="36"/>
        <v>2.3076923076923078E-2</v>
      </c>
      <c r="L744" s="370">
        <f t="shared" si="36"/>
        <v>3.5897435897435895E-2</v>
      </c>
      <c r="M744" s="370">
        <f t="shared" si="36"/>
        <v>4.8717948717948718E-2</v>
      </c>
      <c r="N744" s="370">
        <f t="shared" si="36"/>
        <v>6.1538461538461542E-2</v>
      </c>
      <c r="O744" s="370">
        <f t="shared" si="36"/>
        <v>7.4358974358974358E-2</v>
      </c>
      <c r="P744" s="370">
        <f t="shared" si="36"/>
        <v>8.7179487179487175E-2</v>
      </c>
      <c r="Q744" s="370">
        <v>0.1</v>
      </c>
      <c r="R744" s="242"/>
      <c r="T744" s="20"/>
      <c r="U744" s="20"/>
      <c r="V744" s="20"/>
      <c r="W744" s="20"/>
      <c r="X744" s="20"/>
    </row>
    <row r="745" spans="1:24" s="65" customFormat="1" ht="15" customHeight="1" outlineLevel="2">
      <c r="A745" s="219"/>
      <c r="B745" s="242"/>
      <c r="C745" s="245" t="s">
        <v>1639</v>
      </c>
      <c r="D745" s="121" t="str">
        <f>INDEX(Regional.Technologies[Description],MATCH($B$2&amp;"."&amp;G.30.levels.EnergyEfficiency[[#This Row],[Technology code]],Regional.Technologies[Code],0))</f>
        <v>Global Electricity use in the Primary Aluminium technology</v>
      </c>
      <c r="E745" s="121">
        <v>1</v>
      </c>
      <c r="F745" s="242" t="s">
        <v>1643</v>
      </c>
      <c r="G745" s="242"/>
      <c r="H745" s="242"/>
      <c r="I745" s="370">
        <v>0</v>
      </c>
      <c r="J745" s="370">
        <f t="shared" si="36"/>
        <v>0</v>
      </c>
      <c r="K745" s="370">
        <f t="shared" si="36"/>
        <v>0</v>
      </c>
      <c r="L745" s="370">
        <f t="shared" si="36"/>
        <v>0</v>
      </c>
      <c r="M745" s="370">
        <f t="shared" si="36"/>
        <v>0</v>
      </c>
      <c r="N745" s="370">
        <f t="shared" si="36"/>
        <v>0</v>
      </c>
      <c r="O745" s="370">
        <f t="shared" si="36"/>
        <v>0</v>
      </c>
      <c r="P745" s="370">
        <f t="shared" si="36"/>
        <v>0</v>
      </c>
      <c r="Q745" s="370">
        <v>0</v>
      </c>
      <c r="R745" s="242"/>
      <c r="T745" s="20"/>
      <c r="U745" s="20"/>
      <c r="V745" s="20"/>
      <c r="W745" s="20"/>
      <c r="X745" s="20"/>
    </row>
    <row r="746" spans="1:24" s="65" customFormat="1" ht="15" customHeight="1" outlineLevel="2">
      <c r="A746" s="219"/>
      <c r="B746" s="242"/>
      <c r="C746" s="245" t="s">
        <v>1639</v>
      </c>
      <c r="D746" s="121" t="str">
        <f>INDEX(Regional.Technologies[Description],MATCH($B$2&amp;"."&amp;G.30.levels.EnergyEfficiency[[#This Row],[Technology code]],Regional.Technologies[Code],0))</f>
        <v>Global Electricity use in the Primary Aluminium technology</v>
      </c>
      <c r="E746" s="121">
        <v>2</v>
      </c>
      <c r="F746" s="242" t="s">
        <v>1643</v>
      </c>
      <c r="G746" s="242"/>
      <c r="H746" s="242"/>
      <c r="I746" s="370">
        <v>0</v>
      </c>
      <c r="J746" s="370">
        <f t="shared" si="36"/>
        <v>2.5641025641025641E-3</v>
      </c>
      <c r="K746" s="370">
        <f t="shared" si="36"/>
        <v>5.7692307692307696E-3</v>
      </c>
      <c r="L746" s="370">
        <f t="shared" si="36"/>
        <v>8.9743589743589737E-3</v>
      </c>
      <c r="M746" s="370">
        <f t="shared" si="36"/>
        <v>1.217948717948718E-2</v>
      </c>
      <c r="N746" s="370">
        <f t="shared" si="36"/>
        <v>1.5384615384615385E-2</v>
      </c>
      <c r="O746" s="370">
        <f t="shared" si="36"/>
        <v>1.858974358974359E-2</v>
      </c>
      <c r="P746" s="370">
        <f t="shared" si="36"/>
        <v>2.1794871794871794E-2</v>
      </c>
      <c r="Q746" s="370">
        <v>2.5000000000000001E-2</v>
      </c>
      <c r="R746" s="242"/>
      <c r="T746" s="20"/>
      <c r="U746" s="20"/>
      <c r="V746" s="20"/>
      <c r="W746" s="20"/>
      <c r="X746" s="20"/>
    </row>
    <row r="747" spans="1:24" s="65" customFormat="1" ht="15" customHeight="1" outlineLevel="2">
      <c r="A747" s="219"/>
      <c r="B747" s="242"/>
      <c r="C747" s="245" t="s">
        <v>1639</v>
      </c>
      <c r="D747" s="121" t="str">
        <f>INDEX(Regional.Technologies[Description],MATCH($B$2&amp;"."&amp;G.30.levels.EnergyEfficiency[[#This Row],[Technology code]],Regional.Technologies[Code],0))</f>
        <v>Global Electricity use in the Primary Aluminium technology</v>
      </c>
      <c r="E747" s="121">
        <v>3</v>
      </c>
      <c r="F747" s="242" t="s">
        <v>1643</v>
      </c>
      <c r="G747" s="242"/>
      <c r="H747" s="242"/>
      <c r="I747" s="370">
        <v>0</v>
      </c>
      <c r="J747" s="370">
        <f t="shared" si="36"/>
        <v>5.1282051282051282E-3</v>
      </c>
      <c r="K747" s="370">
        <f t="shared" si="36"/>
        <v>1.1538461538461539E-2</v>
      </c>
      <c r="L747" s="370">
        <f t="shared" si="36"/>
        <v>1.7948717948717947E-2</v>
      </c>
      <c r="M747" s="370">
        <f t="shared" si="36"/>
        <v>2.4358974358974359E-2</v>
      </c>
      <c r="N747" s="370">
        <f t="shared" si="36"/>
        <v>3.0769230769230771E-2</v>
      </c>
      <c r="O747" s="370">
        <f t="shared" si="36"/>
        <v>3.7179487179487179E-2</v>
      </c>
      <c r="P747" s="370">
        <f t="shared" si="36"/>
        <v>4.3589743589743588E-2</v>
      </c>
      <c r="Q747" s="370">
        <v>0.05</v>
      </c>
      <c r="R747" s="242"/>
      <c r="T747" s="20"/>
      <c r="U747" s="20"/>
      <c r="V747" s="20"/>
      <c r="W747" s="20"/>
      <c r="X747" s="20"/>
    </row>
    <row r="748" spans="1:24" s="65" customFormat="1" ht="15" customHeight="1" outlineLevel="2">
      <c r="A748" s="219"/>
      <c r="B748" s="242"/>
      <c r="C748" s="245" t="s">
        <v>1639</v>
      </c>
      <c r="D748" s="121" t="str">
        <f>INDEX(Regional.Technologies[Description],MATCH($B$2&amp;"."&amp;G.30.levels.EnergyEfficiency[[#This Row],[Technology code]],Regional.Technologies[Code],0))</f>
        <v>Global Electricity use in the Primary Aluminium technology</v>
      </c>
      <c r="E748" s="121">
        <v>4</v>
      </c>
      <c r="F748" s="242" t="s">
        <v>1643</v>
      </c>
      <c r="G748" s="242"/>
      <c r="H748" s="242"/>
      <c r="I748" s="370">
        <v>0</v>
      </c>
      <c r="J748" s="370">
        <f t="shared" si="36"/>
        <v>1.0256410256410256E-2</v>
      </c>
      <c r="K748" s="370">
        <f t="shared" si="36"/>
        <v>2.3076923076923078E-2</v>
      </c>
      <c r="L748" s="370">
        <f t="shared" si="36"/>
        <v>3.5897435897435895E-2</v>
      </c>
      <c r="M748" s="370">
        <f t="shared" si="36"/>
        <v>4.8717948717948718E-2</v>
      </c>
      <c r="N748" s="370">
        <f t="shared" si="36"/>
        <v>6.1538461538461542E-2</v>
      </c>
      <c r="O748" s="370">
        <f t="shared" si="36"/>
        <v>7.4358974358974358E-2</v>
      </c>
      <c r="P748" s="370">
        <f t="shared" si="36"/>
        <v>8.7179487179487175E-2</v>
      </c>
      <c r="Q748" s="370">
        <v>0.1</v>
      </c>
      <c r="R748" s="242"/>
      <c r="T748" s="20"/>
      <c r="U748" s="20"/>
      <c r="V748" s="20"/>
      <c r="W748" s="20"/>
      <c r="X748" s="20"/>
    </row>
    <row r="749" spans="1:24" s="65" customFormat="1" ht="15" customHeight="1" outlineLevel="2">
      <c r="A749" s="219"/>
      <c r="B749" s="242"/>
      <c r="C749" s="245" t="s">
        <v>1813</v>
      </c>
      <c r="D749" s="121" t="str">
        <f>INDEX(Regional.Technologies[Description],MATCH($B$2&amp;"."&amp;G.30.levels.EnergyEfficiency[[#This Row],[Technology code]],Regional.Technologies[Code],0))</f>
        <v>Global Coal use in the Primary Aluminium technology</v>
      </c>
      <c r="E749" s="121">
        <v>1</v>
      </c>
      <c r="F749" s="242" t="s">
        <v>1643</v>
      </c>
      <c r="G749" s="242"/>
      <c r="H749" s="242"/>
      <c r="I749" s="370">
        <f>I745</f>
        <v>0</v>
      </c>
      <c r="J749" s="370">
        <f t="shared" si="36"/>
        <v>0</v>
      </c>
      <c r="K749" s="370">
        <f t="shared" si="36"/>
        <v>0</v>
      </c>
      <c r="L749" s="370">
        <f t="shared" si="36"/>
        <v>0</v>
      </c>
      <c r="M749" s="370">
        <f t="shared" si="36"/>
        <v>0</v>
      </c>
      <c r="N749" s="370">
        <f t="shared" si="36"/>
        <v>0</v>
      </c>
      <c r="O749" s="370">
        <f t="shared" si="36"/>
        <v>0</v>
      </c>
      <c r="P749" s="370">
        <f t="shared" si="36"/>
        <v>0</v>
      </c>
      <c r="Q749" s="370">
        <f t="shared" ref="Q749" si="37">Q745</f>
        <v>0</v>
      </c>
      <c r="R749" s="242"/>
      <c r="T749" s="20"/>
      <c r="U749" s="20"/>
      <c r="V749" s="20"/>
      <c r="W749" s="20"/>
      <c r="X749" s="20"/>
    </row>
    <row r="750" spans="1:24" s="65" customFormat="1" ht="15" customHeight="1" outlineLevel="2">
      <c r="A750" s="219"/>
      <c r="B750" s="242"/>
      <c r="C750" s="245" t="s">
        <v>1813</v>
      </c>
      <c r="D750" s="121" t="str">
        <f>INDEX(Regional.Technologies[Description],MATCH($B$2&amp;"."&amp;G.30.levels.EnergyEfficiency[[#This Row],[Technology code]],Regional.Technologies[Code],0))</f>
        <v>Global Coal use in the Primary Aluminium technology</v>
      </c>
      <c r="E750" s="121">
        <v>2</v>
      </c>
      <c r="F750" s="242" t="s">
        <v>1643</v>
      </c>
      <c r="G750" s="242"/>
      <c r="H750" s="242"/>
      <c r="I750" s="370">
        <f t="shared" ref="I750:Q764" si="38">I746</f>
        <v>0</v>
      </c>
      <c r="J750" s="370">
        <f t="shared" si="36"/>
        <v>2.5641025641025641E-3</v>
      </c>
      <c r="K750" s="370">
        <f t="shared" si="36"/>
        <v>5.7692307692307696E-3</v>
      </c>
      <c r="L750" s="370">
        <f t="shared" si="36"/>
        <v>8.9743589743589737E-3</v>
      </c>
      <c r="M750" s="370">
        <f t="shared" si="36"/>
        <v>1.217948717948718E-2</v>
      </c>
      <c r="N750" s="370">
        <f t="shared" si="36"/>
        <v>1.5384615384615385E-2</v>
      </c>
      <c r="O750" s="370">
        <f t="shared" si="36"/>
        <v>1.858974358974359E-2</v>
      </c>
      <c r="P750" s="370">
        <f t="shared" si="36"/>
        <v>2.1794871794871794E-2</v>
      </c>
      <c r="Q750" s="370">
        <f t="shared" si="38"/>
        <v>2.5000000000000001E-2</v>
      </c>
      <c r="R750" s="242"/>
      <c r="T750" s="20"/>
      <c r="U750" s="20"/>
      <c r="V750" s="20"/>
      <c r="W750" s="20"/>
      <c r="X750" s="20"/>
    </row>
    <row r="751" spans="1:24" s="65" customFormat="1" ht="15" customHeight="1" outlineLevel="2">
      <c r="A751" s="219"/>
      <c r="B751" s="242"/>
      <c r="C751" s="245" t="s">
        <v>1813</v>
      </c>
      <c r="D751" s="121" t="str">
        <f>INDEX(Regional.Technologies[Description],MATCH($B$2&amp;"."&amp;G.30.levels.EnergyEfficiency[[#This Row],[Technology code]],Regional.Technologies[Code],0))</f>
        <v>Global Coal use in the Primary Aluminium technology</v>
      </c>
      <c r="E751" s="121">
        <v>3</v>
      </c>
      <c r="F751" s="242" t="s">
        <v>1643</v>
      </c>
      <c r="G751" s="242"/>
      <c r="H751" s="242"/>
      <c r="I751" s="370">
        <f t="shared" si="38"/>
        <v>0</v>
      </c>
      <c r="J751" s="370">
        <f t="shared" si="36"/>
        <v>5.1282051282051282E-3</v>
      </c>
      <c r="K751" s="370">
        <f t="shared" si="36"/>
        <v>1.1538461538461539E-2</v>
      </c>
      <c r="L751" s="370">
        <f t="shared" si="36"/>
        <v>1.7948717948717947E-2</v>
      </c>
      <c r="M751" s="370">
        <f t="shared" si="36"/>
        <v>2.4358974358974359E-2</v>
      </c>
      <c r="N751" s="370">
        <f t="shared" si="36"/>
        <v>3.0769230769230771E-2</v>
      </c>
      <c r="O751" s="370">
        <f t="shared" si="36"/>
        <v>3.7179487179487179E-2</v>
      </c>
      <c r="P751" s="370">
        <f t="shared" si="36"/>
        <v>4.3589743589743588E-2</v>
      </c>
      <c r="Q751" s="370">
        <f t="shared" si="38"/>
        <v>0.05</v>
      </c>
      <c r="R751" s="242"/>
      <c r="T751" s="20"/>
      <c r="U751" s="20"/>
      <c r="V751" s="20"/>
      <c r="W751" s="20"/>
      <c r="X751" s="20"/>
    </row>
    <row r="752" spans="1:24" s="65" customFormat="1" ht="15" customHeight="1" outlineLevel="2">
      <c r="A752" s="219"/>
      <c r="B752" s="242"/>
      <c r="C752" s="245" t="s">
        <v>1813</v>
      </c>
      <c r="D752" s="121" t="str">
        <f>INDEX(Regional.Technologies[Description],MATCH($B$2&amp;"."&amp;G.30.levels.EnergyEfficiency[[#This Row],[Technology code]],Regional.Technologies[Code],0))</f>
        <v>Global Coal use in the Primary Aluminium technology</v>
      </c>
      <c r="E752" s="121">
        <v>4</v>
      </c>
      <c r="F752" s="242" t="s">
        <v>1643</v>
      </c>
      <c r="G752" s="242"/>
      <c r="H752" s="242"/>
      <c r="I752" s="370">
        <f t="shared" si="38"/>
        <v>0</v>
      </c>
      <c r="J752" s="370">
        <f t="shared" si="36"/>
        <v>1.0256410256410256E-2</v>
      </c>
      <c r="K752" s="370">
        <f t="shared" si="36"/>
        <v>2.3076923076923078E-2</v>
      </c>
      <c r="L752" s="370">
        <f t="shared" si="36"/>
        <v>3.5897435897435895E-2</v>
      </c>
      <c r="M752" s="370">
        <f t="shared" si="36"/>
        <v>4.8717948717948718E-2</v>
      </c>
      <c r="N752" s="370">
        <f t="shared" si="36"/>
        <v>6.1538461538461542E-2</v>
      </c>
      <c r="O752" s="370">
        <f t="shared" si="36"/>
        <v>7.4358974358974358E-2</v>
      </c>
      <c r="P752" s="370">
        <f t="shared" si="36"/>
        <v>8.7179487179487175E-2</v>
      </c>
      <c r="Q752" s="370">
        <f t="shared" si="38"/>
        <v>0.1</v>
      </c>
      <c r="R752" s="242"/>
      <c r="T752" s="20"/>
      <c r="U752" s="20"/>
      <c r="V752" s="20"/>
      <c r="W752" s="20"/>
      <c r="X752" s="20"/>
    </row>
    <row r="753" spans="1:24" s="65" customFormat="1" ht="15" customHeight="1" outlineLevel="2">
      <c r="A753" s="219"/>
      <c r="B753" s="242"/>
      <c r="C753" s="242" t="s">
        <v>1814</v>
      </c>
      <c r="D753" s="121" t="str">
        <f>INDEX(Regional.Technologies[Description],MATCH($B$2&amp;"."&amp;G.30.levels.EnergyEfficiency[[#This Row],[Technology code]],Regional.Technologies[Code],0))</f>
        <v>Global Oil use in the Primary Aluminium technology</v>
      </c>
      <c r="E753" s="121">
        <v>1</v>
      </c>
      <c r="F753" s="242" t="s">
        <v>1643</v>
      </c>
      <c r="G753" s="242"/>
      <c r="H753" s="242"/>
      <c r="I753" s="370">
        <f t="shared" si="38"/>
        <v>0</v>
      </c>
      <c r="J753" s="370">
        <f t="shared" si="36"/>
        <v>0</v>
      </c>
      <c r="K753" s="370">
        <f t="shared" si="36"/>
        <v>0</v>
      </c>
      <c r="L753" s="370">
        <f t="shared" si="36"/>
        <v>0</v>
      </c>
      <c r="M753" s="370">
        <f t="shared" si="36"/>
        <v>0</v>
      </c>
      <c r="N753" s="370">
        <f t="shared" si="36"/>
        <v>0</v>
      </c>
      <c r="O753" s="370">
        <f t="shared" si="36"/>
        <v>0</v>
      </c>
      <c r="P753" s="370">
        <f t="shared" si="36"/>
        <v>0</v>
      </c>
      <c r="Q753" s="370">
        <f t="shared" si="38"/>
        <v>0</v>
      </c>
      <c r="R753" s="242"/>
      <c r="T753" s="20"/>
      <c r="U753" s="20"/>
      <c r="V753" s="20"/>
      <c r="W753" s="20"/>
      <c r="X753" s="20"/>
    </row>
    <row r="754" spans="1:24" s="65" customFormat="1" ht="15" customHeight="1" outlineLevel="2">
      <c r="A754" s="219"/>
      <c r="B754" s="242"/>
      <c r="C754" s="242" t="s">
        <v>1814</v>
      </c>
      <c r="D754" s="121" t="str">
        <f>INDEX(Regional.Technologies[Description],MATCH($B$2&amp;"."&amp;G.30.levels.EnergyEfficiency[[#This Row],[Technology code]],Regional.Technologies[Code],0))</f>
        <v>Global Oil use in the Primary Aluminium technology</v>
      </c>
      <c r="E754" s="121">
        <v>2</v>
      </c>
      <c r="F754" s="242" t="s">
        <v>1643</v>
      </c>
      <c r="G754" s="242"/>
      <c r="H754" s="242"/>
      <c r="I754" s="370">
        <f t="shared" si="38"/>
        <v>0</v>
      </c>
      <c r="J754" s="370">
        <f t="shared" si="36"/>
        <v>2.5641025641025641E-3</v>
      </c>
      <c r="K754" s="370">
        <f t="shared" si="36"/>
        <v>5.7692307692307696E-3</v>
      </c>
      <c r="L754" s="370">
        <f t="shared" si="36"/>
        <v>8.9743589743589737E-3</v>
      </c>
      <c r="M754" s="370">
        <f t="shared" si="36"/>
        <v>1.217948717948718E-2</v>
      </c>
      <c r="N754" s="370">
        <f t="shared" si="36"/>
        <v>1.5384615384615385E-2</v>
      </c>
      <c r="O754" s="370">
        <f t="shared" si="36"/>
        <v>1.858974358974359E-2</v>
      </c>
      <c r="P754" s="370">
        <f t="shared" si="36"/>
        <v>2.1794871794871794E-2</v>
      </c>
      <c r="Q754" s="370">
        <f t="shared" si="38"/>
        <v>2.5000000000000001E-2</v>
      </c>
      <c r="R754" s="242"/>
      <c r="T754" s="20"/>
      <c r="U754" s="20"/>
      <c r="V754" s="20"/>
      <c r="W754" s="20"/>
      <c r="X754" s="20"/>
    </row>
    <row r="755" spans="1:24" s="65" customFormat="1" ht="15" customHeight="1" outlineLevel="2">
      <c r="A755" s="219"/>
      <c r="B755" s="242"/>
      <c r="C755" s="242" t="s">
        <v>1814</v>
      </c>
      <c r="D755" s="121" t="str">
        <f>INDEX(Regional.Technologies[Description],MATCH($B$2&amp;"."&amp;G.30.levels.EnergyEfficiency[[#This Row],[Technology code]],Regional.Technologies[Code],0))</f>
        <v>Global Oil use in the Primary Aluminium technology</v>
      </c>
      <c r="E755" s="121">
        <v>3</v>
      </c>
      <c r="F755" s="242" t="s">
        <v>1643</v>
      </c>
      <c r="G755" s="242"/>
      <c r="H755" s="242"/>
      <c r="I755" s="370">
        <f t="shared" si="38"/>
        <v>0</v>
      </c>
      <c r="J755" s="370">
        <f t="shared" si="36"/>
        <v>5.1282051282051282E-3</v>
      </c>
      <c r="K755" s="370">
        <f t="shared" si="36"/>
        <v>1.1538461538461539E-2</v>
      </c>
      <c r="L755" s="370">
        <f t="shared" si="36"/>
        <v>1.7948717948717947E-2</v>
      </c>
      <c r="M755" s="370">
        <f t="shared" si="36"/>
        <v>2.4358974358974359E-2</v>
      </c>
      <c r="N755" s="370">
        <f t="shared" si="36"/>
        <v>3.0769230769230771E-2</v>
      </c>
      <c r="O755" s="370">
        <f t="shared" si="36"/>
        <v>3.7179487179487179E-2</v>
      </c>
      <c r="P755" s="370">
        <f t="shared" si="36"/>
        <v>4.3589743589743588E-2</v>
      </c>
      <c r="Q755" s="370">
        <f t="shared" si="38"/>
        <v>0.05</v>
      </c>
      <c r="R755" s="242"/>
      <c r="T755" s="20"/>
      <c r="U755" s="20"/>
      <c r="V755" s="20"/>
      <c r="W755" s="20"/>
      <c r="X755" s="20"/>
    </row>
    <row r="756" spans="1:24" s="65" customFormat="1" ht="15" customHeight="1" outlineLevel="2">
      <c r="A756" s="219"/>
      <c r="B756" s="242"/>
      <c r="C756" s="242" t="s">
        <v>1814</v>
      </c>
      <c r="D756" s="121" t="str">
        <f>INDEX(Regional.Technologies[Description],MATCH($B$2&amp;"."&amp;G.30.levels.EnergyEfficiency[[#This Row],[Technology code]],Regional.Technologies[Code],0))</f>
        <v>Global Oil use in the Primary Aluminium technology</v>
      </c>
      <c r="E756" s="121">
        <v>4</v>
      </c>
      <c r="F756" s="242" t="s">
        <v>1643</v>
      </c>
      <c r="G756" s="242"/>
      <c r="H756" s="242"/>
      <c r="I756" s="370">
        <f t="shared" si="38"/>
        <v>0</v>
      </c>
      <c r="J756" s="370">
        <f t="shared" si="36"/>
        <v>1.0256410256410256E-2</v>
      </c>
      <c r="K756" s="370">
        <f t="shared" si="36"/>
        <v>2.3076923076923078E-2</v>
      </c>
      <c r="L756" s="370">
        <f t="shared" si="36"/>
        <v>3.5897435897435895E-2</v>
      </c>
      <c r="M756" s="370">
        <f t="shared" si="36"/>
        <v>4.8717948717948718E-2</v>
      </c>
      <c r="N756" s="370">
        <f t="shared" si="36"/>
        <v>6.1538461538461542E-2</v>
      </c>
      <c r="O756" s="370">
        <f t="shared" si="36"/>
        <v>7.4358974358974358E-2</v>
      </c>
      <c r="P756" s="370">
        <f t="shared" si="36"/>
        <v>8.7179487179487175E-2</v>
      </c>
      <c r="Q756" s="370">
        <f t="shared" si="38"/>
        <v>0.1</v>
      </c>
      <c r="R756" s="242"/>
      <c r="T756" s="20"/>
      <c r="U756" s="20"/>
      <c r="V756" s="20"/>
      <c r="W756" s="20"/>
      <c r="X756" s="20"/>
    </row>
    <row r="757" spans="1:24" s="65" customFormat="1" ht="15" customHeight="1" outlineLevel="2">
      <c r="A757" s="219"/>
      <c r="B757" s="242"/>
      <c r="C757" s="242" t="s">
        <v>1815</v>
      </c>
      <c r="D757" s="121" t="str">
        <f>INDEX(Regional.Technologies[Description],MATCH($B$2&amp;"."&amp;G.30.levels.EnergyEfficiency[[#This Row],[Technology code]],Regional.Technologies[Code],0))</f>
        <v>Global Natural Gas use in the Primary Aluminium technology</v>
      </c>
      <c r="E757" s="121">
        <v>1</v>
      </c>
      <c r="F757" s="242" t="s">
        <v>1643</v>
      </c>
      <c r="G757" s="242"/>
      <c r="H757" s="242"/>
      <c r="I757" s="370">
        <f t="shared" si="38"/>
        <v>0</v>
      </c>
      <c r="J757" s="370">
        <f t="shared" si="36"/>
        <v>0</v>
      </c>
      <c r="K757" s="370">
        <f t="shared" si="36"/>
        <v>0</v>
      </c>
      <c r="L757" s="370">
        <f t="shared" si="36"/>
        <v>0</v>
      </c>
      <c r="M757" s="370">
        <f t="shared" si="36"/>
        <v>0</v>
      </c>
      <c r="N757" s="370">
        <f t="shared" si="36"/>
        <v>0</v>
      </c>
      <c r="O757" s="370">
        <f t="shared" si="36"/>
        <v>0</v>
      </c>
      <c r="P757" s="370">
        <f t="shared" si="36"/>
        <v>0</v>
      </c>
      <c r="Q757" s="370">
        <f t="shared" si="38"/>
        <v>0</v>
      </c>
      <c r="R757" s="242"/>
      <c r="T757" s="20"/>
      <c r="U757" s="20"/>
      <c r="V757" s="20"/>
      <c r="W757" s="20"/>
      <c r="X757" s="20"/>
    </row>
    <row r="758" spans="1:24" s="65" customFormat="1" ht="15" customHeight="1" outlineLevel="2">
      <c r="A758" s="219"/>
      <c r="B758" s="242"/>
      <c r="C758" s="242" t="s">
        <v>1815</v>
      </c>
      <c r="D758" s="121" t="str">
        <f>INDEX(Regional.Technologies[Description],MATCH($B$2&amp;"."&amp;G.30.levels.EnergyEfficiency[[#This Row],[Technology code]],Regional.Technologies[Code],0))</f>
        <v>Global Natural Gas use in the Primary Aluminium technology</v>
      </c>
      <c r="E758" s="121">
        <v>2</v>
      </c>
      <c r="F758" s="242" t="s">
        <v>1643</v>
      </c>
      <c r="G758" s="242"/>
      <c r="H758" s="242"/>
      <c r="I758" s="370">
        <f t="shared" si="38"/>
        <v>0</v>
      </c>
      <c r="J758" s="370">
        <f t="shared" si="36"/>
        <v>2.5641025641025641E-3</v>
      </c>
      <c r="K758" s="370">
        <f t="shared" si="36"/>
        <v>5.7692307692307696E-3</v>
      </c>
      <c r="L758" s="370">
        <f t="shared" si="36"/>
        <v>8.9743589743589737E-3</v>
      </c>
      <c r="M758" s="370">
        <f t="shared" si="36"/>
        <v>1.217948717948718E-2</v>
      </c>
      <c r="N758" s="370">
        <f t="shared" si="36"/>
        <v>1.5384615384615385E-2</v>
      </c>
      <c r="O758" s="370">
        <f t="shared" si="36"/>
        <v>1.858974358974359E-2</v>
      </c>
      <c r="P758" s="370">
        <f t="shared" si="36"/>
        <v>2.1794871794871794E-2</v>
      </c>
      <c r="Q758" s="370">
        <f t="shared" si="38"/>
        <v>2.5000000000000001E-2</v>
      </c>
      <c r="R758" s="242"/>
      <c r="T758" s="20"/>
      <c r="U758" s="20"/>
      <c r="V758" s="20"/>
      <c r="W758" s="20"/>
      <c r="X758" s="20"/>
    </row>
    <row r="759" spans="1:24" s="65" customFormat="1" ht="15" customHeight="1" outlineLevel="2">
      <c r="A759" s="219"/>
      <c r="B759" s="242"/>
      <c r="C759" s="242" t="s">
        <v>1815</v>
      </c>
      <c r="D759" s="121" t="str">
        <f>INDEX(Regional.Technologies[Description],MATCH($B$2&amp;"."&amp;G.30.levels.EnergyEfficiency[[#This Row],[Technology code]],Regional.Technologies[Code],0))</f>
        <v>Global Natural Gas use in the Primary Aluminium technology</v>
      </c>
      <c r="E759" s="121">
        <v>3</v>
      </c>
      <c r="F759" s="242" t="s">
        <v>1643</v>
      </c>
      <c r="G759" s="242"/>
      <c r="H759" s="242"/>
      <c r="I759" s="370">
        <f t="shared" si="38"/>
        <v>0</v>
      </c>
      <c r="J759" s="370">
        <f t="shared" si="36"/>
        <v>5.1282051282051282E-3</v>
      </c>
      <c r="K759" s="370">
        <f t="shared" si="36"/>
        <v>1.1538461538461539E-2</v>
      </c>
      <c r="L759" s="370">
        <f t="shared" si="36"/>
        <v>1.7948717948717947E-2</v>
      </c>
      <c r="M759" s="370">
        <f t="shared" si="36"/>
        <v>2.4358974358974359E-2</v>
      </c>
      <c r="N759" s="370">
        <f t="shared" si="36"/>
        <v>3.0769230769230771E-2</v>
      </c>
      <c r="O759" s="370">
        <f t="shared" si="36"/>
        <v>3.7179487179487179E-2</v>
      </c>
      <c r="P759" s="370">
        <f t="shared" si="36"/>
        <v>4.3589743589743588E-2</v>
      </c>
      <c r="Q759" s="370">
        <f t="shared" si="38"/>
        <v>0.05</v>
      </c>
      <c r="R759" s="242"/>
      <c r="T759" s="20"/>
      <c r="U759" s="20"/>
      <c r="V759" s="20"/>
      <c r="W759" s="20"/>
      <c r="X759" s="20"/>
    </row>
    <row r="760" spans="1:24" s="65" customFormat="1" ht="15" customHeight="1" outlineLevel="2">
      <c r="A760" s="219"/>
      <c r="B760" s="242"/>
      <c r="C760" s="242" t="s">
        <v>1815</v>
      </c>
      <c r="D760" s="121" t="str">
        <f>INDEX(Regional.Technologies[Description],MATCH($B$2&amp;"."&amp;G.30.levels.EnergyEfficiency[[#This Row],[Technology code]],Regional.Technologies[Code],0))</f>
        <v>Global Natural Gas use in the Primary Aluminium technology</v>
      </c>
      <c r="E760" s="121">
        <v>4</v>
      </c>
      <c r="F760" s="242" t="s">
        <v>1643</v>
      </c>
      <c r="G760" s="242"/>
      <c r="H760" s="242"/>
      <c r="I760" s="370">
        <f t="shared" si="38"/>
        <v>0</v>
      </c>
      <c r="J760" s="370">
        <f t="shared" si="36"/>
        <v>1.0256410256410256E-2</v>
      </c>
      <c r="K760" s="370">
        <f t="shared" si="36"/>
        <v>2.3076923076923078E-2</v>
      </c>
      <c r="L760" s="370">
        <f t="shared" si="36"/>
        <v>3.5897435897435895E-2</v>
      </c>
      <c r="M760" s="370">
        <f t="shared" si="36"/>
        <v>4.8717948717948718E-2</v>
      </c>
      <c r="N760" s="370">
        <f t="shared" si="36"/>
        <v>6.1538461538461542E-2</v>
      </c>
      <c r="O760" s="370">
        <f t="shared" si="36"/>
        <v>7.4358974358974358E-2</v>
      </c>
      <c r="P760" s="370">
        <f t="shared" si="36"/>
        <v>8.7179487179487175E-2</v>
      </c>
      <c r="Q760" s="370">
        <f t="shared" si="38"/>
        <v>0.1</v>
      </c>
      <c r="R760" s="242"/>
      <c r="T760" s="20"/>
      <c r="U760" s="20"/>
      <c r="V760" s="20"/>
      <c r="W760" s="20"/>
      <c r="X760" s="20"/>
    </row>
    <row r="761" spans="1:24" s="65" customFormat="1" ht="15" customHeight="1" outlineLevel="2">
      <c r="A761" s="219"/>
      <c r="B761" s="242"/>
      <c r="C761" s="242" t="s">
        <v>1816</v>
      </c>
      <c r="D761" s="121" t="str">
        <f>INDEX(Regional.Technologies[Description],MATCH($B$2&amp;"."&amp;G.30.levels.EnergyEfficiency[[#This Row],[Technology code]],Regional.Technologies[Code],0))</f>
        <v>Global Solid Hydrocarbons use in the Primary Aluminium technology</v>
      </c>
      <c r="E761" s="121">
        <v>1</v>
      </c>
      <c r="F761" s="242" t="s">
        <v>1643</v>
      </c>
      <c r="G761" s="242"/>
      <c r="H761" s="242"/>
      <c r="I761" s="370">
        <f t="shared" si="38"/>
        <v>0</v>
      </c>
      <c r="J761" s="370">
        <f t="shared" si="36"/>
        <v>0</v>
      </c>
      <c r="K761" s="370">
        <f t="shared" si="36"/>
        <v>0</v>
      </c>
      <c r="L761" s="370">
        <f t="shared" si="36"/>
        <v>0</v>
      </c>
      <c r="M761" s="370">
        <f t="shared" si="36"/>
        <v>0</v>
      </c>
      <c r="N761" s="370">
        <f t="shared" si="36"/>
        <v>0</v>
      </c>
      <c r="O761" s="370">
        <f t="shared" si="36"/>
        <v>0</v>
      </c>
      <c r="P761" s="370">
        <f t="shared" si="36"/>
        <v>0</v>
      </c>
      <c r="Q761" s="370">
        <f t="shared" si="38"/>
        <v>0</v>
      </c>
      <c r="R761" s="242"/>
      <c r="T761" s="20"/>
      <c r="U761" s="20"/>
      <c r="V761" s="20"/>
      <c r="W761" s="20"/>
      <c r="X761" s="20"/>
    </row>
    <row r="762" spans="1:24" s="65" customFormat="1" ht="15" customHeight="1" outlineLevel="2">
      <c r="A762" s="219"/>
      <c r="B762" s="242"/>
      <c r="C762" s="242" t="s">
        <v>1816</v>
      </c>
      <c r="D762" s="121" t="str">
        <f>INDEX(Regional.Technologies[Description],MATCH($B$2&amp;"."&amp;G.30.levels.EnergyEfficiency[[#This Row],[Technology code]],Regional.Technologies[Code],0))</f>
        <v>Global Solid Hydrocarbons use in the Primary Aluminium technology</v>
      </c>
      <c r="E762" s="121">
        <v>2</v>
      </c>
      <c r="F762" s="242" t="s">
        <v>1643</v>
      </c>
      <c r="G762" s="242"/>
      <c r="H762" s="242"/>
      <c r="I762" s="370">
        <f t="shared" si="38"/>
        <v>0</v>
      </c>
      <c r="J762" s="370">
        <f t="shared" si="36"/>
        <v>2.5641025641025641E-3</v>
      </c>
      <c r="K762" s="370">
        <f t="shared" si="36"/>
        <v>5.7692307692307696E-3</v>
      </c>
      <c r="L762" s="370">
        <f t="shared" si="36"/>
        <v>8.9743589743589737E-3</v>
      </c>
      <c r="M762" s="370">
        <f t="shared" si="36"/>
        <v>1.217948717948718E-2</v>
      </c>
      <c r="N762" s="370">
        <f t="shared" si="36"/>
        <v>1.5384615384615385E-2</v>
      </c>
      <c r="O762" s="370">
        <f t="shared" si="36"/>
        <v>1.858974358974359E-2</v>
      </c>
      <c r="P762" s="370">
        <f t="shared" si="36"/>
        <v>2.1794871794871794E-2</v>
      </c>
      <c r="Q762" s="370">
        <f t="shared" si="38"/>
        <v>2.5000000000000001E-2</v>
      </c>
      <c r="R762" s="242"/>
      <c r="T762" s="20"/>
      <c r="U762" s="20"/>
      <c r="V762" s="20"/>
      <c r="W762" s="20"/>
      <c r="X762" s="20"/>
    </row>
    <row r="763" spans="1:24" s="65" customFormat="1" ht="15" customHeight="1" outlineLevel="2">
      <c r="A763" s="219"/>
      <c r="B763" s="242"/>
      <c r="C763" s="242" t="s">
        <v>1816</v>
      </c>
      <c r="D763" s="121" t="str">
        <f>INDEX(Regional.Technologies[Description],MATCH($B$2&amp;"."&amp;G.30.levels.EnergyEfficiency[[#This Row],[Technology code]],Regional.Technologies[Code],0))</f>
        <v>Global Solid Hydrocarbons use in the Primary Aluminium technology</v>
      </c>
      <c r="E763" s="121">
        <v>3</v>
      </c>
      <c r="F763" s="242" t="s">
        <v>1643</v>
      </c>
      <c r="G763" s="242"/>
      <c r="H763" s="242"/>
      <c r="I763" s="370">
        <f t="shared" si="38"/>
        <v>0</v>
      </c>
      <c r="J763" s="370">
        <f t="shared" si="36"/>
        <v>5.1282051282051282E-3</v>
      </c>
      <c r="K763" s="370">
        <f t="shared" si="36"/>
        <v>1.1538461538461539E-2</v>
      </c>
      <c r="L763" s="370">
        <f t="shared" si="36"/>
        <v>1.7948717948717947E-2</v>
      </c>
      <c r="M763" s="370">
        <f t="shared" si="36"/>
        <v>2.4358974358974359E-2</v>
      </c>
      <c r="N763" s="370">
        <f t="shared" si="36"/>
        <v>3.0769230769230771E-2</v>
      </c>
      <c r="O763" s="370">
        <f t="shared" si="36"/>
        <v>3.7179487179487179E-2</v>
      </c>
      <c r="P763" s="370">
        <f t="shared" si="36"/>
        <v>4.3589743589743588E-2</v>
      </c>
      <c r="Q763" s="370">
        <f t="shared" si="38"/>
        <v>0.05</v>
      </c>
      <c r="R763" s="242"/>
      <c r="T763" s="20"/>
      <c r="U763" s="20"/>
      <c r="V763" s="20"/>
      <c r="W763" s="20"/>
      <c r="X763" s="20"/>
    </row>
    <row r="764" spans="1:24" s="65" customFormat="1" ht="15" customHeight="1" outlineLevel="2">
      <c r="A764" s="219"/>
      <c r="B764" s="242"/>
      <c r="C764" s="242" t="s">
        <v>1816</v>
      </c>
      <c r="D764" s="121" t="str">
        <f>INDEX(Regional.Technologies[Description],MATCH($B$2&amp;"."&amp;G.30.levels.EnergyEfficiency[[#This Row],[Technology code]],Regional.Technologies[Code],0))</f>
        <v>Global Solid Hydrocarbons use in the Primary Aluminium technology</v>
      </c>
      <c r="E764" s="121">
        <v>4</v>
      </c>
      <c r="F764" s="242" t="s">
        <v>1643</v>
      </c>
      <c r="G764" s="242"/>
      <c r="H764" s="242"/>
      <c r="I764" s="370">
        <f t="shared" si="38"/>
        <v>0</v>
      </c>
      <c r="J764" s="370">
        <f t="shared" si="36"/>
        <v>1.0256410256410256E-2</v>
      </c>
      <c r="K764" s="370">
        <f t="shared" si="36"/>
        <v>2.3076923076923078E-2</v>
      </c>
      <c r="L764" s="370">
        <f t="shared" si="36"/>
        <v>3.5897435897435895E-2</v>
      </c>
      <c r="M764" s="370">
        <f t="shared" si="36"/>
        <v>4.8717948717948718E-2</v>
      </c>
      <c r="N764" s="370">
        <f t="shared" si="36"/>
        <v>6.1538461538461542E-2</v>
      </c>
      <c r="O764" s="370">
        <f t="shared" si="36"/>
        <v>7.4358974358974358E-2</v>
      </c>
      <c r="P764" s="370">
        <f t="shared" si="36"/>
        <v>8.7179487179487175E-2</v>
      </c>
      <c r="Q764" s="370">
        <f t="shared" si="38"/>
        <v>0.1</v>
      </c>
      <c r="R764" s="242"/>
      <c r="T764" s="20"/>
      <c r="U764" s="20"/>
      <c r="V764" s="20"/>
      <c r="W764" s="20"/>
      <c r="X764" s="20"/>
    </row>
    <row r="765" spans="1:24" s="65" customFormat="1" ht="15" customHeight="1" outlineLevel="2">
      <c r="A765" s="219"/>
      <c r="B765" s="242"/>
      <c r="C765" s="242" t="s">
        <v>1641</v>
      </c>
      <c r="D765" s="121" t="str">
        <f>INDEX(Regional.Technologies[Description],MATCH($B$2&amp;"."&amp;G.30.levels.EnergyEfficiency[[#This Row],[Technology code]],Regional.Technologies[Code],0))</f>
        <v>Global Electricity use in the Secondary Aluminium technology</v>
      </c>
      <c r="E765" s="121">
        <v>1</v>
      </c>
      <c r="F765" s="242" t="s">
        <v>1643</v>
      </c>
      <c r="G765" s="242"/>
      <c r="H765" s="242"/>
      <c r="I765" s="370">
        <v>0</v>
      </c>
      <c r="J765" s="370">
        <f t="shared" si="36"/>
        <v>0</v>
      </c>
      <c r="K765" s="370">
        <f t="shared" si="36"/>
        <v>0</v>
      </c>
      <c r="L765" s="370">
        <f t="shared" si="36"/>
        <v>0</v>
      </c>
      <c r="M765" s="370">
        <f t="shared" si="36"/>
        <v>0</v>
      </c>
      <c r="N765" s="370">
        <f t="shared" si="36"/>
        <v>0</v>
      </c>
      <c r="O765" s="370">
        <f t="shared" si="36"/>
        <v>0</v>
      </c>
      <c r="P765" s="370">
        <f t="shared" si="36"/>
        <v>0</v>
      </c>
      <c r="Q765" s="370">
        <v>0</v>
      </c>
      <c r="R765" s="242"/>
      <c r="T765" s="20"/>
      <c r="U765" s="20"/>
      <c r="V765" s="20"/>
      <c r="W765" s="20"/>
      <c r="X765" s="20"/>
    </row>
    <row r="766" spans="1:24" s="65" customFormat="1" ht="15" customHeight="1" outlineLevel="2">
      <c r="A766" s="219"/>
      <c r="B766" s="242"/>
      <c r="C766" s="242" t="s">
        <v>1641</v>
      </c>
      <c r="D766" s="121" t="str">
        <f>INDEX(Regional.Technologies[Description],MATCH($B$2&amp;"."&amp;G.30.levels.EnergyEfficiency[[#This Row],[Technology code]],Regional.Technologies[Code],0))</f>
        <v>Global Electricity use in the Secondary Aluminium technology</v>
      </c>
      <c r="E766" s="121">
        <v>2</v>
      </c>
      <c r="F766" s="242" t="s">
        <v>1643</v>
      </c>
      <c r="G766" s="242"/>
      <c r="H766" s="242"/>
      <c r="I766" s="370">
        <v>0</v>
      </c>
      <c r="J766" s="370">
        <f t="shared" si="36"/>
        <v>0</v>
      </c>
      <c r="K766" s="370">
        <f t="shared" si="36"/>
        <v>0</v>
      </c>
      <c r="L766" s="370">
        <f t="shared" si="36"/>
        <v>0</v>
      </c>
      <c r="M766" s="370">
        <f t="shared" si="36"/>
        <v>0</v>
      </c>
      <c r="N766" s="370">
        <f t="shared" si="36"/>
        <v>0</v>
      </c>
      <c r="O766" s="370">
        <f t="shared" si="36"/>
        <v>0</v>
      </c>
      <c r="P766" s="370">
        <f t="shared" si="36"/>
        <v>0</v>
      </c>
      <c r="Q766" s="370">
        <v>0</v>
      </c>
      <c r="R766" s="242"/>
      <c r="T766" s="20"/>
      <c r="U766" s="20"/>
      <c r="V766" s="20"/>
      <c r="W766" s="20"/>
      <c r="X766" s="20"/>
    </row>
    <row r="767" spans="1:24" s="65" customFormat="1" ht="15" customHeight="1" outlineLevel="2">
      <c r="A767" s="219"/>
      <c r="B767" s="242"/>
      <c r="C767" s="242" t="s">
        <v>1641</v>
      </c>
      <c r="D767" s="121" t="str">
        <f>INDEX(Regional.Technologies[Description],MATCH($B$2&amp;"."&amp;G.30.levels.EnergyEfficiency[[#This Row],[Technology code]],Regional.Technologies[Code],0))</f>
        <v>Global Electricity use in the Secondary Aluminium technology</v>
      </c>
      <c r="E767" s="121">
        <v>3</v>
      </c>
      <c r="F767" s="242" t="s">
        <v>1643</v>
      </c>
      <c r="G767" s="242"/>
      <c r="H767" s="242"/>
      <c r="I767" s="370">
        <v>0</v>
      </c>
      <c r="J767" s="370">
        <f t="shared" si="36"/>
        <v>0</v>
      </c>
      <c r="K767" s="370">
        <f t="shared" si="36"/>
        <v>0</v>
      </c>
      <c r="L767" s="370">
        <f t="shared" si="36"/>
        <v>0</v>
      </c>
      <c r="M767" s="370">
        <f t="shared" si="36"/>
        <v>0</v>
      </c>
      <c r="N767" s="370">
        <f t="shared" si="36"/>
        <v>0</v>
      </c>
      <c r="O767" s="370">
        <f t="shared" si="36"/>
        <v>0</v>
      </c>
      <c r="P767" s="370">
        <f t="shared" si="36"/>
        <v>0</v>
      </c>
      <c r="Q767" s="370">
        <v>0</v>
      </c>
      <c r="R767" s="242"/>
      <c r="T767" s="20"/>
      <c r="U767" s="20"/>
      <c r="V767" s="20"/>
      <c r="W767" s="20"/>
      <c r="X767" s="20"/>
    </row>
    <row r="768" spans="1:24" s="65" customFormat="1" ht="15" customHeight="1" outlineLevel="2">
      <c r="A768" s="219"/>
      <c r="B768" s="242"/>
      <c r="C768" s="242" t="s">
        <v>1641</v>
      </c>
      <c r="D768" s="121" t="str">
        <f>INDEX(Regional.Technologies[Description],MATCH($B$2&amp;"."&amp;G.30.levels.EnergyEfficiency[[#This Row],[Technology code]],Regional.Technologies[Code],0))</f>
        <v>Global Electricity use in the Secondary Aluminium technology</v>
      </c>
      <c r="E768" s="121">
        <v>4</v>
      </c>
      <c r="F768" s="242" t="s">
        <v>1643</v>
      </c>
      <c r="G768" s="242"/>
      <c r="H768" s="242"/>
      <c r="I768" s="370">
        <v>0</v>
      </c>
      <c r="J768" s="370">
        <f t="shared" si="36"/>
        <v>1.0256410256410256E-2</v>
      </c>
      <c r="K768" s="370">
        <f t="shared" si="36"/>
        <v>2.3076923076923078E-2</v>
      </c>
      <c r="L768" s="370">
        <f t="shared" si="36"/>
        <v>3.5897435897435895E-2</v>
      </c>
      <c r="M768" s="370">
        <f t="shared" si="36"/>
        <v>4.8717948717948718E-2</v>
      </c>
      <c r="N768" s="370">
        <f t="shared" si="36"/>
        <v>6.1538461538461542E-2</v>
      </c>
      <c r="O768" s="370">
        <f t="shared" si="36"/>
        <v>7.4358974358974358E-2</v>
      </c>
      <c r="P768" s="370">
        <f t="shared" si="36"/>
        <v>8.7179487179487175E-2</v>
      </c>
      <c r="Q768" s="370">
        <v>0.1</v>
      </c>
      <c r="R768" s="242"/>
      <c r="T768" s="20"/>
      <c r="U768" s="20"/>
      <c r="V768" s="20"/>
      <c r="W768" s="20"/>
      <c r="X768" s="20"/>
    </row>
    <row r="769" spans="1:24" s="65" customFormat="1" ht="15" customHeight="1" outlineLevel="2">
      <c r="A769" s="219"/>
      <c r="B769" s="242"/>
      <c r="C769" s="242" t="s">
        <v>1817</v>
      </c>
      <c r="D769" s="121" t="str">
        <f>INDEX(Regional.Technologies[Description],MATCH($B$2&amp;"."&amp;G.30.levels.EnergyEfficiency[[#This Row],[Technology code]],Regional.Technologies[Code],0))</f>
        <v>Global Coal use in the Secondary Aluminium technology</v>
      </c>
      <c r="E769" s="121">
        <v>1</v>
      </c>
      <c r="F769" s="242" t="s">
        <v>1643</v>
      </c>
      <c r="G769" s="242"/>
      <c r="H769" s="242"/>
      <c r="I769" s="370">
        <v>0</v>
      </c>
      <c r="J769" s="370">
        <f t="shared" si="36"/>
        <v>0</v>
      </c>
      <c r="K769" s="370">
        <f t="shared" si="36"/>
        <v>0</v>
      </c>
      <c r="L769" s="370">
        <f t="shared" si="36"/>
        <v>0</v>
      </c>
      <c r="M769" s="370">
        <f t="shared" si="36"/>
        <v>0</v>
      </c>
      <c r="N769" s="370">
        <f t="shared" si="36"/>
        <v>0</v>
      </c>
      <c r="O769" s="370">
        <f t="shared" si="36"/>
        <v>0</v>
      </c>
      <c r="P769" s="370">
        <f t="shared" si="36"/>
        <v>0</v>
      </c>
      <c r="Q769" s="370">
        <v>0</v>
      </c>
      <c r="R769" s="242"/>
      <c r="T769" s="20"/>
      <c r="U769" s="20"/>
      <c r="V769" s="20"/>
      <c r="W769" s="20"/>
      <c r="X769" s="20"/>
    </row>
    <row r="770" spans="1:24" s="65" customFormat="1" ht="15" customHeight="1" outlineLevel="2">
      <c r="A770" s="219"/>
      <c r="B770" s="242"/>
      <c r="C770" s="242" t="s">
        <v>1817</v>
      </c>
      <c r="D770" s="121" t="str">
        <f>INDEX(Regional.Technologies[Description],MATCH($B$2&amp;"."&amp;G.30.levels.EnergyEfficiency[[#This Row],[Technology code]],Regional.Technologies[Code],0))</f>
        <v>Global Coal use in the Secondary Aluminium technology</v>
      </c>
      <c r="E770" s="121">
        <v>2</v>
      </c>
      <c r="F770" s="242" t="s">
        <v>1643</v>
      </c>
      <c r="G770" s="242"/>
      <c r="H770" s="242"/>
      <c r="I770" s="370">
        <v>0</v>
      </c>
      <c r="J770" s="370">
        <f t="shared" si="36"/>
        <v>0</v>
      </c>
      <c r="K770" s="370">
        <f t="shared" si="36"/>
        <v>0</v>
      </c>
      <c r="L770" s="370">
        <f t="shared" si="36"/>
        <v>0</v>
      </c>
      <c r="M770" s="370">
        <f t="shared" si="36"/>
        <v>0</v>
      </c>
      <c r="N770" s="370">
        <f t="shared" si="36"/>
        <v>0</v>
      </c>
      <c r="O770" s="370">
        <f t="shared" si="36"/>
        <v>0</v>
      </c>
      <c r="P770" s="370">
        <f t="shared" si="36"/>
        <v>0</v>
      </c>
      <c r="Q770" s="370">
        <v>0</v>
      </c>
      <c r="R770" s="242"/>
      <c r="T770" s="20"/>
      <c r="U770" s="20"/>
      <c r="V770" s="20"/>
      <c r="W770" s="20"/>
      <c r="X770" s="20"/>
    </row>
    <row r="771" spans="1:24" s="65" customFormat="1" ht="15" customHeight="1" outlineLevel="2">
      <c r="A771" s="219"/>
      <c r="B771" s="242"/>
      <c r="C771" s="242" t="s">
        <v>1817</v>
      </c>
      <c r="D771" s="121" t="str">
        <f>INDEX(Regional.Technologies[Description],MATCH($B$2&amp;"."&amp;G.30.levels.EnergyEfficiency[[#This Row],[Technology code]],Regional.Technologies[Code],0))</f>
        <v>Global Coal use in the Secondary Aluminium technology</v>
      </c>
      <c r="E771" s="121">
        <v>3</v>
      </c>
      <c r="F771" s="242" t="s">
        <v>1643</v>
      </c>
      <c r="G771" s="242"/>
      <c r="H771" s="242"/>
      <c r="I771" s="370">
        <v>0</v>
      </c>
      <c r="J771" s="370">
        <f t="shared" si="36"/>
        <v>0</v>
      </c>
      <c r="K771" s="370">
        <f t="shared" si="36"/>
        <v>0</v>
      </c>
      <c r="L771" s="370">
        <f t="shared" si="36"/>
        <v>0</v>
      </c>
      <c r="M771" s="370">
        <f t="shared" si="36"/>
        <v>0</v>
      </c>
      <c r="N771" s="370">
        <f t="shared" si="36"/>
        <v>0</v>
      </c>
      <c r="O771" s="370">
        <f t="shared" si="36"/>
        <v>0</v>
      </c>
      <c r="P771" s="370">
        <f t="shared" si="36"/>
        <v>0</v>
      </c>
      <c r="Q771" s="370">
        <v>0</v>
      </c>
      <c r="R771" s="242"/>
      <c r="T771" s="20"/>
      <c r="U771" s="20"/>
      <c r="V771" s="20"/>
      <c r="W771" s="20"/>
      <c r="X771" s="20"/>
    </row>
    <row r="772" spans="1:24" s="65" customFormat="1" ht="15" customHeight="1" outlineLevel="2">
      <c r="A772" s="219"/>
      <c r="B772" s="242"/>
      <c r="C772" s="242" t="s">
        <v>1817</v>
      </c>
      <c r="D772" s="121" t="str">
        <f>INDEX(Regional.Technologies[Description],MATCH($B$2&amp;"."&amp;G.30.levels.EnergyEfficiency[[#This Row],[Technology code]],Regional.Technologies[Code],0))</f>
        <v>Global Coal use in the Secondary Aluminium technology</v>
      </c>
      <c r="E772" s="121">
        <v>4</v>
      </c>
      <c r="F772" s="242" t="s">
        <v>1643</v>
      </c>
      <c r="G772" s="242"/>
      <c r="H772" s="242"/>
      <c r="I772" s="370">
        <v>0</v>
      </c>
      <c r="J772" s="370">
        <f t="shared" si="36"/>
        <v>1.0256410256410256E-2</v>
      </c>
      <c r="K772" s="370">
        <f t="shared" si="36"/>
        <v>2.3076923076923078E-2</v>
      </c>
      <c r="L772" s="370">
        <f t="shared" si="36"/>
        <v>3.5897435897435895E-2</v>
      </c>
      <c r="M772" s="370">
        <f t="shared" si="36"/>
        <v>4.8717948717948718E-2</v>
      </c>
      <c r="N772" s="370">
        <f t="shared" si="36"/>
        <v>6.1538461538461542E-2</v>
      </c>
      <c r="O772" s="370">
        <f t="shared" si="36"/>
        <v>7.4358974358974358E-2</v>
      </c>
      <c r="P772" s="370">
        <f t="shared" si="36"/>
        <v>8.7179487179487175E-2</v>
      </c>
      <c r="Q772" s="370">
        <v>0.1</v>
      </c>
      <c r="R772" s="242"/>
      <c r="T772" s="20"/>
      <c r="U772" s="20"/>
      <c r="V772" s="20"/>
      <c r="W772" s="20"/>
      <c r="X772" s="20"/>
    </row>
    <row r="773" spans="1:24" s="65" customFormat="1" ht="15" customHeight="1" outlineLevel="2">
      <c r="A773" s="219"/>
      <c r="B773" s="242"/>
      <c r="C773" s="242" t="s">
        <v>1818</v>
      </c>
      <c r="D773" s="121" t="str">
        <f>INDEX(Regional.Technologies[Description],MATCH($B$2&amp;"."&amp;G.30.levels.EnergyEfficiency[[#This Row],[Technology code]],Regional.Technologies[Code],0))</f>
        <v>Global Oil use in the Secondary Aluminium technology</v>
      </c>
      <c r="E773" s="121">
        <v>1</v>
      </c>
      <c r="F773" s="242" t="s">
        <v>1643</v>
      </c>
      <c r="G773" s="242"/>
      <c r="H773" s="242"/>
      <c r="I773" s="370">
        <v>0</v>
      </c>
      <c r="J773" s="370">
        <f t="shared" si="36"/>
        <v>0</v>
      </c>
      <c r="K773" s="370">
        <f t="shared" si="36"/>
        <v>0</v>
      </c>
      <c r="L773" s="370">
        <f t="shared" si="36"/>
        <v>0</v>
      </c>
      <c r="M773" s="370">
        <f t="shared" si="36"/>
        <v>0</v>
      </c>
      <c r="N773" s="370">
        <f t="shared" si="36"/>
        <v>0</v>
      </c>
      <c r="O773" s="370">
        <f t="shared" si="36"/>
        <v>0</v>
      </c>
      <c r="P773" s="370">
        <f t="shared" si="36"/>
        <v>0</v>
      </c>
      <c r="Q773" s="370">
        <v>0</v>
      </c>
      <c r="R773" s="242"/>
      <c r="T773" s="20"/>
      <c r="U773" s="20"/>
      <c r="V773" s="20"/>
      <c r="W773" s="20"/>
      <c r="X773" s="20"/>
    </row>
    <row r="774" spans="1:24" s="65" customFormat="1" ht="15" customHeight="1" outlineLevel="2">
      <c r="A774" s="219"/>
      <c r="B774" s="242"/>
      <c r="C774" s="242" t="s">
        <v>1818</v>
      </c>
      <c r="D774" s="121" t="str">
        <f>INDEX(Regional.Technologies[Description],MATCH($B$2&amp;"."&amp;G.30.levels.EnergyEfficiency[[#This Row],[Technology code]],Regional.Technologies[Code],0))</f>
        <v>Global Oil use in the Secondary Aluminium technology</v>
      </c>
      <c r="E774" s="121">
        <v>2</v>
      </c>
      <c r="F774" s="242" t="s">
        <v>1643</v>
      </c>
      <c r="G774" s="242"/>
      <c r="H774" s="242"/>
      <c r="I774" s="370">
        <v>0</v>
      </c>
      <c r="J774" s="370">
        <f t="shared" si="36"/>
        <v>0</v>
      </c>
      <c r="K774" s="370">
        <f t="shared" si="36"/>
        <v>0</v>
      </c>
      <c r="L774" s="370">
        <f t="shared" si="36"/>
        <v>0</v>
      </c>
      <c r="M774" s="370">
        <f t="shared" si="36"/>
        <v>0</v>
      </c>
      <c r="N774" s="370">
        <f t="shared" si="36"/>
        <v>0</v>
      </c>
      <c r="O774" s="370">
        <f t="shared" si="36"/>
        <v>0</v>
      </c>
      <c r="P774" s="370">
        <f t="shared" si="36"/>
        <v>0</v>
      </c>
      <c r="Q774" s="370">
        <v>0</v>
      </c>
      <c r="R774" s="242"/>
      <c r="T774" s="20"/>
      <c r="U774" s="20"/>
      <c r="V774" s="20"/>
      <c r="W774" s="20"/>
      <c r="X774" s="20"/>
    </row>
    <row r="775" spans="1:24" s="65" customFormat="1" ht="15" customHeight="1" outlineLevel="2">
      <c r="A775" s="219"/>
      <c r="B775" s="242"/>
      <c r="C775" s="242" t="s">
        <v>1818</v>
      </c>
      <c r="D775" s="121" t="str">
        <f>INDEX(Regional.Technologies[Description],MATCH($B$2&amp;"."&amp;G.30.levels.EnergyEfficiency[[#This Row],[Technology code]],Regional.Technologies[Code],0))</f>
        <v>Global Oil use in the Secondary Aluminium technology</v>
      </c>
      <c r="E775" s="121">
        <v>3</v>
      </c>
      <c r="F775" s="242" t="s">
        <v>1643</v>
      </c>
      <c r="G775" s="242"/>
      <c r="H775" s="242"/>
      <c r="I775" s="370">
        <v>0</v>
      </c>
      <c r="J775" s="370">
        <f t="shared" si="36"/>
        <v>0</v>
      </c>
      <c r="K775" s="370">
        <f t="shared" si="36"/>
        <v>0</v>
      </c>
      <c r="L775" s="370">
        <f t="shared" si="36"/>
        <v>0</v>
      </c>
      <c r="M775" s="370">
        <f t="shared" si="36"/>
        <v>0</v>
      </c>
      <c r="N775" s="370">
        <f t="shared" si="36"/>
        <v>0</v>
      </c>
      <c r="O775" s="370">
        <f t="shared" si="36"/>
        <v>0</v>
      </c>
      <c r="P775" s="370">
        <f t="shared" si="36"/>
        <v>0</v>
      </c>
      <c r="Q775" s="370">
        <v>0</v>
      </c>
      <c r="R775" s="242"/>
      <c r="T775" s="20"/>
      <c r="U775" s="20"/>
      <c r="V775" s="20"/>
      <c r="W775" s="20"/>
      <c r="X775" s="20"/>
    </row>
    <row r="776" spans="1:24" s="65" customFormat="1" ht="15" customHeight="1" outlineLevel="2">
      <c r="A776" s="219"/>
      <c r="B776" s="242"/>
      <c r="C776" s="242" t="s">
        <v>1818</v>
      </c>
      <c r="D776" s="121" t="str">
        <f>INDEX(Regional.Technologies[Description],MATCH($B$2&amp;"."&amp;G.30.levels.EnergyEfficiency[[#This Row],[Technology code]],Regional.Technologies[Code],0))</f>
        <v>Global Oil use in the Secondary Aluminium technology</v>
      </c>
      <c r="E776" s="121">
        <v>4</v>
      </c>
      <c r="F776" s="242" t="s">
        <v>1643</v>
      </c>
      <c r="G776" s="242"/>
      <c r="H776" s="242"/>
      <c r="I776" s="370">
        <v>0</v>
      </c>
      <c r="J776" s="370">
        <f t="shared" si="36"/>
        <v>1.0256410256410256E-2</v>
      </c>
      <c r="K776" s="370">
        <f t="shared" si="36"/>
        <v>2.3076923076923078E-2</v>
      </c>
      <c r="L776" s="370">
        <f t="shared" si="36"/>
        <v>3.5897435897435895E-2</v>
      </c>
      <c r="M776" s="370">
        <f t="shared" si="36"/>
        <v>4.8717948717948718E-2</v>
      </c>
      <c r="N776" s="370">
        <f t="shared" si="36"/>
        <v>6.1538461538461542E-2</v>
      </c>
      <c r="O776" s="370">
        <f t="shared" si="36"/>
        <v>7.4358974358974358E-2</v>
      </c>
      <c r="P776" s="370">
        <f t="shared" si="36"/>
        <v>8.7179487179487175E-2</v>
      </c>
      <c r="Q776" s="370">
        <v>0.1</v>
      </c>
      <c r="R776" s="242"/>
      <c r="T776" s="20"/>
      <c r="U776" s="20"/>
      <c r="V776" s="20"/>
      <c r="W776" s="20"/>
      <c r="X776" s="20"/>
    </row>
    <row r="777" spans="1:24" s="65" customFormat="1" ht="15" customHeight="1" outlineLevel="2">
      <c r="A777" s="219"/>
      <c r="B777" s="242"/>
      <c r="C777" s="242" t="s">
        <v>1819</v>
      </c>
      <c r="D777" s="121" t="str">
        <f>INDEX(Regional.Technologies[Description],MATCH($B$2&amp;"."&amp;G.30.levels.EnergyEfficiency[[#This Row],[Technology code]],Regional.Technologies[Code],0))</f>
        <v>Global Natural Gas use in the Secondary Aluminium technology</v>
      </c>
      <c r="E777" s="121">
        <v>1</v>
      </c>
      <c r="F777" s="242" t="s">
        <v>1643</v>
      </c>
      <c r="G777" s="242"/>
      <c r="H777" s="242"/>
      <c r="I777" s="370">
        <v>0</v>
      </c>
      <c r="J777" s="370">
        <f t="shared" si="36"/>
        <v>0</v>
      </c>
      <c r="K777" s="370">
        <f t="shared" si="36"/>
        <v>0</v>
      </c>
      <c r="L777" s="370">
        <f t="shared" si="36"/>
        <v>0</v>
      </c>
      <c r="M777" s="370">
        <f t="shared" ref="J777:P813" si="39">(($Q777-$I777)/($Q$121-$I$121))*(M$121-$I$121)+$I777</f>
        <v>0</v>
      </c>
      <c r="N777" s="370">
        <f t="shared" si="39"/>
        <v>0</v>
      </c>
      <c r="O777" s="370">
        <f t="shared" si="39"/>
        <v>0</v>
      </c>
      <c r="P777" s="370">
        <f t="shared" si="39"/>
        <v>0</v>
      </c>
      <c r="Q777" s="370">
        <v>0</v>
      </c>
      <c r="R777" s="242"/>
      <c r="T777" s="20"/>
      <c r="U777" s="20"/>
      <c r="V777" s="20"/>
      <c r="W777" s="20"/>
      <c r="X777" s="20"/>
    </row>
    <row r="778" spans="1:24" s="65" customFormat="1" ht="15" customHeight="1" outlineLevel="2">
      <c r="A778" s="219"/>
      <c r="B778" s="242"/>
      <c r="C778" s="242" t="s">
        <v>1819</v>
      </c>
      <c r="D778" s="121" t="str">
        <f>INDEX(Regional.Technologies[Description],MATCH($B$2&amp;"."&amp;G.30.levels.EnergyEfficiency[[#This Row],[Technology code]],Regional.Technologies[Code],0))</f>
        <v>Global Natural Gas use in the Secondary Aluminium technology</v>
      </c>
      <c r="E778" s="121">
        <v>2</v>
      </c>
      <c r="F778" s="242" t="s">
        <v>1643</v>
      </c>
      <c r="G778" s="242"/>
      <c r="H778" s="242"/>
      <c r="I778" s="370">
        <v>0</v>
      </c>
      <c r="J778" s="370">
        <f t="shared" si="39"/>
        <v>0</v>
      </c>
      <c r="K778" s="370">
        <f t="shared" si="39"/>
        <v>0</v>
      </c>
      <c r="L778" s="370">
        <f t="shared" si="39"/>
        <v>0</v>
      </c>
      <c r="M778" s="370">
        <f t="shared" si="39"/>
        <v>0</v>
      </c>
      <c r="N778" s="370">
        <f t="shared" si="39"/>
        <v>0</v>
      </c>
      <c r="O778" s="370">
        <f t="shared" si="39"/>
        <v>0</v>
      </c>
      <c r="P778" s="370">
        <f t="shared" si="39"/>
        <v>0</v>
      </c>
      <c r="Q778" s="370">
        <v>0</v>
      </c>
      <c r="R778" s="242"/>
      <c r="T778" s="20"/>
      <c r="U778" s="20"/>
      <c r="V778" s="20"/>
      <c r="W778" s="20"/>
      <c r="X778" s="20"/>
    </row>
    <row r="779" spans="1:24" s="65" customFormat="1" ht="15" customHeight="1" outlineLevel="2">
      <c r="A779" s="219"/>
      <c r="B779" s="242"/>
      <c r="C779" s="242" t="s">
        <v>1819</v>
      </c>
      <c r="D779" s="121" t="str">
        <f>INDEX(Regional.Technologies[Description],MATCH($B$2&amp;"."&amp;G.30.levels.EnergyEfficiency[[#This Row],[Technology code]],Regional.Technologies[Code],0))</f>
        <v>Global Natural Gas use in the Secondary Aluminium technology</v>
      </c>
      <c r="E779" s="121">
        <v>3</v>
      </c>
      <c r="F779" s="242" t="s">
        <v>1643</v>
      </c>
      <c r="G779" s="242"/>
      <c r="H779" s="242"/>
      <c r="I779" s="370">
        <v>0</v>
      </c>
      <c r="J779" s="370">
        <f t="shared" si="39"/>
        <v>0</v>
      </c>
      <c r="K779" s="370">
        <f t="shared" si="39"/>
        <v>0</v>
      </c>
      <c r="L779" s="370">
        <f t="shared" si="39"/>
        <v>0</v>
      </c>
      <c r="M779" s="370">
        <f t="shared" si="39"/>
        <v>0</v>
      </c>
      <c r="N779" s="370">
        <f t="shared" si="39"/>
        <v>0</v>
      </c>
      <c r="O779" s="370">
        <f t="shared" si="39"/>
        <v>0</v>
      </c>
      <c r="P779" s="370">
        <f t="shared" si="39"/>
        <v>0</v>
      </c>
      <c r="Q779" s="370">
        <v>0</v>
      </c>
      <c r="R779" s="242"/>
      <c r="T779" s="20"/>
      <c r="U779" s="20"/>
      <c r="V779" s="20"/>
      <c r="W779" s="20"/>
      <c r="X779" s="20"/>
    </row>
    <row r="780" spans="1:24" s="65" customFormat="1" ht="15" customHeight="1" outlineLevel="2">
      <c r="A780" s="219"/>
      <c r="B780" s="242"/>
      <c r="C780" s="242" t="s">
        <v>1819</v>
      </c>
      <c r="D780" s="121" t="str">
        <f>INDEX(Regional.Technologies[Description],MATCH($B$2&amp;"."&amp;G.30.levels.EnergyEfficiency[[#This Row],[Technology code]],Regional.Technologies[Code],0))</f>
        <v>Global Natural Gas use in the Secondary Aluminium technology</v>
      </c>
      <c r="E780" s="121">
        <v>4</v>
      </c>
      <c r="F780" s="242" t="s">
        <v>1643</v>
      </c>
      <c r="G780" s="242"/>
      <c r="H780" s="242"/>
      <c r="I780" s="370">
        <v>0</v>
      </c>
      <c r="J780" s="370">
        <f t="shared" si="39"/>
        <v>1.0256410256410256E-2</v>
      </c>
      <c r="K780" s="370">
        <f t="shared" si="39"/>
        <v>2.3076923076923078E-2</v>
      </c>
      <c r="L780" s="370">
        <f t="shared" si="39"/>
        <v>3.5897435897435895E-2</v>
      </c>
      <c r="M780" s="370">
        <f t="shared" si="39"/>
        <v>4.8717948717948718E-2</v>
      </c>
      <c r="N780" s="370">
        <f t="shared" si="39"/>
        <v>6.1538461538461542E-2</v>
      </c>
      <c r="O780" s="370">
        <f t="shared" si="39"/>
        <v>7.4358974358974358E-2</v>
      </c>
      <c r="P780" s="370">
        <f t="shared" si="39"/>
        <v>8.7179487179487175E-2</v>
      </c>
      <c r="Q780" s="370">
        <v>0.1</v>
      </c>
      <c r="R780" s="242"/>
      <c r="T780" s="20"/>
      <c r="U780" s="20"/>
      <c r="V780" s="20"/>
      <c r="W780" s="20"/>
      <c r="X780" s="20"/>
    </row>
    <row r="781" spans="1:24" s="65" customFormat="1" ht="15" customHeight="1" outlineLevel="2">
      <c r="A781" s="219"/>
      <c r="B781" s="242"/>
      <c r="C781" s="242" t="s">
        <v>1820</v>
      </c>
      <c r="D781" s="121" t="str">
        <f>INDEX(Regional.Technologies[Description],MATCH($B$2&amp;"."&amp;G.30.levels.EnergyEfficiency[[#This Row],[Technology code]],Regional.Technologies[Code],0))</f>
        <v>Global Solid Hydrocarbons use in the Secondary Aluminium technology</v>
      </c>
      <c r="E781" s="121">
        <v>1</v>
      </c>
      <c r="F781" s="242" t="s">
        <v>1643</v>
      </c>
      <c r="G781" s="242"/>
      <c r="H781" s="242"/>
      <c r="I781" s="370">
        <v>0</v>
      </c>
      <c r="J781" s="370">
        <f t="shared" si="39"/>
        <v>0</v>
      </c>
      <c r="K781" s="370">
        <f t="shared" si="39"/>
        <v>0</v>
      </c>
      <c r="L781" s="370">
        <f t="shared" si="39"/>
        <v>0</v>
      </c>
      <c r="M781" s="370">
        <f t="shared" si="39"/>
        <v>0</v>
      </c>
      <c r="N781" s="370">
        <f t="shared" si="39"/>
        <v>0</v>
      </c>
      <c r="O781" s="370">
        <f t="shared" si="39"/>
        <v>0</v>
      </c>
      <c r="P781" s="370">
        <f t="shared" si="39"/>
        <v>0</v>
      </c>
      <c r="Q781" s="370">
        <v>0</v>
      </c>
      <c r="R781" s="242"/>
      <c r="T781" s="20"/>
      <c r="U781" s="20"/>
      <c r="V781" s="20"/>
      <c r="W781" s="20"/>
      <c r="X781" s="20"/>
    </row>
    <row r="782" spans="1:24" s="65" customFormat="1" ht="15" customHeight="1" outlineLevel="2">
      <c r="A782" s="219"/>
      <c r="B782" s="242"/>
      <c r="C782" s="242" t="s">
        <v>1820</v>
      </c>
      <c r="D782" s="121" t="str">
        <f>INDEX(Regional.Technologies[Description],MATCH($B$2&amp;"."&amp;G.30.levels.EnergyEfficiency[[#This Row],[Technology code]],Regional.Technologies[Code],0))</f>
        <v>Global Solid Hydrocarbons use in the Secondary Aluminium technology</v>
      </c>
      <c r="E782" s="121">
        <v>2</v>
      </c>
      <c r="F782" s="242" t="s">
        <v>1643</v>
      </c>
      <c r="G782" s="242"/>
      <c r="H782" s="242"/>
      <c r="I782" s="370">
        <v>0</v>
      </c>
      <c r="J782" s="370">
        <f t="shared" si="39"/>
        <v>0</v>
      </c>
      <c r="K782" s="370">
        <f t="shared" si="39"/>
        <v>0</v>
      </c>
      <c r="L782" s="370">
        <f t="shared" si="39"/>
        <v>0</v>
      </c>
      <c r="M782" s="370">
        <f t="shared" si="39"/>
        <v>0</v>
      </c>
      <c r="N782" s="370">
        <f t="shared" si="39"/>
        <v>0</v>
      </c>
      <c r="O782" s="370">
        <f t="shared" si="39"/>
        <v>0</v>
      </c>
      <c r="P782" s="370">
        <f t="shared" si="39"/>
        <v>0</v>
      </c>
      <c r="Q782" s="370">
        <v>0</v>
      </c>
      <c r="R782" s="242"/>
      <c r="T782" s="20"/>
      <c r="U782" s="20"/>
      <c r="V782" s="20"/>
      <c r="W782" s="20"/>
      <c r="X782" s="20"/>
    </row>
    <row r="783" spans="1:24" s="65" customFormat="1" ht="15" customHeight="1" outlineLevel="2">
      <c r="A783" s="219"/>
      <c r="B783" s="242"/>
      <c r="C783" s="242" t="s">
        <v>1820</v>
      </c>
      <c r="D783" s="121" t="str">
        <f>INDEX(Regional.Technologies[Description],MATCH($B$2&amp;"."&amp;G.30.levels.EnergyEfficiency[[#This Row],[Technology code]],Regional.Technologies[Code],0))</f>
        <v>Global Solid Hydrocarbons use in the Secondary Aluminium technology</v>
      </c>
      <c r="E783" s="121">
        <v>3</v>
      </c>
      <c r="F783" s="242" t="s">
        <v>1643</v>
      </c>
      <c r="G783" s="242"/>
      <c r="H783" s="242"/>
      <c r="I783" s="370">
        <v>0</v>
      </c>
      <c r="J783" s="370">
        <f t="shared" si="39"/>
        <v>0</v>
      </c>
      <c r="K783" s="370">
        <f t="shared" si="39"/>
        <v>0</v>
      </c>
      <c r="L783" s="370">
        <f t="shared" si="39"/>
        <v>0</v>
      </c>
      <c r="M783" s="370">
        <f t="shared" si="39"/>
        <v>0</v>
      </c>
      <c r="N783" s="370">
        <f t="shared" si="39"/>
        <v>0</v>
      </c>
      <c r="O783" s="370">
        <f t="shared" si="39"/>
        <v>0</v>
      </c>
      <c r="P783" s="370">
        <f t="shared" si="39"/>
        <v>0</v>
      </c>
      <c r="Q783" s="370">
        <v>0</v>
      </c>
      <c r="R783" s="242"/>
      <c r="T783" s="20"/>
      <c r="U783" s="20"/>
      <c r="V783" s="20"/>
      <c r="W783" s="20"/>
      <c r="X783" s="20"/>
    </row>
    <row r="784" spans="1:24" s="65" customFormat="1" ht="15" customHeight="1" outlineLevel="2">
      <c r="A784" s="219"/>
      <c r="B784" s="242"/>
      <c r="C784" s="242" t="s">
        <v>1820</v>
      </c>
      <c r="D784" s="121" t="str">
        <f>INDEX(Regional.Technologies[Description],MATCH($B$2&amp;"."&amp;G.30.levels.EnergyEfficiency[[#This Row],[Technology code]],Regional.Technologies[Code],0))</f>
        <v>Global Solid Hydrocarbons use in the Secondary Aluminium technology</v>
      </c>
      <c r="E784" s="121">
        <v>4</v>
      </c>
      <c r="F784" s="242" t="s">
        <v>1643</v>
      </c>
      <c r="G784" s="242"/>
      <c r="H784" s="242"/>
      <c r="I784" s="370">
        <v>0</v>
      </c>
      <c r="J784" s="370">
        <f t="shared" si="39"/>
        <v>1.0256410256410256E-2</v>
      </c>
      <c r="K784" s="370">
        <f t="shared" si="39"/>
        <v>2.3076923076923078E-2</v>
      </c>
      <c r="L784" s="370">
        <f t="shared" si="39"/>
        <v>3.5897435897435895E-2</v>
      </c>
      <c r="M784" s="370">
        <f t="shared" si="39"/>
        <v>4.8717948717948718E-2</v>
      </c>
      <c r="N784" s="370">
        <f t="shared" si="39"/>
        <v>6.1538461538461542E-2</v>
      </c>
      <c r="O784" s="370">
        <f t="shared" si="39"/>
        <v>7.4358974358974358E-2</v>
      </c>
      <c r="P784" s="370">
        <f t="shared" si="39"/>
        <v>8.7179487179487175E-2</v>
      </c>
      <c r="Q784" s="370">
        <v>0.1</v>
      </c>
      <c r="R784" s="242"/>
      <c r="T784" s="20"/>
      <c r="U784" s="20"/>
      <c r="V784" s="20"/>
      <c r="W784" s="20"/>
      <c r="X784" s="20"/>
    </row>
    <row r="785" spans="1:24" s="65" customFormat="1" ht="15" customHeight="1" outlineLevel="2">
      <c r="A785" s="219"/>
      <c r="B785" s="242"/>
      <c r="C785" s="242" t="s">
        <v>1821</v>
      </c>
      <c r="D785" s="121" t="str">
        <f>INDEX(Regional.Technologies[Description],MATCH($B$2&amp;"."&amp;G.30.levels.EnergyEfficiency[[#This Row],[Technology code]],Regional.Technologies[Code],0))</f>
        <v>Global Electricity use in the Chemicals: High Value Chemicals  technology</v>
      </c>
      <c r="E785" s="121">
        <v>1</v>
      </c>
      <c r="F785" s="121" t="s">
        <v>1917</v>
      </c>
      <c r="G785" s="242"/>
      <c r="H785" s="242"/>
      <c r="I785" s="370">
        <v>0</v>
      </c>
      <c r="J785" s="370">
        <f t="shared" si="39"/>
        <v>0</v>
      </c>
      <c r="K785" s="370">
        <f t="shared" si="39"/>
        <v>0</v>
      </c>
      <c r="L785" s="370">
        <f t="shared" si="39"/>
        <v>0</v>
      </c>
      <c r="M785" s="370">
        <f t="shared" si="39"/>
        <v>0</v>
      </c>
      <c r="N785" s="370">
        <f t="shared" si="39"/>
        <v>0</v>
      </c>
      <c r="O785" s="370">
        <f t="shared" si="39"/>
        <v>0</v>
      </c>
      <c r="P785" s="370">
        <f t="shared" si="39"/>
        <v>0</v>
      </c>
      <c r="Q785" s="370">
        <v>0</v>
      </c>
      <c r="R785" s="242"/>
      <c r="T785" s="20"/>
      <c r="U785" s="20"/>
      <c r="V785" s="20"/>
      <c r="W785" s="20"/>
      <c r="X785" s="20"/>
    </row>
    <row r="786" spans="1:24" s="65" customFormat="1" ht="15" customHeight="1" outlineLevel="2">
      <c r="A786" s="219"/>
      <c r="B786" s="242"/>
      <c r="C786" s="242" t="s">
        <v>1821</v>
      </c>
      <c r="D786" s="121" t="str">
        <f>INDEX(Regional.Technologies[Description],MATCH($B$2&amp;"."&amp;G.30.levels.EnergyEfficiency[[#This Row],[Technology code]],Regional.Technologies[Code],0))</f>
        <v>Global Electricity use in the Chemicals: High Value Chemicals  technology</v>
      </c>
      <c r="E786" s="121">
        <v>2</v>
      </c>
      <c r="F786" s="121" t="s">
        <v>1917</v>
      </c>
      <c r="G786" s="242"/>
      <c r="H786" s="242"/>
      <c r="I786" s="370">
        <v>0</v>
      </c>
      <c r="J786" s="370">
        <f t="shared" si="39"/>
        <v>2.0512820512820513E-2</v>
      </c>
      <c r="K786" s="370">
        <f t="shared" si="39"/>
        <v>4.6153846153846156E-2</v>
      </c>
      <c r="L786" s="370">
        <f t="shared" si="39"/>
        <v>7.179487179487179E-2</v>
      </c>
      <c r="M786" s="370">
        <f t="shared" si="39"/>
        <v>9.7435897435897437E-2</v>
      </c>
      <c r="N786" s="370">
        <f t="shared" si="39"/>
        <v>0.12307692307692308</v>
      </c>
      <c r="O786" s="370">
        <f t="shared" si="39"/>
        <v>0.14871794871794872</v>
      </c>
      <c r="P786" s="370">
        <f t="shared" si="39"/>
        <v>0.17435897435897435</v>
      </c>
      <c r="Q786" s="370">
        <v>0.2</v>
      </c>
      <c r="R786" s="242"/>
      <c r="T786" s="20"/>
      <c r="U786" s="20"/>
      <c r="V786" s="20"/>
      <c r="W786" s="20"/>
      <c r="X786" s="20"/>
    </row>
    <row r="787" spans="1:24" s="65" customFormat="1" ht="15" customHeight="1" outlineLevel="2">
      <c r="A787" s="219"/>
      <c r="B787" s="242"/>
      <c r="C787" s="242" t="s">
        <v>1821</v>
      </c>
      <c r="D787" s="121" t="str">
        <f>INDEX(Regional.Technologies[Description],MATCH($B$2&amp;"."&amp;G.30.levels.EnergyEfficiency[[#This Row],[Technology code]],Regional.Technologies[Code],0))</f>
        <v>Global Electricity use in the Chemicals: High Value Chemicals  technology</v>
      </c>
      <c r="E787" s="121">
        <v>3</v>
      </c>
      <c r="F787" s="121" t="s">
        <v>1917</v>
      </c>
      <c r="G787" s="242"/>
      <c r="H787" s="242"/>
      <c r="I787" s="370">
        <v>0</v>
      </c>
      <c r="J787" s="370">
        <f t="shared" si="39"/>
        <v>3.0769230769230767E-2</v>
      </c>
      <c r="K787" s="370">
        <f t="shared" si="39"/>
        <v>6.9230769230769221E-2</v>
      </c>
      <c r="L787" s="370">
        <f t="shared" si="39"/>
        <v>0.10769230769230768</v>
      </c>
      <c r="M787" s="370">
        <f t="shared" si="39"/>
        <v>0.14615384615384613</v>
      </c>
      <c r="N787" s="370">
        <f t="shared" si="39"/>
        <v>0.1846153846153846</v>
      </c>
      <c r="O787" s="370">
        <f t="shared" si="39"/>
        <v>0.22307692307692306</v>
      </c>
      <c r="P787" s="370">
        <f t="shared" si="39"/>
        <v>0.2615384615384615</v>
      </c>
      <c r="Q787" s="370">
        <v>0.3</v>
      </c>
      <c r="R787" s="242"/>
      <c r="T787" s="20"/>
      <c r="U787" s="20"/>
      <c r="V787" s="20"/>
      <c r="W787" s="20"/>
      <c r="X787" s="20"/>
    </row>
    <row r="788" spans="1:24" s="65" customFormat="1" ht="15" customHeight="1" outlineLevel="2">
      <c r="A788" s="219"/>
      <c r="B788" s="242"/>
      <c r="C788" s="242" t="s">
        <v>1821</v>
      </c>
      <c r="D788" s="121" t="str">
        <f>INDEX(Regional.Technologies[Description],MATCH($B$2&amp;"."&amp;G.30.levels.EnergyEfficiency[[#This Row],[Technology code]],Regional.Technologies[Code],0))</f>
        <v>Global Electricity use in the Chemicals: High Value Chemicals  technology</v>
      </c>
      <c r="E788" s="121">
        <v>4</v>
      </c>
      <c r="F788" s="121" t="s">
        <v>1917</v>
      </c>
      <c r="G788" s="242"/>
      <c r="H788" s="242"/>
      <c r="I788" s="370">
        <v>0</v>
      </c>
      <c r="J788" s="370">
        <f t="shared" si="39"/>
        <v>4.1025641025641026E-2</v>
      </c>
      <c r="K788" s="370">
        <f t="shared" si="39"/>
        <v>9.2307692307692313E-2</v>
      </c>
      <c r="L788" s="370">
        <f t="shared" si="39"/>
        <v>0.14358974358974358</v>
      </c>
      <c r="M788" s="370">
        <f t="shared" si="39"/>
        <v>0.19487179487179487</v>
      </c>
      <c r="N788" s="370">
        <f t="shared" si="39"/>
        <v>0.24615384615384617</v>
      </c>
      <c r="O788" s="370">
        <f t="shared" si="39"/>
        <v>0.29743589743589743</v>
      </c>
      <c r="P788" s="370">
        <f t="shared" si="39"/>
        <v>0.3487179487179487</v>
      </c>
      <c r="Q788" s="370">
        <v>0.4</v>
      </c>
      <c r="R788" s="242"/>
      <c r="T788" s="20"/>
      <c r="U788" s="20"/>
      <c r="V788" s="20"/>
      <c r="W788" s="20"/>
      <c r="X788" s="20"/>
    </row>
    <row r="789" spans="1:24" s="65" customFormat="1" ht="15" customHeight="1" outlineLevel="2">
      <c r="A789" s="219"/>
      <c r="B789" s="242"/>
      <c r="C789" s="242" t="s">
        <v>1822</v>
      </c>
      <c r="D789" s="121" t="str">
        <f>INDEX(Regional.Technologies[Description],MATCH($B$2&amp;"."&amp;G.30.levels.EnergyEfficiency[[#This Row],[Technology code]],Regional.Technologies[Code],0))</f>
        <v>Global Coal use in the Chemicals: High Value Chemicals  technology</v>
      </c>
      <c r="E789" s="121">
        <v>1</v>
      </c>
      <c r="F789" s="121" t="s">
        <v>1917</v>
      </c>
      <c r="G789" s="242"/>
      <c r="H789" s="242"/>
      <c r="I789" s="370">
        <v>0</v>
      </c>
      <c r="J789" s="370">
        <f t="shared" si="39"/>
        <v>0</v>
      </c>
      <c r="K789" s="370">
        <f t="shared" si="39"/>
        <v>0</v>
      </c>
      <c r="L789" s="370">
        <f t="shared" si="39"/>
        <v>0</v>
      </c>
      <c r="M789" s="370">
        <f t="shared" si="39"/>
        <v>0</v>
      </c>
      <c r="N789" s="370">
        <f t="shared" si="39"/>
        <v>0</v>
      </c>
      <c r="O789" s="370">
        <f t="shared" si="39"/>
        <v>0</v>
      </c>
      <c r="P789" s="370">
        <f t="shared" si="39"/>
        <v>0</v>
      </c>
      <c r="Q789" s="370">
        <v>0</v>
      </c>
      <c r="R789" s="242"/>
      <c r="T789" s="20"/>
      <c r="U789" s="20"/>
      <c r="V789" s="20"/>
      <c r="W789" s="20"/>
      <c r="X789" s="20"/>
    </row>
    <row r="790" spans="1:24" s="65" customFormat="1" ht="15" customHeight="1" outlineLevel="2">
      <c r="A790" s="219"/>
      <c r="B790" s="242"/>
      <c r="C790" s="242" t="s">
        <v>1822</v>
      </c>
      <c r="D790" s="121" t="str">
        <f>INDEX(Regional.Technologies[Description],MATCH($B$2&amp;"."&amp;G.30.levels.EnergyEfficiency[[#This Row],[Technology code]],Regional.Technologies[Code],0))</f>
        <v>Global Coal use in the Chemicals: High Value Chemicals  technology</v>
      </c>
      <c r="E790" s="121">
        <v>2</v>
      </c>
      <c r="F790" s="121" t="s">
        <v>1917</v>
      </c>
      <c r="G790" s="242"/>
      <c r="H790" s="242"/>
      <c r="I790" s="370">
        <v>0</v>
      </c>
      <c r="J790" s="370">
        <f t="shared" si="39"/>
        <v>2.0512820512820513E-2</v>
      </c>
      <c r="K790" s="370">
        <f t="shared" si="39"/>
        <v>4.6153846153846156E-2</v>
      </c>
      <c r="L790" s="370">
        <f t="shared" si="39"/>
        <v>7.179487179487179E-2</v>
      </c>
      <c r="M790" s="370">
        <f t="shared" si="39"/>
        <v>9.7435897435897437E-2</v>
      </c>
      <c r="N790" s="370">
        <f t="shared" si="39"/>
        <v>0.12307692307692308</v>
      </c>
      <c r="O790" s="370">
        <f t="shared" si="39"/>
        <v>0.14871794871794872</v>
      </c>
      <c r="P790" s="370">
        <f t="shared" si="39"/>
        <v>0.17435897435897435</v>
      </c>
      <c r="Q790" s="370">
        <v>0.2</v>
      </c>
      <c r="R790" s="242"/>
      <c r="T790" s="20"/>
      <c r="U790" s="20"/>
      <c r="V790" s="20"/>
      <c r="W790" s="20"/>
      <c r="X790" s="20"/>
    </row>
    <row r="791" spans="1:24" s="65" customFormat="1" ht="15" customHeight="1" outlineLevel="2">
      <c r="A791" s="219"/>
      <c r="B791" s="242"/>
      <c r="C791" s="242" t="s">
        <v>1822</v>
      </c>
      <c r="D791" s="121" t="str">
        <f>INDEX(Regional.Technologies[Description],MATCH($B$2&amp;"."&amp;G.30.levels.EnergyEfficiency[[#This Row],[Technology code]],Regional.Technologies[Code],0))</f>
        <v>Global Coal use in the Chemicals: High Value Chemicals  technology</v>
      </c>
      <c r="E791" s="121">
        <v>3</v>
      </c>
      <c r="F791" s="121" t="s">
        <v>1917</v>
      </c>
      <c r="G791" s="242"/>
      <c r="H791" s="242"/>
      <c r="I791" s="370">
        <v>0</v>
      </c>
      <c r="J791" s="370">
        <f t="shared" si="39"/>
        <v>3.0769230769230767E-2</v>
      </c>
      <c r="K791" s="370">
        <f t="shared" si="39"/>
        <v>6.9230769230769221E-2</v>
      </c>
      <c r="L791" s="370">
        <f t="shared" si="39"/>
        <v>0.10769230769230768</v>
      </c>
      <c r="M791" s="370">
        <f t="shared" si="39"/>
        <v>0.14615384615384613</v>
      </c>
      <c r="N791" s="370">
        <f t="shared" si="39"/>
        <v>0.1846153846153846</v>
      </c>
      <c r="O791" s="370">
        <f t="shared" si="39"/>
        <v>0.22307692307692306</v>
      </c>
      <c r="P791" s="370">
        <f t="shared" si="39"/>
        <v>0.2615384615384615</v>
      </c>
      <c r="Q791" s="370">
        <v>0.3</v>
      </c>
      <c r="R791" s="242"/>
      <c r="T791" s="20"/>
      <c r="U791" s="20"/>
      <c r="V791" s="20"/>
      <c r="W791" s="20"/>
      <c r="X791" s="20"/>
    </row>
    <row r="792" spans="1:24" s="65" customFormat="1" ht="15" customHeight="1" outlineLevel="2">
      <c r="A792" s="219"/>
      <c r="B792" s="242"/>
      <c r="C792" s="242" t="s">
        <v>1822</v>
      </c>
      <c r="D792" s="121" t="str">
        <f>INDEX(Regional.Technologies[Description],MATCH($B$2&amp;"."&amp;G.30.levels.EnergyEfficiency[[#This Row],[Technology code]],Regional.Technologies[Code],0))</f>
        <v>Global Coal use in the Chemicals: High Value Chemicals  technology</v>
      </c>
      <c r="E792" s="121">
        <v>4</v>
      </c>
      <c r="F792" s="121" t="s">
        <v>1917</v>
      </c>
      <c r="G792" s="242"/>
      <c r="H792" s="242"/>
      <c r="I792" s="370">
        <v>0</v>
      </c>
      <c r="J792" s="370">
        <f t="shared" si="39"/>
        <v>4.1025641025641026E-2</v>
      </c>
      <c r="K792" s="370">
        <f t="shared" si="39"/>
        <v>9.2307692307692313E-2</v>
      </c>
      <c r="L792" s="370">
        <f t="shared" si="39"/>
        <v>0.14358974358974358</v>
      </c>
      <c r="M792" s="370">
        <f t="shared" si="39"/>
        <v>0.19487179487179487</v>
      </c>
      <c r="N792" s="370">
        <f t="shared" si="39"/>
        <v>0.24615384615384617</v>
      </c>
      <c r="O792" s="370">
        <f t="shared" si="39"/>
        <v>0.29743589743589743</v>
      </c>
      <c r="P792" s="370">
        <f t="shared" si="39"/>
        <v>0.3487179487179487</v>
      </c>
      <c r="Q792" s="370">
        <v>0.4</v>
      </c>
      <c r="R792" s="242"/>
      <c r="T792" s="20"/>
      <c r="U792" s="20"/>
      <c r="V792" s="20"/>
      <c r="W792" s="20"/>
      <c r="X792" s="20"/>
    </row>
    <row r="793" spans="1:24" s="65" customFormat="1" ht="15" customHeight="1" outlineLevel="2">
      <c r="A793" s="219"/>
      <c r="B793" s="242"/>
      <c r="C793" s="242" t="s">
        <v>1823</v>
      </c>
      <c r="D793" s="121" t="str">
        <f>INDEX(Regional.Technologies[Description],MATCH($B$2&amp;"."&amp;G.30.levels.EnergyEfficiency[[#This Row],[Technology code]],Regional.Technologies[Code],0))</f>
        <v>Global Oil use in the Chemicals: High Value Chemicals  technology</v>
      </c>
      <c r="E793" s="121">
        <v>1</v>
      </c>
      <c r="F793" s="121" t="s">
        <v>1917</v>
      </c>
      <c r="G793" s="242"/>
      <c r="H793" s="242"/>
      <c r="I793" s="370">
        <v>0</v>
      </c>
      <c r="J793" s="370">
        <f t="shared" si="39"/>
        <v>0</v>
      </c>
      <c r="K793" s="370">
        <f t="shared" si="39"/>
        <v>0</v>
      </c>
      <c r="L793" s="370">
        <f t="shared" si="39"/>
        <v>0</v>
      </c>
      <c r="M793" s="370">
        <f t="shared" si="39"/>
        <v>0</v>
      </c>
      <c r="N793" s="370">
        <f t="shared" si="39"/>
        <v>0</v>
      </c>
      <c r="O793" s="370">
        <f t="shared" si="39"/>
        <v>0</v>
      </c>
      <c r="P793" s="370">
        <f t="shared" si="39"/>
        <v>0</v>
      </c>
      <c r="Q793" s="370">
        <v>0</v>
      </c>
      <c r="R793" s="242"/>
      <c r="T793" s="20"/>
      <c r="U793" s="20"/>
      <c r="V793" s="20"/>
      <c r="W793" s="20"/>
      <c r="X793" s="20"/>
    </row>
    <row r="794" spans="1:24" s="65" customFormat="1" ht="15" customHeight="1" outlineLevel="2">
      <c r="A794" s="219"/>
      <c r="B794" s="242"/>
      <c r="C794" s="242" t="s">
        <v>1823</v>
      </c>
      <c r="D794" s="121" t="str">
        <f>INDEX(Regional.Technologies[Description],MATCH($B$2&amp;"."&amp;G.30.levels.EnergyEfficiency[[#This Row],[Technology code]],Regional.Technologies[Code],0))</f>
        <v>Global Oil use in the Chemicals: High Value Chemicals  technology</v>
      </c>
      <c r="E794" s="121">
        <v>2</v>
      </c>
      <c r="F794" s="121" t="s">
        <v>1917</v>
      </c>
      <c r="G794" s="242"/>
      <c r="H794" s="242"/>
      <c r="I794" s="370">
        <v>0</v>
      </c>
      <c r="J794" s="370">
        <f t="shared" si="39"/>
        <v>2.0512820512820513E-2</v>
      </c>
      <c r="K794" s="370">
        <f t="shared" si="39"/>
        <v>4.6153846153846156E-2</v>
      </c>
      <c r="L794" s="370">
        <f t="shared" si="39"/>
        <v>7.179487179487179E-2</v>
      </c>
      <c r="M794" s="370">
        <f t="shared" si="39"/>
        <v>9.7435897435897437E-2</v>
      </c>
      <c r="N794" s="370">
        <f t="shared" si="39"/>
        <v>0.12307692307692308</v>
      </c>
      <c r="O794" s="370">
        <f t="shared" si="39"/>
        <v>0.14871794871794872</v>
      </c>
      <c r="P794" s="370">
        <f t="shared" si="39"/>
        <v>0.17435897435897435</v>
      </c>
      <c r="Q794" s="370">
        <v>0.2</v>
      </c>
      <c r="R794" s="242"/>
      <c r="T794" s="20"/>
      <c r="U794" s="20"/>
      <c r="V794" s="20"/>
      <c r="W794" s="20"/>
      <c r="X794" s="20"/>
    </row>
    <row r="795" spans="1:24" s="65" customFormat="1" ht="15" customHeight="1" outlineLevel="2">
      <c r="A795" s="219"/>
      <c r="B795" s="242"/>
      <c r="C795" s="242" t="s">
        <v>1823</v>
      </c>
      <c r="D795" s="121" t="str">
        <f>INDEX(Regional.Technologies[Description],MATCH($B$2&amp;"."&amp;G.30.levels.EnergyEfficiency[[#This Row],[Technology code]],Regional.Technologies[Code],0))</f>
        <v>Global Oil use in the Chemicals: High Value Chemicals  technology</v>
      </c>
      <c r="E795" s="121">
        <v>3</v>
      </c>
      <c r="F795" s="121" t="s">
        <v>1917</v>
      </c>
      <c r="G795" s="242"/>
      <c r="H795" s="242"/>
      <c r="I795" s="370">
        <v>0</v>
      </c>
      <c r="J795" s="370">
        <f t="shared" si="39"/>
        <v>3.0769230769230767E-2</v>
      </c>
      <c r="K795" s="370">
        <f t="shared" si="39"/>
        <v>6.9230769230769221E-2</v>
      </c>
      <c r="L795" s="370">
        <f t="shared" si="39"/>
        <v>0.10769230769230768</v>
      </c>
      <c r="M795" s="370">
        <f t="shared" si="39"/>
        <v>0.14615384615384613</v>
      </c>
      <c r="N795" s="370">
        <f t="shared" si="39"/>
        <v>0.1846153846153846</v>
      </c>
      <c r="O795" s="370">
        <f t="shared" si="39"/>
        <v>0.22307692307692306</v>
      </c>
      <c r="P795" s="370">
        <f t="shared" si="39"/>
        <v>0.2615384615384615</v>
      </c>
      <c r="Q795" s="370">
        <v>0.3</v>
      </c>
      <c r="R795" s="242"/>
      <c r="T795" s="20"/>
      <c r="U795" s="20"/>
      <c r="V795" s="20"/>
      <c r="W795" s="20"/>
      <c r="X795" s="20"/>
    </row>
    <row r="796" spans="1:24" s="65" customFormat="1" ht="15" customHeight="1" outlineLevel="2">
      <c r="A796" s="219"/>
      <c r="B796" s="242"/>
      <c r="C796" s="242" t="s">
        <v>1823</v>
      </c>
      <c r="D796" s="121" t="str">
        <f>INDEX(Regional.Technologies[Description],MATCH($B$2&amp;"."&amp;G.30.levels.EnergyEfficiency[[#This Row],[Technology code]],Regional.Technologies[Code],0))</f>
        <v>Global Oil use in the Chemicals: High Value Chemicals  technology</v>
      </c>
      <c r="E796" s="121">
        <v>4</v>
      </c>
      <c r="F796" s="121" t="s">
        <v>1917</v>
      </c>
      <c r="G796" s="242"/>
      <c r="H796" s="242"/>
      <c r="I796" s="370">
        <v>0</v>
      </c>
      <c r="J796" s="370">
        <f t="shared" si="39"/>
        <v>4.1025641025641026E-2</v>
      </c>
      <c r="K796" s="370">
        <f t="shared" si="39"/>
        <v>9.2307692307692313E-2</v>
      </c>
      <c r="L796" s="370">
        <f t="shared" si="39"/>
        <v>0.14358974358974358</v>
      </c>
      <c r="M796" s="370">
        <f t="shared" si="39"/>
        <v>0.19487179487179487</v>
      </c>
      <c r="N796" s="370">
        <f t="shared" si="39"/>
        <v>0.24615384615384617</v>
      </c>
      <c r="O796" s="370">
        <f t="shared" si="39"/>
        <v>0.29743589743589743</v>
      </c>
      <c r="P796" s="370">
        <f t="shared" si="39"/>
        <v>0.3487179487179487</v>
      </c>
      <c r="Q796" s="370">
        <v>0.4</v>
      </c>
      <c r="R796" s="242"/>
      <c r="T796" s="20"/>
      <c r="U796" s="20"/>
      <c r="V796" s="20"/>
      <c r="W796" s="20"/>
      <c r="X796" s="20"/>
    </row>
    <row r="797" spans="1:24" s="65" customFormat="1" ht="15" customHeight="1" outlineLevel="2">
      <c r="A797" s="219"/>
      <c r="B797" s="242"/>
      <c r="C797" s="242" t="s">
        <v>1824</v>
      </c>
      <c r="D797" s="121" t="str">
        <f>INDEX(Regional.Technologies[Description],MATCH($B$2&amp;"."&amp;G.30.levels.EnergyEfficiency[[#This Row],[Technology code]],Regional.Technologies[Code],0))</f>
        <v>Global Natural Gas use in the Chemicals: High Value Chemicals  technology</v>
      </c>
      <c r="E797" s="121">
        <v>1</v>
      </c>
      <c r="F797" s="121" t="s">
        <v>1917</v>
      </c>
      <c r="G797" s="242"/>
      <c r="H797" s="242"/>
      <c r="I797" s="370">
        <v>0</v>
      </c>
      <c r="J797" s="370">
        <f t="shared" si="39"/>
        <v>0</v>
      </c>
      <c r="K797" s="370">
        <f t="shared" si="39"/>
        <v>0</v>
      </c>
      <c r="L797" s="370">
        <f t="shared" si="39"/>
        <v>0</v>
      </c>
      <c r="M797" s="370">
        <f t="shared" si="39"/>
        <v>0</v>
      </c>
      <c r="N797" s="370">
        <f t="shared" si="39"/>
        <v>0</v>
      </c>
      <c r="O797" s="370">
        <f t="shared" si="39"/>
        <v>0</v>
      </c>
      <c r="P797" s="370">
        <f t="shared" si="39"/>
        <v>0</v>
      </c>
      <c r="Q797" s="370">
        <v>0</v>
      </c>
      <c r="R797" s="242"/>
      <c r="T797" s="20"/>
      <c r="U797" s="20"/>
      <c r="V797" s="20"/>
      <c r="W797" s="20"/>
      <c r="X797" s="20"/>
    </row>
    <row r="798" spans="1:24" s="65" customFormat="1" ht="15" customHeight="1" outlineLevel="2">
      <c r="A798" s="219"/>
      <c r="B798" s="242"/>
      <c r="C798" s="242" t="s">
        <v>1824</v>
      </c>
      <c r="D798" s="121" t="str">
        <f>INDEX(Regional.Technologies[Description],MATCH($B$2&amp;"."&amp;G.30.levels.EnergyEfficiency[[#This Row],[Technology code]],Regional.Technologies[Code],0))</f>
        <v>Global Natural Gas use in the Chemicals: High Value Chemicals  technology</v>
      </c>
      <c r="E798" s="121">
        <v>2</v>
      </c>
      <c r="F798" s="121" t="s">
        <v>1917</v>
      </c>
      <c r="G798" s="242"/>
      <c r="H798" s="242"/>
      <c r="I798" s="370">
        <v>0</v>
      </c>
      <c r="J798" s="370">
        <f t="shared" si="39"/>
        <v>2.0512820512820513E-2</v>
      </c>
      <c r="K798" s="370">
        <f t="shared" si="39"/>
        <v>4.6153846153846156E-2</v>
      </c>
      <c r="L798" s="370">
        <f t="shared" si="39"/>
        <v>7.179487179487179E-2</v>
      </c>
      <c r="M798" s="370">
        <f t="shared" si="39"/>
        <v>9.7435897435897437E-2</v>
      </c>
      <c r="N798" s="370">
        <f t="shared" si="39"/>
        <v>0.12307692307692308</v>
      </c>
      <c r="O798" s="370">
        <f t="shared" si="39"/>
        <v>0.14871794871794872</v>
      </c>
      <c r="P798" s="370">
        <f t="shared" si="39"/>
        <v>0.17435897435897435</v>
      </c>
      <c r="Q798" s="370">
        <v>0.2</v>
      </c>
      <c r="R798" s="242"/>
      <c r="T798" s="20"/>
      <c r="U798" s="20"/>
      <c r="V798" s="20"/>
      <c r="W798" s="20"/>
      <c r="X798" s="20"/>
    </row>
    <row r="799" spans="1:24" s="65" customFormat="1" ht="15" customHeight="1" outlineLevel="2">
      <c r="A799" s="219"/>
      <c r="B799" s="242"/>
      <c r="C799" s="242" t="s">
        <v>1824</v>
      </c>
      <c r="D799" s="121" t="str">
        <f>INDEX(Regional.Technologies[Description],MATCH($B$2&amp;"."&amp;G.30.levels.EnergyEfficiency[[#This Row],[Technology code]],Regional.Technologies[Code],0))</f>
        <v>Global Natural Gas use in the Chemicals: High Value Chemicals  technology</v>
      </c>
      <c r="E799" s="121">
        <v>3</v>
      </c>
      <c r="F799" s="121" t="s">
        <v>1917</v>
      </c>
      <c r="G799" s="242"/>
      <c r="H799" s="242"/>
      <c r="I799" s="370">
        <v>0</v>
      </c>
      <c r="J799" s="370">
        <f t="shared" si="39"/>
        <v>3.0769230769230767E-2</v>
      </c>
      <c r="K799" s="370">
        <f t="shared" si="39"/>
        <v>6.9230769230769221E-2</v>
      </c>
      <c r="L799" s="370">
        <f t="shared" si="39"/>
        <v>0.10769230769230768</v>
      </c>
      <c r="M799" s="370">
        <f t="shared" si="39"/>
        <v>0.14615384615384613</v>
      </c>
      <c r="N799" s="370">
        <f t="shared" si="39"/>
        <v>0.1846153846153846</v>
      </c>
      <c r="O799" s="370">
        <f t="shared" si="39"/>
        <v>0.22307692307692306</v>
      </c>
      <c r="P799" s="370">
        <f t="shared" si="39"/>
        <v>0.2615384615384615</v>
      </c>
      <c r="Q799" s="370">
        <v>0.3</v>
      </c>
      <c r="R799" s="242"/>
      <c r="T799" s="20"/>
      <c r="U799" s="20"/>
      <c r="V799" s="20"/>
      <c r="W799" s="20"/>
      <c r="X799" s="20"/>
    </row>
    <row r="800" spans="1:24" s="65" customFormat="1" ht="15" customHeight="1" outlineLevel="2">
      <c r="A800" s="219"/>
      <c r="B800" s="242"/>
      <c r="C800" s="242" t="s">
        <v>1824</v>
      </c>
      <c r="D800" s="121" t="str">
        <f>INDEX(Regional.Technologies[Description],MATCH($B$2&amp;"."&amp;G.30.levels.EnergyEfficiency[[#This Row],[Technology code]],Regional.Technologies[Code],0))</f>
        <v>Global Natural Gas use in the Chemicals: High Value Chemicals  technology</v>
      </c>
      <c r="E800" s="121">
        <v>4</v>
      </c>
      <c r="F800" s="121" t="s">
        <v>1917</v>
      </c>
      <c r="G800" s="242"/>
      <c r="H800" s="242"/>
      <c r="I800" s="370">
        <v>0</v>
      </c>
      <c r="J800" s="370">
        <f t="shared" si="39"/>
        <v>4.1025641025641026E-2</v>
      </c>
      <c r="K800" s="370">
        <f t="shared" si="39"/>
        <v>9.2307692307692313E-2</v>
      </c>
      <c r="L800" s="370">
        <f t="shared" si="39"/>
        <v>0.14358974358974358</v>
      </c>
      <c r="M800" s="370">
        <f t="shared" si="39"/>
        <v>0.19487179487179487</v>
      </c>
      <c r="N800" s="370">
        <f t="shared" si="39"/>
        <v>0.24615384615384617</v>
      </c>
      <c r="O800" s="370">
        <f t="shared" si="39"/>
        <v>0.29743589743589743</v>
      </c>
      <c r="P800" s="370">
        <f t="shared" si="39"/>
        <v>0.3487179487179487</v>
      </c>
      <c r="Q800" s="370">
        <v>0.4</v>
      </c>
      <c r="R800" s="242"/>
      <c r="T800" s="20"/>
      <c r="U800" s="20"/>
      <c r="V800" s="20"/>
      <c r="W800" s="20"/>
      <c r="X800" s="20"/>
    </row>
    <row r="801" spans="1:24" s="65" customFormat="1" ht="15" customHeight="1" outlineLevel="2">
      <c r="A801" s="219"/>
      <c r="B801" s="242"/>
      <c r="C801" s="242" t="s">
        <v>1825</v>
      </c>
      <c r="D801" s="121" t="str">
        <f>INDEX(Regional.Technologies[Description],MATCH($B$2&amp;"."&amp;G.30.levels.EnergyEfficiency[[#This Row],[Technology code]],Regional.Technologies[Code],0))</f>
        <v>Global Solid Hydrocarbons use in the Chemicals: High Value Chemicals  technology</v>
      </c>
      <c r="E801" s="121">
        <v>1</v>
      </c>
      <c r="F801" s="121" t="s">
        <v>1917</v>
      </c>
      <c r="G801" s="242"/>
      <c r="H801" s="242"/>
      <c r="I801" s="370">
        <v>0</v>
      </c>
      <c r="J801" s="370">
        <f t="shared" si="39"/>
        <v>0</v>
      </c>
      <c r="K801" s="370">
        <f t="shared" si="39"/>
        <v>0</v>
      </c>
      <c r="L801" s="370">
        <f t="shared" si="39"/>
        <v>0</v>
      </c>
      <c r="M801" s="370">
        <f t="shared" si="39"/>
        <v>0</v>
      </c>
      <c r="N801" s="370">
        <f t="shared" si="39"/>
        <v>0</v>
      </c>
      <c r="O801" s="370">
        <f t="shared" si="39"/>
        <v>0</v>
      </c>
      <c r="P801" s="370">
        <f t="shared" si="39"/>
        <v>0</v>
      </c>
      <c r="Q801" s="370">
        <v>0</v>
      </c>
      <c r="R801" s="242"/>
      <c r="T801" s="20"/>
      <c r="U801" s="20"/>
      <c r="V801" s="20"/>
      <c r="W801" s="20"/>
      <c r="X801" s="20"/>
    </row>
    <row r="802" spans="1:24" s="65" customFormat="1" ht="15" customHeight="1" outlineLevel="2">
      <c r="A802" s="219"/>
      <c r="B802" s="242"/>
      <c r="C802" s="242" t="s">
        <v>1825</v>
      </c>
      <c r="D802" s="121" t="str">
        <f>INDEX(Regional.Technologies[Description],MATCH($B$2&amp;"."&amp;G.30.levels.EnergyEfficiency[[#This Row],[Technology code]],Regional.Technologies[Code],0))</f>
        <v>Global Solid Hydrocarbons use in the Chemicals: High Value Chemicals  technology</v>
      </c>
      <c r="E802" s="121">
        <v>2</v>
      </c>
      <c r="F802" s="121" t="s">
        <v>1917</v>
      </c>
      <c r="G802" s="242"/>
      <c r="H802" s="242"/>
      <c r="I802" s="370">
        <v>0</v>
      </c>
      <c r="J802" s="370">
        <f t="shared" si="39"/>
        <v>2.0512820512820513E-2</v>
      </c>
      <c r="K802" s="370">
        <f t="shared" si="39"/>
        <v>4.6153846153846156E-2</v>
      </c>
      <c r="L802" s="370">
        <f t="shared" si="39"/>
        <v>7.179487179487179E-2</v>
      </c>
      <c r="M802" s="370">
        <f t="shared" si="39"/>
        <v>9.7435897435897437E-2</v>
      </c>
      <c r="N802" s="370">
        <f t="shared" si="39"/>
        <v>0.12307692307692308</v>
      </c>
      <c r="O802" s="370">
        <f t="shared" si="39"/>
        <v>0.14871794871794872</v>
      </c>
      <c r="P802" s="370">
        <f t="shared" si="39"/>
        <v>0.17435897435897435</v>
      </c>
      <c r="Q802" s="370">
        <v>0.2</v>
      </c>
      <c r="R802" s="242"/>
      <c r="T802" s="20"/>
      <c r="U802" s="20"/>
      <c r="V802" s="20"/>
      <c r="W802" s="20"/>
      <c r="X802" s="20"/>
    </row>
    <row r="803" spans="1:24" s="65" customFormat="1" ht="15" customHeight="1" outlineLevel="2">
      <c r="A803" s="219"/>
      <c r="B803" s="242"/>
      <c r="C803" s="242" t="s">
        <v>1825</v>
      </c>
      <c r="D803" s="121" t="str">
        <f>INDEX(Regional.Technologies[Description],MATCH($B$2&amp;"."&amp;G.30.levels.EnergyEfficiency[[#This Row],[Technology code]],Regional.Technologies[Code],0))</f>
        <v>Global Solid Hydrocarbons use in the Chemicals: High Value Chemicals  technology</v>
      </c>
      <c r="E803" s="121">
        <v>3</v>
      </c>
      <c r="F803" s="121" t="s">
        <v>1917</v>
      </c>
      <c r="G803" s="242"/>
      <c r="H803" s="242"/>
      <c r="I803" s="370">
        <v>0</v>
      </c>
      <c r="J803" s="370">
        <f t="shared" si="39"/>
        <v>3.0769230769230767E-2</v>
      </c>
      <c r="K803" s="370">
        <f t="shared" si="39"/>
        <v>6.9230769230769221E-2</v>
      </c>
      <c r="L803" s="370">
        <f t="shared" si="39"/>
        <v>0.10769230769230768</v>
      </c>
      <c r="M803" s="370">
        <f t="shared" si="39"/>
        <v>0.14615384615384613</v>
      </c>
      <c r="N803" s="370">
        <f t="shared" si="39"/>
        <v>0.1846153846153846</v>
      </c>
      <c r="O803" s="370">
        <f t="shared" si="39"/>
        <v>0.22307692307692306</v>
      </c>
      <c r="P803" s="370">
        <f t="shared" si="39"/>
        <v>0.2615384615384615</v>
      </c>
      <c r="Q803" s="370">
        <v>0.3</v>
      </c>
      <c r="R803" s="242"/>
      <c r="T803" s="20"/>
      <c r="U803" s="20"/>
      <c r="V803" s="20"/>
      <c r="W803" s="20"/>
      <c r="X803" s="20"/>
    </row>
    <row r="804" spans="1:24" s="65" customFormat="1" ht="15" customHeight="1" outlineLevel="2">
      <c r="A804" s="219"/>
      <c r="B804" s="242"/>
      <c r="C804" s="242" t="s">
        <v>1825</v>
      </c>
      <c r="D804" s="121" t="str">
        <f>INDEX(Regional.Technologies[Description],MATCH($B$2&amp;"."&amp;G.30.levels.EnergyEfficiency[[#This Row],[Technology code]],Regional.Technologies[Code],0))</f>
        <v>Global Solid Hydrocarbons use in the Chemicals: High Value Chemicals  technology</v>
      </c>
      <c r="E804" s="121">
        <v>4</v>
      </c>
      <c r="F804" s="121" t="s">
        <v>1917</v>
      </c>
      <c r="G804" s="242"/>
      <c r="H804" s="242"/>
      <c r="I804" s="370">
        <v>0</v>
      </c>
      <c r="J804" s="370">
        <f t="shared" si="39"/>
        <v>4.1025641025641026E-2</v>
      </c>
      <c r="K804" s="370">
        <f t="shared" si="39"/>
        <v>9.2307692307692313E-2</v>
      </c>
      <c r="L804" s="370">
        <f t="shared" si="39"/>
        <v>0.14358974358974358</v>
      </c>
      <c r="M804" s="370">
        <f t="shared" si="39"/>
        <v>0.19487179487179487</v>
      </c>
      <c r="N804" s="370">
        <f t="shared" si="39"/>
        <v>0.24615384615384617</v>
      </c>
      <c r="O804" s="370">
        <f t="shared" si="39"/>
        <v>0.29743589743589743</v>
      </c>
      <c r="P804" s="370">
        <f t="shared" si="39"/>
        <v>0.3487179487179487</v>
      </c>
      <c r="Q804" s="370">
        <v>0.4</v>
      </c>
      <c r="R804" s="242"/>
      <c r="T804" s="20"/>
      <c r="U804" s="20"/>
      <c r="V804" s="20"/>
      <c r="W804" s="20"/>
      <c r="X804" s="20"/>
    </row>
    <row r="805" spans="1:24" s="65" customFormat="1" ht="15" customHeight="1" outlineLevel="2">
      <c r="A805" s="219"/>
      <c r="B805" s="242"/>
      <c r="C805" s="242" t="s">
        <v>1826</v>
      </c>
      <c r="D805" s="121" t="str">
        <f>INDEX(Regional.Technologies[Description],MATCH($B$2&amp;"."&amp;G.30.levels.EnergyEfficiency[[#This Row],[Technology code]],Regional.Technologies[Code],0))</f>
        <v>Global Heat use in the Chemicals: High Value Chemicals  technology</v>
      </c>
      <c r="E805" s="121">
        <v>1</v>
      </c>
      <c r="F805" s="121" t="s">
        <v>1917</v>
      </c>
      <c r="G805" s="242"/>
      <c r="H805" s="242"/>
      <c r="I805" s="370">
        <v>0</v>
      </c>
      <c r="J805" s="370">
        <f t="shared" si="39"/>
        <v>0</v>
      </c>
      <c r="K805" s="370">
        <f t="shared" si="39"/>
        <v>0</v>
      </c>
      <c r="L805" s="370">
        <f t="shared" si="39"/>
        <v>0</v>
      </c>
      <c r="M805" s="370">
        <f t="shared" si="39"/>
        <v>0</v>
      </c>
      <c r="N805" s="370">
        <f t="shared" si="39"/>
        <v>0</v>
      </c>
      <c r="O805" s="370">
        <f t="shared" si="39"/>
        <v>0</v>
      </c>
      <c r="P805" s="370">
        <f t="shared" si="39"/>
        <v>0</v>
      </c>
      <c r="Q805" s="370">
        <v>0</v>
      </c>
      <c r="R805" s="242"/>
      <c r="T805" s="20"/>
      <c r="U805" s="20"/>
      <c r="V805" s="20"/>
      <c r="W805" s="20"/>
      <c r="X805" s="20"/>
    </row>
    <row r="806" spans="1:24" s="65" customFormat="1" ht="15" customHeight="1" outlineLevel="2">
      <c r="A806" s="219"/>
      <c r="B806" s="242"/>
      <c r="C806" s="242" t="s">
        <v>1826</v>
      </c>
      <c r="D806" s="121" t="str">
        <f>INDEX(Regional.Technologies[Description],MATCH($B$2&amp;"."&amp;G.30.levels.EnergyEfficiency[[#This Row],[Technology code]],Regional.Technologies[Code],0))</f>
        <v>Global Heat use in the Chemicals: High Value Chemicals  technology</v>
      </c>
      <c r="E806" s="121">
        <v>2</v>
      </c>
      <c r="F806" s="121" t="s">
        <v>1917</v>
      </c>
      <c r="G806" s="242"/>
      <c r="H806" s="242"/>
      <c r="I806" s="370">
        <v>0</v>
      </c>
      <c r="J806" s="370">
        <f t="shared" si="39"/>
        <v>2.0512820512820513E-2</v>
      </c>
      <c r="K806" s="370">
        <f t="shared" si="39"/>
        <v>4.6153846153846156E-2</v>
      </c>
      <c r="L806" s="370">
        <f t="shared" si="39"/>
        <v>7.179487179487179E-2</v>
      </c>
      <c r="M806" s="370">
        <f t="shared" si="39"/>
        <v>9.7435897435897437E-2</v>
      </c>
      <c r="N806" s="370">
        <f t="shared" si="39"/>
        <v>0.12307692307692308</v>
      </c>
      <c r="O806" s="370">
        <f t="shared" si="39"/>
        <v>0.14871794871794872</v>
      </c>
      <c r="P806" s="370">
        <f t="shared" si="39"/>
        <v>0.17435897435897435</v>
      </c>
      <c r="Q806" s="370">
        <v>0.2</v>
      </c>
      <c r="R806" s="242"/>
      <c r="T806" s="20"/>
      <c r="U806" s="20"/>
      <c r="V806" s="20"/>
      <c r="W806" s="20"/>
      <c r="X806" s="20"/>
    </row>
    <row r="807" spans="1:24" s="65" customFormat="1" ht="15" customHeight="1" outlineLevel="2">
      <c r="A807" s="219"/>
      <c r="B807" s="242"/>
      <c r="C807" s="242" t="s">
        <v>1826</v>
      </c>
      <c r="D807" s="121" t="str">
        <f>INDEX(Regional.Technologies[Description],MATCH($B$2&amp;"."&amp;G.30.levels.EnergyEfficiency[[#This Row],[Technology code]],Regional.Technologies[Code],0))</f>
        <v>Global Heat use in the Chemicals: High Value Chemicals  technology</v>
      </c>
      <c r="E807" s="121">
        <v>3</v>
      </c>
      <c r="F807" s="121" t="s">
        <v>1917</v>
      </c>
      <c r="G807" s="242"/>
      <c r="H807" s="242"/>
      <c r="I807" s="370">
        <v>0</v>
      </c>
      <c r="J807" s="370">
        <f t="shared" si="39"/>
        <v>3.0769230769230767E-2</v>
      </c>
      <c r="K807" s="370">
        <f t="shared" si="39"/>
        <v>6.9230769230769221E-2</v>
      </c>
      <c r="L807" s="370">
        <f t="shared" si="39"/>
        <v>0.10769230769230768</v>
      </c>
      <c r="M807" s="370">
        <f t="shared" si="39"/>
        <v>0.14615384615384613</v>
      </c>
      <c r="N807" s="370">
        <f t="shared" si="39"/>
        <v>0.1846153846153846</v>
      </c>
      <c r="O807" s="370">
        <f t="shared" si="39"/>
        <v>0.22307692307692306</v>
      </c>
      <c r="P807" s="370">
        <f t="shared" si="39"/>
        <v>0.2615384615384615</v>
      </c>
      <c r="Q807" s="370">
        <v>0.3</v>
      </c>
      <c r="R807" s="242"/>
      <c r="T807" s="20"/>
      <c r="U807" s="20"/>
      <c r="V807" s="20"/>
      <c r="W807" s="20"/>
      <c r="X807" s="20"/>
    </row>
    <row r="808" spans="1:24" s="65" customFormat="1" ht="15" customHeight="1" outlineLevel="2">
      <c r="A808" s="219"/>
      <c r="B808" s="242"/>
      <c r="C808" s="242" t="s">
        <v>1826</v>
      </c>
      <c r="D808" s="121" t="str">
        <f>INDEX(Regional.Technologies[Description],MATCH($B$2&amp;"."&amp;G.30.levels.EnergyEfficiency[[#This Row],[Technology code]],Regional.Technologies[Code],0))</f>
        <v>Global Heat use in the Chemicals: High Value Chemicals  technology</v>
      </c>
      <c r="E808" s="121">
        <v>4</v>
      </c>
      <c r="F808" s="121" t="s">
        <v>1917</v>
      </c>
      <c r="G808" s="242"/>
      <c r="H808" s="242"/>
      <c r="I808" s="370">
        <v>0</v>
      </c>
      <c r="J808" s="370">
        <f t="shared" si="39"/>
        <v>4.1025641025641026E-2</v>
      </c>
      <c r="K808" s="370">
        <f t="shared" si="39"/>
        <v>9.2307692307692313E-2</v>
      </c>
      <c r="L808" s="370">
        <f t="shared" si="39"/>
        <v>0.14358974358974358</v>
      </c>
      <c r="M808" s="370">
        <f t="shared" si="39"/>
        <v>0.19487179487179487</v>
      </c>
      <c r="N808" s="370">
        <f t="shared" si="39"/>
        <v>0.24615384615384617</v>
      </c>
      <c r="O808" s="370">
        <f t="shared" si="39"/>
        <v>0.29743589743589743</v>
      </c>
      <c r="P808" s="370">
        <f t="shared" si="39"/>
        <v>0.3487179487179487</v>
      </c>
      <c r="Q808" s="370">
        <v>0.4</v>
      </c>
      <c r="R808" s="242"/>
      <c r="T808" s="20"/>
      <c r="U808" s="20"/>
      <c r="V808" s="20"/>
      <c r="W808" s="20"/>
      <c r="X808" s="20"/>
    </row>
    <row r="809" spans="1:24" s="65" customFormat="1" ht="15" customHeight="1" outlineLevel="2">
      <c r="A809" s="219"/>
      <c r="B809" s="242"/>
      <c r="C809" s="242" t="s">
        <v>1827</v>
      </c>
      <c r="D809" s="121" t="str">
        <f>INDEX(Regional.Technologies[Description],MATCH($B$2&amp;"."&amp;G.30.levels.EnergyEfficiency[[#This Row],[Technology code]],Regional.Technologies[Code],0))</f>
        <v>Global Electricity use in the Chemicals: Ammonia technology</v>
      </c>
      <c r="E809" s="121">
        <v>1</v>
      </c>
      <c r="F809" s="242" t="s">
        <v>1918</v>
      </c>
      <c r="G809" s="242"/>
      <c r="H809" s="242"/>
      <c r="I809" s="370">
        <v>0</v>
      </c>
      <c r="J809" s="370">
        <f t="shared" si="39"/>
        <v>0</v>
      </c>
      <c r="K809" s="370">
        <f t="shared" si="39"/>
        <v>0</v>
      </c>
      <c r="L809" s="370">
        <f t="shared" si="39"/>
        <v>0</v>
      </c>
      <c r="M809" s="370">
        <f t="shared" si="39"/>
        <v>0</v>
      </c>
      <c r="N809" s="370">
        <f t="shared" si="39"/>
        <v>0</v>
      </c>
      <c r="O809" s="370">
        <f t="shared" si="39"/>
        <v>0</v>
      </c>
      <c r="P809" s="370">
        <f t="shared" si="39"/>
        <v>0</v>
      </c>
      <c r="Q809" s="370">
        <v>0</v>
      </c>
      <c r="R809" s="242"/>
      <c r="T809" s="20"/>
      <c r="U809" s="20"/>
      <c r="V809" s="20"/>
      <c r="W809" s="20"/>
      <c r="X809" s="20"/>
    </row>
    <row r="810" spans="1:24" s="65" customFormat="1" ht="15" customHeight="1" outlineLevel="2">
      <c r="A810" s="219"/>
      <c r="B810" s="242"/>
      <c r="C810" s="242" t="s">
        <v>1827</v>
      </c>
      <c r="D810" s="121" t="str">
        <f>INDEX(Regional.Technologies[Description],MATCH($B$2&amp;"."&amp;G.30.levels.EnergyEfficiency[[#This Row],[Technology code]],Regional.Technologies[Code],0))</f>
        <v>Global Electricity use in the Chemicals: Ammonia technology</v>
      </c>
      <c r="E810" s="121">
        <v>2</v>
      </c>
      <c r="F810" s="242" t="s">
        <v>1918</v>
      </c>
      <c r="G810" s="242"/>
      <c r="H810" s="242"/>
      <c r="I810" s="370">
        <v>0</v>
      </c>
      <c r="J810" s="370">
        <f t="shared" si="39"/>
        <v>2.0512820512820513E-2</v>
      </c>
      <c r="K810" s="370">
        <f t="shared" si="39"/>
        <v>4.6153846153846156E-2</v>
      </c>
      <c r="L810" s="370">
        <f t="shared" si="39"/>
        <v>7.179487179487179E-2</v>
      </c>
      <c r="M810" s="370">
        <f t="shared" si="39"/>
        <v>9.7435897435897437E-2</v>
      </c>
      <c r="N810" s="370">
        <f t="shared" si="39"/>
        <v>0.12307692307692308</v>
      </c>
      <c r="O810" s="370">
        <f t="shared" si="39"/>
        <v>0.14871794871794872</v>
      </c>
      <c r="P810" s="370">
        <f t="shared" si="39"/>
        <v>0.17435897435897435</v>
      </c>
      <c r="Q810" s="370">
        <v>0.2</v>
      </c>
      <c r="R810" s="242"/>
      <c r="T810" s="20"/>
      <c r="U810" s="20"/>
      <c r="V810" s="20"/>
      <c r="W810" s="20"/>
      <c r="X810" s="20"/>
    </row>
    <row r="811" spans="1:24" s="65" customFormat="1" ht="15" customHeight="1" outlineLevel="2">
      <c r="A811" s="219"/>
      <c r="B811" s="242"/>
      <c r="C811" s="242" t="s">
        <v>1827</v>
      </c>
      <c r="D811" s="121" t="str">
        <f>INDEX(Regional.Technologies[Description],MATCH($B$2&amp;"."&amp;G.30.levels.EnergyEfficiency[[#This Row],[Technology code]],Regional.Technologies[Code],0))</f>
        <v>Global Electricity use in the Chemicals: Ammonia technology</v>
      </c>
      <c r="E811" s="121">
        <v>3</v>
      </c>
      <c r="F811" s="242" t="s">
        <v>1918</v>
      </c>
      <c r="G811" s="242"/>
      <c r="H811" s="242"/>
      <c r="I811" s="370">
        <v>0</v>
      </c>
      <c r="J811" s="370">
        <f t="shared" si="39"/>
        <v>3.0769230769230767E-2</v>
      </c>
      <c r="K811" s="370">
        <f t="shared" si="39"/>
        <v>6.9230769230769221E-2</v>
      </c>
      <c r="L811" s="370">
        <f t="shared" si="39"/>
        <v>0.10769230769230768</v>
      </c>
      <c r="M811" s="370">
        <f t="shared" si="39"/>
        <v>0.14615384615384613</v>
      </c>
      <c r="N811" s="370">
        <f t="shared" si="39"/>
        <v>0.1846153846153846</v>
      </c>
      <c r="O811" s="370">
        <f t="shared" si="39"/>
        <v>0.22307692307692306</v>
      </c>
      <c r="P811" s="370">
        <f t="shared" si="39"/>
        <v>0.2615384615384615</v>
      </c>
      <c r="Q811" s="370">
        <v>0.3</v>
      </c>
      <c r="R811" s="242"/>
      <c r="T811" s="20"/>
      <c r="U811" s="20"/>
      <c r="V811" s="20"/>
      <c r="W811" s="20"/>
      <c r="X811" s="20"/>
    </row>
    <row r="812" spans="1:24" s="65" customFormat="1" ht="15" customHeight="1" outlineLevel="2">
      <c r="A812" s="219"/>
      <c r="B812" s="242"/>
      <c r="C812" s="242" t="s">
        <v>1827</v>
      </c>
      <c r="D812" s="121" t="str">
        <f>INDEX(Regional.Technologies[Description],MATCH($B$2&amp;"."&amp;G.30.levels.EnergyEfficiency[[#This Row],[Technology code]],Regional.Technologies[Code],0))</f>
        <v>Global Electricity use in the Chemicals: Ammonia technology</v>
      </c>
      <c r="E812" s="121">
        <v>4</v>
      </c>
      <c r="F812" s="242" t="s">
        <v>1918</v>
      </c>
      <c r="G812" s="242"/>
      <c r="H812" s="242"/>
      <c r="I812" s="370">
        <v>0</v>
      </c>
      <c r="J812" s="370">
        <f t="shared" si="39"/>
        <v>4.1025641025641026E-2</v>
      </c>
      <c r="K812" s="370">
        <f t="shared" si="39"/>
        <v>9.2307692307692313E-2</v>
      </c>
      <c r="L812" s="370">
        <f t="shared" si="39"/>
        <v>0.14358974358974358</v>
      </c>
      <c r="M812" s="370">
        <f t="shared" si="39"/>
        <v>0.19487179487179487</v>
      </c>
      <c r="N812" s="370">
        <f t="shared" si="39"/>
        <v>0.24615384615384617</v>
      </c>
      <c r="O812" s="370">
        <f t="shared" si="39"/>
        <v>0.29743589743589743</v>
      </c>
      <c r="P812" s="370">
        <f t="shared" si="39"/>
        <v>0.3487179487179487</v>
      </c>
      <c r="Q812" s="370">
        <v>0.4</v>
      </c>
      <c r="R812" s="242"/>
      <c r="T812" s="20"/>
      <c r="U812" s="20"/>
      <c r="V812" s="20"/>
      <c r="W812" s="20"/>
      <c r="X812" s="20"/>
    </row>
    <row r="813" spans="1:24" s="65" customFormat="1" ht="15" customHeight="1" outlineLevel="2">
      <c r="A813" s="219"/>
      <c r="B813" s="242"/>
      <c r="C813" s="242" t="s">
        <v>1828</v>
      </c>
      <c r="D813" s="121" t="str">
        <f>INDEX(Regional.Technologies[Description],MATCH($B$2&amp;"."&amp;G.30.levels.EnergyEfficiency[[#This Row],[Technology code]],Regional.Technologies[Code],0))</f>
        <v>Global Coal use in the Chemicals: Ammonia technology</v>
      </c>
      <c r="E813" s="121">
        <v>1</v>
      </c>
      <c r="F813" s="242" t="s">
        <v>1918</v>
      </c>
      <c r="G813" s="242"/>
      <c r="H813" s="242"/>
      <c r="I813" s="370">
        <v>0</v>
      </c>
      <c r="J813" s="370">
        <f t="shared" si="39"/>
        <v>0</v>
      </c>
      <c r="K813" s="370">
        <f t="shared" si="39"/>
        <v>0</v>
      </c>
      <c r="L813" s="370">
        <f t="shared" si="39"/>
        <v>0</v>
      </c>
      <c r="M813" s="370">
        <f t="shared" si="39"/>
        <v>0</v>
      </c>
      <c r="N813" s="370">
        <f t="shared" si="39"/>
        <v>0</v>
      </c>
      <c r="O813" s="370">
        <f t="shared" si="39"/>
        <v>0</v>
      </c>
      <c r="P813" s="370">
        <f t="shared" ref="J813:P850" si="40">(($Q813-$I813)/($Q$121-$I$121))*(P$121-$I$121)+$I813</f>
        <v>0</v>
      </c>
      <c r="Q813" s="370">
        <v>0</v>
      </c>
      <c r="R813" s="242"/>
      <c r="T813" s="20"/>
      <c r="U813" s="20"/>
      <c r="V813" s="20"/>
      <c r="W813" s="20"/>
      <c r="X813" s="20"/>
    </row>
    <row r="814" spans="1:24" s="65" customFormat="1" ht="15" customHeight="1" outlineLevel="2">
      <c r="A814" s="219"/>
      <c r="B814" s="242"/>
      <c r="C814" s="242" t="s">
        <v>1828</v>
      </c>
      <c r="D814" s="121" t="str">
        <f>INDEX(Regional.Technologies[Description],MATCH($B$2&amp;"."&amp;G.30.levels.EnergyEfficiency[[#This Row],[Technology code]],Regional.Technologies[Code],0))</f>
        <v>Global Coal use in the Chemicals: Ammonia technology</v>
      </c>
      <c r="E814" s="121">
        <v>2</v>
      </c>
      <c r="F814" s="242" t="s">
        <v>1918</v>
      </c>
      <c r="G814" s="242"/>
      <c r="H814" s="242"/>
      <c r="I814" s="370">
        <v>0</v>
      </c>
      <c r="J814" s="370">
        <f t="shared" si="40"/>
        <v>2.0512820512820513E-2</v>
      </c>
      <c r="K814" s="370">
        <f t="shared" si="40"/>
        <v>4.6153846153846156E-2</v>
      </c>
      <c r="L814" s="370">
        <f t="shared" si="40"/>
        <v>7.179487179487179E-2</v>
      </c>
      <c r="M814" s="370">
        <f t="shared" si="40"/>
        <v>9.7435897435897437E-2</v>
      </c>
      <c r="N814" s="370">
        <f t="shared" si="40"/>
        <v>0.12307692307692308</v>
      </c>
      <c r="O814" s="370">
        <f t="shared" si="40"/>
        <v>0.14871794871794872</v>
      </c>
      <c r="P814" s="370">
        <f t="shared" si="40"/>
        <v>0.17435897435897435</v>
      </c>
      <c r="Q814" s="370">
        <v>0.2</v>
      </c>
      <c r="R814" s="242"/>
      <c r="T814" s="20"/>
      <c r="U814" s="20"/>
      <c r="V814" s="20"/>
      <c r="W814" s="20"/>
      <c r="X814" s="20"/>
    </row>
    <row r="815" spans="1:24" s="65" customFormat="1" ht="15" customHeight="1" outlineLevel="2">
      <c r="A815" s="219"/>
      <c r="B815" s="242"/>
      <c r="C815" s="242" t="s">
        <v>1828</v>
      </c>
      <c r="D815" s="121" t="str">
        <f>INDEX(Regional.Technologies[Description],MATCH($B$2&amp;"."&amp;G.30.levels.EnergyEfficiency[[#This Row],[Technology code]],Regional.Technologies[Code],0))</f>
        <v>Global Coal use in the Chemicals: Ammonia technology</v>
      </c>
      <c r="E815" s="121">
        <v>3</v>
      </c>
      <c r="F815" s="242" t="s">
        <v>1918</v>
      </c>
      <c r="G815" s="242"/>
      <c r="H815" s="242"/>
      <c r="I815" s="370">
        <v>0</v>
      </c>
      <c r="J815" s="370">
        <f t="shared" si="40"/>
        <v>3.0769230769230767E-2</v>
      </c>
      <c r="K815" s="370">
        <f t="shared" si="40"/>
        <v>6.9230769230769221E-2</v>
      </c>
      <c r="L815" s="370">
        <f t="shared" si="40"/>
        <v>0.10769230769230768</v>
      </c>
      <c r="M815" s="370">
        <f t="shared" si="40"/>
        <v>0.14615384615384613</v>
      </c>
      <c r="N815" s="370">
        <f t="shared" si="40"/>
        <v>0.1846153846153846</v>
      </c>
      <c r="O815" s="370">
        <f t="shared" si="40"/>
        <v>0.22307692307692306</v>
      </c>
      <c r="P815" s="370">
        <f t="shared" si="40"/>
        <v>0.2615384615384615</v>
      </c>
      <c r="Q815" s="370">
        <v>0.3</v>
      </c>
      <c r="R815" s="242"/>
      <c r="T815" s="20"/>
      <c r="U815" s="20"/>
      <c r="V815" s="20"/>
      <c r="W815" s="20"/>
      <c r="X815" s="20"/>
    </row>
    <row r="816" spans="1:24" s="65" customFormat="1" ht="15" customHeight="1" outlineLevel="2">
      <c r="A816" s="219"/>
      <c r="B816" s="242"/>
      <c r="C816" s="242" t="s">
        <v>1828</v>
      </c>
      <c r="D816" s="121" t="str">
        <f>INDEX(Regional.Technologies[Description],MATCH($B$2&amp;"."&amp;G.30.levels.EnergyEfficiency[[#This Row],[Technology code]],Regional.Technologies[Code],0))</f>
        <v>Global Coal use in the Chemicals: Ammonia technology</v>
      </c>
      <c r="E816" s="121">
        <v>4</v>
      </c>
      <c r="F816" s="242" t="s">
        <v>1918</v>
      </c>
      <c r="G816" s="242"/>
      <c r="H816" s="242"/>
      <c r="I816" s="370">
        <v>0</v>
      </c>
      <c r="J816" s="370">
        <f t="shared" si="40"/>
        <v>4.1025641025641026E-2</v>
      </c>
      <c r="K816" s="370">
        <f t="shared" si="40"/>
        <v>9.2307692307692313E-2</v>
      </c>
      <c r="L816" s="370">
        <f t="shared" si="40"/>
        <v>0.14358974358974358</v>
      </c>
      <c r="M816" s="370">
        <f t="shared" si="40"/>
        <v>0.19487179487179487</v>
      </c>
      <c r="N816" s="370">
        <f t="shared" si="40"/>
        <v>0.24615384615384617</v>
      </c>
      <c r="O816" s="370">
        <f t="shared" si="40"/>
        <v>0.29743589743589743</v>
      </c>
      <c r="P816" s="370">
        <f t="shared" si="40"/>
        <v>0.3487179487179487</v>
      </c>
      <c r="Q816" s="370">
        <v>0.4</v>
      </c>
      <c r="R816" s="242"/>
      <c r="T816" s="20"/>
      <c r="U816" s="20"/>
      <c r="V816" s="20"/>
      <c r="W816" s="20"/>
      <c r="X816" s="20"/>
    </row>
    <row r="817" spans="1:24" s="65" customFormat="1" ht="15" customHeight="1" outlineLevel="2">
      <c r="A817" s="219"/>
      <c r="B817" s="242"/>
      <c r="C817" s="242" t="s">
        <v>1829</v>
      </c>
      <c r="D817" s="121" t="str">
        <f>INDEX(Regional.Technologies[Description],MATCH($B$2&amp;"."&amp;G.30.levels.EnergyEfficiency[[#This Row],[Technology code]],Regional.Technologies[Code],0))</f>
        <v>Global Oil use in the Chemicals: Ammonia technology</v>
      </c>
      <c r="E817" s="121">
        <v>1</v>
      </c>
      <c r="F817" s="242" t="s">
        <v>1918</v>
      </c>
      <c r="G817" s="242"/>
      <c r="H817" s="242"/>
      <c r="I817" s="370">
        <v>0</v>
      </c>
      <c r="J817" s="370">
        <f t="shared" si="40"/>
        <v>0</v>
      </c>
      <c r="K817" s="370">
        <f t="shared" si="40"/>
        <v>0</v>
      </c>
      <c r="L817" s="370">
        <f t="shared" si="40"/>
        <v>0</v>
      </c>
      <c r="M817" s="370">
        <f t="shared" si="40"/>
        <v>0</v>
      </c>
      <c r="N817" s="370">
        <f t="shared" si="40"/>
        <v>0</v>
      </c>
      <c r="O817" s="370">
        <f t="shared" si="40"/>
        <v>0</v>
      </c>
      <c r="P817" s="370">
        <f t="shared" si="40"/>
        <v>0</v>
      </c>
      <c r="Q817" s="370">
        <v>0</v>
      </c>
      <c r="R817" s="242"/>
      <c r="T817" s="20"/>
      <c r="U817" s="20"/>
      <c r="V817" s="20"/>
      <c r="W817" s="20"/>
      <c r="X817" s="20"/>
    </row>
    <row r="818" spans="1:24" s="65" customFormat="1" ht="15" customHeight="1" outlineLevel="2">
      <c r="A818" s="219"/>
      <c r="B818" s="242"/>
      <c r="C818" s="242" t="s">
        <v>1829</v>
      </c>
      <c r="D818" s="121" t="str">
        <f>INDEX(Regional.Technologies[Description],MATCH($B$2&amp;"."&amp;G.30.levels.EnergyEfficiency[[#This Row],[Technology code]],Regional.Technologies[Code],0))</f>
        <v>Global Oil use in the Chemicals: Ammonia technology</v>
      </c>
      <c r="E818" s="121">
        <v>2</v>
      </c>
      <c r="F818" s="242" t="s">
        <v>1918</v>
      </c>
      <c r="G818" s="242"/>
      <c r="H818" s="242"/>
      <c r="I818" s="370">
        <v>0</v>
      </c>
      <c r="J818" s="370">
        <f t="shared" si="40"/>
        <v>2.0512820512820513E-2</v>
      </c>
      <c r="K818" s="370">
        <f t="shared" si="40"/>
        <v>4.6153846153846156E-2</v>
      </c>
      <c r="L818" s="370">
        <f t="shared" si="40"/>
        <v>7.179487179487179E-2</v>
      </c>
      <c r="M818" s="370">
        <f t="shared" si="40"/>
        <v>9.7435897435897437E-2</v>
      </c>
      <c r="N818" s="370">
        <f t="shared" si="40"/>
        <v>0.12307692307692308</v>
      </c>
      <c r="O818" s="370">
        <f t="shared" si="40"/>
        <v>0.14871794871794872</v>
      </c>
      <c r="P818" s="370">
        <f t="shared" si="40"/>
        <v>0.17435897435897435</v>
      </c>
      <c r="Q818" s="370">
        <v>0.2</v>
      </c>
      <c r="R818" s="242"/>
      <c r="T818" s="20"/>
      <c r="U818" s="20"/>
      <c r="V818" s="20"/>
      <c r="W818" s="20"/>
      <c r="X818" s="20"/>
    </row>
    <row r="819" spans="1:24" s="65" customFormat="1" ht="15" customHeight="1" outlineLevel="2">
      <c r="A819" s="219"/>
      <c r="B819" s="242"/>
      <c r="C819" s="242" t="s">
        <v>1829</v>
      </c>
      <c r="D819" s="121" t="str">
        <f>INDEX(Regional.Technologies[Description],MATCH($B$2&amp;"."&amp;G.30.levels.EnergyEfficiency[[#This Row],[Technology code]],Regional.Technologies[Code],0))</f>
        <v>Global Oil use in the Chemicals: Ammonia technology</v>
      </c>
      <c r="E819" s="121">
        <v>3</v>
      </c>
      <c r="F819" s="242" t="s">
        <v>1918</v>
      </c>
      <c r="G819" s="242"/>
      <c r="H819" s="242"/>
      <c r="I819" s="370">
        <v>0</v>
      </c>
      <c r="J819" s="370">
        <f t="shared" si="40"/>
        <v>3.0769230769230767E-2</v>
      </c>
      <c r="K819" s="370">
        <f t="shared" si="40"/>
        <v>6.9230769230769221E-2</v>
      </c>
      <c r="L819" s="370">
        <f t="shared" si="40"/>
        <v>0.10769230769230768</v>
      </c>
      <c r="M819" s="370">
        <f t="shared" si="40"/>
        <v>0.14615384615384613</v>
      </c>
      <c r="N819" s="370">
        <f t="shared" si="40"/>
        <v>0.1846153846153846</v>
      </c>
      <c r="O819" s="370">
        <f t="shared" si="40"/>
        <v>0.22307692307692306</v>
      </c>
      <c r="P819" s="370">
        <f t="shared" si="40"/>
        <v>0.2615384615384615</v>
      </c>
      <c r="Q819" s="370">
        <v>0.3</v>
      </c>
      <c r="R819" s="242"/>
      <c r="T819" s="20"/>
      <c r="U819" s="20"/>
      <c r="V819" s="20"/>
      <c r="W819" s="20"/>
      <c r="X819" s="20"/>
    </row>
    <row r="820" spans="1:24" s="65" customFormat="1" ht="15" customHeight="1" outlineLevel="2">
      <c r="A820" s="219"/>
      <c r="B820" s="242"/>
      <c r="C820" s="242" t="s">
        <v>1829</v>
      </c>
      <c r="D820" s="121" t="str">
        <f>INDEX(Regional.Technologies[Description],MATCH($B$2&amp;"."&amp;G.30.levels.EnergyEfficiency[[#This Row],[Technology code]],Regional.Technologies[Code],0))</f>
        <v>Global Oil use in the Chemicals: Ammonia technology</v>
      </c>
      <c r="E820" s="121">
        <v>4</v>
      </c>
      <c r="F820" s="242" t="s">
        <v>1918</v>
      </c>
      <c r="G820" s="242"/>
      <c r="H820" s="242"/>
      <c r="I820" s="370">
        <v>0</v>
      </c>
      <c r="J820" s="370">
        <f t="shared" si="40"/>
        <v>4.1025641025641026E-2</v>
      </c>
      <c r="K820" s="370">
        <f t="shared" si="40"/>
        <v>9.2307692307692313E-2</v>
      </c>
      <c r="L820" s="370">
        <f t="shared" si="40"/>
        <v>0.14358974358974358</v>
      </c>
      <c r="M820" s="370">
        <f t="shared" si="40"/>
        <v>0.19487179487179487</v>
      </c>
      <c r="N820" s="370">
        <f t="shared" si="40"/>
        <v>0.24615384615384617</v>
      </c>
      <c r="O820" s="370">
        <f t="shared" si="40"/>
        <v>0.29743589743589743</v>
      </c>
      <c r="P820" s="370">
        <f t="shared" si="40"/>
        <v>0.3487179487179487</v>
      </c>
      <c r="Q820" s="370">
        <v>0.4</v>
      </c>
      <c r="R820" s="242"/>
      <c r="T820" s="20"/>
      <c r="U820" s="20"/>
      <c r="V820" s="20"/>
      <c r="W820" s="20"/>
      <c r="X820" s="20"/>
    </row>
    <row r="821" spans="1:24" s="65" customFormat="1" ht="15" customHeight="1" outlineLevel="2">
      <c r="A821" s="219"/>
      <c r="B821" s="242"/>
      <c r="C821" s="242" t="s">
        <v>1830</v>
      </c>
      <c r="D821" s="121" t="str">
        <f>INDEX(Regional.Technologies[Description],MATCH($B$2&amp;"."&amp;G.30.levels.EnergyEfficiency[[#This Row],[Technology code]],Regional.Technologies[Code],0))</f>
        <v>Global Natural Gas use in the Chemicals: Ammonia technology</v>
      </c>
      <c r="E821" s="121">
        <v>1</v>
      </c>
      <c r="F821" s="242" t="s">
        <v>1918</v>
      </c>
      <c r="G821" s="242"/>
      <c r="H821" s="242"/>
      <c r="I821" s="370">
        <v>0</v>
      </c>
      <c r="J821" s="370">
        <f t="shared" si="40"/>
        <v>0</v>
      </c>
      <c r="K821" s="370">
        <f t="shared" si="40"/>
        <v>0</v>
      </c>
      <c r="L821" s="370">
        <f t="shared" si="40"/>
        <v>0</v>
      </c>
      <c r="M821" s="370">
        <f t="shared" si="40"/>
        <v>0</v>
      </c>
      <c r="N821" s="370">
        <f t="shared" si="40"/>
        <v>0</v>
      </c>
      <c r="O821" s="370">
        <f t="shared" si="40"/>
        <v>0</v>
      </c>
      <c r="P821" s="370">
        <f t="shared" si="40"/>
        <v>0</v>
      </c>
      <c r="Q821" s="370">
        <v>0</v>
      </c>
      <c r="R821" s="242"/>
      <c r="T821" s="20"/>
      <c r="U821" s="20"/>
      <c r="V821" s="20"/>
      <c r="W821" s="20"/>
      <c r="X821" s="20"/>
    </row>
    <row r="822" spans="1:24" s="65" customFormat="1" ht="15" customHeight="1" outlineLevel="2">
      <c r="A822" s="219"/>
      <c r="B822" s="242"/>
      <c r="C822" s="242" t="s">
        <v>1830</v>
      </c>
      <c r="D822" s="121" t="str">
        <f>INDEX(Regional.Technologies[Description],MATCH($B$2&amp;"."&amp;G.30.levels.EnergyEfficiency[[#This Row],[Technology code]],Regional.Technologies[Code],0))</f>
        <v>Global Natural Gas use in the Chemicals: Ammonia technology</v>
      </c>
      <c r="E822" s="121">
        <v>2</v>
      </c>
      <c r="F822" s="242" t="s">
        <v>1918</v>
      </c>
      <c r="G822" s="242"/>
      <c r="H822" s="242"/>
      <c r="I822" s="370">
        <v>0</v>
      </c>
      <c r="J822" s="370">
        <f t="shared" si="40"/>
        <v>2.0512820512820513E-2</v>
      </c>
      <c r="K822" s="370">
        <f t="shared" si="40"/>
        <v>4.6153846153846156E-2</v>
      </c>
      <c r="L822" s="370">
        <f t="shared" si="40"/>
        <v>7.179487179487179E-2</v>
      </c>
      <c r="M822" s="370">
        <f t="shared" si="40"/>
        <v>9.7435897435897437E-2</v>
      </c>
      <c r="N822" s="370">
        <f t="shared" si="40"/>
        <v>0.12307692307692308</v>
      </c>
      <c r="O822" s="370">
        <f t="shared" si="40"/>
        <v>0.14871794871794872</v>
      </c>
      <c r="P822" s="370">
        <f t="shared" si="40"/>
        <v>0.17435897435897435</v>
      </c>
      <c r="Q822" s="370">
        <v>0.2</v>
      </c>
      <c r="R822" s="242"/>
      <c r="T822" s="20"/>
      <c r="U822" s="20"/>
      <c r="V822" s="20"/>
      <c r="W822" s="20"/>
      <c r="X822" s="20"/>
    </row>
    <row r="823" spans="1:24" s="65" customFormat="1" ht="15" customHeight="1" outlineLevel="2">
      <c r="A823" s="219"/>
      <c r="B823" s="242"/>
      <c r="C823" s="242" t="s">
        <v>1830</v>
      </c>
      <c r="D823" s="121" t="str">
        <f>INDEX(Regional.Technologies[Description],MATCH($B$2&amp;"."&amp;G.30.levels.EnergyEfficiency[[#This Row],[Technology code]],Regional.Technologies[Code],0))</f>
        <v>Global Natural Gas use in the Chemicals: Ammonia technology</v>
      </c>
      <c r="E823" s="121">
        <v>3</v>
      </c>
      <c r="F823" s="242" t="s">
        <v>1918</v>
      </c>
      <c r="G823" s="242"/>
      <c r="H823" s="242"/>
      <c r="I823" s="370">
        <v>0</v>
      </c>
      <c r="J823" s="370">
        <f t="shared" si="40"/>
        <v>3.0769230769230767E-2</v>
      </c>
      <c r="K823" s="370">
        <f t="shared" si="40"/>
        <v>6.9230769230769221E-2</v>
      </c>
      <c r="L823" s="370">
        <f t="shared" si="40"/>
        <v>0.10769230769230768</v>
      </c>
      <c r="M823" s="370">
        <f t="shared" si="40"/>
        <v>0.14615384615384613</v>
      </c>
      <c r="N823" s="370">
        <f t="shared" si="40"/>
        <v>0.1846153846153846</v>
      </c>
      <c r="O823" s="370">
        <f t="shared" si="40"/>
        <v>0.22307692307692306</v>
      </c>
      <c r="P823" s="370">
        <f t="shared" si="40"/>
        <v>0.2615384615384615</v>
      </c>
      <c r="Q823" s="370">
        <v>0.3</v>
      </c>
      <c r="R823" s="242"/>
      <c r="T823" s="20"/>
      <c r="U823" s="20"/>
      <c r="V823" s="20"/>
      <c r="W823" s="20"/>
      <c r="X823" s="20"/>
    </row>
    <row r="824" spans="1:24" s="65" customFormat="1" ht="15" customHeight="1" outlineLevel="2">
      <c r="A824" s="219"/>
      <c r="B824" s="242"/>
      <c r="C824" s="242" t="s">
        <v>1830</v>
      </c>
      <c r="D824" s="121" t="str">
        <f>INDEX(Regional.Technologies[Description],MATCH($B$2&amp;"."&amp;G.30.levels.EnergyEfficiency[[#This Row],[Technology code]],Regional.Technologies[Code],0))</f>
        <v>Global Natural Gas use in the Chemicals: Ammonia technology</v>
      </c>
      <c r="E824" s="121">
        <v>4</v>
      </c>
      <c r="F824" s="242" t="s">
        <v>1918</v>
      </c>
      <c r="G824" s="242"/>
      <c r="H824" s="242"/>
      <c r="I824" s="370">
        <v>0</v>
      </c>
      <c r="J824" s="370">
        <f t="shared" si="40"/>
        <v>4.1025641025641026E-2</v>
      </c>
      <c r="K824" s="370">
        <f t="shared" si="40"/>
        <v>9.2307692307692313E-2</v>
      </c>
      <c r="L824" s="370">
        <f t="shared" si="40"/>
        <v>0.14358974358974358</v>
      </c>
      <c r="M824" s="370">
        <f t="shared" si="40"/>
        <v>0.19487179487179487</v>
      </c>
      <c r="N824" s="370">
        <f t="shared" si="40"/>
        <v>0.24615384615384617</v>
      </c>
      <c r="O824" s="370">
        <f t="shared" si="40"/>
        <v>0.29743589743589743</v>
      </c>
      <c r="P824" s="370">
        <f t="shared" si="40"/>
        <v>0.3487179487179487</v>
      </c>
      <c r="Q824" s="370">
        <v>0.4</v>
      </c>
      <c r="R824" s="242"/>
      <c r="T824" s="20"/>
      <c r="U824" s="20"/>
      <c r="V824" s="20"/>
      <c r="W824" s="20"/>
      <c r="X824" s="20"/>
    </row>
    <row r="825" spans="1:24" s="65" customFormat="1" ht="15" customHeight="1" outlineLevel="2">
      <c r="A825" s="219"/>
      <c r="B825" s="242"/>
      <c r="C825" s="242" t="s">
        <v>1831</v>
      </c>
      <c r="D825" s="121" t="str">
        <f>INDEX(Regional.Technologies[Description],MATCH($B$2&amp;"."&amp;G.30.levels.EnergyEfficiency[[#This Row],[Technology code]],Regional.Technologies[Code],0))</f>
        <v>Global Solid Hydrocarbons use in the Chemicals: Ammonia technology</v>
      </c>
      <c r="E825" s="121">
        <v>1</v>
      </c>
      <c r="F825" s="242" t="s">
        <v>1918</v>
      </c>
      <c r="G825" s="242"/>
      <c r="H825" s="242"/>
      <c r="I825" s="370">
        <v>0</v>
      </c>
      <c r="J825" s="370">
        <f t="shared" si="40"/>
        <v>0</v>
      </c>
      <c r="K825" s="370">
        <f t="shared" si="40"/>
        <v>0</v>
      </c>
      <c r="L825" s="370">
        <f t="shared" si="40"/>
        <v>0</v>
      </c>
      <c r="M825" s="370">
        <f t="shared" si="40"/>
        <v>0</v>
      </c>
      <c r="N825" s="370">
        <f t="shared" si="40"/>
        <v>0</v>
      </c>
      <c r="O825" s="370">
        <f t="shared" si="40"/>
        <v>0</v>
      </c>
      <c r="P825" s="370">
        <f t="shared" si="40"/>
        <v>0</v>
      </c>
      <c r="Q825" s="370">
        <v>0</v>
      </c>
      <c r="R825" s="242"/>
      <c r="T825" s="20"/>
      <c r="U825" s="20"/>
      <c r="V825" s="20"/>
      <c r="W825" s="20"/>
      <c r="X825" s="20"/>
    </row>
    <row r="826" spans="1:24" s="65" customFormat="1" ht="15" customHeight="1" outlineLevel="2">
      <c r="A826" s="219"/>
      <c r="B826" s="242"/>
      <c r="C826" s="242" t="s">
        <v>1831</v>
      </c>
      <c r="D826" s="121" t="str">
        <f>INDEX(Regional.Technologies[Description],MATCH($B$2&amp;"."&amp;G.30.levels.EnergyEfficiency[[#This Row],[Technology code]],Regional.Technologies[Code],0))</f>
        <v>Global Solid Hydrocarbons use in the Chemicals: Ammonia technology</v>
      </c>
      <c r="E826" s="121">
        <v>2</v>
      </c>
      <c r="F826" s="242" t="s">
        <v>1918</v>
      </c>
      <c r="G826" s="242"/>
      <c r="H826" s="242"/>
      <c r="I826" s="370">
        <v>0</v>
      </c>
      <c r="J826" s="370">
        <f t="shared" si="40"/>
        <v>2.0512820512820513E-2</v>
      </c>
      <c r="K826" s="370">
        <f t="shared" si="40"/>
        <v>4.6153846153846156E-2</v>
      </c>
      <c r="L826" s="370">
        <f t="shared" si="40"/>
        <v>7.179487179487179E-2</v>
      </c>
      <c r="M826" s="370">
        <f t="shared" si="40"/>
        <v>9.7435897435897437E-2</v>
      </c>
      <c r="N826" s="370">
        <f t="shared" si="40"/>
        <v>0.12307692307692308</v>
      </c>
      <c r="O826" s="370">
        <f t="shared" si="40"/>
        <v>0.14871794871794872</v>
      </c>
      <c r="P826" s="370">
        <f t="shared" si="40"/>
        <v>0.17435897435897435</v>
      </c>
      <c r="Q826" s="370">
        <v>0.2</v>
      </c>
      <c r="R826" s="242"/>
      <c r="T826" s="20"/>
      <c r="U826" s="20"/>
      <c r="V826" s="20"/>
      <c r="W826" s="20"/>
      <c r="X826" s="20"/>
    </row>
    <row r="827" spans="1:24" s="65" customFormat="1" ht="15" customHeight="1" outlineLevel="2">
      <c r="A827" s="219"/>
      <c r="B827" s="242"/>
      <c r="C827" s="242" t="s">
        <v>1831</v>
      </c>
      <c r="D827" s="121" t="str">
        <f>INDEX(Regional.Technologies[Description],MATCH($B$2&amp;"."&amp;G.30.levels.EnergyEfficiency[[#This Row],[Technology code]],Regional.Technologies[Code],0))</f>
        <v>Global Solid Hydrocarbons use in the Chemicals: Ammonia technology</v>
      </c>
      <c r="E827" s="121">
        <v>3</v>
      </c>
      <c r="F827" s="242" t="s">
        <v>1918</v>
      </c>
      <c r="G827" s="242"/>
      <c r="H827" s="242"/>
      <c r="I827" s="370">
        <v>0</v>
      </c>
      <c r="J827" s="370">
        <f t="shared" si="40"/>
        <v>3.0769230769230767E-2</v>
      </c>
      <c r="K827" s="370">
        <f t="shared" si="40"/>
        <v>6.9230769230769221E-2</v>
      </c>
      <c r="L827" s="370">
        <f t="shared" si="40"/>
        <v>0.10769230769230768</v>
      </c>
      <c r="M827" s="370">
        <f t="shared" si="40"/>
        <v>0.14615384615384613</v>
      </c>
      <c r="N827" s="370">
        <f t="shared" si="40"/>
        <v>0.1846153846153846</v>
      </c>
      <c r="O827" s="370">
        <f t="shared" si="40"/>
        <v>0.22307692307692306</v>
      </c>
      <c r="P827" s="370">
        <f t="shared" si="40"/>
        <v>0.2615384615384615</v>
      </c>
      <c r="Q827" s="370">
        <v>0.3</v>
      </c>
      <c r="R827" s="242"/>
      <c r="T827" s="20"/>
      <c r="U827" s="20"/>
      <c r="V827" s="20"/>
      <c r="W827" s="20"/>
      <c r="X827" s="20"/>
    </row>
    <row r="828" spans="1:24" s="65" customFormat="1" ht="15" customHeight="1" outlineLevel="2">
      <c r="A828" s="219"/>
      <c r="B828" s="242"/>
      <c r="C828" s="242" t="s">
        <v>1831</v>
      </c>
      <c r="D828" s="121" t="str">
        <f>INDEX(Regional.Technologies[Description],MATCH($B$2&amp;"."&amp;G.30.levels.EnergyEfficiency[[#This Row],[Technology code]],Regional.Technologies[Code],0))</f>
        <v>Global Solid Hydrocarbons use in the Chemicals: Ammonia technology</v>
      </c>
      <c r="E828" s="121">
        <v>4</v>
      </c>
      <c r="F828" s="242" t="s">
        <v>1918</v>
      </c>
      <c r="G828" s="242"/>
      <c r="H828" s="242"/>
      <c r="I828" s="370">
        <v>0</v>
      </c>
      <c r="J828" s="370">
        <f t="shared" si="40"/>
        <v>4.1025641025641026E-2</v>
      </c>
      <c r="K828" s="370">
        <f t="shared" si="40"/>
        <v>9.2307692307692313E-2</v>
      </c>
      <c r="L828" s="370">
        <f t="shared" si="40"/>
        <v>0.14358974358974358</v>
      </c>
      <c r="M828" s="370">
        <f t="shared" si="40"/>
        <v>0.19487179487179487</v>
      </c>
      <c r="N828" s="370">
        <f t="shared" si="40"/>
        <v>0.24615384615384617</v>
      </c>
      <c r="O828" s="370">
        <f t="shared" si="40"/>
        <v>0.29743589743589743</v>
      </c>
      <c r="P828" s="370">
        <f t="shared" si="40"/>
        <v>0.3487179487179487</v>
      </c>
      <c r="Q828" s="370">
        <v>0.4</v>
      </c>
      <c r="R828" s="242"/>
      <c r="T828" s="20"/>
      <c r="U828" s="20"/>
      <c r="V828" s="20"/>
      <c r="W828" s="20"/>
      <c r="X828" s="20"/>
    </row>
    <row r="829" spans="1:24" s="65" customFormat="1" ht="15" customHeight="1" outlineLevel="2">
      <c r="A829" s="219"/>
      <c r="B829" s="242"/>
      <c r="C829" s="242" t="s">
        <v>1832</v>
      </c>
      <c r="D829" s="121" t="str">
        <f>INDEX(Regional.Technologies[Description],MATCH($B$2&amp;"."&amp;G.30.levels.EnergyEfficiency[[#This Row],[Technology code]],Regional.Technologies[Code],0))</f>
        <v>Global Heat use in the Chemicals: Ammonia technology</v>
      </c>
      <c r="E829" s="121">
        <v>1</v>
      </c>
      <c r="F829" s="242" t="s">
        <v>1918</v>
      </c>
      <c r="G829" s="242"/>
      <c r="H829" s="242"/>
      <c r="I829" s="370">
        <v>0</v>
      </c>
      <c r="J829" s="370">
        <f t="shared" si="40"/>
        <v>0</v>
      </c>
      <c r="K829" s="370">
        <f t="shared" si="40"/>
        <v>0</v>
      </c>
      <c r="L829" s="370">
        <f t="shared" si="40"/>
        <v>0</v>
      </c>
      <c r="M829" s="370">
        <f t="shared" si="40"/>
        <v>0</v>
      </c>
      <c r="N829" s="370">
        <f t="shared" si="40"/>
        <v>0</v>
      </c>
      <c r="O829" s="370">
        <f t="shared" si="40"/>
        <v>0</v>
      </c>
      <c r="P829" s="370">
        <f t="shared" si="40"/>
        <v>0</v>
      </c>
      <c r="Q829" s="370">
        <v>0</v>
      </c>
      <c r="R829" s="242"/>
      <c r="T829" s="20"/>
      <c r="U829" s="20"/>
      <c r="V829" s="20"/>
      <c r="W829" s="20"/>
      <c r="X829" s="20"/>
    </row>
    <row r="830" spans="1:24" s="65" customFormat="1" ht="15" customHeight="1" outlineLevel="2">
      <c r="A830" s="219"/>
      <c r="B830" s="242"/>
      <c r="C830" s="242" t="s">
        <v>1832</v>
      </c>
      <c r="D830" s="121" t="str">
        <f>INDEX(Regional.Technologies[Description],MATCH($B$2&amp;"."&amp;G.30.levels.EnergyEfficiency[[#This Row],[Technology code]],Regional.Technologies[Code],0))</f>
        <v>Global Heat use in the Chemicals: Ammonia technology</v>
      </c>
      <c r="E830" s="121">
        <v>2</v>
      </c>
      <c r="F830" s="242" t="s">
        <v>1918</v>
      </c>
      <c r="G830" s="242"/>
      <c r="H830" s="242"/>
      <c r="I830" s="370">
        <v>0</v>
      </c>
      <c r="J830" s="370">
        <f t="shared" si="40"/>
        <v>2.0512820512820513E-2</v>
      </c>
      <c r="K830" s="370">
        <f t="shared" si="40"/>
        <v>4.6153846153846156E-2</v>
      </c>
      <c r="L830" s="370">
        <f t="shared" si="40"/>
        <v>7.179487179487179E-2</v>
      </c>
      <c r="M830" s="370">
        <f t="shared" si="40"/>
        <v>9.7435897435897437E-2</v>
      </c>
      <c r="N830" s="370">
        <f t="shared" si="40"/>
        <v>0.12307692307692308</v>
      </c>
      <c r="O830" s="370">
        <f t="shared" si="40"/>
        <v>0.14871794871794872</v>
      </c>
      <c r="P830" s="370">
        <f t="shared" si="40"/>
        <v>0.17435897435897435</v>
      </c>
      <c r="Q830" s="370">
        <v>0.2</v>
      </c>
      <c r="R830" s="242"/>
      <c r="T830" s="20"/>
      <c r="U830" s="20"/>
      <c r="V830" s="20"/>
      <c r="W830" s="20"/>
      <c r="X830" s="20"/>
    </row>
    <row r="831" spans="1:24" s="65" customFormat="1" ht="15" customHeight="1" outlineLevel="2">
      <c r="A831" s="219"/>
      <c r="B831" s="242"/>
      <c r="C831" s="242" t="s">
        <v>1832</v>
      </c>
      <c r="D831" s="121" t="str">
        <f>INDEX(Regional.Technologies[Description],MATCH($B$2&amp;"."&amp;G.30.levels.EnergyEfficiency[[#This Row],[Technology code]],Regional.Technologies[Code],0))</f>
        <v>Global Heat use in the Chemicals: Ammonia technology</v>
      </c>
      <c r="E831" s="121">
        <v>3</v>
      </c>
      <c r="F831" s="242" t="s">
        <v>1918</v>
      </c>
      <c r="G831" s="242"/>
      <c r="H831" s="242"/>
      <c r="I831" s="370">
        <v>0</v>
      </c>
      <c r="J831" s="370">
        <f t="shared" si="40"/>
        <v>3.0769230769230767E-2</v>
      </c>
      <c r="K831" s="370">
        <f t="shared" si="40"/>
        <v>6.9230769230769221E-2</v>
      </c>
      <c r="L831" s="370">
        <f t="shared" si="40"/>
        <v>0.10769230769230768</v>
      </c>
      <c r="M831" s="370">
        <f t="shared" si="40"/>
        <v>0.14615384615384613</v>
      </c>
      <c r="N831" s="370">
        <f t="shared" si="40"/>
        <v>0.1846153846153846</v>
      </c>
      <c r="O831" s="370">
        <f t="shared" si="40"/>
        <v>0.22307692307692306</v>
      </c>
      <c r="P831" s="370">
        <f t="shared" si="40"/>
        <v>0.2615384615384615</v>
      </c>
      <c r="Q831" s="370">
        <v>0.3</v>
      </c>
      <c r="R831" s="242"/>
      <c r="T831" s="20"/>
      <c r="U831" s="20"/>
      <c r="V831" s="20"/>
      <c r="W831" s="20"/>
      <c r="X831" s="20"/>
    </row>
    <row r="832" spans="1:24" s="65" customFormat="1" ht="15" customHeight="1" outlineLevel="2">
      <c r="A832" s="219"/>
      <c r="B832" s="242"/>
      <c r="C832" s="242" t="s">
        <v>1832</v>
      </c>
      <c r="D832" s="121" t="str">
        <f>INDEX(Regional.Technologies[Description],MATCH($B$2&amp;"."&amp;G.30.levels.EnergyEfficiency[[#This Row],[Technology code]],Regional.Technologies[Code],0))</f>
        <v>Global Heat use in the Chemicals: Ammonia technology</v>
      </c>
      <c r="E832" s="121">
        <v>4</v>
      </c>
      <c r="F832" s="242" t="s">
        <v>1918</v>
      </c>
      <c r="G832" s="242"/>
      <c r="H832" s="242"/>
      <c r="I832" s="370">
        <v>0</v>
      </c>
      <c r="J832" s="370">
        <f t="shared" si="40"/>
        <v>4.1025641025641026E-2</v>
      </c>
      <c r="K832" s="370">
        <f t="shared" si="40"/>
        <v>9.2307692307692313E-2</v>
      </c>
      <c r="L832" s="370">
        <f t="shared" si="40"/>
        <v>0.14358974358974358</v>
      </c>
      <c r="M832" s="370">
        <f t="shared" si="40"/>
        <v>0.19487179487179487</v>
      </c>
      <c r="N832" s="370">
        <f t="shared" si="40"/>
        <v>0.24615384615384617</v>
      </c>
      <c r="O832" s="370">
        <f t="shared" si="40"/>
        <v>0.29743589743589743</v>
      </c>
      <c r="P832" s="370">
        <f t="shared" si="40"/>
        <v>0.3487179487179487</v>
      </c>
      <c r="Q832" s="370">
        <v>0.4</v>
      </c>
      <c r="R832" s="242"/>
      <c r="T832" s="20"/>
      <c r="U832" s="20"/>
      <c r="V832" s="20"/>
      <c r="W832" s="20"/>
      <c r="X832" s="20"/>
    </row>
    <row r="833" spans="1:24" s="65" customFormat="1" ht="15" customHeight="1" outlineLevel="2">
      <c r="A833" s="219"/>
      <c r="B833" s="242"/>
      <c r="C833" s="242" t="s">
        <v>1833</v>
      </c>
      <c r="D833" s="121" t="str">
        <f>INDEX(Regional.Technologies[Description],MATCH($B$2&amp;"."&amp;G.30.levels.EnergyEfficiency[[#This Row],[Technology code]],Regional.Technologies[Code],0))</f>
        <v>Global Electricity use in the Chemicals: Methanol technology</v>
      </c>
      <c r="E833" s="121">
        <v>1</v>
      </c>
      <c r="F833" s="242" t="s">
        <v>1919</v>
      </c>
      <c r="G833" s="242"/>
      <c r="H833" s="242"/>
      <c r="I833" s="370">
        <v>0</v>
      </c>
      <c r="J833" s="370">
        <f t="shared" si="40"/>
        <v>0</v>
      </c>
      <c r="K833" s="370">
        <f t="shared" si="40"/>
        <v>0</v>
      </c>
      <c r="L833" s="370">
        <f t="shared" si="40"/>
        <v>0</v>
      </c>
      <c r="M833" s="370">
        <f t="shared" si="40"/>
        <v>0</v>
      </c>
      <c r="N833" s="370">
        <f t="shared" si="40"/>
        <v>0</v>
      </c>
      <c r="O833" s="370">
        <f t="shared" si="40"/>
        <v>0</v>
      </c>
      <c r="P833" s="370">
        <f t="shared" si="40"/>
        <v>0</v>
      </c>
      <c r="Q833" s="370">
        <v>0</v>
      </c>
      <c r="R833" s="242"/>
      <c r="T833" s="20"/>
      <c r="U833" s="20"/>
      <c r="V833" s="20"/>
      <c r="W833" s="20"/>
      <c r="X833" s="20"/>
    </row>
    <row r="834" spans="1:24" s="65" customFormat="1" ht="15" customHeight="1" outlineLevel="2">
      <c r="A834" s="219"/>
      <c r="B834" s="242"/>
      <c r="C834" s="242" t="s">
        <v>1833</v>
      </c>
      <c r="D834" s="121" t="str">
        <f>INDEX(Regional.Technologies[Description],MATCH($B$2&amp;"."&amp;G.30.levels.EnergyEfficiency[[#This Row],[Technology code]],Regional.Technologies[Code],0))</f>
        <v>Global Electricity use in the Chemicals: Methanol technology</v>
      </c>
      <c r="E834" s="121">
        <v>2</v>
      </c>
      <c r="F834" s="242" t="s">
        <v>1919</v>
      </c>
      <c r="G834" s="242"/>
      <c r="H834" s="242"/>
      <c r="I834" s="370">
        <v>0</v>
      </c>
      <c r="J834" s="370">
        <f t="shared" si="40"/>
        <v>2.0512820512820513E-2</v>
      </c>
      <c r="K834" s="370">
        <f t="shared" si="40"/>
        <v>4.6153846153846156E-2</v>
      </c>
      <c r="L834" s="370">
        <f t="shared" si="40"/>
        <v>7.179487179487179E-2</v>
      </c>
      <c r="M834" s="370">
        <f t="shared" si="40"/>
        <v>9.7435897435897437E-2</v>
      </c>
      <c r="N834" s="370">
        <f t="shared" si="40"/>
        <v>0.12307692307692308</v>
      </c>
      <c r="O834" s="370">
        <f t="shared" si="40"/>
        <v>0.14871794871794872</v>
      </c>
      <c r="P834" s="370">
        <f t="shared" si="40"/>
        <v>0.17435897435897435</v>
      </c>
      <c r="Q834" s="370">
        <v>0.2</v>
      </c>
      <c r="R834" s="242"/>
      <c r="T834" s="20"/>
      <c r="U834" s="20"/>
      <c r="V834" s="20"/>
      <c r="W834" s="20"/>
      <c r="X834" s="20"/>
    </row>
    <row r="835" spans="1:24" s="65" customFormat="1" ht="15" customHeight="1" outlineLevel="2">
      <c r="A835" s="219"/>
      <c r="B835" s="242"/>
      <c r="C835" s="242" t="s">
        <v>1833</v>
      </c>
      <c r="D835" s="121" t="str">
        <f>INDEX(Regional.Technologies[Description],MATCH($B$2&amp;"."&amp;G.30.levels.EnergyEfficiency[[#This Row],[Technology code]],Regional.Technologies[Code],0))</f>
        <v>Global Electricity use in the Chemicals: Methanol technology</v>
      </c>
      <c r="E835" s="121">
        <v>3</v>
      </c>
      <c r="F835" s="242" t="s">
        <v>1919</v>
      </c>
      <c r="G835" s="242"/>
      <c r="H835" s="242"/>
      <c r="I835" s="370">
        <v>0</v>
      </c>
      <c r="J835" s="370">
        <f t="shared" si="40"/>
        <v>3.0769230769230767E-2</v>
      </c>
      <c r="K835" s="370">
        <f t="shared" si="40"/>
        <v>6.9230769230769221E-2</v>
      </c>
      <c r="L835" s="370">
        <f t="shared" si="40"/>
        <v>0.10769230769230768</v>
      </c>
      <c r="M835" s="370">
        <f t="shared" si="40"/>
        <v>0.14615384615384613</v>
      </c>
      <c r="N835" s="370">
        <f t="shared" si="40"/>
        <v>0.1846153846153846</v>
      </c>
      <c r="O835" s="370">
        <f t="shared" si="40"/>
        <v>0.22307692307692306</v>
      </c>
      <c r="P835" s="370">
        <f t="shared" si="40"/>
        <v>0.2615384615384615</v>
      </c>
      <c r="Q835" s="370">
        <v>0.3</v>
      </c>
      <c r="R835" s="242"/>
      <c r="T835" s="20"/>
      <c r="U835" s="20"/>
      <c r="V835" s="20"/>
      <c r="W835" s="20"/>
      <c r="X835" s="20"/>
    </row>
    <row r="836" spans="1:24" s="65" customFormat="1" ht="15" customHeight="1" outlineLevel="2">
      <c r="A836" s="219"/>
      <c r="B836" s="242"/>
      <c r="C836" s="242" t="s">
        <v>1833</v>
      </c>
      <c r="D836" s="121" t="str">
        <f>INDEX(Regional.Technologies[Description],MATCH($B$2&amp;"."&amp;G.30.levels.EnergyEfficiency[[#This Row],[Technology code]],Regional.Technologies[Code],0))</f>
        <v>Global Electricity use in the Chemicals: Methanol technology</v>
      </c>
      <c r="E836" s="121">
        <v>4</v>
      </c>
      <c r="F836" s="242" t="s">
        <v>1919</v>
      </c>
      <c r="G836" s="242"/>
      <c r="H836" s="242"/>
      <c r="I836" s="370">
        <v>0</v>
      </c>
      <c r="J836" s="370">
        <f t="shared" si="40"/>
        <v>4.1025641025641026E-2</v>
      </c>
      <c r="K836" s="370">
        <f t="shared" si="40"/>
        <v>9.2307692307692313E-2</v>
      </c>
      <c r="L836" s="370">
        <f t="shared" si="40"/>
        <v>0.14358974358974358</v>
      </c>
      <c r="M836" s="370">
        <f t="shared" si="40"/>
        <v>0.19487179487179487</v>
      </c>
      <c r="N836" s="370">
        <f t="shared" si="40"/>
        <v>0.24615384615384617</v>
      </c>
      <c r="O836" s="370">
        <f t="shared" si="40"/>
        <v>0.29743589743589743</v>
      </c>
      <c r="P836" s="370">
        <f t="shared" si="40"/>
        <v>0.3487179487179487</v>
      </c>
      <c r="Q836" s="370">
        <v>0.4</v>
      </c>
      <c r="R836" s="242"/>
      <c r="T836" s="20"/>
      <c r="U836" s="20"/>
      <c r="V836" s="20"/>
      <c r="W836" s="20"/>
      <c r="X836" s="20"/>
    </row>
    <row r="837" spans="1:24" s="65" customFormat="1" ht="15" customHeight="1" outlineLevel="2">
      <c r="A837" s="219"/>
      <c r="B837" s="242"/>
      <c r="C837" s="242" t="s">
        <v>1834</v>
      </c>
      <c r="D837" s="121" t="str">
        <f>INDEX(Regional.Technologies[Description],MATCH($B$2&amp;"."&amp;G.30.levels.EnergyEfficiency[[#This Row],[Technology code]],Regional.Technologies[Code],0))</f>
        <v>Global Coal use in the Chemicals: Methanol technology</v>
      </c>
      <c r="E837" s="121">
        <v>1</v>
      </c>
      <c r="F837" s="242" t="s">
        <v>1919</v>
      </c>
      <c r="G837" s="242"/>
      <c r="H837" s="242"/>
      <c r="I837" s="370">
        <v>0</v>
      </c>
      <c r="J837" s="370">
        <f t="shared" si="40"/>
        <v>0</v>
      </c>
      <c r="K837" s="370">
        <f t="shared" si="40"/>
        <v>0</v>
      </c>
      <c r="L837" s="370">
        <f t="shared" si="40"/>
        <v>0</v>
      </c>
      <c r="M837" s="370">
        <f t="shared" si="40"/>
        <v>0</v>
      </c>
      <c r="N837" s="370">
        <f t="shared" si="40"/>
        <v>0</v>
      </c>
      <c r="O837" s="370">
        <f t="shared" si="40"/>
        <v>0</v>
      </c>
      <c r="P837" s="370">
        <f t="shared" si="40"/>
        <v>0</v>
      </c>
      <c r="Q837" s="370">
        <v>0</v>
      </c>
      <c r="R837" s="242"/>
      <c r="T837" s="20"/>
      <c r="U837" s="20"/>
      <c r="V837" s="20"/>
      <c r="W837" s="20"/>
      <c r="X837" s="20"/>
    </row>
    <row r="838" spans="1:24" s="65" customFormat="1" ht="15" customHeight="1" outlineLevel="2">
      <c r="A838" s="219"/>
      <c r="B838" s="242"/>
      <c r="C838" s="242" t="s">
        <v>1834</v>
      </c>
      <c r="D838" s="121" t="str">
        <f>INDEX(Regional.Technologies[Description],MATCH($B$2&amp;"."&amp;G.30.levels.EnergyEfficiency[[#This Row],[Technology code]],Regional.Technologies[Code],0))</f>
        <v>Global Coal use in the Chemicals: Methanol technology</v>
      </c>
      <c r="E838" s="121">
        <v>2</v>
      </c>
      <c r="F838" s="242" t="s">
        <v>1919</v>
      </c>
      <c r="G838" s="242"/>
      <c r="H838" s="242"/>
      <c r="I838" s="370">
        <v>0</v>
      </c>
      <c r="J838" s="370">
        <f t="shared" si="40"/>
        <v>2.0512820512820513E-2</v>
      </c>
      <c r="K838" s="370">
        <f t="shared" si="40"/>
        <v>4.6153846153846156E-2</v>
      </c>
      <c r="L838" s="370">
        <f t="shared" si="40"/>
        <v>7.179487179487179E-2</v>
      </c>
      <c r="M838" s="370">
        <f t="shared" si="40"/>
        <v>9.7435897435897437E-2</v>
      </c>
      <c r="N838" s="370">
        <f t="shared" si="40"/>
        <v>0.12307692307692308</v>
      </c>
      <c r="O838" s="370">
        <f t="shared" si="40"/>
        <v>0.14871794871794872</v>
      </c>
      <c r="P838" s="370">
        <f t="shared" si="40"/>
        <v>0.17435897435897435</v>
      </c>
      <c r="Q838" s="370">
        <v>0.2</v>
      </c>
      <c r="R838" s="242"/>
      <c r="T838" s="20"/>
      <c r="U838" s="20"/>
      <c r="V838" s="20"/>
      <c r="W838" s="20"/>
      <c r="X838" s="20"/>
    </row>
    <row r="839" spans="1:24" s="65" customFormat="1" ht="15" customHeight="1" outlineLevel="2">
      <c r="A839" s="219"/>
      <c r="B839" s="242"/>
      <c r="C839" s="242" t="s">
        <v>1834</v>
      </c>
      <c r="D839" s="121" t="str">
        <f>INDEX(Regional.Technologies[Description],MATCH($B$2&amp;"."&amp;G.30.levels.EnergyEfficiency[[#This Row],[Technology code]],Regional.Technologies[Code],0))</f>
        <v>Global Coal use in the Chemicals: Methanol technology</v>
      </c>
      <c r="E839" s="121">
        <v>3</v>
      </c>
      <c r="F839" s="242" t="s">
        <v>1919</v>
      </c>
      <c r="G839" s="242"/>
      <c r="H839" s="242"/>
      <c r="I839" s="370">
        <v>0</v>
      </c>
      <c r="J839" s="370">
        <f t="shared" si="40"/>
        <v>3.0769230769230767E-2</v>
      </c>
      <c r="K839" s="370">
        <f t="shared" si="40"/>
        <v>6.9230769230769221E-2</v>
      </c>
      <c r="L839" s="370">
        <f t="shared" si="40"/>
        <v>0.10769230769230768</v>
      </c>
      <c r="M839" s="370">
        <f t="shared" si="40"/>
        <v>0.14615384615384613</v>
      </c>
      <c r="N839" s="370">
        <f t="shared" si="40"/>
        <v>0.1846153846153846</v>
      </c>
      <c r="O839" s="370">
        <f t="shared" si="40"/>
        <v>0.22307692307692306</v>
      </c>
      <c r="P839" s="370">
        <f t="shared" si="40"/>
        <v>0.2615384615384615</v>
      </c>
      <c r="Q839" s="370">
        <v>0.3</v>
      </c>
      <c r="R839" s="242"/>
      <c r="T839" s="20"/>
      <c r="U839" s="20"/>
      <c r="V839" s="20"/>
      <c r="W839" s="20"/>
      <c r="X839" s="20"/>
    </row>
    <row r="840" spans="1:24" s="65" customFormat="1" ht="15" customHeight="1" outlineLevel="2">
      <c r="A840" s="219"/>
      <c r="B840" s="242"/>
      <c r="C840" s="242" t="s">
        <v>1834</v>
      </c>
      <c r="D840" s="121" t="str">
        <f>INDEX(Regional.Technologies[Description],MATCH($B$2&amp;"."&amp;G.30.levels.EnergyEfficiency[[#This Row],[Technology code]],Regional.Technologies[Code],0))</f>
        <v>Global Coal use in the Chemicals: Methanol technology</v>
      </c>
      <c r="E840" s="121">
        <v>4</v>
      </c>
      <c r="F840" s="242" t="s">
        <v>1919</v>
      </c>
      <c r="G840" s="242"/>
      <c r="H840" s="242"/>
      <c r="I840" s="370">
        <v>0</v>
      </c>
      <c r="J840" s="370">
        <f t="shared" si="40"/>
        <v>4.1025641025641026E-2</v>
      </c>
      <c r="K840" s="370">
        <f t="shared" si="40"/>
        <v>9.2307692307692313E-2</v>
      </c>
      <c r="L840" s="370">
        <f t="shared" si="40"/>
        <v>0.14358974358974358</v>
      </c>
      <c r="M840" s="370">
        <f t="shared" si="40"/>
        <v>0.19487179487179487</v>
      </c>
      <c r="N840" s="370">
        <f t="shared" si="40"/>
        <v>0.24615384615384617</v>
      </c>
      <c r="O840" s="370">
        <f t="shared" si="40"/>
        <v>0.29743589743589743</v>
      </c>
      <c r="P840" s="370">
        <f t="shared" si="40"/>
        <v>0.3487179487179487</v>
      </c>
      <c r="Q840" s="370">
        <v>0.4</v>
      </c>
      <c r="R840" s="242"/>
      <c r="T840" s="20"/>
      <c r="U840" s="20"/>
      <c r="V840" s="20"/>
      <c r="W840" s="20"/>
      <c r="X840" s="20"/>
    </row>
    <row r="841" spans="1:24" s="65" customFormat="1" ht="15" customHeight="1" outlineLevel="2">
      <c r="A841" s="219"/>
      <c r="B841" s="242"/>
      <c r="C841" s="242" t="s">
        <v>1835</v>
      </c>
      <c r="D841" s="121" t="str">
        <f>INDEX(Regional.Technologies[Description],MATCH($B$2&amp;"."&amp;G.30.levels.EnergyEfficiency[[#This Row],[Technology code]],Regional.Technologies[Code],0))</f>
        <v>Global Oil use in the Chemicals: Methanol technology</v>
      </c>
      <c r="E841" s="121">
        <v>1</v>
      </c>
      <c r="F841" s="242" t="s">
        <v>1919</v>
      </c>
      <c r="G841" s="242"/>
      <c r="H841" s="242"/>
      <c r="I841" s="370">
        <v>0</v>
      </c>
      <c r="J841" s="370">
        <f t="shared" si="40"/>
        <v>0</v>
      </c>
      <c r="K841" s="370">
        <f t="shared" si="40"/>
        <v>0</v>
      </c>
      <c r="L841" s="370">
        <f t="shared" si="40"/>
        <v>0</v>
      </c>
      <c r="M841" s="370">
        <f t="shared" si="40"/>
        <v>0</v>
      </c>
      <c r="N841" s="370">
        <f t="shared" si="40"/>
        <v>0</v>
      </c>
      <c r="O841" s="370">
        <f t="shared" si="40"/>
        <v>0</v>
      </c>
      <c r="P841" s="370">
        <f t="shared" si="40"/>
        <v>0</v>
      </c>
      <c r="Q841" s="370">
        <v>0</v>
      </c>
      <c r="R841" s="242"/>
      <c r="T841" s="20"/>
      <c r="U841" s="20"/>
      <c r="V841" s="20"/>
      <c r="W841" s="20"/>
      <c r="X841" s="20"/>
    </row>
    <row r="842" spans="1:24" s="65" customFormat="1" ht="15" customHeight="1" outlineLevel="2">
      <c r="A842" s="219"/>
      <c r="B842" s="242"/>
      <c r="C842" s="242" t="s">
        <v>1835</v>
      </c>
      <c r="D842" s="121" t="str">
        <f>INDEX(Regional.Technologies[Description],MATCH($B$2&amp;"."&amp;G.30.levels.EnergyEfficiency[[#This Row],[Technology code]],Regional.Technologies[Code],0))</f>
        <v>Global Oil use in the Chemicals: Methanol technology</v>
      </c>
      <c r="E842" s="121">
        <v>2</v>
      </c>
      <c r="F842" s="242" t="s">
        <v>1919</v>
      </c>
      <c r="G842" s="242"/>
      <c r="H842" s="242"/>
      <c r="I842" s="370">
        <v>0</v>
      </c>
      <c r="J842" s="370">
        <f t="shared" si="40"/>
        <v>2.0512820512820513E-2</v>
      </c>
      <c r="K842" s="370">
        <f t="shared" si="40"/>
        <v>4.6153846153846156E-2</v>
      </c>
      <c r="L842" s="370">
        <f t="shared" si="40"/>
        <v>7.179487179487179E-2</v>
      </c>
      <c r="M842" s="370">
        <f t="shared" si="40"/>
        <v>9.7435897435897437E-2</v>
      </c>
      <c r="N842" s="370">
        <f t="shared" si="40"/>
        <v>0.12307692307692308</v>
      </c>
      <c r="O842" s="370">
        <f t="shared" si="40"/>
        <v>0.14871794871794872</v>
      </c>
      <c r="P842" s="370">
        <f t="shared" si="40"/>
        <v>0.17435897435897435</v>
      </c>
      <c r="Q842" s="370">
        <v>0.2</v>
      </c>
      <c r="R842" s="242"/>
      <c r="T842" s="20"/>
      <c r="U842" s="20"/>
      <c r="V842" s="20"/>
      <c r="W842" s="20"/>
      <c r="X842" s="20"/>
    </row>
    <row r="843" spans="1:24" s="65" customFormat="1" ht="15" customHeight="1" outlineLevel="2">
      <c r="A843" s="219"/>
      <c r="B843" s="242"/>
      <c r="C843" s="242" t="s">
        <v>1835</v>
      </c>
      <c r="D843" s="121" t="str">
        <f>INDEX(Regional.Technologies[Description],MATCH($B$2&amp;"."&amp;G.30.levels.EnergyEfficiency[[#This Row],[Technology code]],Regional.Technologies[Code],0))</f>
        <v>Global Oil use in the Chemicals: Methanol technology</v>
      </c>
      <c r="E843" s="121">
        <v>3</v>
      </c>
      <c r="F843" s="242" t="s">
        <v>1919</v>
      </c>
      <c r="G843" s="242"/>
      <c r="H843" s="242"/>
      <c r="I843" s="370">
        <v>0</v>
      </c>
      <c r="J843" s="370">
        <f t="shared" si="40"/>
        <v>3.0769230769230767E-2</v>
      </c>
      <c r="K843" s="370">
        <f t="shared" si="40"/>
        <v>6.9230769230769221E-2</v>
      </c>
      <c r="L843" s="370">
        <f t="shared" si="40"/>
        <v>0.10769230769230768</v>
      </c>
      <c r="M843" s="370">
        <f t="shared" si="40"/>
        <v>0.14615384615384613</v>
      </c>
      <c r="N843" s="370">
        <f t="shared" si="40"/>
        <v>0.1846153846153846</v>
      </c>
      <c r="O843" s="370">
        <f t="shared" si="40"/>
        <v>0.22307692307692306</v>
      </c>
      <c r="P843" s="370">
        <f t="shared" si="40"/>
        <v>0.2615384615384615</v>
      </c>
      <c r="Q843" s="370">
        <v>0.3</v>
      </c>
      <c r="R843" s="242"/>
      <c r="T843" s="20"/>
      <c r="U843" s="20"/>
      <c r="V843" s="20"/>
      <c r="W843" s="20"/>
      <c r="X843" s="20"/>
    </row>
    <row r="844" spans="1:24" s="65" customFormat="1" ht="15" customHeight="1" outlineLevel="2">
      <c r="A844" s="219"/>
      <c r="B844" s="242"/>
      <c r="C844" s="242" t="s">
        <v>1835</v>
      </c>
      <c r="D844" s="121" t="str">
        <f>INDEX(Regional.Technologies[Description],MATCH($B$2&amp;"."&amp;G.30.levels.EnergyEfficiency[[#This Row],[Technology code]],Regional.Technologies[Code],0))</f>
        <v>Global Oil use in the Chemicals: Methanol technology</v>
      </c>
      <c r="E844" s="121">
        <v>4</v>
      </c>
      <c r="F844" s="242" t="s">
        <v>1919</v>
      </c>
      <c r="G844" s="242"/>
      <c r="H844" s="242"/>
      <c r="I844" s="370">
        <v>0</v>
      </c>
      <c r="J844" s="370">
        <f t="shared" si="40"/>
        <v>4.1025641025641026E-2</v>
      </c>
      <c r="K844" s="370">
        <f t="shared" si="40"/>
        <v>9.2307692307692313E-2</v>
      </c>
      <c r="L844" s="370">
        <f t="shared" si="40"/>
        <v>0.14358974358974358</v>
      </c>
      <c r="M844" s="370">
        <f t="shared" si="40"/>
        <v>0.19487179487179487</v>
      </c>
      <c r="N844" s="370">
        <f t="shared" si="40"/>
        <v>0.24615384615384617</v>
      </c>
      <c r="O844" s="370">
        <f t="shared" si="40"/>
        <v>0.29743589743589743</v>
      </c>
      <c r="P844" s="370">
        <f t="shared" si="40"/>
        <v>0.3487179487179487</v>
      </c>
      <c r="Q844" s="370">
        <v>0.4</v>
      </c>
      <c r="R844" s="242"/>
      <c r="T844" s="20"/>
      <c r="U844" s="20"/>
      <c r="V844" s="20"/>
      <c r="W844" s="20"/>
      <c r="X844" s="20"/>
    </row>
    <row r="845" spans="1:24" s="65" customFormat="1" ht="15" customHeight="1" outlineLevel="2">
      <c r="A845" s="219"/>
      <c r="B845" s="242"/>
      <c r="C845" s="242" t="s">
        <v>1836</v>
      </c>
      <c r="D845" s="121" t="str">
        <f>INDEX(Regional.Technologies[Description],MATCH($B$2&amp;"."&amp;G.30.levels.EnergyEfficiency[[#This Row],[Technology code]],Regional.Technologies[Code],0))</f>
        <v>Global Natural Gas use in the Chemicals: Methanol technology</v>
      </c>
      <c r="E845" s="121">
        <v>1</v>
      </c>
      <c r="F845" s="242" t="s">
        <v>1919</v>
      </c>
      <c r="G845" s="242"/>
      <c r="H845" s="242"/>
      <c r="I845" s="370">
        <v>0</v>
      </c>
      <c r="J845" s="370">
        <f t="shared" si="40"/>
        <v>0</v>
      </c>
      <c r="K845" s="370">
        <f t="shared" si="40"/>
        <v>0</v>
      </c>
      <c r="L845" s="370">
        <f t="shared" si="40"/>
        <v>0</v>
      </c>
      <c r="M845" s="370">
        <f t="shared" si="40"/>
        <v>0</v>
      </c>
      <c r="N845" s="370">
        <f t="shared" si="40"/>
        <v>0</v>
      </c>
      <c r="O845" s="370">
        <f t="shared" si="40"/>
        <v>0</v>
      </c>
      <c r="P845" s="370">
        <f t="shared" si="40"/>
        <v>0</v>
      </c>
      <c r="Q845" s="370">
        <v>0</v>
      </c>
      <c r="R845" s="242"/>
      <c r="T845" s="20"/>
      <c r="U845" s="20"/>
      <c r="V845" s="20"/>
      <c r="W845" s="20"/>
      <c r="X845" s="20"/>
    </row>
    <row r="846" spans="1:24" s="65" customFormat="1" ht="15" customHeight="1" outlineLevel="2">
      <c r="A846" s="219"/>
      <c r="B846" s="242"/>
      <c r="C846" s="242" t="s">
        <v>1836</v>
      </c>
      <c r="D846" s="121" t="str">
        <f>INDEX(Regional.Technologies[Description],MATCH($B$2&amp;"."&amp;G.30.levels.EnergyEfficiency[[#This Row],[Technology code]],Regional.Technologies[Code],0))</f>
        <v>Global Natural Gas use in the Chemicals: Methanol technology</v>
      </c>
      <c r="E846" s="121">
        <v>2</v>
      </c>
      <c r="F846" s="242" t="s">
        <v>1919</v>
      </c>
      <c r="G846" s="242"/>
      <c r="H846" s="242"/>
      <c r="I846" s="370">
        <v>0</v>
      </c>
      <c r="J846" s="370">
        <f t="shared" si="40"/>
        <v>2.0512820512820513E-2</v>
      </c>
      <c r="K846" s="370">
        <f t="shared" si="40"/>
        <v>4.6153846153846156E-2</v>
      </c>
      <c r="L846" s="370">
        <f t="shared" si="40"/>
        <v>7.179487179487179E-2</v>
      </c>
      <c r="M846" s="370">
        <f t="shared" si="40"/>
        <v>9.7435897435897437E-2</v>
      </c>
      <c r="N846" s="370">
        <f t="shared" si="40"/>
        <v>0.12307692307692308</v>
      </c>
      <c r="O846" s="370">
        <f t="shared" si="40"/>
        <v>0.14871794871794872</v>
      </c>
      <c r="P846" s="370">
        <f t="shared" si="40"/>
        <v>0.17435897435897435</v>
      </c>
      <c r="Q846" s="370">
        <v>0.2</v>
      </c>
      <c r="R846" s="242"/>
      <c r="T846" s="20"/>
      <c r="U846" s="20"/>
      <c r="V846" s="20"/>
      <c r="W846" s="20"/>
      <c r="X846" s="20"/>
    </row>
    <row r="847" spans="1:24" s="65" customFormat="1" ht="15" customHeight="1" outlineLevel="2">
      <c r="A847" s="219"/>
      <c r="B847" s="242"/>
      <c r="C847" s="242" t="s">
        <v>1836</v>
      </c>
      <c r="D847" s="121" t="str">
        <f>INDEX(Regional.Technologies[Description],MATCH($B$2&amp;"."&amp;G.30.levels.EnergyEfficiency[[#This Row],[Technology code]],Regional.Technologies[Code],0))</f>
        <v>Global Natural Gas use in the Chemicals: Methanol technology</v>
      </c>
      <c r="E847" s="121">
        <v>3</v>
      </c>
      <c r="F847" s="242" t="s">
        <v>1919</v>
      </c>
      <c r="G847" s="242"/>
      <c r="H847" s="242"/>
      <c r="I847" s="370">
        <v>0</v>
      </c>
      <c r="J847" s="370">
        <f t="shared" si="40"/>
        <v>3.0769230769230767E-2</v>
      </c>
      <c r="K847" s="370">
        <f t="shared" si="40"/>
        <v>6.9230769230769221E-2</v>
      </c>
      <c r="L847" s="370">
        <f t="shared" si="40"/>
        <v>0.10769230769230768</v>
      </c>
      <c r="M847" s="370">
        <f t="shared" si="40"/>
        <v>0.14615384615384613</v>
      </c>
      <c r="N847" s="370">
        <f t="shared" si="40"/>
        <v>0.1846153846153846</v>
      </c>
      <c r="O847" s="370">
        <f t="shared" si="40"/>
        <v>0.22307692307692306</v>
      </c>
      <c r="P847" s="370">
        <f t="shared" si="40"/>
        <v>0.2615384615384615</v>
      </c>
      <c r="Q847" s="370">
        <v>0.3</v>
      </c>
      <c r="R847" s="242"/>
      <c r="T847" s="20"/>
      <c r="U847" s="20"/>
      <c r="V847" s="20"/>
      <c r="W847" s="20"/>
      <c r="X847" s="20"/>
    </row>
    <row r="848" spans="1:24" s="65" customFormat="1" ht="15" customHeight="1" outlineLevel="2">
      <c r="A848" s="219"/>
      <c r="B848" s="242"/>
      <c r="C848" s="242" t="s">
        <v>1836</v>
      </c>
      <c r="D848" s="121" t="str">
        <f>INDEX(Regional.Technologies[Description],MATCH($B$2&amp;"."&amp;G.30.levels.EnergyEfficiency[[#This Row],[Technology code]],Regional.Technologies[Code],0))</f>
        <v>Global Natural Gas use in the Chemicals: Methanol technology</v>
      </c>
      <c r="E848" s="121">
        <v>4</v>
      </c>
      <c r="F848" s="242" t="s">
        <v>1919</v>
      </c>
      <c r="G848" s="242"/>
      <c r="H848" s="242"/>
      <c r="I848" s="370">
        <v>0</v>
      </c>
      <c r="J848" s="370">
        <f t="shared" si="40"/>
        <v>4.1025641025641026E-2</v>
      </c>
      <c r="K848" s="370">
        <f t="shared" si="40"/>
        <v>9.2307692307692313E-2</v>
      </c>
      <c r="L848" s="370">
        <f t="shared" si="40"/>
        <v>0.14358974358974358</v>
      </c>
      <c r="M848" s="370">
        <f t="shared" si="40"/>
        <v>0.19487179487179487</v>
      </c>
      <c r="N848" s="370">
        <f t="shared" si="40"/>
        <v>0.24615384615384617</v>
      </c>
      <c r="O848" s="370">
        <f t="shared" si="40"/>
        <v>0.29743589743589743</v>
      </c>
      <c r="P848" s="370">
        <f t="shared" si="40"/>
        <v>0.3487179487179487</v>
      </c>
      <c r="Q848" s="370">
        <v>0.4</v>
      </c>
      <c r="R848" s="242"/>
      <c r="T848" s="20"/>
      <c r="U848" s="20"/>
      <c r="V848" s="20"/>
      <c r="W848" s="20"/>
      <c r="X848" s="20"/>
    </row>
    <row r="849" spans="1:24" s="65" customFormat="1" ht="15" customHeight="1" outlineLevel="2">
      <c r="A849" s="219"/>
      <c r="B849" s="242"/>
      <c r="C849" s="242" t="s">
        <v>1837</v>
      </c>
      <c r="D849" s="121" t="str">
        <f>INDEX(Regional.Technologies[Description],MATCH($B$2&amp;"."&amp;G.30.levels.EnergyEfficiency[[#This Row],[Technology code]],Regional.Technologies[Code],0))</f>
        <v>Global Solid Hydrocarbons use in the Chemicals: Methanol technology</v>
      </c>
      <c r="E849" s="121">
        <v>1</v>
      </c>
      <c r="F849" s="242" t="s">
        <v>1919</v>
      </c>
      <c r="G849" s="242"/>
      <c r="H849" s="242"/>
      <c r="I849" s="370">
        <v>0</v>
      </c>
      <c r="J849" s="370">
        <f t="shared" si="40"/>
        <v>0</v>
      </c>
      <c r="K849" s="370">
        <f t="shared" si="40"/>
        <v>0</v>
      </c>
      <c r="L849" s="370">
        <f t="shared" si="40"/>
        <v>0</v>
      </c>
      <c r="M849" s="370">
        <f t="shared" si="40"/>
        <v>0</v>
      </c>
      <c r="N849" s="370">
        <f t="shared" si="40"/>
        <v>0</v>
      </c>
      <c r="O849" s="370">
        <f t="shared" si="40"/>
        <v>0</v>
      </c>
      <c r="P849" s="370">
        <f t="shared" si="40"/>
        <v>0</v>
      </c>
      <c r="Q849" s="370">
        <v>0</v>
      </c>
      <c r="R849" s="242"/>
      <c r="T849" s="20"/>
      <c r="U849" s="20"/>
      <c r="V849" s="20"/>
      <c r="W849" s="20"/>
      <c r="X849" s="20"/>
    </row>
    <row r="850" spans="1:24" s="65" customFormat="1" ht="15" customHeight="1" outlineLevel="2">
      <c r="A850" s="219"/>
      <c r="B850" s="242"/>
      <c r="C850" s="242" t="s">
        <v>1837</v>
      </c>
      <c r="D850" s="121" t="str">
        <f>INDEX(Regional.Technologies[Description],MATCH($B$2&amp;"."&amp;G.30.levels.EnergyEfficiency[[#This Row],[Technology code]],Regional.Technologies[Code],0))</f>
        <v>Global Solid Hydrocarbons use in the Chemicals: Methanol technology</v>
      </c>
      <c r="E850" s="121">
        <v>2</v>
      </c>
      <c r="F850" s="242" t="s">
        <v>1919</v>
      </c>
      <c r="G850" s="242"/>
      <c r="H850" s="242"/>
      <c r="I850" s="370">
        <v>0</v>
      </c>
      <c r="J850" s="370">
        <f t="shared" si="40"/>
        <v>2.0512820512820513E-2</v>
      </c>
      <c r="K850" s="370">
        <f t="shared" si="40"/>
        <v>4.6153846153846156E-2</v>
      </c>
      <c r="L850" s="370">
        <f t="shared" ref="J850:P886" si="41">(($Q850-$I850)/($Q$121-$I$121))*(L$121-$I$121)+$I850</f>
        <v>7.179487179487179E-2</v>
      </c>
      <c r="M850" s="370">
        <f t="shared" si="41"/>
        <v>9.7435897435897437E-2</v>
      </c>
      <c r="N850" s="370">
        <f t="shared" si="41"/>
        <v>0.12307692307692308</v>
      </c>
      <c r="O850" s="370">
        <f t="shared" si="41"/>
        <v>0.14871794871794872</v>
      </c>
      <c r="P850" s="370">
        <f t="shared" si="41"/>
        <v>0.17435897435897435</v>
      </c>
      <c r="Q850" s="370">
        <v>0.2</v>
      </c>
      <c r="R850" s="242"/>
      <c r="T850" s="20"/>
      <c r="U850" s="20"/>
      <c r="V850" s="20"/>
      <c r="W850" s="20"/>
      <c r="X850" s="20"/>
    </row>
    <row r="851" spans="1:24" s="65" customFormat="1" ht="15" customHeight="1" outlineLevel="2">
      <c r="A851" s="219"/>
      <c r="B851" s="242"/>
      <c r="C851" s="242" t="s">
        <v>1837</v>
      </c>
      <c r="D851" s="121" t="str">
        <f>INDEX(Regional.Technologies[Description],MATCH($B$2&amp;"."&amp;G.30.levels.EnergyEfficiency[[#This Row],[Technology code]],Regional.Technologies[Code],0))</f>
        <v>Global Solid Hydrocarbons use in the Chemicals: Methanol technology</v>
      </c>
      <c r="E851" s="121">
        <v>3</v>
      </c>
      <c r="F851" s="242" t="s">
        <v>1919</v>
      </c>
      <c r="G851" s="242"/>
      <c r="H851" s="242"/>
      <c r="I851" s="370">
        <v>0</v>
      </c>
      <c r="J851" s="370">
        <f t="shared" si="41"/>
        <v>3.0769230769230767E-2</v>
      </c>
      <c r="K851" s="370">
        <f t="shared" si="41"/>
        <v>6.9230769230769221E-2</v>
      </c>
      <c r="L851" s="370">
        <f t="shared" si="41"/>
        <v>0.10769230769230768</v>
      </c>
      <c r="M851" s="370">
        <f t="shared" si="41"/>
        <v>0.14615384615384613</v>
      </c>
      <c r="N851" s="370">
        <f t="shared" si="41"/>
        <v>0.1846153846153846</v>
      </c>
      <c r="O851" s="370">
        <f t="shared" si="41"/>
        <v>0.22307692307692306</v>
      </c>
      <c r="P851" s="370">
        <f t="shared" si="41"/>
        <v>0.2615384615384615</v>
      </c>
      <c r="Q851" s="370">
        <v>0.3</v>
      </c>
      <c r="R851" s="242"/>
      <c r="T851" s="20"/>
      <c r="U851" s="20"/>
      <c r="V851" s="20"/>
      <c r="W851" s="20"/>
      <c r="X851" s="20"/>
    </row>
    <row r="852" spans="1:24" s="65" customFormat="1" ht="15" customHeight="1" outlineLevel="2">
      <c r="A852" s="219"/>
      <c r="B852" s="242"/>
      <c r="C852" s="242" t="s">
        <v>1837</v>
      </c>
      <c r="D852" s="121" t="str">
        <f>INDEX(Regional.Technologies[Description],MATCH($B$2&amp;"."&amp;G.30.levels.EnergyEfficiency[[#This Row],[Technology code]],Regional.Technologies[Code],0))</f>
        <v>Global Solid Hydrocarbons use in the Chemicals: Methanol technology</v>
      </c>
      <c r="E852" s="121">
        <v>4</v>
      </c>
      <c r="F852" s="242" t="s">
        <v>1919</v>
      </c>
      <c r="G852" s="242"/>
      <c r="H852" s="242"/>
      <c r="I852" s="370">
        <v>0</v>
      </c>
      <c r="J852" s="370">
        <f t="shared" si="41"/>
        <v>4.1025641025641026E-2</v>
      </c>
      <c r="K852" s="370">
        <f t="shared" si="41"/>
        <v>9.2307692307692313E-2</v>
      </c>
      <c r="L852" s="370">
        <f t="shared" si="41"/>
        <v>0.14358974358974358</v>
      </c>
      <c r="M852" s="370">
        <f t="shared" si="41"/>
        <v>0.19487179487179487</v>
      </c>
      <c r="N852" s="370">
        <f t="shared" si="41"/>
        <v>0.24615384615384617</v>
      </c>
      <c r="O852" s="370">
        <f t="shared" si="41"/>
        <v>0.29743589743589743</v>
      </c>
      <c r="P852" s="370">
        <f t="shared" si="41"/>
        <v>0.3487179487179487</v>
      </c>
      <c r="Q852" s="370">
        <v>0.4</v>
      </c>
      <c r="R852" s="242"/>
      <c r="T852" s="20"/>
      <c r="U852" s="20"/>
      <c r="V852" s="20"/>
      <c r="W852" s="20"/>
      <c r="X852" s="20"/>
    </row>
    <row r="853" spans="1:24" s="65" customFormat="1" ht="15" customHeight="1" outlineLevel="2">
      <c r="A853" s="219"/>
      <c r="B853" s="242"/>
      <c r="C853" s="242" t="s">
        <v>1838</v>
      </c>
      <c r="D853" s="121" t="str">
        <f>INDEX(Regional.Technologies[Description],MATCH($B$2&amp;"."&amp;G.30.levels.EnergyEfficiency[[#This Row],[Technology code]],Regional.Technologies[Code],0))</f>
        <v>Global Heat use in the Chemicals: Methanol technology</v>
      </c>
      <c r="E853" s="121">
        <v>1</v>
      </c>
      <c r="F853" s="242" t="s">
        <v>1919</v>
      </c>
      <c r="G853" s="242"/>
      <c r="H853" s="242"/>
      <c r="I853" s="370">
        <v>0</v>
      </c>
      <c r="J853" s="370">
        <f t="shared" si="41"/>
        <v>0</v>
      </c>
      <c r="K853" s="370">
        <f t="shared" si="41"/>
        <v>0</v>
      </c>
      <c r="L853" s="370">
        <f t="shared" si="41"/>
        <v>0</v>
      </c>
      <c r="M853" s="370">
        <f t="shared" si="41"/>
        <v>0</v>
      </c>
      <c r="N853" s="370">
        <f t="shared" si="41"/>
        <v>0</v>
      </c>
      <c r="O853" s="370">
        <f t="shared" si="41"/>
        <v>0</v>
      </c>
      <c r="P853" s="370">
        <f t="shared" si="41"/>
        <v>0</v>
      </c>
      <c r="Q853" s="370">
        <v>0</v>
      </c>
      <c r="R853" s="242"/>
      <c r="T853" s="20"/>
      <c r="U853" s="20"/>
      <c r="V853" s="20"/>
      <c r="W853" s="20"/>
      <c r="X853" s="20"/>
    </row>
    <row r="854" spans="1:24" s="65" customFormat="1" ht="15" customHeight="1" outlineLevel="2">
      <c r="A854" s="219"/>
      <c r="B854" s="242"/>
      <c r="C854" s="242" t="s">
        <v>1838</v>
      </c>
      <c r="D854" s="121" t="str">
        <f>INDEX(Regional.Technologies[Description],MATCH($B$2&amp;"."&amp;G.30.levels.EnergyEfficiency[[#This Row],[Technology code]],Regional.Technologies[Code],0))</f>
        <v>Global Heat use in the Chemicals: Methanol technology</v>
      </c>
      <c r="E854" s="121">
        <v>2</v>
      </c>
      <c r="F854" s="242" t="s">
        <v>1919</v>
      </c>
      <c r="G854" s="242"/>
      <c r="H854" s="242"/>
      <c r="I854" s="370">
        <v>0</v>
      </c>
      <c r="J854" s="370">
        <f t="shared" si="41"/>
        <v>2.0512820512820513E-2</v>
      </c>
      <c r="K854" s="370">
        <f t="shared" si="41"/>
        <v>4.6153846153846156E-2</v>
      </c>
      <c r="L854" s="370">
        <f t="shared" si="41"/>
        <v>7.179487179487179E-2</v>
      </c>
      <c r="M854" s="370">
        <f t="shared" si="41"/>
        <v>9.7435897435897437E-2</v>
      </c>
      <c r="N854" s="370">
        <f t="shared" si="41"/>
        <v>0.12307692307692308</v>
      </c>
      <c r="O854" s="370">
        <f t="shared" si="41"/>
        <v>0.14871794871794872</v>
      </c>
      <c r="P854" s="370">
        <f t="shared" si="41"/>
        <v>0.17435897435897435</v>
      </c>
      <c r="Q854" s="370">
        <v>0.2</v>
      </c>
      <c r="R854" s="242"/>
      <c r="T854" s="20"/>
      <c r="U854" s="20"/>
      <c r="V854" s="20"/>
      <c r="W854" s="20"/>
      <c r="X854" s="20"/>
    </row>
    <row r="855" spans="1:24" s="65" customFormat="1" ht="15" customHeight="1" outlineLevel="2">
      <c r="A855" s="219"/>
      <c r="B855" s="242"/>
      <c r="C855" s="242" t="s">
        <v>1838</v>
      </c>
      <c r="D855" s="121" t="str">
        <f>INDEX(Regional.Technologies[Description],MATCH($B$2&amp;"."&amp;G.30.levels.EnergyEfficiency[[#This Row],[Technology code]],Regional.Technologies[Code],0))</f>
        <v>Global Heat use in the Chemicals: Methanol technology</v>
      </c>
      <c r="E855" s="121">
        <v>3</v>
      </c>
      <c r="F855" s="242" t="s">
        <v>1919</v>
      </c>
      <c r="G855" s="242"/>
      <c r="H855" s="242"/>
      <c r="I855" s="370">
        <v>0</v>
      </c>
      <c r="J855" s="370">
        <f t="shared" si="41"/>
        <v>3.0769230769230767E-2</v>
      </c>
      <c r="K855" s="370">
        <f t="shared" si="41"/>
        <v>6.9230769230769221E-2</v>
      </c>
      <c r="L855" s="370">
        <f t="shared" si="41"/>
        <v>0.10769230769230768</v>
      </c>
      <c r="M855" s="370">
        <f t="shared" si="41"/>
        <v>0.14615384615384613</v>
      </c>
      <c r="N855" s="370">
        <f t="shared" si="41"/>
        <v>0.1846153846153846</v>
      </c>
      <c r="O855" s="370">
        <f t="shared" si="41"/>
        <v>0.22307692307692306</v>
      </c>
      <c r="P855" s="370">
        <f t="shared" si="41"/>
        <v>0.2615384615384615</v>
      </c>
      <c r="Q855" s="370">
        <v>0.3</v>
      </c>
      <c r="R855" s="242"/>
      <c r="T855" s="20"/>
      <c r="U855" s="20"/>
      <c r="V855" s="20"/>
      <c r="W855" s="20"/>
      <c r="X855" s="20"/>
    </row>
    <row r="856" spans="1:24" s="65" customFormat="1" ht="15" customHeight="1" outlineLevel="2">
      <c r="A856" s="219"/>
      <c r="B856" s="242"/>
      <c r="C856" s="242" t="s">
        <v>1838</v>
      </c>
      <c r="D856" s="121" t="str">
        <f>INDEX(Regional.Technologies[Description],MATCH($B$2&amp;"."&amp;G.30.levels.EnergyEfficiency[[#This Row],[Technology code]],Regional.Technologies[Code],0))</f>
        <v>Global Heat use in the Chemicals: Methanol technology</v>
      </c>
      <c r="E856" s="121">
        <v>4</v>
      </c>
      <c r="F856" s="242" t="s">
        <v>1919</v>
      </c>
      <c r="G856" s="242"/>
      <c r="H856" s="242"/>
      <c r="I856" s="370">
        <v>0</v>
      </c>
      <c r="J856" s="370">
        <f t="shared" si="41"/>
        <v>4.1025641025641026E-2</v>
      </c>
      <c r="K856" s="370">
        <f t="shared" si="41"/>
        <v>9.2307692307692313E-2</v>
      </c>
      <c r="L856" s="370">
        <f t="shared" si="41"/>
        <v>0.14358974358974358</v>
      </c>
      <c r="M856" s="370">
        <f t="shared" si="41"/>
        <v>0.19487179487179487</v>
      </c>
      <c r="N856" s="370">
        <f t="shared" si="41"/>
        <v>0.24615384615384617</v>
      </c>
      <c r="O856" s="370">
        <f t="shared" si="41"/>
        <v>0.29743589743589743</v>
      </c>
      <c r="P856" s="370">
        <f t="shared" si="41"/>
        <v>0.3487179487179487</v>
      </c>
      <c r="Q856" s="370">
        <v>0.4</v>
      </c>
      <c r="R856" s="242"/>
      <c r="T856" s="20"/>
      <c r="U856" s="20"/>
      <c r="V856" s="20"/>
      <c r="W856" s="20"/>
      <c r="X856" s="20"/>
    </row>
    <row r="857" spans="1:24" s="65" customFormat="1" ht="15" customHeight="1" outlineLevel="2">
      <c r="A857" s="219"/>
      <c r="B857" s="242"/>
      <c r="C857" s="242" t="s">
        <v>1839</v>
      </c>
      <c r="D857" s="121" t="str">
        <f>INDEX(Regional.Technologies[Description],MATCH($B$2&amp;"."&amp;G.30.levels.EnergyEfficiency[[#This Row],[Technology code]],Regional.Technologies[Code],0))</f>
        <v>Global Electricity use in the Chemicals: Others technology</v>
      </c>
      <c r="E857" s="121">
        <v>1</v>
      </c>
      <c r="F857" s="242" t="s">
        <v>1920</v>
      </c>
      <c r="G857" s="242"/>
      <c r="H857" s="242"/>
      <c r="I857" s="370">
        <v>0</v>
      </c>
      <c r="J857" s="370">
        <f t="shared" si="41"/>
        <v>0</v>
      </c>
      <c r="K857" s="370">
        <f t="shared" si="41"/>
        <v>0</v>
      </c>
      <c r="L857" s="370">
        <f t="shared" si="41"/>
        <v>0</v>
      </c>
      <c r="M857" s="370">
        <f t="shared" si="41"/>
        <v>0</v>
      </c>
      <c r="N857" s="370">
        <f t="shared" si="41"/>
        <v>0</v>
      </c>
      <c r="O857" s="370">
        <f t="shared" si="41"/>
        <v>0</v>
      </c>
      <c r="P857" s="370">
        <f t="shared" si="41"/>
        <v>0</v>
      </c>
      <c r="Q857" s="370">
        <v>0</v>
      </c>
      <c r="R857" s="242"/>
      <c r="T857" s="20"/>
      <c r="U857" s="20"/>
      <c r="V857" s="20"/>
      <c r="W857" s="20"/>
      <c r="X857" s="20"/>
    </row>
    <row r="858" spans="1:24" s="65" customFormat="1" ht="15" customHeight="1" outlineLevel="2">
      <c r="A858" s="219"/>
      <c r="B858" s="242"/>
      <c r="C858" s="242" t="s">
        <v>1839</v>
      </c>
      <c r="D858" s="121" t="str">
        <f>INDEX(Regional.Technologies[Description],MATCH($B$2&amp;"."&amp;G.30.levels.EnergyEfficiency[[#This Row],[Technology code]],Regional.Technologies[Code],0))</f>
        <v>Global Electricity use in the Chemicals: Others technology</v>
      </c>
      <c r="E858" s="121">
        <v>2</v>
      </c>
      <c r="F858" s="242" t="s">
        <v>1920</v>
      </c>
      <c r="G858" s="242"/>
      <c r="H858" s="242"/>
      <c r="I858" s="370">
        <v>0</v>
      </c>
      <c r="J858" s="370">
        <f t="shared" si="41"/>
        <v>2.0512820512820513E-2</v>
      </c>
      <c r="K858" s="370">
        <f t="shared" si="41"/>
        <v>4.6153846153846156E-2</v>
      </c>
      <c r="L858" s="370">
        <f t="shared" si="41"/>
        <v>7.179487179487179E-2</v>
      </c>
      <c r="M858" s="370">
        <f t="shared" si="41"/>
        <v>9.7435897435897437E-2</v>
      </c>
      <c r="N858" s="370">
        <f t="shared" si="41"/>
        <v>0.12307692307692308</v>
      </c>
      <c r="O858" s="370">
        <f t="shared" si="41"/>
        <v>0.14871794871794872</v>
      </c>
      <c r="P858" s="370">
        <f t="shared" si="41"/>
        <v>0.17435897435897435</v>
      </c>
      <c r="Q858" s="370">
        <v>0.2</v>
      </c>
      <c r="R858" s="242"/>
      <c r="T858" s="20"/>
      <c r="U858" s="20"/>
      <c r="V858" s="20"/>
      <c r="W858" s="20"/>
      <c r="X858" s="20"/>
    </row>
    <row r="859" spans="1:24" s="65" customFormat="1" ht="15" customHeight="1" outlineLevel="2">
      <c r="A859" s="219"/>
      <c r="B859" s="242"/>
      <c r="C859" s="242" t="s">
        <v>1839</v>
      </c>
      <c r="D859" s="121" t="str">
        <f>INDEX(Regional.Technologies[Description],MATCH($B$2&amp;"."&amp;G.30.levels.EnergyEfficiency[[#This Row],[Technology code]],Regional.Technologies[Code],0))</f>
        <v>Global Electricity use in the Chemicals: Others technology</v>
      </c>
      <c r="E859" s="121">
        <v>3</v>
      </c>
      <c r="F859" s="242" t="s">
        <v>1920</v>
      </c>
      <c r="G859" s="242"/>
      <c r="H859" s="242"/>
      <c r="I859" s="370">
        <v>0</v>
      </c>
      <c r="J859" s="370">
        <f t="shared" si="41"/>
        <v>3.0769230769230767E-2</v>
      </c>
      <c r="K859" s="370">
        <f t="shared" si="41"/>
        <v>6.9230769230769221E-2</v>
      </c>
      <c r="L859" s="370">
        <f t="shared" si="41"/>
        <v>0.10769230769230768</v>
      </c>
      <c r="M859" s="370">
        <f t="shared" si="41"/>
        <v>0.14615384615384613</v>
      </c>
      <c r="N859" s="370">
        <f t="shared" si="41"/>
        <v>0.1846153846153846</v>
      </c>
      <c r="O859" s="370">
        <f t="shared" si="41"/>
        <v>0.22307692307692306</v>
      </c>
      <c r="P859" s="370">
        <f t="shared" si="41"/>
        <v>0.2615384615384615</v>
      </c>
      <c r="Q859" s="370">
        <v>0.3</v>
      </c>
      <c r="R859" s="242"/>
      <c r="T859" s="20"/>
      <c r="U859" s="20"/>
      <c r="V859" s="20"/>
      <c r="W859" s="20"/>
      <c r="X859" s="20"/>
    </row>
    <row r="860" spans="1:24" s="65" customFormat="1" ht="15" customHeight="1" outlineLevel="2">
      <c r="A860" s="219"/>
      <c r="B860" s="242"/>
      <c r="C860" s="242" t="s">
        <v>1839</v>
      </c>
      <c r="D860" s="121" t="str">
        <f>INDEX(Regional.Technologies[Description],MATCH($B$2&amp;"."&amp;G.30.levels.EnergyEfficiency[[#This Row],[Technology code]],Regional.Technologies[Code],0))</f>
        <v>Global Electricity use in the Chemicals: Others technology</v>
      </c>
      <c r="E860" s="121">
        <v>4</v>
      </c>
      <c r="F860" s="242" t="s">
        <v>1920</v>
      </c>
      <c r="G860" s="242"/>
      <c r="H860" s="242"/>
      <c r="I860" s="370">
        <v>0</v>
      </c>
      <c r="J860" s="370">
        <f t="shared" si="41"/>
        <v>4.1025641025641026E-2</v>
      </c>
      <c r="K860" s="370">
        <f t="shared" si="41"/>
        <v>9.2307692307692313E-2</v>
      </c>
      <c r="L860" s="370">
        <f t="shared" si="41"/>
        <v>0.14358974358974358</v>
      </c>
      <c r="M860" s="370">
        <f t="shared" si="41"/>
        <v>0.19487179487179487</v>
      </c>
      <c r="N860" s="370">
        <f t="shared" si="41"/>
        <v>0.24615384615384617</v>
      </c>
      <c r="O860" s="370">
        <f t="shared" si="41"/>
        <v>0.29743589743589743</v>
      </c>
      <c r="P860" s="370">
        <f t="shared" si="41"/>
        <v>0.3487179487179487</v>
      </c>
      <c r="Q860" s="370">
        <v>0.4</v>
      </c>
      <c r="R860" s="242"/>
      <c r="T860" s="20"/>
      <c r="U860" s="20"/>
      <c r="V860" s="20"/>
      <c r="W860" s="20"/>
      <c r="X860" s="20"/>
    </row>
    <row r="861" spans="1:24" s="65" customFormat="1" ht="15" customHeight="1" outlineLevel="2">
      <c r="A861" s="219"/>
      <c r="B861" s="242"/>
      <c r="C861" s="242" t="s">
        <v>1840</v>
      </c>
      <c r="D861" s="121" t="str">
        <f>INDEX(Regional.Technologies[Description],MATCH($B$2&amp;"."&amp;G.30.levels.EnergyEfficiency[[#This Row],[Technology code]],Regional.Technologies[Code],0))</f>
        <v>Global Coal use in the Chemicals: Others technology</v>
      </c>
      <c r="E861" s="121">
        <v>1</v>
      </c>
      <c r="F861" s="242" t="s">
        <v>1920</v>
      </c>
      <c r="G861" s="242"/>
      <c r="H861" s="242"/>
      <c r="I861" s="370">
        <v>0</v>
      </c>
      <c r="J861" s="370">
        <f t="shared" si="41"/>
        <v>0</v>
      </c>
      <c r="K861" s="370">
        <f t="shared" si="41"/>
        <v>0</v>
      </c>
      <c r="L861" s="370">
        <f t="shared" si="41"/>
        <v>0</v>
      </c>
      <c r="M861" s="370">
        <f t="shared" si="41"/>
        <v>0</v>
      </c>
      <c r="N861" s="370">
        <f t="shared" si="41"/>
        <v>0</v>
      </c>
      <c r="O861" s="370">
        <f t="shared" si="41"/>
        <v>0</v>
      </c>
      <c r="P861" s="370">
        <f t="shared" si="41"/>
        <v>0</v>
      </c>
      <c r="Q861" s="370">
        <v>0</v>
      </c>
      <c r="R861" s="242"/>
      <c r="T861" s="20"/>
      <c r="U861" s="20"/>
      <c r="V861" s="20"/>
      <c r="W861" s="20"/>
      <c r="X861" s="20"/>
    </row>
    <row r="862" spans="1:24" s="65" customFormat="1" ht="15" customHeight="1" outlineLevel="2">
      <c r="A862" s="219"/>
      <c r="B862" s="242"/>
      <c r="C862" s="242" t="s">
        <v>1840</v>
      </c>
      <c r="D862" s="121" t="str">
        <f>INDEX(Regional.Technologies[Description],MATCH($B$2&amp;"."&amp;G.30.levels.EnergyEfficiency[[#This Row],[Technology code]],Regional.Technologies[Code],0))</f>
        <v>Global Coal use in the Chemicals: Others technology</v>
      </c>
      <c r="E862" s="121">
        <v>2</v>
      </c>
      <c r="F862" s="242" t="s">
        <v>1920</v>
      </c>
      <c r="G862" s="242"/>
      <c r="H862" s="242"/>
      <c r="I862" s="370">
        <v>0</v>
      </c>
      <c r="J862" s="370">
        <f t="shared" si="41"/>
        <v>2.0512820512820513E-2</v>
      </c>
      <c r="K862" s="370">
        <f t="shared" si="41"/>
        <v>4.6153846153846156E-2</v>
      </c>
      <c r="L862" s="370">
        <f t="shared" si="41"/>
        <v>7.179487179487179E-2</v>
      </c>
      <c r="M862" s="370">
        <f t="shared" si="41"/>
        <v>9.7435897435897437E-2</v>
      </c>
      <c r="N862" s="370">
        <f t="shared" si="41"/>
        <v>0.12307692307692308</v>
      </c>
      <c r="O862" s="370">
        <f t="shared" si="41"/>
        <v>0.14871794871794872</v>
      </c>
      <c r="P862" s="370">
        <f t="shared" si="41"/>
        <v>0.17435897435897435</v>
      </c>
      <c r="Q862" s="370">
        <v>0.2</v>
      </c>
      <c r="R862" s="242"/>
      <c r="T862" s="20"/>
      <c r="U862" s="20"/>
      <c r="V862" s="20"/>
      <c r="W862" s="20"/>
      <c r="X862" s="20"/>
    </row>
    <row r="863" spans="1:24" s="65" customFormat="1" ht="15" customHeight="1" outlineLevel="2">
      <c r="A863" s="219"/>
      <c r="B863" s="242"/>
      <c r="C863" s="242" t="s">
        <v>1840</v>
      </c>
      <c r="D863" s="121" t="str">
        <f>INDEX(Regional.Technologies[Description],MATCH($B$2&amp;"."&amp;G.30.levels.EnergyEfficiency[[#This Row],[Technology code]],Regional.Technologies[Code],0))</f>
        <v>Global Coal use in the Chemicals: Others technology</v>
      </c>
      <c r="E863" s="121">
        <v>3</v>
      </c>
      <c r="F863" s="242" t="s">
        <v>1920</v>
      </c>
      <c r="G863" s="242"/>
      <c r="H863" s="242"/>
      <c r="I863" s="370">
        <v>0</v>
      </c>
      <c r="J863" s="370">
        <f t="shared" si="41"/>
        <v>3.0769230769230767E-2</v>
      </c>
      <c r="K863" s="370">
        <f t="shared" si="41"/>
        <v>6.9230769230769221E-2</v>
      </c>
      <c r="L863" s="370">
        <f t="shared" si="41"/>
        <v>0.10769230769230768</v>
      </c>
      <c r="M863" s="370">
        <f t="shared" si="41"/>
        <v>0.14615384615384613</v>
      </c>
      <c r="N863" s="370">
        <f t="shared" si="41"/>
        <v>0.1846153846153846</v>
      </c>
      <c r="O863" s="370">
        <f t="shared" si="41"/>
        <v>0.22307692307692306</v>
      </c>
      <c r="P863" s="370">
        <f t="shared" si="41"/>
        <v>0.2615384615384615</v>
      </c>
      <c r="Q863" s="370">
        <v>0.3</v>
      </c>
      <c r="R863" s="242"/>
      <c r="T863" s="20"/>
      <c r="U863" s="20"/>
      <c r="V863" s="20"/>
      <c r="W863" s="20"/>
      <c r="X863" s="20"/>
    </row>
    <row r="864" spans="1:24" s="65" customFormat="1" ht="15" customHeight="1" outlineLevel="2">
      <c r="A864" s="219"/>
      <c r="B864" s="242"/>
      <c r="C864" s="242" t="s">
        <v>1840</v>
      </c>
      <c r="D864" s="121" t="str">
        <f>INDEX(Regional.Technologies[Description],MATCH($B$2&amp;"."&amp;G.30.levels.EnergyEfficiency[[#This Row],[Technology code]],Regional.Technologies[Code],0))</f>
        <v>Global Coal use in the Chemicals: Others technology</v>
      </c>
      <c r="E864" s="121">
        <v>4</v>
      </c>
      <c r="F864" s="242" t="s">
        <v>1920</v>
      </c>
      <c r="G864" s="242"/>
      <c r="H864" s="242"/>
      <c r="I864" s="370">
        <v>0</v>
      </c>
      <c r="J864" s="370">
        <f t="shared" si="41"/>
        <v>4.1025641025641026E-2</v>
      </c>
      <c r="K864" s="370">
        <f t="shared" si="41"/>
        <v>9.2307692307692313E-2</v>
      </c>
      <c r="L864" s="370">
        <f t="shared" si="41"/>
        <v>0.14358974358974358</v>
      </c>
      <c r="M864" s="370">
        <f t="shared" si="41"/>
        <v>0.19487179487179487</v>
      </c>
      <c r="N864" s="370">
        <f t="shared" si="41"/>
        <v>0.24615384615384617</v>
      </c>
      <c r="O864" s="370">
        <f t="shared" si="41"/>
        <v>0.29743589743589743</v>
      </c>
      <c r="P864" s="370">
        <f t="shared" si="41"/>
        <v>0.3487179487179487</v>
      </c>
      <c r="Q864" s="370">
        <v>0.4</v>
      </c>
      <c r="R864" s="242"/>
      <c r="T864" s="20"/>
      <c r="U864" s="20"/>
      <c r="V864" s="20"/>
      <c r="W864" s="20"/>
      <c r="X864" s="20"/>
    </row>
    <row r="865" spans="1:24" s="65" customFormat="1" ht="15" customHeight="1" outlineLevel="2">
      <c r="A865" s="219"/>
      <c r="B865" s="242"/>
      <c r="C865" s="242" t="s">
        <v>1841</v>
      </c>
      <c r="D865" s="121" t="str">
        <f>INDEX(Regional.Technologies[Description],MATCH($B$2&amp;"."&amp;G.30.levels.EnergyEfficiency[[#This Row],[Technology code]],Regional.Technologies[Code],0))</f>
        <v>Global Oil use in the Chemicals: Others technology</v>
      </c>
      <c r="E865" s="121">
        <v>1</v>
      </c>
      <c r="F865" s="242" t="s">
        <v>1920</v>
      </c>
      <c r="G865" s="242"/>
      <c r="H865" s="242"/>
      <c r="I865" s="370">
        <v>0</v>
      </c>
      <c r="J865" s="370">
        <f t="shared" si="41"/>
        <v>0</v>
      </c>
      <c r="K865" s="370">
        <f t="shared" si="41"/>
        <v>0</v>
      </c>
      <c r="L865" s="370">
        <f t="shared" si="41"/>
        <v>0</v>
      </c>
      <c r="M865" s="370">
        <f t="shared" si="41"/>
        <v>0</v>
      </c>
      <c r="N865" s="370">
        <f t="shared" si="41"/>
        <v>0</v>
      </c>
      <c r="O865" s="370">
        <f t="shared" si="41"/>
        <v>0</v>
      </c>
      <c r="P865" s="370">
        <f t="shared" si="41"/>
        <v>0</v>
      </c>
      <c r="Q865" s="370">
        <v>0</v>
      </c>
      <c r="R865" s="242"/>
      <c r="T865" s="20"/>
      <c r="U865" s="20"/>
      <c r="V865" s="20"/>
      <c r="W865" s="20"/>
      <c r="X865" s="20"/>
    </row>
    <row r="866" spans="1:24" s="65" customFormat="1" ht="15" customHeight="1" outlineLevel="2">
      <c r="A866" s="219"/>
      <c r="B866" s="242"/>
      <c r="C866" s="242" t="s">
        <v>1841</v>
      </c>
      <c r="D866" s="121" t="str">
        <f>INDEX(Regional.Technologies[Description],MATCH($B$2&amp;"."&amp;G.30.levels.EnergyEfficiency[[#This Row],[Technology code]],Regional.Technologies[Code],0))</f>
        <v>Global Oil use in the Chemicals: Others technology</v>
      </c>
      <c r="E866" s="121">
        <v>2</v>
      </c>
      <c r="F866" s="242" t="s">
        <v>1920</v>
      </c>
      <c r="G866" s="242"/>
      <c r="H866" s="242"/>
      <c r="I866" s="370">
        <v>0</v>
      </c>
      <c r="J866" s="370">
        <f t="shared" si="41"/>
        <v>2.0512820512820513E-2</v>
      </c>
      <c r="K866" s="370">
        <f t="shared" si="41"/>
        <v>4.6153846153846156E-2</v>
      </c>
      <c r="L866" s="370">
        <f t="shared" si="41"/>
        <v>7.179487179487179E-2</v>
      </c>
      <c r="M866" s="370">
        <f t="shared" si="41"/>
        <v>9.7435897435897437E-2</v>
      </c>
      <c r="N866" s="370">
        <f t="shared" si="41"/>
        <v>0.12307692307692308</v>
      </c>
      <c r="O866" s="370">
        <f t="shared" si="41"/>
        <v>0.14871794871794872</v>
      </c>
      <c r="P866" s="370">
        <f t="shared" si="41"/>
        <v>0.17435897435897435</v>
      </c>
      <c r="Q866" s="370">
        <v>0.2</v>
      </c>
      <c r="R866" s="242"/>
      <c r="T866" s="20"/>
      <c r="U866" s="20"/>
      <c r="V866" s="20"/>
      <c r="W866" s="20"/>
      <c r="X866" s="20"/>
    </row>
    <row r="867" spans="1:24" s="65" customFormat="1" ht="15" customHeight="1" outlineLevel="2">
      <c r="A867" s="219"/>
      <c r="B867" s="242"/>
      <c r="C867" s="242" t="s">
        <v>1841</v>
      </c>
      <c r="D867" s="121" t="str">
        <f>INDEX(Regional.Technologies[Description],MATCH($B$2&amp;"."&amp;G.30.levels.EnergyEfficiency[[#This Row],[Technology code]],Regional.Technologies[Code],0))</f>
        <v>Global Oil use in the Chemicals: Others technology</v>
      </c>
      <c r="E867" s="121">
        <v>3</v>
      </c>
      <c r="F867" s="242" t="s">
        <v>1920</v>
      </c>
      <c r="G867" s="242"/>
      <c r="H867" s="242"/>
      <c r="I867" s="370">
        <v>0</v>
      </c>
      <c r="J867" s="370">
        <f t="shared" si="41"/>
        <v>3.0769230769230767E-2</v>
      </c>
      <c r="K867" s="370">
        <f t="shared" si="41"/>
        <v>6.9230769230769221E-2</v>
      </c>
      <c r="L867" s="370">
        <f t="shared" si="41"/>
        <v>0.10769230769230768</v>
      </c>
      <c r="M867" s="370">
        <f t="shared" si="41"/>
        <v>0.14615384615384613</v>
      </c>
      <c r="N867" s="370">
        <f t="shared" si="41"/>
        <v>0.1846153846153846</v>
      </c>
      <c r="O867" s="370">
        <f t="shared" si="41"/>
        <v>0.22307692307692306</v>
      </c>
      <c r="P867" s="370">
        <f t="shared" si="41"/>
        <v>0.2615384615384615</v>
      </c>
      <c r="Q867" s="370">
        <v>0.3</v>
      </c>
      <c r="R867" s="242"/>
      <c r="T867" s="20"/>
      <c r="U867" s="20"/>
      <c r="V867" s="20"/>
      <c r="W867" s="20"/>
      <c r="X867" s="20"/>
    </row>
    <row r="868" spans="1:24" s="65" customFormat="1" ht="15" customHeight="1" outlineLevel="2">
      <c r="A868" s="219"/>
      <c r="B868" s="242"/>
      <c r="C868" s="242" t="s">
        <v>1841</v>
      </c>
      <c r="D868" s="121" t="str">
        <f>INDEX(Regional.Technologies[Description],MATCH($B$2&amp;"."&amp;G.30.levels.EnergyEfficiency[[#This Row],[Technology code]],Regional.Technologies[Code],0))</f>
        <v>Global Oil use in the Chemicals: Others technology</v>
      </c>
      <c r="E868" s="121">
        <v>4</v>
      </c>
      <c r="F868" s="242" t="s">
        <v>1920</v>
      </c>
      <c r="G868" s="242"/>
      <c r="H868" s="242"/>
      <c r="I868" s="370">
        <v>0</v>
      </c>
      <c r="J868" s="370">
        <f t="shared" si="41"/>
        <v>4.1025641025641026E-2</v>
      </c>
      <c r="K868" s="370">
        <f t="shared" si="41"/>
        <v>9.2307692307692313E-2</v>
      </c>
      <c r="L868" s="370">
        <f t="shared" si="41"/>
        <v>0.14358974358974358</v>
      </c>
      <c r="M868" s="370">
        <f t="shared" si="41"/>
        <v>0.19487179487179487</v>
      </c>
      <c r="N868" s="370">
        <f t="shared" si="41"/>
        <v>0.24615384615384617</v>
      </c>
      <c r="O868" s="370">
        <f t="shared" si="41"/>
        <v>0.29743589743589743</v>
      </c>
      <c r="P868" s="370">
        <f t="shared" si="41"/>
        <v>0.3487179487179487</v>
      </c>
      <c r="Q868" s="370">
        <v>0.4</v>
      </c>
      <c r="R868" s="242"/>
      <c r="T868" s="20"/>
      <c r="U868" s="20"/>
      <c r="V868" s="20"/>
      <c r="W868" s="20"/>
      <c r="X868" s="20"/>
    </row>
    <row r="869" spans="1:24" s="65" customFormat="1" ht="15" customHeight="1" outlineLevel="2">
      <c r="A869" s="219"/>
      <c r="B869" s="242"/>
      <c r="C869" s="242" t="s">
        <v>1842</v>
      </c>
      <c r="D869" s="121" t="str">
        <f>INDEX(Regional.Technologies[Description],MATCH($B$2&amp;"."&amp;G.30.levels.EnergyEfficiency[[#This Row],[Technology code]],Regional.Technologies[Code],0))</f>
        <v>Global Natural Gas use in the Chemicals: Others technology</v>
      </c>
      <c r="E869" s="121">
        <v>1</v>
      </c>
      <c r="F869" s="242" t="s">
        <v>1920</v>
      </c>
      <c r="G869" s="242"/>
      <c r="H869" s="242"/>
      <c r="I869" s="370">
        <v>0</v>
      </c>
      <c r="J869" s="370">
        <f t="shared" si="41"/>
        <v>0</v>
      </c>
      <c r="K869" s="370">
        <f t="shared" si="41"/>
        <v>0</v>
      </c>
      <c r="L869" s="370">
        <f t="shared" si="41"/>
        <v>0</v>
      </c>
      <c r="M869" s="370">
        <f t="shared" si="41"/>
        <v>0</v>
      </c>
      <c r="N869" s="370">
        <f t="shared" si="41"/>
        <v>0</v>
      </c>
      <c r="O869" s="370">
        <f t="shared" si="41"/>
        <v>0</v>
      </c>
      <c r="P869" s="370">
        <f t="shared" si="41"/>
        <v>0</v>
      </c>
      <c r="Q869" s="370">
        <v>0</v>
      </c>
      <c r="R869" s="242"/>
      <c r="T869" s="20"/>
      <c r="U869" s="20"/>
      <c r="V869" s="20"/>
      <c r="W869" s="20"/>
      <c r="X869" s="20"/>
    </row>
    <row r="870" spans="1:24" s="65" customFormat="1" ht="15" customHeight="1" outlineLevel="2">
      <c r="A870" s="219"/>
      <c r="B870" s="242"/>
      <c r="C870" s="242" t="s">
        <v>1842</v>
      </c>
      <c r="D870" s="121" t="str">
        <f>INDEX(Regional.Technologies[Description],MATCH($B$2&amp;"."&amp;G.30.levels.EnergyEfficiency[[#This Row],[Technology code]],Regional.Technologies[Code],0))</f>
        <v>Global Natural Gas use in the Chemicals: Others technology</v>
      </c>
      <c r="E870" s="121">
        <v>2</v>
      </c>
      <c r="F870" s="242" t="s">
        <v>1920</v>
      </c>
      <c r="G870" s="242"/>
      <c r="H870" s="242"/>
      <c r="I870" s="370">
        <v>0</v>
      </c>
      <c r="J870" s="370">
        <f t="shared" si="41"/>
        <v>2.0512820512820513E-2</v>
      </c>
      <c r="K870" s="370">
        <f t="shared" si="41"/>
        <v>4.6153846153846156E-2</v>
      </c>
      <c r="L870" s="370">
        <f t="shared" si="41"/>
        <v>7.179487179487179E-2</v>
      </c>
      <c r="M870" s="370">
        <f t="shared" si="41"/>
        <v>9.7435897435897437E-2</v>
      </c>
      <c r="N870" s="370">
        <f t="shared" si="41"/>
        <v>0.12307692307692308</v>
      </c>
      <c r="O870" s="370">
        <f t="shared" si="41"/>
        <v>0.14871794871794872</v>
      </c>
      <c r="P870" s="370">
        <f t="shared" si="41"/>
        <v>0.17435897435897435</v>
      </c>
      <c r="Q870" s="370">
        <v>0.2</v>
      </c>
      <c r="R870" s="242"/>
      <c r="T870" s="20"/>
      <c r="U870" s="20"/>
      <c r="V870" s="20"/>
      <c r="W870" s="20"/>
      <c r="X870" s="20"/>
    </row>
    <row r="871" spans="1:24" s="65" customFormat="1" ht="15" customHeight="1" outlineLevel="2">
      <c r="A871" s="219"/>
      <c r="B871" s="242"/>
      <c r="C871" s="242" t="s">
        <v>1842</v>
      </c>
      <c r="D871" s="121" t="str">
        <f>INDEX(Regional.Technologies[Description],MATCH($B$2&amp;"."&amp;G.30.levels.EnergyEfficiency[[#This Row],[Technology code]],Regional.Technologies[Code],0))</f>
        <v>Global Natural Gas use in the Chemicals: Others technology</v>
      </c>
      <c r="E871" s="121">
        <v>3</v>
      </c>
      <c r="F871" s="242" t="s">
        <v>1920</v>
      </c>
      <c r="G871" s="242"/>
      <c r="H871" s="242"/>
      <c r="I871" s="370">
        <v>0</v>
      </c>
      <c r="J871" s="370">
        <f t="shared" si="41"/>
        <v>3.0769230769230767E-2</v>
      </c>
      <c r="K871" s="370">
        <f t="shared" si="41"/>
        <v>6.9230769230769221E-2</v>
      </c>
      <c r="L871" s="370">
        <f t="shared" si="41"/>
        <v>0.10769230769230768</v>
      </c>
      <c r="M871" s="370">
        <f t="shared" si="41"/>
        <v>0.14615384615384613</v>
      </c>
      <c r="N871" s="370">
        <f t="shared" si="41"/>
        <v>0.1846153846153846</v>
      </c>
      <c r="O871" s="370">
        <f t="shared" si="41"/>
        <v>0.22307692307692306</v>
      </c>
      <c r="P871" s="370">
        <f t="shared" si="41"/>
        <v>0.2615384615384615</v>
      </c>
      <c r="Q871" s="370">
        <v>0.3</v>
      </c>
      <c r="R871" s="242"/>
      <c r="T871" s="20"/>
      <c r="U871" s="20"/>
      <c r="V871" s="20"/>
      <c r="W871" s="20"/>
      <c r="X871" s="20"/>
    </row>
    <row r="872" spans="1:24" s="65" customFormat="1" ht="15" customHeight="1" outlineLevel="2">
      <c r="A872" s="219"/>
      <c r="B872" s="242"/>
      <c r="C872" s="242" t="s">
        <v>1842</v>
      </c>
      <c r="D872" s="121" t="str">
        <f>INDEX(Regional.Technologies[Description],MATCH($B$2&amp;"."&amp;G.30.levels.EnergyEfficiency[[#This Row],[Technology code]],Regional.Technologies[Code],0))</f>
        <v>Global Natural Gas use in the Chemicals: Others technology</v>
      </c>
      <c r="E872" s="121">
        <v>4</v>
      </c>
      <c r="F872" s="242" t="s">
        <v>1920</v>
      </c>
      <c r="G872" s="242"/>
      <c r="H872" s="242"/>
      <c r="I872" s="370">
        <v>0</v>
      </c>
      <c r="J872" s="370">
        <f t="shared" si="41"/>
        <v>4.1025641025641026E-2</v>
      </c>
      <c r="K872" s="370">
        <f t="shared" si="41"/>
        <v>9.2307692307692313E-2</v>
      </c>
      <c r="L872" s="370">
        <f t="shared" si="41"/>
        <v>0.14358974358974358</v>
      </c>
      <c r="M872" s="370">
        <f t="shared" si="41"/>
        <v>0.19487179487179487</v>
      </c>
      <c r="N872" s="370">
        <f t="shared" si="41"/>
        <v>0.24615384615384617</v>
      </c>
      <c r="O872" s="370">
        <f t="shared" si="41"/>
        <v>0.29743589743589743</v>
      </c>
      <c r="P872" s="370">
        <f t="shared" si="41"/>
        <v>0.3487179487179487</v>
      </c>
      <c r="Q872" s="370">
        <v>0.4</v>
      </c>
      <c r="R872" s="242"/>
      <c r="T872" s="20"/>
      <c r="U872" s="20"/>
      <c r="V872" s="20"/>
      <c r="W872" s="20"/>
      <c r="X872" s="20"/>
    </row>
    <row r="873" spans="1:24" s="65" customFormat="1" ht="15" customHeight="1" outlineLevel="2">
      <c r="A873" s="219"/>
      <c r="B873" s="242"/>
      <c r="C873" s="242" t="s">
        <v>1843</v>
      </c>
      <c r="D873" s="121" t="str">
        <f>INDEX(Regional.Technologies[Description],MATCH($B$2&amp;"."&amp;G.30.levels.EnergyEfficiency[[#This Row],[Technology code]],Regional.Technologies[Code],0))</f>
        <v>Global Solid Hydrocarbons use in the Chemicals: Others technology</v>
      </c>
      <c r="E873" s="121">
        <v>1</v>
      </c>
      <c r="F873" s="242" t="s">
        <v>1920</v>
      </c>
      <c r="G873" s="242"/>
      <c r="H873" s="242"/>
      <c r="I873" s="370">
        <v>0</v>
      </c>
      <c r="J873" s="370">
        <f t="shared" si="41"/>
        <v>0</v>
      </c>
      <c r="K873" s="370">
        <f t="shared" si="41"/>
        <v>0</v>
      </c>
      <c r="L873" s="370">
        <f t="shared" si="41"/>
        <v>0</v>
      </c>
      <c r="M873" s="370">
        <f t="shared" si="41"/>
        <v>0</v>
      </c>
      <c r="N873" s="370">
        <f t="shared" si="41"/>
        <v>0</v>
      </c>
      <c r="O873" s="370">
        <f t="shared" si="41"/>
        <v>0</v>
      </c>
      <c r="P873" s="370">
        <f t="shared" si="41"/>
        <v>0</v>
      </c>
      <c r="Q873" s="370">
        <v>0</v>
      </c>
      <c r="R873" s="242"/>
      <c r="T873" s="20"/>
      <c r="U873" s="20"/>
      <c r="V873" s="20"/>
      <c r="W873" s="20"/>
      <c r="X873" s="20"/>
    </row>
    <row r="874" spans="1:24" s="65" customFormat="1" ht="15" customHeight="1" outlineLevel="2">
      <c r="A874" s="219"/>
      <c r="B874" s="242"/>
      <c r="C874" s="242" t="s">
        <v>1843</v>
      </c>
      <c r="D874" s="121" t="str">
        <f>INDEX(Regional.Technologies[Description],MATCH($B$2&amp;"."&amp;G.30.levels.EnergyEfficiency[[#This Row],[Technology code]],Regional.Technologies[Code],0))</f>
        <v>Global Solid Hydrocarbons use in the Chemicals: Others technology</v>
      </c>
      <c r="E874" s="121">
        <v>2</v>
      </c>
      <c r="F874" s="242" t="s">
        <v>1920</v>
      </c>
      <c r="G874" s="242"/>
      <c r="H874" s="242"/>
      <c r="I874" s="370">
        <v>0</v>
      </c>
      <c r="J874" s="370">
        <f t="shared" si="41"/>
        <v>2.0512820512820513E-2</v>
      </c>
      <c r="K874" s="370">
        <f t="shared" si="41"/>
        <v>4.6153846153846156E-2</v>
      </c>
      <c r="L874" s="370">
        <f t="shared" si="41"/>
        <v>7.179487179487179E-2</v>
      </c>
      <c r="M874" s="370">
        <f t="shared" si="41"/>
        <v>9.7435897435897437E-2</v>
      </c>
      <c r="N874" s="370">
        <f t="shared" si="41"/>
        <v>0.12307692307692308</v>
      </c>
      <c r="O874" s="370">
        <f t="shared" si="41"/>
        <v>0.14871794871794872</v>
      </c>
      <c r="P874" s="370">
        <f t="shared" si="41"/>
        <v>0.17435897435897435</v>
      </c>
      <c r="Q874" s="370">
        <v>0.2</v>
      </c>
      <c r="R874" s="242"/>
      <c r="T874" s="20"/>
      <c r="U874" s="20"/>
      <c r="V874" s="20"/>
      <c r="W874" s="20"/>
      <c r="X874" s="20"/>
    </row>
    <row r="875" spans="1:24" s="65" customFormat="1" ht="15" customHeight="1" outlineLevel="2">
      <c r="A875" s="219"/>
      <c r="B875" s="242"/>
      <c r="C875" s="242" t="s">
        <v>1843</v>
      </c>
      <c r="D875" s="121" t="str">
        <f>INDEX(Regional.Technologies[Description],MATCH($B$2&amp;"."&amp;G.30.levels.EnergyEfficiency[[#This Row],[Technology code]],Regional.Technologies[Code],0))</f>
        <v>Global Solid Hydrocarbons use in the Chemicals: Others technology</v>
      </c>
      <c r="E875" s="121">
        <v>3</v>
      </c>
      <c r="F875" s="242" t="s">
        <v>1920</v>
      </c>
      <c r="G875" s="242"/>
      <c r="H875" s="242"/>
      <c r="I875" s="370">
        <v>0</v>
      </c>
      <c r="J875" s="370">
        <f t="shared" si="41"/>
        <v>3.0769230769230767E-2</v>
      </c>
      <c r="K875" s="370">
        <f t="shared" si="41"/>
        <v>6.9230769230769221E-2</v>
      </c>
      <c r="L875" s="370">
        <f t="shared" si="41"/>
        <v>0.10769230769230768</v>
      </c>
      <c r="M875" s="370">
        <f t="shared" si="41"/>
        <v>0.14615384615384613</v>
      </c>
      <c r="N875" s="370">
        <f t="shared" si="41"/>
        <v>0.1846153846153846</v>
      </c>
      <c r="O875" s="370">
        <f t="shared" si="41"/>
        <v>0.22307692307692306</v>
      </c>
      <c r="P875" s="370">
        <f t="shared" si="41"/>
        <v>0.2615384615384615</v>
      </c>
      <c r="Q875" s="370">
        <v>0.3</v>
      </c>
      <c r="R875" s="242"/>
      <c r="T875" s="20"/>
      <c r="U875" s="20"/>
      <c r="V875" s="20"/>
      <c r="W875" s="20"/>
      <c r="X875" s="20"/>
    </row>
    <row r="876" spans="1:24" s="65" customFormat="1" ht="15" customHeight="1" outlineLevel="2">
      <c r="A876" s="219"/>
      <c r="B876" s="242"/>
      <c r="C876" s="242" t="s">
        <v>1843</v>
      </c>
      <c r="D876" s="121" t="str">
        <f>INDEX(Regional.Technologies[Description],MATCH($B$2&amp;"."&amp;G.30.levels.EnergyEfficiency[[#This Row],[Technology code]],Regional.Technologies[Code],0))</f>
        <v>Global Solid Hydrocarbons use in the Chemicals: Others technology</v>
      </c>
      <c r="E876" s="121">
        <v>4</v>
      </c>
      <c r="F876" s="242" t="s">
        <v>1920</v>
      </c>
      <c r="G876" s="242"/>
      <c r="H876" s="242"/>
      <c r="I876" s="370">
        <v>0</v>
      </c>
      <c r="J876" s="370">
        <f t="shared" si="41"/>
        <v>4.1025641025641026E-2</v>
      </c>
      <c r="K876" s="370">
        <f t="shared" si="41"/>
        <v>9.2307692307692313E-2</v>
      </c>
      <c r="L876" s="370">
        <f t="shared" si="41"/>
        <v>0.14358974358974358</v>
      </c>
      <c r="M876" s="370">
        <f t="shared" si="41"/>
        <v>0.19487179487179487</v>
      </c>
      <c r="N876" s="370">
        <f t="shared" si="41"/>
        <v>0.24615384615384617</v>
      </c>
      <c r="O876" s="370">
        <f t="shared" si="41"/>
        <v>0.29743589743589743</v>
      </c>
      <c r="P876" s="370">
        <f t="shared" si="41"/>
        <v>0.3487179487179487</v>
      </c>
      <c r="Q876" s="370">
        <v>0.4</v>
      </c>
      <c r="R876" s="242"/>
      <c r="T876" s="20"/>
      <c r="U876" s="20"/>
      <c r="V876" s="20"/>
      <c r="W876" s="20"/>
      <c r="X876" s="20"/>
    </row>
    <row r="877" spans="1:24" s="65" customFormat="1" ht="15" customHeight="1" outlineLevel="2">
      <c r="A877" s="219"/>
      <c r="B877" s="242"/>
      <c r="C877" s="242" t="s">
        <v>1844</v>
      </c>
      <c r="D877" s="121" t="str">
        <f>INDEX(Regional.Technologies[Description],MATCH($B$2&amp;"."&amp;G.30.levels.EnergyEfficiency[[#This Row],[Technology code]],Regional.Technologies[Code],0))</f>
        <v>Global Heat use in the Chemicals: Others technology</v>
      </c>
      <c r="E877" s="121">
        <v>1</v>
      </c>
      <c r="F877" s="242" t="s">
        <v>1920</v>
      </c>
      <c r="G877" s="242"/>
      <c r="H877" s="242"/>
      <c r="I877" s="370">
        <v>0</v>
      </c>
      <c r="J877" s="370">
        <f t="shared" si="41"/>
        <v>0</v>
      </c>
      <c r="K877" s="370">
        <f t="shared" si="41"/>
        <v>0</v>
      </c>
      <c r="L877" s="370">
        <f t="shared" si="41"/>
        <v>0</v>
      </c>
      <c r="M877" s="370">
        <f t="shared" si="41"/>
        <v>0</v>
      </c>
      <c r="N877" s="370">
        <f t="shared" si="41"/>
        <v>0</v>
      </c>
      <c r="O877" s="370">
        <f t="shared" si="41"/>
        <v>0</v>
      </c>
      <c r="P877" s="370">
        <f t="shared" si="41"/>
        <v>0</v>
      </c>
      <c r="Q877" s="370">
        <v>0</v>
      </c>
      <c r="R877" s="242"/>
      <c r="T877" s="20"/>
      <c r="U877" s="20"/>
      <c r="V877" s="20"/>
      <c r="W877" s="20"/>
      <c r="X877" s="20"/>
    </row>
    <row r="878" spans="1:24" s="65" customFormat="1" ht="15" customHeight="1" outlineLevel="2">
      <c r="A878" s="219"/>
      <c r="B878" s="242"/>
      <c r="C878" s="242" t="s">
        <v>1844</v>
      </c>
      <c r="D878" s="121" t="str">
        <f>INDEX(Regional.Technologies[Description],MATCH($B$2&amp;"."&amp;G.30.levels.EnergyEfficiency[[#This Row],[Technology code]],Regional.Technologies[Code],0))</f>
        <v>Global Heat use in the Chemicals: Others technology</v>
      </c>
      <c r="E878" s="121">
        <v>2</v>
      </c>
      <c r="F878" s="242" t="s">
        <v>1920</v>
      </c>
      <c r="G878" s="242"/>
      <c r="H878" s="242"/>
      <c r="I878" s="370">
        <v>0</v>
      </c>
      <c r="J878" s="370">
        <f t="shared" si="41"/>
        <v>2.0512820512820513E-2</v>
      </c>
      <c r="K878" s="370">
        <f t="shared" si="41"/>
        <v>4.6153846153846156E-2</v>
      </c>
      <c r="L878" s="370">
        <f t="shared" si="41"/>
        <v>7.179487179487179E-2</v>
      </c>
      <c r="M878" s="370">
        <f t="shared" si="41"/>
        <v>9.7435897435897437E-2</v>
      </c>
      <c r="N878" s="370">
        <f t="shared" si="41"/>
        <v>0.12307692307692308</v>
      </c>
      <c r="O878" s="370">
        <f t="shared" si="41"/>
        <v>0.14871794871794872</v>
      </c>
      <c r="P878" s="370">
        <f t="shared" si="41"/>
        <v>0.17435897435897435</v>
      </c>
      <c r="Q878" s="370">
        <v>0.2</v>
      </c>
      <c r="R878" s="242"/>
      <c r="T878" s="20"/>
      <c r="U878" s="20"/>
      <c r="V878" s="20"/>
      <c r="W878" s="20"/>
      <c r="X878" s="20"/>
    </row>
    <row r="879" spans="1:24" s="65" customFormat="1" ht="15" customHeight="1" outlineLevel="2">
      <c r="A879" s="219"/>
      <c r="B879" s="242"/>
      <c r="C879" s="242" t="s">
        <v>1844</v>
      </c>
      <c r="D879" s="121" t="str">
        <f>INDEX(Regional.Technologies[Description],MATCH($B$2&amp;"."&amp;G.30.levels.EnergyEfficiency[[#This Row],[Technology code]],Regional.Technologies[Code],0))</f>
        <v>Global Heat use in the Chemicals: Others technology</v>
      </c>
      <c r="E879" s="121">
        <v>3</v>
      </c>
      <c r="F879" s="242" t="s">
        <v>1920</v>
      </c>
      <c r="G879" s="242"/>
      <c r="H879" s="242"/>
      <c r="I879" s="370">
        <v>0</v>
      </c>
      <c r="J879" s="370">
        <f t="shared" si="41"/>
        <v>3.0769230769230767E-2</v>
      </c>
      <c r="K879" s="370">
        <f t="shared" si="41"/>
        <v>6.9230769230769221E-2</v>
      </c>
      <c r="L879" s="370">
        <f t="shared" si="41"/>
        <v>0.10769230769230768</v>
      </c>
      <c r="M879" s="370">
        <f t="shared" si="41"/>
        <v>0.14615384615384613</v>
      </c>
      <c r="N879" s="370">
        <f t="shared" si="41"/>
        <v>0.1846153846153846</v>
      </c>
      <c r="O879" s="370">
        <f t="shared" si="41"/>
        <v>0.22307692307692306</v>
      </c>
      <c r="P879" s="370">
        <f t="shared" si="41"/>
        <v>0.2615384615384615</v>
      </c>
      <c r="Q879" s="370">
        <v>0.3</v>
      </c>
      <c r="R879" s="242"/>
      <c r="T879" s="20"/>
      <c r="U879" s="20"/>
      <c r="V879" s="20"/>
      <c r="W879" s="20"/>
      <c r="X879" s="20"/>
    </row>
    <row r="880" spans="1:24" s="65" customFormat="1" ht="15" customHeight="1" outlineLevel="2">
      <c r="A880" s="219"/>
      <c r="B880" s="242"/>
      <c r="C880" s="242" t="s">
        <v>1844</v>
      </c>
      <c r="D880" s="121" t="str">
        <f>INDEX(Regional.Technologies[Description],MATCH($B$2&amp;"."&amp;G.30.levels.EnergyEfficiency[[#This Row],[Technology code]],Regional.Technologies[Code],0))</f>
        <v>Global Heat use in the Chemicals: Others technology</v>
      </c>
      <c r="E880" s="121">
        <v>4</v>
      </c>
      <c r="F880" s="242" t="s">
        <v>1920</v>
      </c>
      <c r="G880" s="242"/>
      <c r="H880" s="242"/>
      <c r="I880" s="370">
        <v>0</v>
      </c>
      <c r="J880" s="370">
        <f t="shared" si="41"/>
        <v>4.1025641025641026E-2</v>
      </c>
      <c r="K880" s="370">
        <f t="shared" si="41"/>
        <v>9.2307692307692313E-2</v>
      </c>
      <c r="L880" s="370">
        <f t="shared" si="41"/>
        <v>0.14358974358974358</v>
      </c>
      <c r="M880" s="370">
        <f t="shared" si="41"/>
        <v>0.19487179487179487</v>
      </c>
      <c r="N880" s="370">
        <f t="shared" si="41"/>
        <v>0.24615384615384617</v>
      </c>
      <c r="O880" s="370">
        <f t="shared" si="41"/>
        <v>0.29743589743589743</v>
      </c>
      <c r="P880" s="370">
        <f t="shared" si="41"/>
        <v>0.3487179487179487</v>
      </c>
      <c r="Q880" s="370">
        <v>0.4</v>
      </c>
      <c r="R880" s="242"/>
      <c r="T880" s="20"/>
      <c r="U880" s="20"/>
      <c r="V880" s="20"/>
      <c r="W880" s="20"/>
      <c r="X880" s="20"/>
    </row>
    <row r="881" spans="1:24" s="65" customFormat="1" ht="15" customHeight="1" outlineLevel="2">
      <c r="A881" s="219"/>
      <c r="B881" s="242"/>
      <c r="C881" s="242" t="s">
        <v>1845</v>
      </c>
      <c r="D881" s="121" t="str">
        <f>INDEX(Regional.Technologies[Description],MATCH($B$2&amp;"."&amp;G.30.levels.EnergyEfficiency[[#This Row],[Technology code]],Regional.Technologies[Code],0))</f>
        <v>Global Electricity use in the Pulp &amp; paper: Pulp technology</v>
      </c>
      <c r="E881" s="121">
        <v>1</v>
      </c>
      <c r="F881" s="242" t="s">
        <v>1921</v>
      </c>
      <c r="G881" s="242"/>
      <c r="H881" s="242"/>
      <c r="I881" s="370">
        <v>0</v>
      </c>
      <c r="J881" s="370">
        <f t="shared" si="41"/>
        <v>0</v>
      </c>
      <c r="K881" s="370">
        <f t="shared" si="41"/>
        <v>0</v>
      </c>
      <c r="L881" s="370">
        <f t="shared" si="41"/>
        <v>0</v>
      </c>
      <c r="M881" s="370">
        <f t="shared" si="41"/>
        <v>0</v>
      </c>
      <c r="N881" s="370">
        <f t="shared" si="41"/>
        <v>0</v>
      </c>
      <c r="O881" s="370">
        <f t="shared" si="41"/>
        <v>0</v>
      </c>
      <c r="P881" s="370">
        <f t="shared" si="41"/>
        <v>0</v>
      </c>
      <c r="Q881" s="370">
        <v>0</v>
      </c>
      <c r="R881" s="242"/>
      <c r="T881" s="20"/>
      <c r="U881" s="20"/>
      <c r="V881" s="20"/>
      <c r="W881" s="20"/>
      <c r="X881" s="20"/>
    </row>
    <row r="882" spans="1:24" s="65" customFormat="1" ht="15" customHeight="1" outlineLevel="2">
      <c r="A882" s="219"/>
      <c r="B882" s="242"/>
      <c r="C882" s="242" t="s">
        <v>1845</v>
      </c>
      <c r="D882" s="121" t="str">
        <f>INDEX(Regional.Technologies[Description],MATCH($B$2&amp;"."&amp;G.30.levels.EnergyEfficiency[[#This Row],[Technology code]],Regional.Technologies[Code],0))</f>
        <v>Global Electricity use in the Pulp &amp; paper: Pulp technology</v>
      </c>
      <c r="E882" s="121">
        <v>2</v>
      </c>
      <c r="F882" s="242" t="s">
        <v>1921</v>
      </c>
      <c r="G882" s="242"/>
      <c r="H882" s="242"/>
      <c r="I882" s="370">
        <v>0</v>
      </c>
      <c r="J882" s="370">
        <f t="shared" si="41"/>
        <v>2.0512820512820513E-2</v>
      </c>
      <c r="K882" s="370">
        <f t="shared" si="41"/>
        <v>4.6153846153846156E-2</v>
      </c>
      <c r="L882" s="370">
        <f t="shared" si="41"/>
        <v>7.179487179487179E-2</v>
      </c>
      <c r="M882" s="370">
        <f t="shared" si="41"/>
        <v>9.7435897435897437E-2</v>
      </c>
      <c r="N882" s="370">
        <f t="shared" si="41"/>
        <v>0.12307692307692308</v>
      </c>
      <c r="O882" s="370">
        <f t="shared" si="41"/>
        <v>0.14871794871794872</v>
      </c>
      <c r="P882" s="370">
        <f t="shared" si="41"/>
        <v>0.17435897435897435</v>
      </c>
      <c r="Q882" s="370">
        <v>0.2</v>
      </c>
      <c r="R882" s="242"/>
      <c r="T882" s="20"/>
      <c r="U882" s="20"/>
      <c r="V882" s="20"/>
      <c r="W882" s="20"/>
      <c r="X882" s="20"/>
    </row>
    <row r="883" spans="1:24" s="65" customFormat="1" ht="15" customHeight="1" outlineLevel="2">
      <c r="A883" s="219"/>
      <c r="B883" s="242"/>
      <c r="C883" s="242" t="s">
        <v>1845</v>
      </c>
      <c r="D883" s="121" t="str">
        <f>INDEX(Regional.Technologies[Description],MATCH($B$2&amp;"."&amp;G.30.levels.EnergyEfficiency[[#This Row],[Technology code]],Regional.Technologies[Code],0))</f>
        <v>Global Electricity use in the Pulp &amp; paper: Pulp technology</v>
      </c>
      <c r="E883" s="121">
        <v>3</v>
      </c>
      <c r="F883" s="242" t="s">
        <v>1921</v>
      </c>
      <c r="G883" s="242"/>
      <c r="H883" s="242"/>
      <c r="I883" s="370">
        <v>0</v>
      </c>
      <c r="J883" s="370">
        <f t="shared" si="41"/>
        <v>3.0769230769230767E-2</v>
      </c>
      <c r="K883" s="370">
        <f t="shared" si="41"/>
        <v>6.9230769230769221E-2</v>
      </c>
      <c r="L883" s="370">
        <f t="shared" si="41"/>
        <v>0.10769230769230768</v>
      </c>
      <c r="M883" s="370">
        <f t="shared" si="41"/>
        <v>0.14615384615384613</v>
      </c>
      <c r="N883" s="370">
        <f t="shared" si="41"/>
        <v>0.1846153846153846</v>
      </c>
      <c r="O883" s="370">
        <f t="shared" si="41"/>
        <v>0.22307692307692306</v>
      </c>
      <c r="P883" s="370">
        <f t="shared" si="41"/>
        <v>0.2615384615384615</v>
      </c>
      <c r="Q883" s="370">
        <v>0.3</v>
      </c>
      <c r="R883" s="242"/>
      <c r="T883" s="20"/>
      <c r="U883" s="20"/>
      <c r="V883" s="20"/>
      <c r="W883" s="20"/>
      <c r="X883" s="20"/>
    </row>
    <row r="884" spans="1:24" s="65" customFormat="1" ht="15" customHeight="1" outlineLevel="2">
      <c r="A884" s="219"/>
      <c r="B884" s="242"/>
      <c r="C884" s="242" t="s">
        <v>1845</v>
      </c>
      <c r="D884" s="121" t="str">
        <f>INDEX(Regional.Technologies[Description],MATCH($B$2&amp;"."&amp;G.30.levels.EnergyEfficiency[[#This Row],[Technology code]],Regional.Technologies[Code],0))</f>
        <v>Global Electricity use in the Pulp &amp; paper: Pulp technology</v>
      </c>
      <c r="E884" s="121">
        <v>4</v>
      </c>
      <c r="F884" s="242" t="s">
        <v>1921</v>
      </c>
      <c r="G884" s="242"/>
      <c r="H884" s="242"/>
      <c r="I884" s="370">
        <v>0</v>
      </c>
      <c r="J884" s="370">
        <f t="shared" si="41"/>
        <v>4.1025641025641026E-2</v>
      </c>
      <c r="K884" s="370">
        <f t="shared" si="41"/>
        <v>9.2307692307692313E-2</v>
      </c>
      <c r="L884" s="370">
        <f t="shared" si="41"/>
        <v>0.14358974358974358</v>
      </c>
      <c r="M884" s="370">
        <f t="shared" si="41"/>
        <v>0.19487179487179487</v>
      </c>
      <c r="N884" s="370">
        <f t="shared" si="41"/>
        <v>0.24615384615384617</v>
      </c>
      <c r="O884" s="370">
        <f t="shared" si="41"/>
        <v>0.29743589743589743</v>
      </c>
      <c r="P884" s="370">
        <f t="shared" si="41"/>
        <v>0.3487179487179487</v>
      </c>
      <c r="Q884" s="370">
        <v>0.4</v>
      </c>
      <c r="R884" s="242"/>
      <c r="T884" s="20"/>
      <c r="U884" s="20"/>
      <c r="V884" s="20"/>
      <c r="W884" s="20"/>
      <c r="X884" s="20"/>
    </row>
    <row r="885" spans="1:24" s="65" customFormat="1" ht="15" customHeight="1" outlineLevel="2">
      <c r="A885" s="219"/>
      <c r="B885" s="242"/>
      <c r="C885" s="242" t="s">
        <v>1846</v>
      </c>
      <c r="D885" s="121" t="str">
        <f>INDEX(Regional.Technologies[Description],MATCH($B$2&amp;"."&amp;G.30.levels.EnergyEfficiency[[#This Row],[Technology code]],Regional.Technologies[Code],0))</f>
        <v>Global Coal use in the Pulp &amp; paper: Pulp technology</v>
      </c>
      <c r="E885" s="121">
        <v>1</v>
      </c>
      <c r="F885" s="242" t="s">
        <v>1921</v>
      </c>
      <c r="G885" s="242"/>
      <c r="H885" s="242"/>
      <c r="I885" s="370">
        <v>0</v>
      </c>
      <c r="J885" s="370">
        <f t="shared" si="41"/>
        <v>0</v>
      </c>
      <c r="K885" s="370">
        <f t="shared" si="41"/>
        <v>0</v>
      </c>
      <c r="L885" s="370">
        <f t="shared" si="41"/>
        <v>0</v>
      </c>
      <c r="M885" s="370">
        <f t="shared" si="41"/>
        <v>0</v>
      </c>
      <c r="N885" s="370">
        <f t="shared" si="41"/>
        <v>0</v>
      </c>
      <c r="O885" s="370">
        <f t="shared" si="41"/>
        <v>0</v>
      </c>
      <c r="P885" s="370">
        <f t="shared" si="41"/>
        <v>0</v>
      </c>
      <c r="Q885" s="370">
        <v>0</v>
      </c>
      <c r="R885" s="242"/>
      <c r="T885" s="20"/>
      <c r="U885" s="20"/>
      <c r="V885" s="20"/>
      <c r="W885" s="20"/>
      <c r="X885" s="20"/>
    </row>
    <row r="886" spans="1:24" s="65" customFormat="1" ht="15" customHeight="1" outlineLevel="2">
      <c r="A886" s="219"/>
      <c r="B886" s="242"/>
      <c r="C886" s="242" t="s">
        <v>1846</v>
      </c>
      <c r="D886" s="121" t="str">
        <f>INDEX(Regional.Technologies[Description],MATCH($B$2&amp;"."&amp;G.30.levels.EnergyEfficiency[[#This Row],[Technology code]],Regional.Technologies[Code],0))</f>
        <v>Global Coal use in the Pulp &amp; paper: Pulp technology</v>
      </c>
      <c r="E886" s="121">
        <v>2</v>
      </c>
      <c r="F886" s="242" t="s">
        <v>1921</v>
      </c>
      <c r="G886" s="242"/>
      <c r="H886" s="242"/>
      <c r="I886" s="370">
        <v>0</v>
      </c>
      <c r="J886" s="370">
        <f t="shared" si="41"/>
        <v>2.0512820512820513E-2</v>
      </c>
      <c r="K886" s="370">
        <f t="shared" si="41"/>
        <v>4.6153846153846156E-2</v>
      </c>
      <c r="L886" s="370">
        <f t="shared" si="41"/>
        <v>7.179487179487179E-2</v>
      </c>
      <c r="M886" s="370">
        <f t="shared" si="41"/>
        <v>9.7435897435897437E-2</v>
      </c>
      <c r="N886" s="370">
        <f t="shared" si="41"/>
        <v>0.12307692307692308</v>
      </c>
      <c r="O886" s="370">
        <f t="shared" ref="J886:P923" si="42">(($Q886-$I886)/($Q$121-$I$121))*(O$121-$I$121)+$I886</f>
        <v>0.14871794871794872</v>
      </c>
      <c r="P886" s="370">
        <f t="shared" si="42"/>
        <v>0.17435897435897435</v>
      </c>
      <c r="Q886" s="370">
        <v>0.2</v>
      </c>
      <c r="R886" s="242"/>
      <c r="T886" s="20"/>
      <c r="U886" s="20"/>
      <c r="V886" s="20"/>
      <c r="W886" s="20"/>
      <c r="X886" s="20"/>
    </row>
    <row r="887" spans="1:24" s="65" customFormat="1" ht="15" customHeight="1" outlineLevel="2">
      <c r="A887" s="219"/>
      <c r="B887" s="242"/>
      <c r="C887" s="242" t="s">
        <v>1846</v>
      </c>
      <c r="D887" s="121" t="str">
        <f>INDEX(Regional.Technologies[Description],MATCH($B$2&amp;"."&amp;G.30.levels.EnergyEfficiency[[#This Row],[Technology code]],Regional.Technologies[Code],0))</f>
        <v>Global Coal use in the Pulp &amp; paper: Pulp technology</v>
      </c>
      <c r="E887" s="121">
        <v>3</v>
      </c>
      <c r="F887" s="242" t="s">
        <v>1921</v>
      </c>
      <c r="G887" s="242"/>
      <c r="H887" s="242"/>
      <c r="I887" s="370">
        <v>0</v>
      </c>
      <c r="J887" s="370">
        <f t="shared" si="42"/>
        <v>3.0769230769230767E-2</v>
      </c>
      <c r="K887" s="370">
        <f t="shared" si="42"/>
        <v>6.9230769230769221E-2</v>
      </c>
      <c r="L887" s="370">
        <f t="shared" si="42"/>
        <v>0.10769230769230768</v>
      </c>
      <c r="M887" s="370">
        <f t="shared" si="42"/>
        <v>0.14615384615384613</v>
      </c>
      <c r="N887" s="370">
        <f t="shared" si="42"/>
        <v>0.1846153846153846</v>
      </c>
      <c r="O887" s="370">
        <f t="shared" si="42"/>
        <v>0.22307692307692306</v>
      </c>
      <c r="P887" s="370">
        <f t="shared" si="42"/>
        <v>0.2615384615384615</v>
      </c>
      <c r="Q887" s="370">
        <v>0.3</v>
      </c>
      <c r="R887" s="242"/>
      <c r="T887" s="20"/>
      <c r="U887" s="20"/>
      <c r="V887" s="20"/>
      <c r="W887" s="20"/>
      <c r="X887" s="20"/>
    </row>
    <row r="888" spans="1:24" s="65" customFormat="1" ht="15" customHeight="1" outlineLevel="2">
      <c r="A888" s="219"/>
      <c r="B888" s="242"/>
      <c r="C888" s="242" t="s">
        <v>1846</v>
      </c>
      <c r="D888" s="121" t="str">
        <f>INDEX(Regional.Technologies[Description],MATCH($B$2&amp;"."&amp;G.30.levels.EnergyEfficiency[[#This Row],[Technology code]],Regional.Technologies[Code],0))</f>
        <v>Global Coal use in the Pulp &amp; paper: Pulp technology</v>
      </c>
      <c r="E888" s="121">
        <v>4</v>
      </c>
      <c r="F888" s="242" t="s">
        <v>1921</v>
      </c>
      <c r="G888" s="242"/>
      <c r="H888" s="242"/>
      <c r="I888" s="370">
        <v>0</v>
      </c>
      <c r="J888" s="370">
        <f t="shared" si="42"/>
        <v>4.1025641025641026E-2</v>
      </c>
      <c r="K888" s="370">
        <f t="shared" si="42"/>
        <v>9.2307692307692313E-2</v>
      </c>
      <c r="L888" s="370">
        <f t="shared" si="42"/>
        <v>0.14358974358974358</v>
      </c>
      <c r="M888" s="370">
        <f t="shared" si="42"/>
        <v>0.19487179487179487</v>
      </c>
      <c r="N888" s="370">
        <f t="shared" si="42"/>
        <v>0.24615384615384617</v>
      </c>
      <c r="O888" s="370">
        <f t="shared" si="42"/>
        <v>0.29743589743589743</v>
      </c>
      <c r="P888" s="370">
        <f t="shared" si="42"/>
        <v>0.3487179487179487</v>
      </c>
      <c r="Q888" s="370">
        <v>0.4</v>
      </c>
      <c r="R888" s="242"/>
      <c r="T888" s="20"/>
      <c r="U888" s="20"/>
      <c r="V888" s="20"/>
      <c r="W888" s="20"/>
      <c r="X888" s="20"/>
    </row>
    <row r="889" spans="1:24" s="65" customFormat="1" ht="15" customHeight="1" outlineLevel="2">
      <c r="A889" s="219"/>
      <c r="B889" s="242"/>
      <c r="C889" s="242" t="s">
        <v>1847</v>
      </c>
      <c r="D889" s="121" t="str">
        <f>INDEX(Regional.Technologies[Description],MATCH($B$2&amp;"."&amp;G.30.levels.EnergyEfficiency[[#This Row],[Technology code]],Regional.Technologies[Code],0))</f>
        <v>Global Oil use in the Pulp &amp; paper: Pulp technology</v>
      </c>
      <c r="E889" s="121">
        <v>1</v>
      </c>
      <c r="F889" s="242" t="s">
        <v>1921</v>
      </c>
      <c r="G889" s="242"/>
      <c r="H889" s="242"/>
      <c r="I889" s="370">
        <v>0</v>
      </c>
      <c r="J889" s="370">
        <f t="shared" si="42"/>
        <v>0</v>
      </c>
      <c r="K889" s="370">
        <f t="shared" si="42"/>
        <v>0</v>
      </c>
      <c r="L889" s="370">
        <f t="shared" si="42"/>
        <v>0</v>
      </c>
      <c r="M889" s="370">
        <f t="shared" si="42"/>
        <v>0</v>
      </c>
      <c r="N889" s="370">
        <f t="shared" si="42"/>
        <v>0</v>
      </c>
      <c r="O889" s="370">
        <f t="shared" si="42"/>
        <v>0</v>
      </c>
      <c r="P889" s="370">
        <f t="shared" si="42"/>
        <v>0</v>
      </c>
      <c r="Q889" s="370">
        <v>0</v>
      </c>
      <c r="R889" s="242"/>
      <c r="T889" s="20"/>
      <c r="U889" s="20"/>
      <c r="V889" s="20"/>
      <c r="W889" s="20"/>
      <c r="X889" s="20"/>
    </row>
    <row r="890" spans="1:24" s="65" customFormat="1" ht="15" customHeight="1" outlineLevel="2">
      <c r="A890" s="219"/>
      <c r="B890" s="242"/>
      <c r="C890" s="242" t="s">
        <v>1847</v>
      </c>
      <c r="D890" s="121" t="str">
        <f>INDEX(Regional.Technologies[Description],MATCH($B$2&amp;"."&amp;G.30.levels.EnergyEfficiency[[#This Row],[Technology code]],Regional.Technologies[Code],0))</f>
        <v>Global Oil use in the Pulp &amp; paper: Pulp technology</v>
      </c>
      <c r="E890" s="121">
        <v>2</v>
      </c>
      <c r="F890" s="242" t="s">
        <v>1921</v>
      </c>
      <c r="G890" s="242"/>
      <c r="H890" s="242"/>
      <c r="I890" s="370">
        <v>0</v>
      </c>
      <c r="J890" s="370">
        <f t="shared" si="42"/>
        <v>2.0512820512820513E-2</v>
      </c>
      <c r="K890" s="370">
        <f t="shared" si="42"/>
        <v>4.6153846153846156E-2</v>
      </c>
      <c r="L890" s="370">
        <f t="shared" si="42"/>
        <v>7.179487179487179E-2</v>
      </c>
      <c r="M890" s="370">
        <f t="shared" si="42"/>
        <v>9.7435897435897437E-2</v>
      </c>
      <c r="N890" s="370">
        <f t="shared" si="42"/>
        <v>0.12307692307692308</v>
      </c>
      <c r="O890" s="370">
        <f t="shared" si="42"/>
        <v>0.14871794871794872</v>
      </c>
      <c r="P890" s="370">
        <f t="shared" si="42"/>
        <v>0.17435897435897435</v>
      </c>
      <c r="Q890" s="370">
        <v>0.2</v>
      </c>
      <c r="R890" s="242"/>
      <c r="T890" s="20"/>
      <c r="U890" s="20"/>
      <c r="V890" s="20"/>
      <c r="W890" s="20"/>
      <c r="X890" s="20"/>
    </row>
    <row r="891" spans="1:24" s="65" customFormat="1" ht="15" customHeight="1" outlineLevel="2">
      <c r="A891" s="219"/>
      <c r="B891" s="242"/>
      <c r="C891" s="242" t="s">
        <v>1847</v>
      </c>
      <c r="D891" s="121" t="str">
        <f>INDEX(Regional.Technologies[Description],MATCH($B$2&amp;"."&amp;G.30.levels.EnergyEfficiency[[#This Row],[Technology code]],Regional.Technologies[Code],0))</f>
        <v>Global Oil use in the Pulp &amp; paper: Pulp technology</v>
      </c>
      <c r="E891" s="121">
        <v>3</v>
      </c>
      <c r="F891" s="242" t="s">
        <v>1921</v>
      </c>
      <c r="G891" s="242"/>
      <c r="H891" s="242"/>
      <c r="I891" s="370">
        <v>0</v>
      </c>
      <c r="J891" s="370">
        <f t="shared" si="42"/>
        <v>3.0769230769230767E-2</v>
      </c>
      <c r="K891" s="370">
        <f t="shared" si="42"/>
        <v>6.9230769230769221E-2</v>
      </c>
      <c r="L891" s="370">
        <f t="shared" si="42"/>
        <v>0.10769230769230768</v>
      </c>
      <c r="M891" s="370">
        <f t="shared" si="42"/>
        <v>0.14615384615384613</v>
      </c>
      <c r="N891" s="370">
        <f t="shared" si="42"/>
        <v>0.1846153846153846</v>
      </c>
      <c r="O891" s="370">
        <f t="shared" si="42"/>
        <v>0.22307692307692306</v>
      </c>
      <c r="P891" s="370">
        <f t="shared" si="42"/>
        <v>0.2615384615384615</v>
      </c>
      <c r="Q891" s="370">
        <v>0.3</v>
      </c>
      <c r="R891" s="242"/>
      <c r="T891" s="20"/>
      <c r="U891" s="20"/>
      <c r="V891" s="20"/>
      <c r="W891" s="20"/>
      <c r="X891" s="20"/>
    </row>
    <row r="892" spans="1:24" s="65" customFormat="1" ht="15" customHeight="1" outlineLevel="2">
      <c r="A892" s="219"/>
      <c r="B892" s="242"/>
      <c r="C892" s="242" t="s">
        <v>1847</v>
      </c>
      <c r="D892" s="121" t="str">
        <f>INDEX(Regional.Technologies[Description],MATCH($B$2&amp;"."&amp;G.30.levels.EnergyEfficiency[[#This Row],[Technology code]],Regional.Technologies[Code],0))</f>
        <v>Global Oil use in the Pulp &amp; paper: Pulp technology</v>
      </c>
      <c r="E892" s="121">
        <v>4</v>
      </c>
      <c r="F892" s="242" t="s">
        <v>1921</v>
      </c>
      <c r="G892" s="242"/>
      <c r="H892" s="242"/>
      <c r="I892" s="370">
        <v>0</v>
      </c>
      <c r="J892" s="370">
        <f t="shared" si="42"/>
        <v>4.1025641025641026E-2</v>
      </c>
      <c r="K892" s="370">
        <f t="shared" si="42"/>
        <v>9.2307692307692313E-2</v>
      </c>
      <c r="L892" s="370">
        <f t="shared" si="42"/>
        <v>0.14358974358974358</v>
      </c>
      <c r="M892" s="370">
        <f t="shared" si="42"/>
        <v>0.19487179487179487</v>
      </c>
      <c r="N892" s="370">
        <f t="shared" si="42"/>
        <v>0.24615384615384617</v>
      </c>
      <c r="O892" s="370">
        <f t="shared" si="42"/>
        <v>0.29743589743589743</v>
      </c>
      <c r="P892" s="370">
        <f t="shared" si="42"/>
        <v>0.3487179487179487</v>
      </c>
      <c r="Q892" s="370">
        <v>0.4</v>
      </c>
      <c r="R892" s="242"/>
      <c r="T892" s="20"/>
      <c r="U892" s="20"/>
      <c r="V892" s="20"/>
      <c r="W892" s="20"/>
      <c r="X892" s="20"/>
    </row>
    <row r="893" spans="1:24" s="65" customFormat="1" ht="15" customHeight="1" outlineLevel="2">
      <c r="A893" s="219"/>
      <c r="B893" s="242"/>
      <c r="C893" s="242" t="s">
        <v>1848</v>
      </c>
      <c r="D893" s="121" t="str">
        <f>INDEX(Regional.Technologies[Description],MATCH($B$2&amp;"."&amp;G.30.levels.EnergyEfficiency[[#This Row],[Technology code]],Regional.Technologies[Code],0))</f>
        <v>Global Natural Gas use in the Pulp &amp; paper: Pulp technology</v>
      </c>
      <c r="E893" s="121">
        <v>1</v>
      </c>
      <c r="F893" s="242" t="s">
        <v>1921</v>
      </c>
      <c r="G893" s="242"/>
      <c r="H893" s="242"/>
      <c r="I893" s="370">
        <v>0</v>
      </c>
      <c r="J893" s="370">
        <f t="shared" si="42"/>
        <v>0</v>
      </c>
      <c r="K893" s="370">
        <f t="shared" si="42"/>
        <v>0</v>
      </c>
      <c r="L893" s="370">
        <f t="shared" si="42"/>
        <v>0</v>
      </c>
      <c r="M893" s="370">
        <f t="shared" si="42"/>
        <v>0</v>
      </c>
      <c r="N893" s="370">
        <f t="shared" si="42"/>
        <v>0</v>
      </c>
      <c r="O893" s="370">
        <f t="shared" si="42"/>
        <v>0</v>
      </c>
      <c r="P893" s="370">
        <f t="shared" si="42"/>
        <v>0</v>
      </c>
      <c r="Q893" s="370">
        <v>0</v>
      </c>
      <c r="R893" s="242"/>
      <c r="T893" s="20"/>
      <c r="U893" s="20"/>
      <c r="V893" s="20"/>
      <c r="W893" s="20"/>
      <c r="X893" s="20"/>
    </row>
    <row r="894" spans="1:24" s="65" customFormat="1" ht="15" customHeight="1" outlineLevel="2">
      <c r="A894" s="219"/>
      <c r="B894" s="242"/>
      <c r="C894" s="242" t="s">
        <v>1848</v>
      </c>
      <c r="D894" s="121" t="str">
        <f>INDEX(Regional.Technologies[Description],MATCH($B$2&amp;"."&amp;G.30.levels.EnergyEfficiency[[#This Row],[Technology code]],Regional.Technologies[Code],0))</f>
        <v>Global Natural Gas use in the Pulp &amp; paper: Pulp technology</v>
      </c>
      <c r="E894" s="121">
        <v>2</v>
      </c>
      <c r="F894" s="242" t="s">
        <v>1921</v>
      </c>
      <c r="G894" s="242"/>
      <c r="H894" s="242"/>
      <c r="I894" s="370">
        <v>0</v>
      </c>
      <c r="J894" s="370">
        <f t="shared" si="42"/>
        <v>2.0512820512820513E-2</v>
      </c>
      <c r="K894" s="370">
        <f t="shared" si="42"/>
        <v>4.6153846153846156E-2</v>
      </c>
      <c r="L894" s="370">
        <f t="shared" si="42"/>
        <v>7.179487179487179E-2</v>
      </c>
      <c r="M894" s="370">
        <f t="shared" si="42"/>
        <v>9.7435897435897437E-2</v>
      </c>
      <c r="N894" s="370">
        <f t="shared" si="42"/>
        <v>0.12307692307692308</v>
      </c>
      <c r="O894" s="370">
        <f t="shared" si="42"/>
        <v>0.14871794871794872</v>
      </c>
      <c r="P894" s="370">
        <f t="shared" si="42"/>
        <v>0.17435897435897435</v>
      </c>
      <c r="Q894" s="370">
        <v>0.2</v>
      </c>
      <c r="R894" s="242"/>
      <c r="T894" s="20"/>
      <c r="U894" s="20"/>
      <c r="V894" s="20"/>
      <c r="W894" s="20"/>
      <c r="X894" s="20"/>
    </row>
    <row r="895" spans="1:24" s="65" customFormat="1" ht="15" customHeight="1" outlineLevel="2">
      <c r="A895" s="219"/>
      <c r="B895" s="242"/>
      <c r="C895" s="242" t="s">
        <v>1848</v>
      </c>
      <c r="D895" s="121" t="str">
        <f>INDEX(Regional.Technologies[Description],MATCH($B$2&amp;"."&amp;G.30.levels.EnergyEfficiency[[#This Row],[Technology code]],Regional.Technologies[Code],0))</f>
        <v>Global Natural Gas use in the Pulp &amp; paper: Pulp technology</v>
      </c>
      <c r="E895" s="121">
        <v>3</v>
      </c>
      <c r="F895" s="242" t="s">
        <v>1921</v>
      </c>
      <c r="G895" s="242"/>
      <c r="H895" s="242"/>
      <c r="I895" s="370">
        <v>0</v>
      </c>
      <c r="J895" s="370">
        <f t="shared" si="42"/>
        <v>3.0769230769230767E-2</v>
      </c>
      <c r="K895" s="370">
        <f t="shared" si="42"/>
        <v>6.9230769230769221E-2</v>
      </c>
      <c r="L895" s="370">
        <f t="shared" si="42"/>
        <v>0.10769230769230768</v>
      </c>
      <c r="M895" s="370">
        <f t="shared" si="42"/>
        <v>0.14615384615384613</v>
      </c>
      <c r="N895" s="370">
        <f t="shared" si="42"/>
        <v>0.1846153846153846</v>
      </c>
      <c r="O895" s="370">
        <f t="shared" si="42"/>
        <v>0.22307692307692306</v>
      </c>
      <c r="P895" s="370">
        <f t="shared" si="42"/>
        <v>0.2615384615384615</v>
      </c>
      <c r="Q895" s="370">
        <v>0.3</v>
      </c>
      <c r="R895" s="242"/>
      <c r="T895" s="20"/>
      <c r="U895" s="20"/>
      <c r="V895" s="20"/>
      <c r="W895" s="20"/>
      <c r="X895" s="20"/>
    </row>
    <row r="896" spans="1:24" s="65" customFormat="1" ht="15" customHeight="1" outlineLevel="2">
      <c r="A896" s="219"/>
      <c r="B896" s="242"/>
      <c r="C896" s="242" t="s">
        <v>1848</v>
      </c>
      <c r="D896" s="121" t="str">
        <f>INDEX(Regional.Technologies[Description],MATCH($B$2&amp;"."&amp;G.30.levels.EnergyEfficiency[[#This Row],[Technology code]],Regional.Technologies[Code],0))</f>
        <v>Global Natural Gas use in the Pulp &amp; paper: Pulp technology</v>
      </c>
      <c r="E896" s="121">
        <v>4</v>
      </c>
      <c r="F896" s="242" t="s">
        <v>1921</v>
      </c>
      <c r="G896" s="242"/>
      <c r="H896" s="242"/>
      <c r="I896" s="370">
        <v>0</v>
      </c>
      <c r="J896" s="370">
        <f t="shared" si="42"/>
        <v>4.1025641025641026E-2</v>
      </c>
      <c r="K896" s="370">
        <f t="shared" si="42"/>
        <v>9.2307692307692313E-2</v>
      </c>
      <c r="L896" s="370">
        <f t="shared" si="42"/>
        <v>0.14358974358974358</v>
      </c>
      <c r="M896" s="370">
        <f t="shared" si="42"/>
        <v>0.19487179487179487</v>
      </c>
      <c r="N896" s="370">
        <f t="shared" si="42"/>
        <v>0.24615384615384617</v>
      </c>
      <c r="O896" s="370">
        <f t="shared" si="42"/>
        <v>0.29743589743589743</v>
      </c>
      <c r="P896" s="370">
        <f t="shared" si="42"/>
        <v>0.3487179487179487</v>
      </c>
      <c r="Q896" s="370">
        <v>0.4</v>
      </c>
      <c r="R896" s="242"/>
      <c r="T896" s="20"/>
      <c r="U896" s="20"/>
      <c r="V896" s="20"/>
      <c r="W896" s="20"/>
      <c r="X896" s="20"/>
    </row>
    <row r="897" spans="1:24" s="65" customFormat="1" ht="15" customHeight="1" outlineLevel="2">
      <c r="A897" s="219"/>
      <c r="B897" s="242"/>
      <c r="C897" s="242" t="s">
        <v>1849</v>
      </c>
      <c r="D897" s="121" t="str">
        <f>INDEX(Regional.Technologies[Description],MATCH($B$2&amp;"."&amp;G.30.levels.EnergyEfficiency[[#This Row],[Technology code]],Regional.Technologies[Code],0))</f>
        <v>Global Solid Hydrocarbons use in the Pulp &amp; paper: Pulp technology</v>
      </c>
      <c r="E897" s="121">
        <v>1</v>
      </c>
      <c r="F897" s="242" t="s">
        <v>1921</v>
      </c>
      <c r="G897" s="242"/>
      <c r="H897" s="242"/>
      <c r="I897" s="370">
        <v>0</v>
      </c>
      <c r="J897" s="370">
        <f t="shared" si="42"/>
        <v>0</v>
      </c>
      <c r="K897" s="370">
        <f t="shared" si="42"/>
        <v>0</v>
      </c>
      <c r="L897" s="370">
        <f t="shared" si="42"/>
        <v>0</v>
      </c>
      <c r="M897" s="370">
        <f t="shared" si="42"/>
        <v>0</v>
      </c>
      <c r="N897" s="370">
        <f t="shared" si="42"/>
        <v>0</v>
      </c>
      <c r="O897" s="370">
        <f t="shared" si="42"/>
        <v>0</v>
      </c>
      <c r="P897" s="370">
        <f t="shared" si="42"/>
        <v>0</v>
      </c>
      <c r="Q897" s="370">
        <v>0</v>
      </c>
      <c r="R897" s="242"/>
      <c r="T897" s="20"/>
      <c r="U897" s="20"/>
      <c r="V897" s="20"/>
      <c r="W897" s="20"/>
      <c r="X897" s="20"/>
    </row>
    <row r="898" spans="1:24" s="65" customFormat="1" ht="15" customHeight="1" outlineLevel="2">
      <c r="A898" s="219"/>
      <c r="B898" s="242"/>
      <c r="C898" s="242" t="s">
        <v>1849</v>
      </c>
      <c r="D898" s="121" t="str">
        <f>INDEX(Regional.Technologies[Description],MATCH($B$2&amp;"."&amp;G.30.levels.EnergyEfficiency[[#This Row],[Technology code]],Regional.Technologies[Code],0))</f>
        <v>Global Solid Hydrocarbons use in the Pulp &amp; paper: Pulp technology</v>
      </c>
      <c r="E898" s="121">
        <v>2</v>
      </c>
      <c r="F898" s="242" t="s">
        <v>1921</v>
      </c>
      <c r="G898" s="242"/>
      <c r="H898" s="242"/>
      <c r="I898" s="370">
        <v>0</v>
      </c>
      <c r="J898" s="370">
        <f t="shared" si="42"/>
        <v>2.0512820512820513E-2</v>
      </c>
      <c r="K898" s="370">
        <f t="shared" si="42"/>
        <v>4.6153846153846156E-2</v>
      </c>
      <c r="L898" s="370">
        <f t="shared" si="42"/>
        <v>7.179487179487179E-2</v>
      </c>
      <c r="M898" s="370">
        <f t="shared" si="42"/>
        <v>9.7435897435897437E-2</v>
      </c>
      <c r="N898" s="370">
        <f t="shared" si="42"/>
        <v>0.12307692307692308</v>
      </c>
      <c r="O898" s="370">
        <f t="shared" si="42"/>
        <v>0.14871794871794872</v>
      </c>
      <c r="P898" s="370">
        <f t="shared" si="42"/>
        <v>0.17435897435897435</v>
      </c>
      <c r="Q898" s="370">
        <v>0.2</v>
      </c>
      <c r="R898" s="242"/>
      <c r="T898" s="20"/>
      <c r="U898" s="20"/>
      <c r="V898" s="20"/>
      <c r="W898" s="20"/>
      <c r="X898" s="20"/>
    </row>
    <row r="899" spans="1:24" s="65" customFormat="1" ht="15" customHeight="1" outlineLevel="2">
      <c r="A899" s="219"/>
      <c r="B899" s="242"/>
      <c r="C899" s="242" t="s">
        <v>1849</v>
      </c>
      <c r="D899" s="121" t="str">
        <f>INDEX(Regional.Technologies[Description],MATCH($B$2&amp;"."&amp;G.30.levels.EnergyEfficiency[[#This Row],[Technology code]],Regional.Technologies[Code],0))</f>
        <v>Global Solid Hydrocarbons use in the Pulp &amp; paper: Pulp technology</v>
      </c>
      <c r="E899" s="121">
        <v>3</v>
      </c>
      <c r="F899" s="242" t="s">
        <v>1921</v>
      </c>
      <c r="G899" s="242"/>
      <c r="H899" s="242"/>
      <c r="I899" s="370">
        <v>0</v>
      </c>
      <c r="J899" s="370">
        <f t="shared" si="42"/>
        <v>3.0769230769230767E-2</v>
      </c>
      <c r="K899" s="370">
        <f t="shared" si="42"/>
        <v>6.9230769230769221E-2</v>
      </c>
      <c r="L899" s="370">
        <f t="shared" si="42"/>
        <v>0.10769230769230768</v>
      </c>
      <c r="M899" s="370">
        <f t="shared" si="42"/>
        <v>0.14615384615384613</v>
      </c>
      <c r="N899" s="370">
        <f t="shared" si="42"/>
        <v>0.1846153846153846</v>
      </c>
      <c r="O899" s="370">
        <f t="shared" si="42"/>
        <v>0.22307692307692306</v>
      </c>
      <c r="P899" s="370">
        <f t="shared" si="42"/>
        <v>0.2615384615384615</v>
      </c>
      <c r="Q899" s="370">
        <v>0.3</v>
      </c>
      <c r="R899" s="242"/>
      <c r="T899" s="20"/>
      <c r="U899" s="20"/>
      <c r="V899" s="20"/>
      <c r="W899" s="20"/>
      <c r="X899" s="20"/>
    </row>
    <row r="900" spans="1:24" s="65" customFormat="1" ht="15" customHeight="1" outlineLevel="2">
      <c r="A900" s="219"/>
      <c r="B900" s="242"/>
      <c r="C900" s="242" t="s">
        <v>1849</v>
      </c>
      <c r="D900" s="121" t="str">
        <f>INDEX(Regional.Technologies[Description],MATCH($B$2&amp;"."&amp;G.30.levels.EnergyEfficiency[[#This Row],[Technology code]],Regional.Technologies[Code],0))</f>
        <v>Global Solid Hydrocarbons use in the Pulp &amp; paper: Pulp technology</v>
      </c>
      <c r="E900" s="121">
        <v>4</v>
      </c>
      <c r="F900" s="242" t="s">
        <v>1921</v>
      </c>
      <c r="G900" s="242"/>
      <c r="H900" s="242"/>
      <c r="I900" s="370">
        <v>0</v>
      </c>
      <c r="J900" s="370">
        <f t="shared" si="42"/>
        <v>4.1025641025641026E-2</v>
      </c>
      <c r="K900" s="370">
        <f t="shared" si="42"/>
        <v>9.2307692307692313E-2</v>
      </c>
      <c r="L900" s="370">
        <f t="shared" si="42"/>
        <v>0.14358974358974358</v>
      </c>
      <c r="M900" s="370">
        <f t="shared" si="42"/>
        <v>0.19487179487179487</v>
      </c>
      <c r="N900" s="370">
        <f t="shared" si="42"/>
        <v>0.24615384615384617</v>
      </c>
      <c r="O900" s="370">
        <f t="shared" si="42"/>
        <v>0.29743589743589743</v>
      </c>
      <c r="P900" s="370">
        <f t="shared" si="42"/>
        <v>0.3487179487179487</v>
      </c>
      <c r="Q900" s="370">
        <v>0.4</v>
      </c>
      <c r="R900" s="242"/>
      <c r="T900" s="20"/>
      <c r="U900" s="20"/>
      <c r="V900" s="20"/>
      <c r="W900" s="20"/>
      <c r="X900" s="20"/>
    </row>
    <row r="901" spans="1:24" s="65" customFormat="1" ht="15" customHeight="1" outlineLevel="2">
      <c r="A901" s="219"/>
      <c r="B901" s="242"/>
      <c r="C901" s="242" t="s">
        <v>1850</v>
      </c>
      <c r="D901" s="121" t="str">
        <f>INDEX(Regional.Technologies[Description],MATCH($B$2&amp;"."&amp;G.30.levels.EnergyEfficiency[[#This Row],[Technology code]],Regional.Technologies[Code],0))</f>
        <v>Global Heat use in the Pulp &amp; paper: Pulp technology</v>
      </c>
      <c r="E901" s="121">
        <v>1</v>
      </c>
      <c r="F901" s="242" t="s">
        <v>1922</v>
      </c>
      <c r="G901" s="242"/>
      <c r="H901" s="242"/>
      <c r="I901" s="370">
        <v>0</v>
      </c>
      <c r="J901" s="370">
        <f t="shared" si="42"/>
        <v>0</v>
      </c>
      <c r="K901" s="370">
        <f t="shared" si="42"/>
        <v>0</v>
      </c>
      <c r="L901" s="370">
        <f t="shared" si="42"/>
        <v>0</v>
      </c>
      <c r="M901" s="370">
        <f t="shared" si="42"/>
        <v>0</v>
      </c>
      <c r="N901" s="370">
        <f t="shared" si="42"/>
        <v>0</v>
      </c>
      <c r="O901" s="370">
        <f t="shared" si="42"/>
        <v>0</v>
      </c>
      <c r="P901" s="370">
        <f t="shared" si="42"/>
        <v>0</v>
      </c>
      <c r="Q901" s="370">
        <v>0</v>
      </c>
      <c r="R901" s="242"/>
      <c r="T901" s="20"/>
      <c r="U901" s="20"/>
      <c r="V901" s="20"/>
      <c r="W901" s="20"/>
      <c r="X901" s="20"/>
    </row>
    <row r="902" spans="1:24" s="65" customFormat="1" ht="15" customHeight="1" outlineLevel="2">
      <c r="A902" s="219"/>
      <c r="B902" s="242"/>
      <c r="C902" s="242" t="s">
        <v>1850</v>
      </c>
      <c r="D902" s="121" t="str">
        <f>INDEX(Regional.Technologies[Description],MATCH($B$2&amp;"."&amp;G.30.levels.EnergyEfficiency[[#This Row],[Technology code]],Regional.Technologies[Code],0))</f>
        <v>Global Heat use in the Pulp &amp; paper: Pulp technology</v>
      </c>
      <c r="E902" s="121">
        <v>2</v>
      </c>
      <c r="F902" s="242" t="s">
        <v>1922</v>
      </c>
      <c r="G902" s="242"/>
      <c r="H902" s="242"/>
      <c r="I902" s="370">
        <v>0</v>
      </c>
      <c r="J902" s="370">
        <f t="shared" si="42"/>
        <v>2.0512820512820513E-2</v>
      </c>
      <c r="K902" s="370">
        <f t="shared" si="42"/>
        <v>4.6153846153846156E-2</v>
      </c>
      <c r="L902" s="370">
        <f t="shared" si="42"/>
        <v>7.179487179487179E-2</v>
      </c>
      <c r="M902" s="370">
        <f t="shared" si="42"/>
        <v>9.7435897435897437E-2</v>
      </c>
      <c r="N902" s="370">
        <f t="shared" si="42"/>
        <v>0.12307692307692308</v>
      </c>
      <c r="O902" s="370">
        <f t="shared" si="42"/>
        <v>0.14871794871794872</v>
      </c>
      <c r="P902" s="370">
        <f t="shared" si="42"/>
        <v>0.17435897435897435</v>
      </c>
      <c r="Q902" s="370">
        <v>0.2</v>
      </c>
      <c r="R902" s="242"/>
      <c r="T902" s="20"/>
      <c r="U902" s="20"/>
      <c r="V902" s="20"/>
      <c r="W902" s="20"/>
      <c r="X902" s="20"/>
    </row>
    <row r="903" spans="1:24" s="65" customFormat="1" ht="15" customHeight="1" outlineLevel="2">
      <c r="A903" s="219"/>
      <c r="B903" s="242"/>
      <c r="C903" s="242" t="s">
        <v>1850</v>
      </c>
      <c r="D903" s="121" t="str">
        <f>INDEX(Regional.Technologies[Description],MATCH($B$2&amp;"."&amp;G.30.levels.EnergyEfficiency[[#This Row],[Technology code]],Regional.Technologies[Code],0))</f>
        <v>Global Heat use in the Pulp &amp; paper: Pulp technology</v>
      </c>
      <c r="E903" s="121">
        <v>3</v>
      </c>
      <c r="F903" s="242" t="s">
        <v>1922</v>
      </c>
      <c r="G903" s="242"/>
      <c r="H903" s="242"/>
      <c r="I903" s="370">
        <v>0</v>
      </c>
      <c r="J903" s="370">
        <f t="shared" si="42"/>
        <v>3.0769230769230767E-2</v>
      </c>
      <c r="K903" s="370">
        <f t="shared" si="42"/>
        <v>6.9230769230769221E-2</v>
      </c>
      <c r="L903" s="370">
        <f t="shared" si="42"/>
        <v>0.10769230769230768</v>
      </c>
      <c r="M903" s="370">
        <f t="shared" si="42"/>
        <v>0.14615384615384613</v>
      </c>
      <c r="N903" s="370">
        <f t="shared" si="42"/>
        <v>0.1846153846153846</v>
      </c>
      <c r="O903" s="370">
        <f t="shared" si="42"/>
        <v>0.22307692307692306</v>
      </c>
      <c r="P903" s="370">
        <f t="shared" si="42"/>
        <v>0.2615384615384615</v>
      </c>
      <c r="Q903" s="370">
        <v>0.3</v>
      </c>
      <c r="R903" s="242"/>
      <c r="T903" s="20"/>
      <c r="U903" s="20"/>
      <c r="V903" s="20"/>
      <c r="W903" s="20"/>
      <c r="X903" s="20"/>
    </row>
    <row r="904" spans="1:24" s="65" customFormat="1" ht="15" customHeight="1" outlineLevel="2">
      <c r="A904" s="219"/>
      <c r="B904" s="242"/>
      <c r="C904" s="242" t="s">
        <v>1850</v>
      </c>
      <c r="D904" s="121" t="str">
        <f>INDEX(Regional.Technologies[Description],MATCH($B$2&amp;"."&amp;G.30.levels.EnergyEfficiency[[#This Row],[Technology code]],Regional.Technologies[Code],0))</f>
        <v>Global Heat use in the Pulp &amp; paper: Pulp technology</v>
      </c>
      <c r="E904" s="121">
        <v>4</v>
      </c>
      <c r="F904" s="242" t="s">
        <v>1922</v>
      </c>
      <c r="G904" s="242"/>
      <c r="H904" s="242"/>
      <c r="I904" s="370">
        <v>0</v>
      </c>
      <c r="J904" s="370">
        <f t="shared" si="42"/>
        <v>4.1025641025641026E-2</v>
      </c>
      <c r="K904" s="370">
        <f t="shared" si="42"/>
        <v>9.2307692307692313E-2</v>
      </c>
      <c r="L904" s="370">
        <f t="shared" si="42"/>
        <v>0.14358974358974358</v>
      </c>
      <c r="M904" s="370">
        <f t="shared" si="42"/>
        <v>0.19487179487179487</v>
      </c>
      <c r="N904" s="370">
        <f t="shared" si="42"/>
        <v>0.24615384615384617</v>
      </c>
      <c r="O904" s="370">
        <f t="shared" si="42"/>
        <v>0.29743589743589743</v>
      </c>
      <c r="P904" s="370">
        <f t="shared" si="42"/>
        <v>0.3487179487179487</v>
      </c>
      <c r="Q904" s="370">
        <v>0.4</v>
      </c>
      <c r="R904" s="242"/>
      <c r="T904" s="20"/>
      <c r="U904" s="20"/>
      <c r="V904" s="20"/>
      <c r="W904" s="20"/>
      <c r="X904" s="20"/>
    </row>
    <row r="905" spans="1:24" s="65" customFormat="1" ht="15" customHeight="1" outlineLevel="2">
      <c r="A905" s="219"/>
      <c r="B905" s="242"/>
      <c r="C905" s="242" t="s">
        <v>1631</v>
      </c>
      <c r="D905" s="121" t="str">
        <f>INDEX(Regional.Technologies[Description],MATCH($B$2&amp;"."&amp;G.30.levels.EnergyEfficiency[[#This Row],[Technology code]],Regional.Technologies[Code],0))</f>
        <v>Global Electricity use in the Pulp &amp; paper: Virgin technology</v>
      </c>
      <c r="E905" s="121">
        <v>1</v>
      </c>
      <c r="F905" s="242" t="s">
        <v>1922</v>
      </c>
      <c r="G905" s="242"/>
      <c r="H905" s="242"/>
      <c r="I905" s="370">
        <v>0</v>
      </c>
      <c r="J905" s="370">
        <f t="shared" si="42"/>
        <v>0</v>
      </c>
      <c r="K905" s="370">
        <f t="shared" si="42"/>
        <v>0</v>
      </c>
      <c r="L905" s="370">
        <f t="shared" si="42"/>
        <v>0</v>
      </c>
      <c r="M905" s="370">
        <f t="shared" si="42"/>
        <v>0</v>
      </c>
      <c r="N905" s="370">
        <f t="shared" si="42"/>
        <v>0</v>
      </c>
      <c r="O905" s="370">
        <f t="shared" si="42"/>
        <v>0</v>
      </c>
      <c r="P905" s="370">
        <f t="shared" si="42"/>
        <v>0</v>
      </c>
      <c r="Q905" s="370">
        <v>0</v>
      </c>
      <c r="R905" s="242"/>
      <c r="T905" s="20"/>
      <c r="U905" s="20"/>
      <c r="V905" s="20"/>
      <c r="W905" s="20"/>
      <c r="X905" s="20"/>
    </row>
    <row r="906" spans="1:24" s="65" customFormat="1" ht="15" customHeight="1" outlineLevel="2">
      <c r="A906" s="219"/>
      <c r="B906" s="242"/>
      <c r="C906" s="242" t="s">
        <v>1631</v>
      </c>
      <c r="D906" s="121" t="str">
        <f>INDEX(Regional.Technologies[Description],MATCH($B$2&amp;"."&amp;G.30.levels.EnergyEfficiency[[#This Row],[Technology code]],Regional.Technologies[Code],0))</f>
        <v>Global Electricity use in the Pulp &amp; paper: Virgin technology</v>
      </c>
      <c r="E906" s="121">
        <v>2</v>
      </c>
      <c r="F906" s="242" t="s">
        <v>1922</v>
      </c>
      <c r="G906" s="242"/>
      <c r="H906" s="242"/>
      <c r="I906" s="370">
        <v>0</v>
      </c>
      <c r="J906" s="370">
        <f t="shared" si="42"/>
        <v>2.0512820512820513E-2</v>
      </c>
      <c r="K906" s="370">
        <f t="shared" si="42"/>
        <v>4.6153846153846156E-2</v>
      </c>
      <c r="L906" s="370">
        <f t="shared" si="42"/>
        <v>7.179487179487179E-2</v>
      </c>
      <c r="M906" s="370">
        <f t="shared" si="42"/>
        <v>9.7435897435897437E-2</v>
      </c>
      <c r="N906" s="370">
        <f t="shared" si="42"/>
        <v>0.12307692307692308</v>
      </c>
      <c r="O906" s="370">
        <f t="shared" si="42"/>
        <v>0.14871794871794872</v>
      </c>
      <c r="P906" s="370">
        <f t="shared" si="42"/>
        <v>0.17435897435897435</v>
      </c>
      <c r="Q906" s="370">
        <v>0.2</v>
      </c>
      <c r="R906" s="242"/>
      <c r="T906" s="20"/>
      <c r="U906" s="20"/>
      <c r="V906" s="20"/>
      <c r="W906" s="20"/>
      <c r="X906" s="20"/>
    </row>
    <row r="907" spans="1:24" s="65" customFormat="1" ht="15" customHeight="1" outlineLevel="2">
      <c r="A907" s="219"/>
      <c r="B907" s="242"/>
      <c r="C907" s="242" t="s">
        <v>1631</v>
      </c>
      <c r="D907" s="121" t="str">
        <f>INDEX(Regional.Technologies[Description],MATCH($B$2&amp;"."&amp;G.30.levels.EnergyEfficiency[[#This Row],[Technology code]],Regional.Technologies[Code],0))</f>
        <v>Global Electricity use in the Pulp &amp; paper: Virgin technology</v>
      </c>
      <c r="E907" s="121">
        <v>3</v>
      </c>
      <c r="F907" s="242" t="s">
        <v>1922</v>
      </c>
      <c r="G907" s="242"/>
      <c r="H907" s="242"/>
      <c r="I907" s="370">
        <v>0</v>
      </c>
      <c r="J907" s="370">
        <f t="shared" si="42"/>
        <v>3.0769230769230767E-2</v>
      </c>
      <c r="K907" s="370">
        <f t="shared" si="42"/>
        <v>6.9230769230769221E-2</v>
      </c>
      <c r="L907" s="370">
        <f t="shared" si="42"/>
        <v>0.10769230769230768</v>
      </c>
      <c r="M907" s="370">
        <f t="shared" si="42"/>
        <v>0.14615384615384613</v>
      </c>
      <c r="N907" s="370">
        <f t="shared" si="42"/>
        <v>0.1846153846153846</v>
      </c>
      <c r="O907" s="370">
        <f t="shared" si="42"/>
        <v>0.22307692307692306</v>
      </c>
      <c r="P907" s="370">
        <f t="shared" si="42"/>
        <v>0.2615384615384615</v>
      </c>
      <c r="Q907" s="370">
        <v>0.3</v>
      </c>
      <c r="R907" s="242"/>
      <c r="T907" s="20"/>
      <c r="U907" s="20"/>
      <c r="V907" s="20"/>
      <c r="W907" s="20"/>
      <c r="X907" s="20"/>
    </row>
    <row r="908" spans="1:24" s="65" customFormat="1" ht="15" customHeight="1" outlineLevel="2">
      <c r="A908" s="219"/>
      <c r="B908" s="242"/>
      <c r="C908" s="242" t="s">
        <v>1631</v>
      </c>
      <c r="D908" s="121" t="str">
        <f>INDEX(Regional.Technologies[Description],MATCH($B$2&amp;"."&amp;G.30.levels.EnergyEfficiency[[#This Row],[Technology code]],Regional.Technologies[Code],0))</f>
        <v>Global Electricity use in the Pulp &amp; paper: Virgin technology</v>
      </c>
      <c r="E908" s="121">
        <v>4</v>
      </c>
      <c r="F908" s="242" t="s">
        <v>1922</v>
      </c>
      <c r="G908" s="242"/>
      <c r="H908" s="242"/>
      <c r="I908" s="370">
        <v>0</v>
      </c>
      <c r="J908" s="370">
        <f t="shared" si="42"/>
        <v>4.1025641025641026E-2</v>
      </c>
      <c r="K908" s="370">
        <f t="shared" si="42"/>
        <v>9.2307692307692313E-2</v>
      </c>
      <c r="L908" s="370">
        <f t="shared" si="42"/>
        <v>0.14358974358974358</v>
      </c>
      <c r="M908" s="370">
        <f t="shared" si="42"/>
        <v>0.19487179487179487</v>
      </c>
      <c r="N908" s="370">
        <f t="shared" si="42"/>
        <v>0.24615384615384617</v>
      </c>
      <c r="O908" s="370">
        <f t="shared" si="42"/>
        <v>0.29743589743589743</v>
      </c>
      <c r="P908" s="370">
        <f t="shared" si="42"/>
        <v>0.3487179487179487</v>
      </c>
      <c r="Q908" s="370">
        <v>0.4</v>
      </c>
      <c r="R908" s="242"/>
      <c r="T908" s="20"/>
      <c r="U908" s="20"/>
      <c r="V908" s="20"/>
      <c r="W908" s="20"/>
      <c r="X908" s="20"/>
    </row>
    <row r="909" spans="1:24" s="65" customFormat="1" ht="15" customHeight="1" outlineLevel="2">
      <c r="A909" s="219"/>
      <c r="B909" s="242"/>
      <c r="C909" s="242" t="s">
        <v>1851</v>
      </c>
      <c r="D909" s="121" t="str">
        <f>INDEX(Regional.Technologies[Description],MATCH($B$2&amp;"."&amp;G.30.levels.EnergyEfficiency[[#This Row],[Technology code]],Regional.Technologies[Code],0))</f>
        <v>Global Coal use in the Pulp &amp; paper: Virgin technology</v>
      </c>
      <c r="E909" s="121">
        <v>1</v>
      </c>
      <c r="F909" s="242" t="s">
        <v>1922</v>
      </c>
      <c r="G909" s="242"/>
      <c r="H909" s="242"/>
      <c r="I909" s="370">
        <v>0</v>
      </c>
      <c r="J909" s="370">
        <f t="shared" si="42"/>
        <v>0</v>
      </c>
      <c r="K909" s="370">
        <f t="shared" si="42"/>
        <v>0</v>
      </c>
      <c r="L909" s="370">
        <f t="shared" si="42"/>
        <v>0</v>
      </c>
      <c r="M909" s="370">
        <f t="shared" si="42"/>
        <v>0</v>
      </c>
      <c r="N909" s="370">
        <f t="shared" si="42"/>
        <v>0</v>
      </c>
      <c r="O909" s="370">
        <f t="shared" si="42"/>
        <v>0</v>
      </c>
      <c r="P909" s="370">
        <f t="shared" si="42"/>
        <v>0</v>
      </c>
      <c r="Q909" s="370">
        <v>0</v>
      </c>
      <c r="R909" s="242"/>
      <c r="T909" s="20"/>
      <c r="U909" s="20"/>
      <c r="V909" s="20"/>
      <c r="W909" s="20"/>
      <c r="X909" s="20"/>
    </row>
    <row r="910" spans="1:24" s="65" customFormat="1" ht="15" customHeight="1" outlineLevel="2">
      <c r="A910" s="219"/>
      <c r="B910" s="242"/>
      <c r="C910" s="242" t="s">
        <v>1851</v>
      </c>
      <c r="D910" s="121" t="str">
        <f>INDEX(Regional.Technologies[Description],MATCH($B$2&amp;"."&amp;G.30.levels.EnergyEfficiency[[#This Row],[Technology code]],Regional.Technologies[Code],0))</f>
        <v>Global Coal use in the Pulp &amp; paper: Virgin technology</v>
      </c>
      <c r="E910" s="121">
        <v>2</v>
      </c>
      <c r="F910" s="242" t="s">
        <v>1922</v>
      </c>
      <c r="G910" s="242"/>
      <c r="H910" s="242"/>
      <c r="I910" s="370">
        <v>0</v>
      </c>
      <c r="J910" s="370">
        <f t="shared" si="42"/>
        <v>2.0512820512820513E-2</v>
      </c>
      <c r="K910" s="370">
        <f t="shared" si="42"/>
        <v>4.6153846153846156E-2</v>
      </c>
      <c r="L910" s="370">
        <f t="shared" si="42"/>
        <v>7.179487179487179E-2</v>
      </c>
      <c r="M910" s="370">
        <f t="shared" si="42"/>
        <v>9.7435897435897437E-2</v>
      </c>
      <c r="N910" s="370">
        <f t="shared" si="42"/>
        <v>0.12307692307692308</v>
      </c>
      <c r="O910" s="370">
        <f t="shared" si="42"/>
        <v>0.14871794871794872</v>
      </c>
      <c r="P910" s="370">
        <f t="shared" si="42"/>
        <v>0.17435897435897435</v>
      </c>
      <c r="Q910" s="370">
        <v>0.2</v>
      </c>
      <c r="R910" s="242"/>
      <c r="T910" s="20"/>
      <c r="U910" s="20"/>
      <c r="V910" s="20"/>
      <c r="W910" s="20"/>
      <c r="X910" s="20"/>
    </row>
    <row r="911" spans="1:24" s="65" customFormat="1" ht="15" customHeight="1" outlineLevel="2">
      <c r="A911" s="219"/>
      <c r="B911" s="242"/>
      <c r="C911" s="242" t="s">
        <v>1851</v>
      </c>
      <c r="D911" s="121" t="str">
        <f>INDEX(Regional.Technologies[Description],MATCH($B$2&amp;"."&amp;G.30.levels.EnergyEfficiency[[#This Row],[Technology code]],Regional.Technologies[Code],0))</f>
        <v>Global Coal use in the Pulp &amp; paper: Virgin technology</v>
      </c>
      <c r="E911" s="121">
        <v>3</v>
      </c>
      <c r="F911" s="242" t="s">
        <v>1922</v>
      </c>
      <c r="G911" s="242"/>
      <c r="H911" s="242"/>
      <c r="I911" s="370">
        <v>0</v>
      </c>
      <c r="J911" s="370">
        <f t="shared" si="42"/>
        <v>3.0769230769230767E-2</v>
      </c>
      <c r="K911" s="370">
        <f t="shared" si="42"/>
        <v>6.9230769230769221E-2</v>
      </c>
      <c r="L911" s="370">
        <f t="shared" si="42"/>
        <v>0.10769230769230768</v>
      </c>
      <c r="M911" s="370">
        <f t="shared" si="42"/>
        <v>0.14615384615384613</v>
      </c>
      <c r="N911" s="370">
        <f t="shared" si="42"/>
        <v>0.1846153846153846</v>
      </c>
      <c r="O911" s="370">
        <f t="shared" si="42"/>
        <v>0.22307692307692306</v>
      </c>
      <c r="P911" s="370">
        <f t="shared" si="42"/>
        <v>0.2615384615384615</v>
      </c>
      <c r="Q911" s="370">
        <v>0.3</v>
      </c>
      <c r="R911" s="242"/>
      <c r="T911" s="20"/>
      <c r="U911" s="20"/>
      <c r="V911" s="20"/>
      <c r="W911" s="20"/>
      <c r="X911" s="20"/>
    </row>
    <row r="912" spans="1:24" s="65" customFormat="1" ht="15" customHeight="1" outlineLevel="2">
      <c r="A912" s="219"/>
      <c r="B912" s="242"/>
      <c r="C912" s="242" t="s">
        <v>1851</v>
      </c>
      <c r="D912" s="121" t="str">
        <f>INDEX(Regional.Technologies[Description],MATCH($B$2&amp;"."&amp;G.30.levels.EnergyEfficiency[[#This Row],[Technology code]],Regional.Technologies[Code],0))</f>
        <v>Global Coal use in the Pulp &amp; paper: Virgin technology</v>
      </c>
      <c r="E912" s="121">
        <v>4</v>
      </c>
      <c r="F912" s="242" t="s">
        <v>1922</v>
      </c>
      <c r="G912" s="242"/>
      <c r="H912" s="242"/>
      <c r="I912" s="370">
        <v>0</v>
      </c>
      <c r="J912" s="370">
        <f t="shared" si="42"/>
        <v>4.1025641025641026E-2</v>
      </c>
      <c r="K912" s="370">
        <f t="shared" si="42"/>
        <v>9.2307692307692313E-2</v>
      </c>
      <c r="L912" s="370">
        <f t="shared" si="42"/>
        <v>0.14358974358974358</v>
      </c>
      <c r="M912" s="370">
        <f t="shared" si="42"/>
        <v>0.19487179487179487</v>
      </c>
      <c r="N912" s="370">
        <f t="shared" si="42"/>
        <v>0.24615384615384617</v>
      </c>
      <c r="O912" s="370">
        <f t="shared" si="42"/>
        <v>0.29743589743589743</v>
      </c>
      <c r="P912" s="370">
        <f t="shared" si="42"/>
        <v>0.3487179487179487</v>
      </c>
      <c r="Q912" s="370">
        <v>0.4</v>
      </c>
      <c r="R912" s="242"/>
      <c r="T912" s="20"/>
      <c r="U912" s="20"/>
      <c r="V912" s="20"/>
      <c r="W912" s="20"/>
      <c r="X912" s="20"/>
    </row>
    <row r="913" spans="1:24" s="65" customFormat="1" ht="15" customHeight="1" outlineLevel="2">
      <c r="A913" s="219"/>
      <c r="B913" s="242"/>
      <c r="C913" s="242" t="s">
        <v>1852</v>
      </c>
      <c r="D913" s="121" t="str">
        <f>INDEX(Regional.Technologies[Description],MATCH($B$2&amp;"."&amp;G.30.levels.EnergyEfficiency[[#This Row],[Technology code]],Regional.Technologies[Code],0))</f>
        <v>Global Oil use in the Pulp &amp; paper: Virgin technology</v>
      </c>
      <c r="E913" s="121">
        <v>1</v>
      </c>
      <c r="F913" s="242" t="s">
        <v>1922</v>
      </c>
      <c r="G913" s="242"/>
      <c r="H913" s="242"/>
      <c r="I913" s="370">
        <v>0</v>
      </c>
      <c r="J913" s="370">
        <f t="shared" si="42"/>
        <v>0</v>
      </c>
      <c r="K913" s="370">
        <f t="shared" si="42"/>
        <v>0</v>
      </c>
      <c r="L913" s="370">
        <f t="shared" si="42"/>
        <v>0</v>
      </c>
      <c r="M913" s="370">
        <f t="shared" si="42"/>
        <v>0</v>
      </c>
      <c r="N913" s="370">
        <f t="shared" si="42"/>
        <v>0</v>
      </c>
      <c r="O913" s="370">
        <f t="shared" si="42"/>
        <v>0</v>
      </c>
      <c r="P913" s="370">
        <f t="shared" si="42"/>
        <v>0</v>
      </c>
      <c r="Q913" s="370">
        <v>0</v>
      </c>
      <c r="R913" s="242"/>
      <c r="T913" s="20"/>
      <c r="U913" s="20"/>
      <c r="V913" s="20"/>
      <c r="W913" s="20"/>
      <c r="X913" s="20"/>
    </row>
    <row r="914" spans="1:24" s="65" customFormat="1" ht="15" customHeight="1" outlineLevel="2">
      <c r="A914" s="219"/>
      <c r="B914" s="242"/>
      <c r="C914" s="242" t="s">
        <v>1852</v>
      </c>
      <c r="D914" s="121" t="str">
        <f>INDEX(Regional.Technologies[Description],MATCH($B$2&amp;"."&amp;G.30.levels.EnergyEfficiency[[#This Row],[Technology code]],Regional.Technologies[Code],0))</f>
        <v>Global Oil use in the Pulp &amp; paper: Virgin technology</v>
      </c>
      <c r="E914" s="121">
        <v>2</v>
      </c>
      <c r="F914" s="242" t="s">
        <v>1922</v>
      </c>
      <c r="G914" s="242"/>
      <c r="H914" s="242"/>
      <c r="I914" s="370">
        <v>0</v>
      </c>
      <c r="J914" s="370">
        <f t="shared" si="42"/>
        <v>2.0512820512820513E-2</v>
      </c>
      <c r="K914" s="370">
        <f t="shared" si="42"/>
        <v>4.6153846153846156E-2</v>
      </c>
      <c r="L914" s="370">
        <f t="shared" si="42"/>
        <v>7.179487179487179E-2</v>
      </c>
      <c r="M914" s="370">
        <f t="shared" si="42"/>
        <v>9.7435897435897437E-2</v>
      </c>
      <c r="N914" s="370">
        <f t="shared" si="42"/>
        <v>0.12307692307692308</v>
      </c>
      <c r="O914" s="370">
        <f t="shared" si="42"/>
        <v>0.14871794871794872</v>
      </c>
      <c r="P914" s="370">
        <f t="shared" si="42"/>
        <v>0.17435897435897435</v>
      </c>
      <c r="Q914" s="370">
        <v>0.2</v>
      </c>
      <c r="R914" s="242"/>
      <c r="T914" s="20"/>
      <c r="U914" s="20"/>
      <c r="V914" s="20"/>
      <c r="W914" s="20"/>
      <c r="X914" s="20"/>
    </row>
    <row r="915" spans="1:24" s="65" customFormat="1" ht="15" customHeight="1" outlineLevel="2">
      <c r="A915" s="219"/>
      <c r="B915" s="242"/>
      <c r="C915" s="242" t="s">
        <v>1852</v>
      </c>
      <c r="D915" s="121" t="str">
        <f>INDEX(Regional.Technologies[Description],MATCH($B$2&amp;"."&amp;G.30.levels.EnergyEfficiency[[#This Row],[Technology code]],Regional.Technologies[Code],0))</f>
        <v>Global Oil use in the Pulp &amp; paper: Virgin technology</v>
      </c>
      <c r="E915" s="121">
        <v>3</v>
      </c>
      <c r="F915" s="242" t="s">
        <v>1922</v>
      </c>
      <c r="G915" s="242"/>
      <c r="H915" s="242"/>
      <c r="I915" s="370">
        <v>0</v>
      </c>
      <c r="J915" s="370">
        <f t="shared" si="42"/>
        <v>3.0769230769230767E-2</v>
      </c>
      <c r="K915" s="370">
        <f t="shared" si="42"/>
        <v>6.9230769230769221E-2</v>
      </c>
      <c r="L915" s="370">
        <f t="shared" si="42"/>
        <v>0.10769230769230768</v>
      </c>
      <c r="M915" s="370">
        <f t="shared" si="42"/>
        <v>0.14615384615384613</v>
      </c>
      <c r="N915" s="370">
        <f t="shared" si="42"/>
        <v>0.1846153846153846</v>
      </c>
      <c r="O915" s="370">
        <f t="shared" si="42"/>
        <v>0.22307692307692306</v>
      </c>
      <c r="P915" s="370">
        <f t="shared" si="42"/>
        <v>0.2615384615384615</v>
      </c>
      <c r="Q915" s="370">
        <v>0.3</v>
      </c>
      <c r="R915" s="242"/>
      <c r="T915" s="20"/>
      <c r="U915" s="20"/>
      <c r="V915" s="20"/>
      <c r="W915" s="20"/>
      <c r="X915" s="20"/>
    </row>
    <row r="916" spans="1:24" s="65" customFormat="1" ht="15" customHeight="1" outlineLevel="2">
      <c r="A916" s="219"/>
      <c r="B916" s="242"/>
      <c r="C916" s="242" t="s">
        <v>1852</v>
      </c>
      <c r="D916" s="121" t="str">
        <f>INDEX(Regional.Technologies[Description],MATCH($B$2&amp;"."&amp;G.30.levels.EnergyEfficiency[[#This Row],[Technology code]],Regional.Technologies[Code],0))</f>
        <v>Global Oil use in the Pulp &amp; paper: Virgin technology</v>
      </c>
      <c r="E916" s="121">
        <v>4</v>
      </c>
      <c r="F916" s="242" t="s">
        <v>1922</v>
      </c>
      <c r="G916" s="242"/>
      <c r="H916" s="242"/>
      <c r="I916" s="370">
        <v>0</v>
      </c>
      <c r="J916" s="370">
        <f t="shared" si="42"/>
        <v>4.1025641025641026E-2</v>
      </c>
      <c r="K916" s="370">
        <f t="shared" si="42"/>
        <v>9.2307692307692313E-2</v>
      </c>
      <c r="L916" s="370">
        <f t="shared" si="42"/>
        <v>0.14358974358974358</v>
      </c>
      <c r="M916" s="370">
        <f t="shared" si="42"/>
        <v>0.19487179487179487</v>
      </c>
      <c r="N916" s="370">
        <f t="shared" si="42"/>
        <v>0.24615384615384617</v>
      </c>
      <c r="O916" s="370">
        <f t="shared" si="42"/>
        <v>0.29743589743589743</v>
      </c>
      <c r="P916" s="370">
        <f t="shared" si="42"/>
        <v>0.3487179487179487</v>
      </c>
      <c r="Q916" s="370">
        <v>0.4</v>
      </c>
      <c r="R916" s="242"/>
      <c r="T916" s="20"/>
      <c r="U916" s="20"/>
      <c r="V916" s="20"/>
      <c r="W916" s="20"/>
      <c r="X916" s="20"/>
    </row>
    <row r="917" spans="1:24" s="65" customFormat="1" ht="15" customHeight="1" outlineLevel="2">
      <c r="A917" s="219"/>
      <c r="B917" s="242"/>
      <c r="C917" s="242" t="s">
        <v>1853</v>
      </c>
      <c r="D917" s="121" t="str">
        <f>INDEX(Regional.Technologies[Description],MATCH($B$2&amp;"."&amp;G.30.levels.EnergyEfficiency[[#This Row],[Technology code]],Regional.Technologies[Code],0))</f>
        <v>Global Natural Gas use in the Pulp &amp; paper: Virgin technology</v>
      </c>
      <c r="E917" s="121">
        <v>1</v>
      </c>
      <c r="F917" s="242" t="s">
        <v>1922</v>
      </c>
      <c r="G917" s="242"/>
      <c r="H917" s="242"/>
      <c r="I917" s="370">
        <v>0</v>
      </c>
      <c r="J917" s="370">
        <f t="shared" si="42"/>
        <v>0</v>
      </c>
      <c r="K917" s="370">
        <f t="shared" si="42"/>
        <v>0</v>
      </c>
      <c r="L917" s="370">
        <f t="shared" si="42"/>
        <v>0</v>
      </c>
      <c r="M917" s="370">
        <f t="shared" si="42"/>
        <v>0</v>
      </c>
      <c r="N917" s="370">
        <f t="shared" si="42"/>
        <v>0</v>
      </c>
      <c r="O917" s="370">
        <f t="shared" si="42"/>
        <v>0</v>
      </c>
      <c r="P917" s="370">
        <f t="shared" si="42"/>
        <v>0</v>
      </c>
      <c r="Q917" s="370">
        <v>0</v>
      </c>
      <c r="R917" s="242"/>
      <c r="T917" s="20"/>
      <c r="U917" s="20"/>
      <c r="V917" s="20"/>
      <c r="W917" s="20"/>
      <c r="X917" s="20"/>
    </row>
    <row r="918" spans="1:24" s="65" customFormat="1" ht="15" customHeight="1" outlineLevel="2">
      <c r="A918" s="219"/>
      <c r="B918" s="242"/>
      <c r="C918" s="242" t="s">
        <v>1853</v>
      </c>
      <c r="D918" s="121" t="str">
        <f>INDEX(Regional.Technologies[Description],MATCH($B$2&amp;"."&amp;G.30.levels.EnergyEfficiency[[#This Row],[Technology code]],Regional.Technologies[Code],0))</f>
        <v>Global Natural Gas use in the Pulp &amp; paper: Virgin technology</v>
      </c>
      <c r="E918" s="121">
        <v>2</v>
      </c>
      <c r="F918" s="242" t="s">
        <v>1922</v>
      </c>
      <c r="G918" s="242"/>
      <c r="H918" s="242"/>
      <c r="I918" s="370">
        <v>0</v>
      </c>
      <c r="J918" s="370">
        <f t="shared" si="42"/>
        <v>2.0512820512820513E-2</v>
      </c>
      <c r="K918" s="370">
        <f t="shared" si="42"/>
        <v>4.6153846153846156E-2</v>
      </c>
      <c r="L918" s="370">
        <f t="shared" si="42"/>
        <v>7.179487179487179E-2</v>
      </c>
      <c r="M918" s="370">
        <f t="shared" si="42"/>
        <v>9.7435897435897437E-2</v>
      </c>
      <c r="N918" s="370">
        <f t="shared" si="42"/>
        <v>0.12307692307692308</v>
      </c>
      <c r="O918" s="370">
        <f t="shared" si="42"/>
        <v>0.14871794871794872</v>
      </c>
      <c r="P918" s="370">
        <f t="shared" si="42"/>
        <v>0.17435897435897435</v>
      </c>
      <c r="Q918" s="370">
        <v>0.2</v>
      </c>
      <c r="R918" s="242"/>
      <c r="T918" s="20"/>
      <c r="U918" s="20"/>
      <c r="V918" s="20"/>
      <c r="W918" s="20"/>
      <c r="X918" s="20"/>
    </row>
    <row r="919" spans="1:24" s="65" customFormat="1" ht="15" customHeight="1" outlineLevel="2">
      <c r="A919" s="219"/>
      <c r="B919" s="242"/>
      <c r="C919" s="242" t="s">
        <v>1853</v>
      </c>
      <c r="D919" s="121" t="str">
        <f>INDEX(Regional.Technologies[Description],MATCH($B$2&amp;"."&amp;G.30.levels.EnergyEfficiency[[#This Row],[Technology code]],Regional.Technologies[Code],0))</f>
        <v>Global Natural Gas use in the Pulp &amp; paper: Virgin technology</v>
      </c>
      <c r="E919" s="121">
        <v>3</v>
      </c>
      <c r="F919" s="242" t="s">
        <v>1922</v>
      </c>
      <c r="G919" s="242"/>
      <c r="H919" s="242"/>
      <c r="I919" s="370">
        <v>0</v>
      </c>
      <c r="J919" s="370">
        <f t="shared" si="42"/>
        <v>3.0769230769230767E-2</v>
      </c>
      <c r="K919" s="370">
        <f t="shared" si="42"/>
        <v>6.9230769230769221E-2</v>
      </c>
      <c r="L919" s="370">
        <f t="shared" si="42"/>
        <v>0.10769230769230768</v>
      </c>
      <c r="M919" s="370">
        <f t="shared" si="42"/>
        <v>0.14615384615384613</v>
      </c>
      <c r="N919" s="370">
        <f t="shared" si="42"/>
        <v>0.1846153846153846</v>
      </c>
      <c r="O919" s="370">
        <f t="shared" si="42"/>
        <v>0.22307692307692306</v>
      </c>
      <c r="P919" s="370">
        <f t="shared" si="42"/>
        <v>0.2615384615384615</v>
      </c>
      <c r="Q919" s="370">
        <v>0.3</v>
      </c>
      <c r="R919" s="242"/>
      <c r="T919" s="20"/>
      <c r="U919" s="20"/>
      <c r="V919" s="20"/>
      <c r="W919" s="20"/>
      <c r="X919" s="20"/>
    </row>
    <row r="920" spans="1:24" s="65" customFormat="1" ht="15" customHeight="1" outlineLevel="2">
      <c r="A920" s="219"/>
      <c r="B920" s="242"/>
      <c r="C920" s="242" t="s">
        <v>1853</v>
      </c>
      <c r="D920" s="121" t="str">
        <f>INDEX(Regional.Technologies[Description],MATCH($B$2&amp;"."&amp;G.30.levels.EnergyEfficiency[[#This Row],[Technology code]],Regional.Technologies[Code],0))</f>
        <v>Global Natural Gas use in the Pulp &amp; paper: Virgin technology</v>
      </c>
      <c r="E920" s="121">
        <v>4</v>
      </c>
      <c r="F920" s="242" t="s">
        <v>1922</v>
      </c>
      <c r="G920" s="242"/>
      <c r="H920" s="242"/>
      <c r="I920" s="370">
        <v>0</v>
      </c>
      <c r="J920" s="370">
        <f t="shared" si="42"/>
        <v>4.1025641025641026E-2</v>
      </c>
      <c r="K920" s="370">
        <f t="shared" si="42"/>
        <v>9.2307692307692313E-2</v>
      </c>
      <c r="L920" s="370">
        <f t="shared" si="42"/>
        <v>0.14358974358974358</v>
      </c>
      <c r="M920" s="370">
        <f t="shared" si="42"/>
        <v>0.19487179487179487</v>
      </c>
      <c r="N920" s="370">
        <f t="shared" si="42"/>
        <v>0.24615384615384617</v>
      </c>
      <c r="O920" s="370">
        <f t="shared" si="42"/>
        <v>0.29743589743589743</v>
      </c>
      <c r="P920" s="370">
        <f t="shared" si="42"/>
        <v>0.3487179487179487</v>
      </c>
      <c r="Q920" s="370">
        <v>0.4</v>
      </c>
      <c r="R920" s="242"/>
      <c r="T920" s="20"/>
      <c r="U920" s="20"/>
      <c r="V920" s="20"/>
      <c r="W920" s="20"/>
      <c r="X920" s="20"/>
    </row>
    <row r="921" spans="1:24" s="65" customFormat="1" ht="15" customHeight="1" outlineLevel="2">
      <c r="A921" s="219"/>
      <c r="B921" s="242"/>
      <c r="C921" s="242" t="s">
        <v>1854</v>
      </c>
      <c r="D921" s="121" t="str">
        <f>INDEX(Regional.Technologies[Description],MATCH($B$2&amp;"."&amp;G.30.levels.EnergyEfficiency[[#This Row],[Technology code]],Regional.Technologies[Code],0))</f>
        <v>Global Solid Hydrocarbons use in the Pulp &amp; paper: Virgin technology</v>
      </c>
      <c r="E921" s="121">
        <v>1</v>
      </c>
      <c r="F921" s="242" t="s">
        <v>1922</v>
      </c>
      <c r="G921" s="242"/>
      <c r="H921" s="242"/>
      <c r="I921" s="370">
        <v>0</v>
      </c>
      <c r="J921" s="370">
        <f t="shared" si="42"/>
        <v>0</v>
      </c>
      <c r="K921" s="370">
        <f t="shared" si="42"/>
        <v>0</v>
      </c>
      <c r="L921" s="370">
        <f t="shared" si="42"/>
        <v>0</v>
      </c>
      <c r="M921" s="370">
        <f t="shared" si="42"/>
        <v>0</v>
      </c>
      <c r="N921" s="370">
        <f t="shared" si="42"/>
        <v>0</v>
      </c>
      <c r="O921" s="370">
        <f t="shared" si="42"/>
        <v>0</v>
      </c>
      <c r="P921" s="370">
        <f t="shared" si="42"/>
        <v>0</v>
      </c>
      <c r="Q921" s="370">
        <v>0</v>
      </c>
      <c r="R921" s="242"/>
      <c r="T921" s="20"/>
      <c r="U921" s="20"/>
      <c r="V921" s="20"/>
      <c r="W921" s="20"/>
      <c r="X921" s="20"/>
    </row>
    <row r="922" spans="1:24" s="65" customFormat="1" ht="15" customHeight="1" outlineLevel="2">
      <c r="A922" s="219"/>
      <c r="B922" s="242"/>
      <c r="C922" s="242" t="s">
        <v>1854</v>
      </c>
      <c r="D922" s="121" t="str">
        <f>INDEX(Regional.Technologies[Description],MATCH($B$2&amp;"."&amp;G.30.levels.EnergyEfficiency[[#This Row],[Technology code]],Regional.Technologies[Code],0))</f>
        <v>Global Solid Hydrocarbons use in the Pulp &amp; paper: Virgin technology</v>
      </c>
      <c r="E922" s="121">
        <v>2</v>
      </c>
      <c r="F922" s="242" t="s">
        <v>1922</v>
      </c>
      <c r="G922" s="242"/>
      <c r="H922" s="242"/>
      <c r="I922" s="370">
        <v>0</v>
      </c>
      <c r="J922" s="370">
        <f t="shared" si="42"/>
        <v>2.0512820512820513E-2</v>
      </c>
      <c r="K922" s="370">
        <f t="shared" si="42"/>
        <v>4.6153846153846156E-2</v>
      </c>
      <c r="L922" s="370">
        <f t="shared" si="42"/>
        <v>7.179487179487179E-2</v>
      </c>
      <c r="M922" s="370">
        <f t="shared" si="42"/>
        <v>9.7435897435897437E-2</v>
      </c>
      <c r="N922" s="370">
        <f t="shared" si="42"/>
        <v>0.12307692307692308</v>
      </c>
      <c r="O922" s="370">
        <f t="shared" si="42"/>
        <v>0.14871794871794872</v>
      </c>
      <c r="P922" s="370">
        <f t="shared" si="42"/>
        <v>0.17435897435897435</v>
      </c>
      <c r="Q922" s="370">
        <v>0.2</v>
      </c>
      <c r="R922" s="242"/>
      <c r="T922" s="20"/>
      <c r="U922" s="20"/>
      <c r="V922" s="20"/>
      <c r="W922" s="20"/>
      <c r="X922" s="20"/>
    </row>
    <row r="923" spans="1:24" s="65" customFormat="1" ht="15" customHeight="1" outlineLevel="2">
      <c r="A923" s="219"/>
      <c r="B923" s="242"/>
      <c r="C923" s="242" t="s">
        <v>1854</v>
      </c>
      <c r="D923" s="121" t="str">
        <f>INDEX(Regional.Technologies[Description],MATCH($B$2&amp;"."&amp;G.30.levels.EnergyEfficiency[[#This Row],[Technology code]],Regional.Technologies[Code],0))</f>
        <v>Global Solid Hydrocarbons use in the Pulp &amp; paper: Virgin technology</v>
      </c>
      <c r="E923" s="121">
        <v>3</v>
      </c>
      <c r="F923" s="242" t="s">
        <v>1922</v>
      </c>
      <c r="G923" s="242"/>
      <c r="H923" s="242"/>
      <c r="I923" s="370">
        <v>0</v>
      </c>
      <c r="J923" s="370">
        <f t="shared" si="42"/>
        <v>3.0769230769230767E-2</v>
      </c>
      <c r="K923" s="370">
        <f t="shared" ref="J923:P959" si="43">(($Q923-$I923)/($Q$121-$I$121))*(K$121-$I$121)+$I923</f>
        <v>6.9230769230769221E-2</v>
      </c>
      <c r="L923" s="370">
        <f t="shared" si="43"/>
        <v>0.10769230769230768</v>
      </c>
      <c r="M923" s="370">
        <f t="shared" si="43"/>
        <v>0.14615384615384613</v>
      </c>
      <c r="N923" s="370">
        <f t="shared" si="43"/>
        <v>0.1846153846153846</v>
      </c>
      <c r="O923" s="370">
        <f t="shared" si="43"/>
        <v>0.22307692307692306</v>
      </c>
      <c r="P923" s="370">
        <f t="shared" si="43"/>
        <v>0.2615384615384615</v>
      </c>
      <c r="Q923" s="370">
        <v>0.3</v>
      </c>
      <c r="R923" s="242"/>
      <c r="T923" s="20"/>
      <c r="U923" s="20"/>
      <c r="V923" s="20"/>
      <c r="W923" s="20"/>
      <c r="X923" s="20"/>
    </row>
    <row r="924" spans="1:24" s="65" customFormat="1" ht="15" customHeight="1" outlineLevel="2">
      <c r="A924" s="219"/>
      <c r="B924" s="242"/>
      <c r="C924" s="242" t="s">
        <v>1854</v>
      </c>
      <c r="D924" s="121" t="str">
        <f>INDEX(Regional.Technologies[Description],MATCH($B$2&amp;"."&amp;G.30.levels.EnergyEfficiency[[#This Row],[Technology code]],Regional.Technologies[Code],0))</f>
        <v>Global Solid Hydrocarbons use in the Pulp &amp; paper: Virgin technology</v>
      </c>
      <c r="E924" s="121">
        <v>4</v>
      </c>
      <c r="F924" s="242" t="s">
        <v>1922</v>
      </c>
      <c r="G924" s="242"/>
      <c r="H924" s="242"/>
      <c r="I924" s="370">
        <v>0</v>
      </c>
      <c r="J924" s="370">
        <f t="shared" si="43"/>
        <v>4.1025641025641026E-2</v>
      </c>
      <c r="K924" s="370">
        <f t="shared" si="43"/>
        <v>9.2307692307692313E-2</v>
      </c>
      <c r="L924" s="370">
        <f t="shared" si="43"/>
        <v>0.14358974358974358</v>
      </c>
      <c r="M924" s="370">
        <f t="shared" si="43"/>
        <v>0.19487179487179487</v>
      </c>
      <c r="N924" s="370">
        <f t="shared" si="43"/>
        <v>0.24615384615384617</v>
      </c>
      <c r="O924" s="370">
        <f t="shared" si="43"/>
        <v>0.29743589743589743</v>
      </c>
      <c r="P924" s="370">
        <f t="shared" si="43"/>
        <v>0.3487179487179487</v>
      </c>
      <c r="Q924" s="370">
        <v>0.4</v>
      </c>
      <c r="R924" s="242"/>
      <c r="T924" s="20"/>
      <c r="U924" s="20"/>
      <c r="V924" s="20"/>
      <c r="W924" s="20"/>
      <c r="X924" s="20"/>
    </row>
    <row r="925" spans="1:24" s="65" customFormat="1" ht="15" customHeight="1" outlineLevel="2">
      <c r="A925" s="219"/>
      <c r="B925" s="242"/>
      <c r="C925" s="242" t="s">
        <v>1855</v>
      </c>
      <c r="D925" s="121" t="str">
        <f>INDEX(Regional.Technologies[Description],MATCH($B$2&amp;"."&amp;G.30.levels.EnergyEfficiency[[#This Row],[Technology code]],Regional.Technologies[Code],0))</f>
        <v>Global Heat use in the Pulp &amp; paper: Virgin technology</v>
      </c>
      <c r="E925" s="121">
        <v>1</v>
      </c>
      <c r="F925" s="242" t="s">
        <v>1922</v>
      </c>
      <c r="G925" s="242"/>
      <c r="H925" s="242"/>
      <c r="I925" s="370">
        <v>0</v>
      </c>
      <c r="J925" s="370">
        <f t="shared" si="43"/>
        <v>0</v>
      </c>
      <c r="K925" s="370">
        <f t="shared" si="43"/>
        <v>0</v>
      </c>
      <c r="L925" s="370">
        <f t="shared" si="43"/>
        <v>0</v>
      </c>
      <c r="M925" s="370">
        <f t="shared" si="43"/>
        <v>0</v>
      </c>
      <c r="N925" s="370">
        <f t="shared" si="43"/>
        <v>0</v>
      </c>
      <c r="O925" s="370">
        <f t="shared" si="43"/>
        <v>0</v>
      </c>
      <c r="P925" s="370">
        <f t="shared" si="43"/>
        <v>0</v>
      </c>
      <c r="Q925" s="370">
        <v>0</v>
      </c>
      <c r="R925" s="242"/>
      <c r="T925" s="20"/>
      <c r="U925" s="20"/>
      <c r="V925" s="20"/>
      <c r="W925" s="20"/>
      <c r="X925" s="20"/>
    </row>
    <row r="926" spans="1:24" s="65" customFormat="1" ht="15" customHeight="1" outlineLevel="2">
      <c r="A926" s="219"/>
      <c r="B926" s="242"/>
      <c r="C926" s="242" t="s">
        <v>1855</v>
      </c>
      <c r="D926" s="121" t="str">
        <f>INDEX(Regional.Technologies[Description],MATCH($B$2&amp;"."&amp;G.30.levels.EnergyEfficiency[[#This Row],[Technology code]],Regional.Technologies[Code],0))</f>
        <v>Global Heat use in the Pulp &amp; paper: Virgin technology</v>
      </c>
      <c r="E926" s="121">
        <v>2</v>
      </c>
      <c r="F926" s="242" t="s">
        <v>1922</v>
      </c>
      <c r="G926" s="242"/>
      <c r="H926" s="242"/>
      <c r="I926" s="370">
        <v>0</v>
      </c>
      <c r="J926" s="370">
        <f t="shared" si="43"/>
        <v>2.0512820512820513E-2</v>
      </c>
      <c r="K926" s="370">
        <f t="shared" si="43"/>
        <v>4.6153846153846156E-2</v>
      </c>
      <c r="L926" s="370">
        <f t="shared" si="43"/>
        <v>7.179487179487179E-2</v>
      </c>
      <c r="M926" s="370">
        <f t="shared" si="43"/>
        <v>9.7435897435897437E-2</v>
      </c>
      <c r="N926" s="370">
        <f t="shared" si="43"/>
        <v>0.12307692307692308</v>
      </c>
      <c r="O926" s="370">
        <f t="shared" si="43"/>
        <v>0.14871794871794872</v>
      </c>
      <c r="P926" s="370">
        <f t="shared" si="43"/>
        <v>0.17435897435897435</v>
      </c>
      <c r="Q926" s="370">
        <v>0.2</v>
      </c>
      <c r="R926" s="242"/>
      <c r="T926" s="20"/>
      <c r="U926" s="20"/>
      <c r="V926" s="20"/>
      <c r="W926" s="20"/>
      <c r="X926" s="20"/>
    </row>
    <row r="927" spans="1:24" s="65" customFormat="1" ht="15" customHeight="1" outlineLevel="2">
      <c r="A927" s="219"/>
      <c r="B927" s="242"/>
      <c r="C927" s="242" t="s">
        <v>1855</v>
      </c>
      <c r="D927" s="121" t="str">
        <f>INDEX(Regional.Technologies[Description],MATCH($B$2&amp;"."&amp;G.30.levels.EnergyEfficiency[[#This Row],[Technology code]],Regional.Technologies[Code],0))</f>
        <v>Global Heat use in the Pulp &amp; paper: Virgin technology</v>
      </c>
      <c r="E927" s="121">
        <v>3</v>
      </c>
      <c r="F927" s="242" t="s">
        <v>1922</v>
      </c>
      <c r="G927" s="242"/>
      <c r="H927" s="242"/>
      <c r="I927" s="370">
        <v>0</v>
      </c>
      <c r="J927" s="370">
        <f t="shared" si="43"/>
        <v>3.0769230769230767E-2</v>
      </c>
      <c r="K927" s="370">
        <f t="shared" si="43"/>
        <v>6.9230769230769221E-2</v>
      </c>
      <c r="L927" s="370">
        <f t="shared" si="43"/>
        <v>0.10769230769230768</v>
      </c>
      <c r="M927" s="370">
        <f t="shared" si="43"/>
        <v>0.14615384615384613</v>
      </c>
      <c r="N927" s="370">
        <f t="shared" si="43"/>
        <v>0.1846153846153846</v>
      </c>
      <c r="O927" s="370">
        <f t="shared" si="43"/>
        <v>0.22307692307692306</v>
      </c>
      <c r="P927" s="370">
        <f t="shared" si="43"/>
        <v>0.2615384615384615</v>
      </c>
      <c r="Q927" s="370">
        <v>0.3</v>
      </c>
      <c r="R927" s="242"/>
      <c r="T927" s="20"/>
      <c r="U927" s="20"/>
      <c r="V927" s="20"/>
      <c r="W927" s="20"/>
      <c r="X927" s="20"/>
    </row>
    <row r="928" spans="1:24" s="65" customFormat="1" ht="15" customHeight="1" outlineLevel="2">
      <c r="A928" s="219"/>
      <c r="B928" s="242"/>
      <c r="C928" s="242" t="s">
        <v>1855</v>
      </c>
      <c r="D928" s="121" t="str">
        <f>INDEX(Regional.Technologies[Description],MATCH($B$2&amp;"."&amp;G.30.levels.EnergyEfficiency[[#This Row],[Technology code]],Regional.Technologies[Code],0))</f>
        <v>Global Heat use in the Pulp &amp; paper: Virgin technology</v>
      </c>
      <c r="E928" s="121">
        <v>4</v>
      </c>
      <c r="F928" s="242" t="s">
        <v>1922</v>
      </c>
      <c r="G928" s="242"/>
      <c r="H928" s="242"/>
      <c r="I928" s="370">
        <v>0</v>
      </c>
      <c r="J928" s="370">
        <f t="shared" si="43"/>
        <v>4.1025641025641026E-2</v>
      </c>
      <c r="K928" s="370">
        <f t="shared" si="43"/>
        <v>9.2307692307692313E-2</v>
      </c>
      <c r="L928" s="370">
        <f t="shared" si="43"/>
        <v>0.14358974358974358</v>
      </c>
      <c r="M928" s="370">
        <f t="shared" si="43"/>
        <v>0.19487179487179487</v>
      </c>
      <c r="N928" s="370">
        <f t="shared" si="43"/>
        <v>0.24615384615384617</v>
      </c>
      <c r="O928" s="370">
        <f t="shared" si="43"/>
        <v>0.29743589743589743</v>
      </c>
      <c r="P928" s="370">
        <f t="shared" si="43"/>
        <v>0.3487179487179487</v>
      </c>
      <c r="Q928" s="370">
        <v>0.4</v>
      </c>
      <c r="R928" s="242"/>
      <c r="T928" s="20"/>
      <c r="U928" s="20"/>
      <c r="V928" s="20"/>
      <c r="W928" s="20"/>
      <c r="X928" s="20"/>
    </row>
    <row r="929" spans="1:24" s="65" customFormat="1" ht="15" customHeight="1" outlineLevel="2">
      <c r="A929" s="219"/>
      <c r="B929" s="242"/>
      <c r="C929" s="242" t="s">
        <v>1632</v>
      </c>
      <c r="D929" s="121" t="str">
        <f>INDEX(Regional.Technologies[Description],MATCH($B$2&amp;"."&amp;G.30.levels.EnergyEfficiency[[#This Row],[Technology code]],Regional.Technologies[Code],0))</f>
        <v>Global Electricity use in the Pulp &amp; paper: Recycled technology</v>
      </c>
      <c r="E929" s="121">
        <v>1</v>
      </c>
      <c r="F929" s="242" t="s">
        <v>1923</v>
      </c>
      <c r="G929" s="242"/>
      <c r="H929" s="242"/>
      <c r="I929" s="370">
        <v>0</v>
      </c>
      <c r="J929" s="370">
        <f t="shared" si="43"/>
        <v>0</v>
      </c>
      <c r="K929" s="370">
        <f t="shared" si="43"/>
        <v>0</v>
      </c>
      <c r="L929" s="370">
        <f t="shared" si="43"/>
        <v>0</v>
      </c>
      <c r="M929" s="370">
        <f t="shared" si="43"/>
        <v>0</v>
      </c>
      <c r="N929" s="370">
        <f t="shared" si="43"/>
        <v>0</v>
      </c>
      <c r="O929" s="370">
        <f t="shared" si="43"/>
        <v>0</v>
      </c>
      <c r="P929" s="370">
        <f t="shared" si="43"/>
        <v>0</v>
      </c>
      <c r="Q929" s="370">
        <v>0</v>
      </c>
      <c r="R929" s="242"/>
      <c r="T929" s="20"/>
      <c r="U929" s="20"/>
      <c r="V929" s="20"/>
      <c r="W929" s="20"/>
      <c r="X929" s="20"/>
    </row>
    <row r="930" spans="1:24" s="65" customFormat="1" ht="15" customHeight="1" outlineLevel="2">
      <c r="A930" s="219"/>
      <c r="B930" s="242"/>
      <c r="C930" s="242" t="s">
        <v>1632</v>
      </c>
      <c r="D930" s="121" t="str">
        <f>INDEX(Regional.Technologies[Description],MATCH($B$2&amp;"."&amp;G.30.levels.EnergyEfficiency[[#This Row],[Technology code]],Regional.Technologies[Code],0))</f>
        <v>Global Electricity use in the Pulp &amp; paper: Recycled technology</v>
      </c>
      <c r="E930" s="121">
        <v>2</v>
      </c>
      <c r="F930" s="242" t="s">
        <v>1923</v>
      </c>
      <c r="G930" s="242"/>
      <c r="H930" s="242"/>
      <c r="I930" s="370">
        <v>0</v>
      </c>
      <c r="J930" s="370">
        <f t="shared" si="43"/>
        <v>2.0512820512820513E-2</v>
      </c>
      <c r="K930" s="370">
        <f t="shared" si="43"/>
        <v>4.6153846153846156E-2</v>
      </c>
      <c r="L930" s="370">
        <f t="shared" si="43"/>
        <v>7.179487179487179E-2</v>
      </c>
      <c r="M930" s="370">
        <f t="shared" si="43"/>
        <v>9.7435897435897437E-2</v>
      </c>
      <c r="N930" s="370">
        <f t="shared" si="43"/>
        <v>0.12307692307692308</v>
      </c>
      <c r="O930" s="370">
        <f t="shared" si="43"/>
        <v>0.14871794871794872</v>
      </c>
      <c r="P930" s="370">
        <f t="shared" si="43"/>
        <v>0.17435897435897435</v>
      </c>
      <c r="Q930" s="370">
        <v>0.2</v>
      </c>
      <c r="R930" s="242"/>
      <c r="T930" s="20"/>
      <c r="U930" s="20"/>
      <c r="V930" s="20"/>
      <c r="W930" s="20"/>
      <c r="X930" s="20"/>
    </row>
    <row r="931" spans="1:24" s="65" customFormat="1" ht="15" customHeight="1" outlineLevel="2">
      <c r="A931" s="219"/>
      <c r="B931" s="242"/>
      <c r="C931" s="242" t="s">
        <v>1632</v>
      </c>
      <c r="D931" s="121" t="str">
        <f>INDEX(Regional.Technologies[Description],MATCH($B$2&amp;"."&amp;G.30.levels.EnergyEfficiency[[#This Row],[Technology code]],Regional.Technologies[Code],0))</f>
        <v>Global Electricity use in the Pulp &amp; paper: Recycled technology</v>
      </c>
      <c r="E931" s="121">
        <v>3</v>
      </c>
      <c r="F931" s="242" t="s">
        <v>1923</v>
      </c>
      <c r="G931" s="242"/>
      <c r="H931" s="242"/>
      <c r="I931" s="370">
        <v>0</v>
      </c>
      <c r="J931" s="370">
        <f t="shared" si="43"/>
        <v>3.0769230769230767E-2</v>
      </c>
      <c r="K931" s="370">
        <f t="shared" si="43"/>
        <v>6.9230769230769221E-2</v>
      </c>
      <c r="L931" s="370">
        <f t="shared" si="43"/>
        <v>0.10769230769230768</v>
      </c>
      <c r="M931" s="370">
        <f t="shared" si="43"/>
        <v>0.14615384615384613</v>
      </c>
      <c r="N931" s="370">
        <f t="shared" si="43"/>
        <v>0.1846153846153846</v>
      </c>
      <c r="O931" s="370">
        <f t="shared" si="43"/>
        <v>0.22307692307692306</v>
      </c>
      <c r="P931" s="370">
        <f t="shared" si="43"/>
        <v>0.2615384615384615</v>
      </c>
      <c r="Q931" s="370">
        <v>0.3</v>
      </c>
      <c r="R931" s="242"/>
      <c r="T931" s="20"/>
      <c r="U931" s="20"/>
      <c r="V931" s="20"/>
      <c r="W931" s="20"/>
      <c r="X931" s="20"/>
    </row>
    <row r="932" spans="1:24" s="65" customFormat="1" ht="15" customHeight="1" outlineLevel="2">
      <c r="A932" s="219"/>
      <c r="B932" s="242"/>
      <c r="C932" s="242" t="s">
        <v>1632</v>
      </c>
      <c r="D932" s="121" t="str">
        <f>INDEX(Regional.Technologies[Description],MATCH($B$2&amp;"."&amp;G.30.levels.EnergyEfficiency[[#This Row],[Technology code]],Regional.Technologies[Code],0))</f>
        <v>Global Electricity use in the Pulp &amp; paper: Recycled technology</v>
      </c>
      <c r="E932" s="121">
        <v>4</v>
      </c>
      <c r="F932" s="242" t="s">
        <v>1923</v>
      </c>
      <c r="G932" s="242"/>
      <c r="H932" s="242"/>
      <c r="I932" s="370">
        <v>0</v>
      </c>
      <c r="J932" s="370">
        <f t="shared" si="43"/>
        <v>4.1025641025641026E-2</v>
      </c>
      <c r="K932" s="370">
        <f t="shared" si="43"/>
        <v>9.2307692307692313E-2</v>
      </c>
      <c r="L932" s="370">
        <f t="shared" si="43"/>
        <v>0.14358974358974358</v>
      </c>
      <c r="M932" s="370">
        <f t="shared" si="43"/>
        <v>0.19487179487179487</v>
      </c>
      <c r="N932" s="370">
        <f t="shared" si="43"/>
        <v>0.24615384615384617</v>
      </c>
      <c r="O932" s="370">
        <f t="shared" si="43"/>
        <v>0.29743589743589743</v>
      </c>
      <c r="P932" s="370">
        <f t="shared" si="43"/>
        <v>0.3487179487179487</v>
      </c>
      <c r="Q932" s="370">
        <v>0.4</v>
      </c>
      <c r="R932" s="242"/>
      <c r="T932" s="20"/>
      <c r="U932" s="20"/>
      <c r="V932" s="20"/>
      <c r="W932" s="20"/>
      <c r="X932" s="20"/>
    </row>
    <row r="933" spans="1:24" s="65" customFormat="1" ht="15" customHeight="1" outlineLevel="2">
      <c r="A933" s="219"/>
      <c r="B933" s="242"/>
      <c r="C933" s="242" t="s">
        <v>1856</v>
      </c>
      <c r="D933" s="121" t="str">
        <f>INDEX(Regional.Technologies[Description],MATCH($B$2&amp;"."&amp;G.30.levels.EnergyEfficiency[[#This Row],[Technology code]],Regional.Technologies[Code],0))</f>
        <v>Global Coal use in the Pulp &amp; paper: Recycled technology</v>
      </c>
      <c r="E933" s="121">
        <v>1</v>
      </c>
      <c r="F933" s="242" t="s">
        <v>1923</v>
      </c>
      <c r="G933" s="242"/>
      <c r="H933" s="242"/>
      <c r="I933" s="370">
        <v>0</v>
      </c>
      <c r="J933" s="370">
        <f t="shared" si="43"/>
        <v>0</v>
      </c>
      <c r="K933" s="370">
        <f t="shared" si="43"/>
        <v>0</v>
      </c>
      <c r="L933" s="370">
        <f t="shared" si="43"/>
        <v>0</v>
      </c>
      <c r="M933" s="370">
        <f t="shared" si="43"/>
        <v>0</v>
      </c>
      <c r="N933" s="370">
        <f t="shared" si="43"/>
        <v>0</v>
      </c>
      <c r="O933" s="370">
        <f t="shared" si="43"/>
        <v>0</v>
      </c>
      <c r="P933" s="370">
        <f t="shared" si="43"/>
        <v>0</v>
      </c>
      <c r="Q933" s="370">
        <v>0</v>
      </c>
      <c r="R933" s="242"/>
      <c r="T933" s="20"/>
      <c r="U933" s="20"/>
      <c r="V933" s="20"/>
      <c r="W933" s="20"/>
      <c r="X933" s="20"/>
    </row>
    <row r="934" spans="1:24" s="65" customFormat="1" ht="15" customHeight="1" outlineLevel="2">
      <c r="A934" s="219"/>
      <c r="B934" s="242"/>
      <c r="C934" s="242" t="s">
        <v>1856</v>
      </c>
      <c r="D934" s="121" t="str">
        <f>INDEX(Regional.Technologies[Description],MATCH($B$2&amp;"."&amp;G.30.levels.EnergyEfficiency[[#This Row],[Technology code]],Regional.Technologies[Code],0))</f>
        <v>Global Coal use in the Pulp &amp; paper: Recycled technology</v>
      </c>
      <c r="E934" s="121">
        <v>2</v>
      </c>
      <c r="F934" s="242" t="s">
        <v>1923</v>
      </c>
      <c r="G934" s="242"/>
      <c r="H934" s="242"/>
      <c r="I934" s="370">
        <v>0</v>
      </c>
      <c r="J934" s="370">
        <f t="shared" si="43"/>
        <v>2.0512820512820513E-2</v>
      </c>
      <c r="K934" s="370">
        <f t="shared" si="43"/>
        <v>4.6153846153846156E-2</v>
      </c>
      <c r="L934" s="370">
        <f t="shared" si="43"/>
        <v>7.179487179487179E-2</v>
      </c>
      <c r="M934" s="370">
        <f t="shared" si="43"/>
        <v>9.7435897435897437E-2</v>
      </c>
      <c r="N934" s="370">
        <f t="shared" si="43"/>
        <v>0.12307692307692308</v>
      </c>
      <c r="O934" s="370">
        <f t="shared" si="43"/>
        <v>0.14871794871794872</v>
      </c>
      <c r="P934" s="370">
        <f t="shared" si="43"/>
        <v>0.17435897435897435</v>
      </c>
      <c r="Q934" s="370">
        <v>0.2</v>
      </c>
      <c r="R934" s="242"/>
      <c r="T934" s="20"/>
      <c r="U934" s="20"/>
      <c r="V934" s="20"/>
      <c r="W934" s="20"/>
      <c r="X934" s="20"/>
    </row>
    <row r="935" spans="1:24" s="65" customFormat="1" ht="15" customHeight="1" outlineLevel="2">
      <c r="A935" s="219"/>
      <c r="B935" s="242"/>
      <c r="C935" s="242" t="s">
        <v>1856</v>
      </c>
      <c r="D935" s="121" t="str">
        <f>INDEX(Regional.Technologies[Description],MATCH($B$2&amp;"."&amp;G.30.levels.EnergyEfficiency[[#This Row],[Technology code]],Regional.Technologies[Code],0))</f>
        <v>Global Coal use in the Pulp &amp; paper: Recycled technology</v>
      </c>
      <c r="E935" s="121">
        <v>3</v>
      </c>
      <c r="F935" s="242" t="s">
        <v>1923</v>
      </c>
      <c r="G935" s="242"/>
      <c r="H935" s="242"/>
      <c r="I935" s="370">
        <v>0</v>
      </c>
      <c r="J935" s="370">
        <f t="shared" si="43"/>
        <v>3.0769230769230767E-2</v>
      </c>
      <c r="K935" s="370">
        <f t="shared" si="43"/>
        <v>6.9230769230769221E-2</v>
      </c>
      <c r="L935" s="370">
        <f t="shared" si="43"/>
        <v>0.10769230769230768</v>
      </c>
      <c r="M935" s="370">
        <f t="shared" si="43"/>
        <v>0.14615384615384613</v>
      </c>
      <c r="N935" s="370">
        <f t="shared" si="43"/>
        <v>0.1846153846153846</v>
      </c>
      <c r="O935" s="370">
        <f t="shared" si="43"/>
        <v>0.22307692307692306</v>
      </c>
      <c r="P935" s="370">
        <f t="shared" si="43"/>
        <v>0.2615384615384615</v>
      </c>
      <c r="Q935" s="370">
        <v>0.3</v>
      </c>
      <c r="R935" s="242"/>
      <c r="T935" s="20"/>
      <c r="U935" s="20"/>
      <c r="V935" s="20"/>
      <c r="W935" s="20"/>
      <c r="X935" s="20"/>
    </row>
    <row r="936" spans="1:24" s="65" customFormat="1" ht="15" customHeight="1" outlineLevel="2">
      <c r="A936" s="219"/>
      <c r="B936" s="242"/>
      <c r="C936" s="242" t="s">
        <v>1856</v>
      </c>
      <c r="D936" s="121" t="str">
        <f>INDEX(Regional.Technologies[Description],MATCH($B$2&amp;"."&amp;G.30.levels.EnergyEfficiency[[#This Row],[Technology code]],Regional.Technologies[Code],0))</f>
        <v>Global Coal use in the Pulp &amp; paper: Recycled technology</v>
      </c>
      <c r="E936" s="121">
        <v>4</v>
      </c>
      <c r="F936" s="242" t="s">
        <v>1923</v>
      </c>
      <c r="G936" s="242"/>
      <c r="H936" s="242"/>
      <c r="I936" s="370">
        <v>0</v>
      </c>
      <c r="J936" s="370">
        <f t="shared" si="43"/>
        <v>4.1025641025641026E-2</v>
      </c>
      <c r="K936" s="370">
        <f t="shared" si="43"/>
        <v>9.2307692307692313E-2</v>
      </c>
      <c r="L936" s="370">
        <f t="shared" si="43"/>
        <v>0.14358974358974358</v>
      </c>
      <c r="M936" s="370">
        <f t="shared" si="43"/>
        <v>0.19487179487179487</v>
      </c>
      <c r="N936" s="370">
        <f t="shared" si="43"/>
        <v>0.24615384615384617</v>
      </c>
      <c r="O936" s="370">
        <f t="shared" si="43"/>
        <v>0.29743589743589743</v>
      </c>
      <c r="P936" s="370">
        <f t="shared" si="43"/>
        <v>0.3487179487179487</v>
      </c>
      <c r="Q936" s="370">
        <v>0.4</v>
      </c>
      <c r="R936" s="242"/>
      <c r="T936" s="20"/>
      <c r="U936" s="20"/>
      <c r="V936" s="20"/>
      <c r="W936" s="20"/>
      <c r="X936" s="20"/>
    </row>
    <row r="937" spans="1:24" s="65" customFormat="1" ht="15" customHeight="1" outlineLevel="2">
      <c r="A937" s="219"/>
      <c r="B937" s="242"/>
      <c r="C937" s="242" t="s">
        <v>1857</v>
      </c>
      <c r="D937" s="121" t="str">
        <f>INDEX(Regional.Technologies[Description],MATCH($B$2&amp;"."&amp;G.30.levels.EnergyEfficiency[[#This Row],[Technology code]],Regional.Technologies[Code],0))</f>
        <v>Global Oil use in the Pulp &amp; paper: Recycled technology</v>
      </c>
      <c r="E937" s="121">
        <v>1</v>
      </c>
      <c r="F937" s="242" t="s">
        <v>1923</v>
      </c>
      <c r="G937" s="242"/>
      <c r="H937" s="242"/>
      <c r="I937" s="370">
        <v>0</v>
      </c>
      <c r="J937" s="370">
        <f t="shared" si="43"/>
        <v>0</v>
      </c>
      <c r="K937" s="370">
        <f t="shared" si="43"/>
        <v>0</v>
      </c>
      <c r="L937" s="370">
        <f t="shared" si="43"/>
        <v>0</v>
      </c>
      <c r="M937" s="370">
        <f t="shared" si="43"/>
        <v>0</v>
      </c>
      <c r="N937" s="370">
        <f t="shared" si="43"/>
        <v>0</v>
      </c>
      <c r="O937" s="370">
        <f t="shared" si="43"/>
        <v>0</v>
      </c>
      <c r="P937" s="370">
        <f t="shared" si="43"/>
        <v>0</v>
      </c>
      <c r="Q937" s="370">
        <v>0</v>
      </c>
      <c r="R937" s="242"/>
      <c r="T937" s="20"/>
      <c r="U937" s="20"/>
      <c r="V937" s="20"/>
      <c r="W937" s="20"/>
      <c r="X937" s="20"/>
    </row>
    <row r="938" spans="1:24" s="65" customFormat="1" ht="15" customHeight="1" outlineLevel="2">
      <c r="A938" s="219"/>
      <c r="B938" s="242"/>
      <c r="C938" s="242" t="s">
        <v>1857</v>
      </c>
      <c r="D938" s="121" t="str">
        <f>INDEX(Regional.Technologies[Description],MATCH($B$2&amp;"."&amp;G.30.levels.EnergyEfficiency[[#This Row],[Technology code]],Regional.Technologies[Code],0))</f>
        <v>Global Oil use in the Pulp &amp; paper: Recycled technology</v>
      </c>
      <c r="E938" s="121">
        <v>2</v>
      </c>
      <c r="F938" s="242" t="s">
        <v>1923</v>
      </c>
      <c r="G938" s="242"/>
      <c r="H938" s="242"/>
      <c r="I938" s="370">
        <v>0</v>
      </c>
      <c r="J938" s="370">
        <f t="shared" si="43"/>
        <v>2.0512820512820513E-2</v>
      </c>
      <c r="K938" s="370">
        <f t="shared" si="43"/>
        <v>4.6153846153846156E-2</v>
      </c>
      <c r="L938" s="370">
        <f t="shared" si="43"/>
        <v>7.179487179487179E-2</v>
      </c>
      <c r="M938" s="370">
        <f t="shared" si="43"/>
        <v>9.7435897435897437E-2</v>
      </c>
      <c r="N938" s="370">
        <f t="shared" si="43"/>
        <v>0.12307692307692308</v>
      </c>
      <c r="O938" s="370">
        <f t="shared" si="43"/>
        <v>0.14871794871794872</v>
      </c>
      <c r="P938" s="370">
        <f t="shared" si="43"/>
        <v>0.17435897435897435</v>
      </c>
      <c r="Q938" s="370">
        <v>0.2</v>
      </c>
      <c r="R938" s="242"/>
      <c r="T938" s="20"/>
      <c r="U938" s="20"/>
      <c r="V938" s="20"/>
      <c r="W938" s="20"/>
      <c r="X938" s="20"/>
    </row>
    <row r="939" spans="1:24" s="65" customFormat="1" ht="15" customHeight="1" outlineLevel="2">
      <c r="A939" s="219"/>
      <c r="B939" s="242"/>
      <c r="C939" s="242" t="s">
        <v>1857</v>
      </c>
      <c r="D939" s="121" t="str">
        <f>INDEX(Regional.Technologies[Description],MATCH($B$2&amp;"."&amp;G.30.levels.EnergyEfficiency[[#This Row],[Technology code]],Regional.Technologies[Code],0))</f>
        <v>Global Oil use in the Pulp &amp; paper: Recycled technology</v>
      </c>
      <c r="E939" s="121">
        <v>3</v>
      </c>
      <c r="F939" s="242" t="s">
        <v>1923</v>
      </c>
      <c r="G939" s="242"/>
      <c r="H939" s="242"/>
      <c r="I939" s="370">
        <v>0</v>
      </c>
      <c r="J939" s="370">
        <f t="shared" si="43"/>
        <v>3.0769230769230767E-2</v>
      </c>
      <c r="K939" s="370">
        <f t="shared" si="43"/>
        <v>6.9230769230769221E-2</v>
      </c>
      <c r="L939" s="370">
        <f t="shared" si="43"/>
        <v>0.10769230769230768</v>
      </c>
      <c r="M939" s="370">
        <f t="shared" si="43"/>
        <v>0.14615384615384613</v>
      </c>
      <c r="N939" s="370">
        <f t="shared" si="43"/>
        <v>0.1846153846153846</v>
      </c>
      <c r="O939" s="370">
        <f t="shared" si="43"/>
        <v>0.22307692307692306</v>
      </c>
      <c r="P939" s="370">
        <f t="shared" si="43"/>
        <v>0.2615384615384615</v>
      </c>
      <c r="Q939" s="370">
        <v>0.3</v>
      </c>
      <c r="R939" s="242"/>
      <c r="T939" s="20"/>
      <c r="U939" s="20"/>
      <c r="V939" s="20"/>
      <c r="W939" s="20"/>
      <c r="X939" s="20"/>
    </row>
    <row r="940" spans="1:24" s="65" customFormat="1" ht="15" customHeight="1" outlineLevel="2">
      <c r="A940" s="219"/>
      <c r="B940" s="242"/>
      <c r="C940" s="242" t="s">
        <v>1857</v>
      </c>
      <c r="D940" s="121" t="str">
        <f>INDEX(Regional.Technologies[Description],MATCH($B$2&amp;"."&amp;G.30.levels.EnergyEfficiency[[#This Row],[Technology code]],Regional.Technologies[Code],0))</f>
        <v>Global Oil use in the Pulp &amp; paper: Recycled technology</v>
      </c>
      <c r="E940" s="121">
        <v>4</v>
      </c>
      <c r="F940" s="242" t="s">
        <v>1923</v>
      </c>
      <c r="G940" s="242"/>
      <c r="H940" s="242"/>
      <c r="I940" s="370">
        <v>0</v>
      </c>
      <c r="J940" s="370">
        <f t="shared" si="43"/>
        <v>4.1025641025641026E-2</v>
      </c>
      <c r="K940" s="370">
        <f t="shared" si="43"/>
        <v>9.2307692307692313E-2</v>
      </c>
      <c r="L940" s="370">
        <f t="shared" si="43"/>
        <v>0.14358974358974358</v>
      </c>
      <c r="M940" s="370">
        <f t="shared" si="43"/>
        <v>0.19487179487179487</v>
      </c>
      <c r="N940" s="370">
        <f t="shared" si="43"/>
        <v>0.24615384615384617</v>
      </c>
      <c r="O940" s="370">
        <f t="shared" si="43"/>
        <v>0.29743589743589743</v>
      </c>
      <c r="P940" s="370">
        <f t="shared" si="43"/>
        <v>0.3487179487179487</v>
      </c>
      <c r="Q940" s="370">
        <v>0.4</v>
      </c>
      <c r="R940" s="242"/>
      <c r="T940" s="20"/>
      <c r="U940" s="20"/>
      <c r="V940" s="20"/>
      <c r="W940" s="20"/>
      <c r="X940" s="20"/>
    </row>
    <row r="941" spans="1:24" s="65" customFormat="1" ht="15" customHeight="1" outlineLevel="2">
      <c r="A941" s="219"/>
      <c r="B941" s="242"/>
      <c r="C941" s="242" t="s">
        <v>1858</v>
      </c>
      <c r="D941" s="121" t="str">
        <f>INDEX(Regional.Technologies[Description],MATCH($B$2&amp;"."&amp;G.30.levels.EnergyEfficiency[[#This Row],[Technology code]],Regional.Technologies[Code],0))</f>
        <v>Global Natural Gas use in the Pulp &amp; paper: Recycled technology</v>
      </c>
      <c r="E941" s="121">
        <v>1</v>
      </c>
      <c r="F941" s="242" t="s">
        <v>1923</v>
      </c>
      <c r="G941" s="242"/>
      <c r="H941" s="242"/>
      <c r="I941" s="370">
        <v>0</v>
      </c>
      <c r="J941" s="370">
        <f t="shared" si="43"/>
        <v>0</v>
      </c>
      <c r="K941" s="370">
        <f t="shared" si="43"/>
        <v>0</v>
      </c>
      <c r="L941" s="370">
        <f t="shared" si="43"/>
        <v>0</v>
      </c>
      <c r="M941" s="370">
        <f t="shared" si="43"/>
        <v>0</v>
      </c>
      <c r="N941" s="370">
        <f t="shared" si="43"/>
        <v>0</v>
      </c>
      <c r="O941" s="370">
        <f t="shared" si="43"/>
        <v>0</v>
      </c>
      <c r="P941" s="370">
        <f t="shared" si="43"/>
        <v>0</v>
      </c>
      <c r="Q941" s="370">
        <v>0</v>
      </c>
      <c r="R941" s="242"/>
      <c r="T941" s="20"/>
      <c r="U941" s="20"/>
      <c r="V941" s="20"/>
      <c r="W941" s="20"/>
      <c r="X941" s="20"/>
    </row>
    <row r="942" spans="1:24" s="65" customFormat="1" ht="15" customHeight="1" outlineLevel="2">
      <c r="A942" s="219"/>
      <c r="B942" s="242"/>
      <c r="C942" s="242" t="s">
        <v>1858</v>
      </c>
      <c r="D942" s="121" t="str">
        <f>INDEX(Regional.Technologies[Description],MATCH($B$2&amp;"."&amp;G.30.levels.EnergyEfficiency[[#This Row],[Technology code]],Regional.Technologies[Code],0))</f>
        <v>Global Natural Gas use in the Pulp &amp; paper: Recycled technology</v>
      </c>
      <c r="E942" s="121">
        <v>2</v>
      </c>
      <c r="F942" s="242" t="s">
        <v>1923</v>
      </c>
      <c r="G942" s="242"/>
      <c r="H942" s="242"/>
      <c r="I942" s="370">
        <v>0</v>
      </c>
      <c r="J942" s="370">
        <f t="shared" si="43"/>
        <v>2.0512820512820513E-2</v>
      </c>
      <c r="K942" s="370">
        <f t="shared" si="43"/>
        <v>4.6153846153846156E-2</v>
      </c>
      <c r="L942" s="370">
        <f t="shared" si="43"/>
        <v>7.179487179487179E-2</v>
      </c>
      <c r="M942" s="370">
        <f t="shared" si="43"/>
        <v>9.7435897435897437E-2</v>
      </c>
      <c r="N942" s="370">
        <f t="shared" si="43"/>
        <v>0.12307692307692308</v>
      </c>
      <c r="O942" s="370">
        <f t="shared" si="43"/>
        <v>0.14871794871794872</v>
      </c>
      <c r="P942" s="370">
        <f t="shared" si="43"/>
        <v>0.17435897435897435</v>
      </c>
      <c r="Q942" s="370">
        <v>0.2</v>
      </c>
      <c r="R942" s="242"/>
      <c r="T942" s="20"/>
      <c r="U942" s="20"/>
      <c r="V942" s="20"/>
      <c r="W942" s="20"/>
      <c r="X942" s="20"/>
    </row>
    <row r="943" spans="1:24" s="65" customFormat="1" ht="15" customHeight="1" outlineLevel="2">
      <c r="A943" s="219"/>
      <c r="B943" s="242"/>
      <c r="C943" s="242" t="s">
        <v>1858</v>
      </c>
      <c r="D943" s="121" t="str">
        <f>INDEX(Regional.Technologies[Description],MATCH($B$2&amp;"."&amp;G.30.levels.EnergyEfficiency[[#This Row],[Technology code]],Regional.Technologies[Code],0))</f>
        <v>Global Natural Gas use in the Pulp &amp; paper: Recycled technology</v>
      </c>
      <c r="E943" s="121">
        <v>3</v>
      </c>
      <c r="F943" s="242" t="s">
        <v>1923</v>
      </c>
      <c r="G943" s="242"/>
      <c r="H943" s="242"/>
      <c r="I943" s="370">
        <v>0</v>
      </c>
      <c r="J943" s="370">
        <f t="shared" si="43"/>
        <v>3.0769230769230767E-2</v>
      </c>
      <c r="K943" s="370">
        <f t="shared" si="43"/>
        <v>6.9230769230769221E-2</v>
      </c>
      <c r="L943" s="370">
        <f t="shared" si="43"/>
        <v>0.10769230769230768</v>
      </c>
      <c r="M943" s="370">
        <f t="shared" si="43"/>
        <v>0.14615384615384613</v>
      </c>
      <c r="N943" s="370">
        <f t="shared" si="43"/>
        <v>0.1846153846153846</v>
      </c>
      <c r="O943" s="370">
        <f t="shared" si="43"/>
        <v>0.22307692307692306</v>
      </c>
      <c r="P943" s="370">
        <f t="shared" si="43"/>
        <v>0.2615384615384615</v>
      </c>
      <c r="Q943" s="370">
        <v>0.3</v>
      </c>
      <c r="R943" s="242"/>
      <c r="T943" s="20"/>
      <c r="U943" s="20"/>
      <c r="V943" s="20"/>
      <c r="W943" s="20"/>
      <c r="X943" s="20"/>
    </row>
    <row r="944" spans="1:24" s="65" customFormat="1" ht="15" customHeight="1" outlineLevel="2">
      <c r="A944" s="219"/>
      <c r="B944" s="242"/>
      <c r="C944" s="242" t="s">
        <v>1858</v>
      </c>
      <c r="D944" s="121" t="str">
        <f>INDEX(Regional.Technologies[Description],MATCH($B$2&amp;"."&amp;G.30.levels.EnergyEfficiency[[#This Row],[Technology code]],Regional.Technologies[Code],0))</f>
        <v>Global Natural Gas use in the Pulp &amp; paper: Recycled technology</v>
      </c>
      <c r="E944" s="121">
        <v>4</v>
      </c>
      <c r="F944" s="242" t="s">
        <v>1923</v>
      </c>
      <c r="G944" s="242"/>
      <c r="H944" s="242"/>
      <c r="I944" s="370">
        <v>0</v>
      </c>
      <c r="J944" s="370">
        <f t="shared" si="43"/>
        <v>4.1025641025641026E-2</v>
      </c>
      <c r="K944" s="370">
        <f t="shared" si="43"/>
        <v>9.2307692307692313E-2</v>
      </c>
      <c r="L944" s="370">
        <f t="shared" si="43"/>
        <v>0.14358974358974358</v>
      </c>
      <c r="M944" s="370">
        <f t="shared" si="43"/>
        <v>0.19487179487179487</v>
      </c>
      <c r="N944" s="370">
        <f t="shared" si="43"/>
        <v>0.24615384615384617</v>
      </c>
      <c r="O944" s="370">
        <f t="shared" si="43"/>
        <v>0.29743589743589743</v>
      </c>
      <c r="P944" s="370">
        <f t="shared" si="43"/>
        <v>0.3487179487179487</v>
      </c>
      <c r="Q944" s="370">
        <v>0.4</v>
      </c>
      <c r="R944" s="242"/>
      <c r="T944" s="20"/>
      <c r="U944" s="20"/>
      <c r="V944" s="20"/>
      <c r="W944" s="20"/>
      <c r="X944" s="20"/>
    </row>
    <row r="945" spans="1:24" s="65" customFormat="1" ht="15" customHeight="1" outlineLevel="2">
      <c r="A945" s="219"/>
      <c r="B945" s="242"/>
      <c r="C945" s="242" t="s">
        <v>1859</v>
      </c>
      <c r="D945" s="121" t="str">
        <f>INDEX(Regional.Technologies[Description],MATCH($B$2&amp;"."&amp;G.30.levels.EnergyEfficiency[[#This Row],[Technology code]],Regional.Technologies[Code],0))</f>
        <v>Global Solid Hydrocarbons use in the Pulp &amp; paper: Recycled technology</v>
      </c>
      <c r="E945" s="121">
        <v>1</v>
      </c>
      <c r="F945" s="242" t="s">
        <v>1923</v>
      </c>
      <c r="G945" s="242"/>
      <c r="H945" s="242"/>
      <c r="I945" s="370">
        <v>0</v>
      </c>
      <c r="J945" s="370">
        <f t="shared" si="43"/>
        <v>0</v>
      </c>
      <c r="K945" s="370">
        <f t="shared" si="43"/>
        <v>0</v>
      </c>
      <c r="L945" s="370">
        <f t="shared" si="43"/>
        <v>0</v>
      </c>
      <c r="M945" s="370">
        <f t="shared" si="43"/>
        <v>0</v>
      </c>
      <c r="N945" s="370">
        <f t="shared" si="43"/>
        <v>0</v>
      </c>
      <c r="O945" s="370">
        <f t="shared" si="43"/>
        <v>0</v>
      </c>
      <c r="P945" s="370">
        <f t="shared" si="43"/>
        <v>0</v>
      </c>
      <c r="Q945" s="370">
        <v>0</v>
      </c>
      <c r="R945" s="242"/>
      <c r="T945" s="20"/>
      <c r="U945" s="20"/>
      <c r="V945" s="20"/>
      <c r="W945" s="20"/>
      <c r="X945" s="20"/>
    </row>
    <row r="946" spans="1:24" s="65" customFormat="1" ht="15" customHeight="1" outlineLevel="2">
      <c r="A946" s="219"/>
      <c r="B946" s="242"/>
      <c r="C946" s="242" t="s">
        <v>1859</v>
      </c>
      <c r="D946" s="121" t="str">
        <f>INDEX(Regional.Technologies[Description],MATCH($B$2&amp;"."&amp;G.30.levels.EnergyEfficiency[[#This Row],[Technology code]],Regional.Technologies[Code],0))</f>
        <v>Global Solid Hydrocarbons use in the Pulp &amp; paper: Recycled technology</v>
      </c>
      <c r="E946" s="121">
        <v>2</v>
      </c>
      <c r="F946" s="242" t="s">
        <v>1923</v>
      </c>
      <c r="G946" s="242"/>
      <c r="H946" s="242"/>
      <c r="I946" s="370">
        <v>0</v>
      </c>
      <c r="J946" s="370">
        <f t="shared" si="43"/>
        <v>2.0512820512820513E-2</v>
      </c>
      <c r="K946" s="370">
        <f t="shared" si="43"/>
        <v>4.6153846153846156E-2</v>
      </c>
      <c r="L946" s="370">
        <f t="shared" si="43"/>
        <v>7.179487179487179E-2</v>
      </c>
      <c r="M946" s="370">
        <f t="shared" si="43"/>
        <v>9.7435897435897437E-2</v>
      </c>
      <c r="N946" s="370">
        <f t="shared" si="43"/>
        <v>0.12307692307692308</v>
      </c>
      <c r="O946" s="370">
        <f t="shared" si="43"/>
        <v>0.14871794871794872</v>
      </c>
      <c r="P946" s="370">
        <f t="shared" si="43"/>
        <v>0.17435897435897435</v>
      </c>
      <c r="Q946" s="370">
        <v>0.2</v>
      </c>
      <c r="R946" s="242"/>
      <c r="T946" s="20"/>
      <c r="U946" s="20"/>
      <c r="V946" s="20"/>
      <c r="W946" s="20"/>
      <c r="X946" s="20"/>
    </row>
    <row r="947" spans="1:24" s="65" customFormat="1" ht="15" customHeight="1" outlineLevel="2">
      <c r="A947" s="219"/>
      <c r="B947" s="242"/>
      <c r="C947" s="242" t="s">
        <v>1859</v>
      </c>
      <c r="D947" s="121" t="str">
        <f>INDEX(Regional.Technologies[Description],MATCH($B$2&amp;"."&amp;G.30.levels.EnergyEfficiency[[#This Row],[Technology code]],Regional.Technologies[Code],0))</f>
        <v>Global Solid Hydrocarbons use in the Pulp &amp; paper: Recycled technology</v>
      </c>
      <c r="E947" s="121">
        <v>3</v>
      </c>
      <c r="F947" s="242" t="s">
        <v>1923</v>
      </c>
      <c r="G947" s="242"/>
      <c r="H947" s="242"/>
      <c r="I947" s="370">
        <v>0</v>
      </c>
      <c r="J947" s="370">
        <f t="shared" si="43"/>
        <v>3.0769230769230767E-2</v>
      </c>
      <c r="K947" s="370">
        <f t="shared" si="43"/>
        <v>6.9230769230769221E-2</v>
      </c>
      <c r="L947" s="370">
        <f t="shared" si="43"/>
        <v>0.10769230769230768</v>
      </c>
      <c r="M947" s="370">
        <f t="shared" si="43"/>
        <v>0.14615384615384613</v>
      </c>
      <c r="N947" s="370">
        <f t="shared" si="43"/>
        <v>0.1846153846153846</v>
      </c>
      <c r="O947" s="370">
        <f t="shared" si="43"/>
        <v>0.22307692307692306</v>
      </c>
      <c r="P947" s="370">
        <f t="shared" si="43"/>
        <v>0.2615384615384615</v>
      </c>
      <c r="Q947" s="370">
        <v>0.3</v>
      </c>
      <c r="R947" s="242"/>
      <c r="T947" s="20"/>
      <c r="U947" s="20"/>
      <c r="V947" s="20"/>
      <c r="W947" s="20"/>
      <c r="X947" s="20"/>
    </row>
    <row r="948" spans="1:24" s="65" customFormat="1" ht="15" customHeight="1" outlineLevel="2">
      <c r="A948" s="219"/>
      <c r="B948" s="242"/>
      <c r="C948" s="242" t="s">
        <v>1859</v>
      </c>
      <c r="D948" s="121" t="str">
        <f>INDEX(Regional.Technologies[Description],MATCH($B$2&amp;"."&amp;G.30.levels.EnergyEfficiency[[#This Row],[Technology code]],Regional.Technologies[Code],0))</f>
        <v>Global Solid Hydrocarbons use in the Pulp &amp; paper: Recycled technology</v>
      </c>
      <c r="E948" s="121">
        <v>4</v>
      </c>
      <c r="F948" s="242" t="s">
        <v>1923</v>
      </c>
      <c r="G948" s="242"/>
      <c r="H948" s="242"/>
      <c r="I948" s="370">
        <v>0</v>
      </c>
      <c r="J948" s="370">
        <f t="shared" si="43"/>
        <v>4.1025641025641026E-2</v>
      </c>
      <c r="K948" s="370">
        <f t="shared" si="43"/>
        <v>9.2307692307692313E-2</v>
      </c>
      <c r="L948" s="370">
        <f t="shared" si="43"/>
        <v>0.14358974358974358</v>
      </c>
      <c r="M948" s="370">
        <f t="shared" si="43"/>
        <v>0.19487179487179487</v>
      </c>
      <c r="N948" s="370">
        <f t="shared" si="43"/>
        <v>0.24615384615384617</v>
      </c>
      <c r="O948" s="370">
        <f t="shared" si="43"/>
        <v>0.29743589743589743</v>
      </c>
      <c r="P948" s="370">
        <f t="shared" si="43"/>
        <v>0.3487179487179487</v>
      </c>
      <c r="Q948" s="370">
        <v>0.4</v>
      </c>
      <c r="R948" s="242"/>
      <c r="T948" s="20"/>
      <c r="U948" s="20"/>
      <c r="V948" s="20"/>
      <c r="W948" s="20"/>
      <c r="X948" s="20"/>
    </row>
    <row r="949" spans="1:24" s="65" customFormat="1" ht="15" customHeight="1" outlineLevel="2">
      <c r="A949" s="219"/>
      <c r="B949" s="242"/>
      <c r="C949" s="242" t="s">
        <v>1860</v>
      </c>
      <c r="D949" s="121" t="str">
        <f>INDEX(Regional.Technologies[Description],MATCH($B$2&amp;"."&amp;G.30.levels.EnergyEfficiency[[#This Row],[Technology code]],Regional.Technologies[Code],0))</f>
        <v>Global Heat use in the Pulp &amp; paper: Recycled technology</v>
      </c>
      <c r="E949" s="121">
        <v>1</v>
      </c>
      <c r="F949" s="242" t="s">
        <v>1923</v>
      </c>
      <c r="G949" s="242"/>
      <c r="H949" s="242"/>
      <c r="I949" s="370">
        <v>0</v>
      </c>
      <c r="J949" s="370">
        <f t="shared" si="43"/>
        <v>0</v>
      </c>
      <c r="K949" s="370">
        <f t="shared" si="43"/>
        <v>0</v>
      </c>
      <c r="L949" s="370">
        <f t="shared" si="43"/>
        <v>0</v>
      </c>
      <c r="M949" s="370">
        <f t="shared" si="43"/>
        <v>0</v>
      </c>
      <c r="N949" s="370">
        <f t="shared" si="43"/>
        <v>0</v>
      </c>
      <c r="O949" s="370">
        <f t="shared" si="43"/>
        <v>0</v>
      </c>
      <c r="P949" s="370">
        <f t="shared" si="43"/>
        <v>0</v>
      </c>
      <c r="Q949" s="370">
        <v>0</v>
      </c>
      <c r="R949" s="242"/>
      <c r="T949" s="20"/>
      <c r="U949" s="20"/>
      <c r="V949" s="20"/>
      <c r="W949" s="20"/>
      <c r="X949" s="20"/>
    </row>
    <row r="950" spans="1:24" s="65" customFormat="1" ht="15" customHeight="1" outlineLevel="2">
      <c r="A950" s="219"/>
      <c r="B950" s="242"/>
      <c r="C950" s="242" t="s">
        <v>1860</v>
      </c>
      <c r="D950" s="121" t="str">
        <f>INDEX(Regional.Technologies[Description],MATCH($B$2&amp;"."&amp;G.30.levels.EnergyEfficiency[[#This Row],[Technology code]],Regional.Technologies[Code],0))</f>
        <v>Global Heat use in the Pulp &amp; paper: Recycled technology</v>
      </c>
      <c r="E950" s="121">
        <v>2</v>
      </c>
      <c r="F950" s="242" t="s">
        <v>1923</v>
      </c>
      <c r="G950" s="242"/>
      <c r="H950" s="242"/>
      <c r="I950" s="370">
        <v>0</v>
      </c>
      <c r="J950" s="370">
        <f t="shared" si="43"/>
        <v>2.0512820512820513E-2</v>
      </c>
      <c r="K950" s="370">
        <f t="shared" si="43"/>
        <v>4.6153846153846156E-2</v>
      </c>
      <c r="L950" s="370">
        <f t="shared" si="43"/>
        <v>7.179487179487179E-2</v>
      </c>
      <c r="M950" s="370">
        <f t="shared" si="43"/>
        <v>9.7435897435897437E-2</v>
      </c>
      <c r="N950" s="370">
        <f t="shared" si="43"/>
        <v>0.12307692307692308</v>
      </c>
      <c r="O950" s="370">
        <f t="shared" si="43"/>
        <v>0.14871794871794872</v>
      </c>
      <c r="P950" s="370">
        <f t="shared" si="43"/>
        <v>0.17435897435897435</v>
      </c>
      <c r="Q950" s="370">
        <v>0.2</v>
      </c>
      <c r="R950" s="242"/>
      <c r="T950" s="20"/>
      <c r="U950" s="20"/>
      <c r="V950" s="20"/>
      <c r="W950" s="20"/>
      <c r="X950" s="20"/>
    </row>
    <row r="951" spans="1:24" s="65" customFormat="1" ht="15" customHeight="1" outlineLevel="2">
      <c r="A951" s="219"/>
      <c r="B951" s="242"/>
      <c r="C951" s="242" t="s">
        <v>1860</v>
      </c>
      <c r="D951" s="121" t="str">
        <f>INDEX(Regional.Technologies[Description],MATCH($B$2&amp;"."&amp;G.30.levels.EnergyEfficiency[[#This Row],[Technology code]],Regional.Technologies[Code],0))</f>
        <v>Global Heat use in the Pulp &amp; paper: Recycled technology</v>
      </c>
      <c r="E951" s="121">
        <v>3</v>
      </c>
      <c r="F951" s="242" t="s">
        <v>1923</v>
      </c>
      <c r="G951" s="242"/>
      <c r="H951" s="242"/>
      <c r="I951" s="370">
        <v>0</v>
      </c>
      <c r="J951" s="370">
        <f t="shared" si="43"/>
        <v>3.0769230769230767E-2</v>
      </c>
      <c r="K951" s="370">
        <f t="shared" si="43"/>
        <v>6.9230769230769221E-2</v>
      </c>
      <c r="L951" s="370">
        <f t="shared" si="43"/>
        <v>0.10769230769230768</v>
      </c>
      <c r="M951" s="370">
        <f t="shared" si="43"/>
        <v>0.14615384615384613</v>
      </c>
      <c r="N951" s="370">
        <f t="shared" si="43"/>
        <v>0.1846153846153846</v>
      </c>
      <c r="O951" s="370">
        <f t="shared" si="43"/>
        <v>0.22307692307692306</v>
      </c>
      <c r="P951" s="370">
        <f t="shared" si="43"/>
        <v>0.2615384615384615</v>
      </c>
      <c r="Q951" s="370">
        <v>0.3</v>
      </c>
      <c r="R951" s="242"/>
      <c r="T951" s="20"/>
      <c r="U951" s="20"/>
      <c r="V951" s="20"/>
      <c r="W951" s="20"/>
      <c r="X951" s="20"/>
    </row>
    <row r="952" spans="1:24" s="65" customFormat="1" ht="15" customHeight="1" outlineLevel="2">
      <c r="A952" s="219"/>
      <c r="B952" s="242"/>
      <c r="C952" s="242" t="s">
        <v>1860</v>
      </c>
      <c r="D952" s="121" t="str">
        <f>INDEX(Regional.Technologies[Description],MATCH($B$2&amp;"."&amp;G.30.levels.EnergyEfficiency[[#This Row],[Technology code]],Regional.Technologies[Code],0))</f>
        <v>Global Heat use in the Pulp &amp; paper: Recycled technology</v>
      </c>
      <c r="E952" s="121">
        <v>4</v>
      </c>
      <c r="F952" s="242" t="s">
        <v>1923</v>
      </c>
      <c r="G952" s="242"/>
      <c r="H952" s="242"/>
      <c r="I952" s="370">
        <v>0</v>
      </c>
      <c r="J952" s="370">
        <f t="shared" si="43"/>
        <v>4.1025641025641026E-2</v>
      </c>
      <c r="K952" s="370">
        <f t="shared" si="43"/>
        <v>9.2307692307692313E-2</v>
      </c>
      <c r="L952" s="370">
        <f t="shared" si="43"/>
        <v>0.14358974358974358</v>
      </c>
      <c r="M952" s="370">
        <f t="shared" si="43"/>
        <v>0.19487179487179487</v>
      </c>
      <c r="N952" s="370">
        <f t="shared" si="43"/>
        <v>0.24615384615384617</v>
      </c>
      <c r="O952" s="370">
        <f t="shared" si="43"/>
        <v>0.29743589743589743</v>
      </c>
      <c r="P952" s="370">
        <f t="shared" si="43"/>
        <v>0.3487179487179487</v>
      </c>
      <c r="Q952" s="370">
        <v>0.4</v>
      </c>
      <c r="R952" s="242"/>
      <c r="T952" s="20"/>
      <c r="U952" s="20"/>
      <c r="V952" s="20"/>
      <c r="W952" s="20"/>
      <c r="X952" s="20"/>
    </row>
    <row r="953" spans="1:24" s="65" customFormat="1" ht="15" customHeight="1" outlineLevel="2">
      <c r="A953" s="219"/>
      <c r="B953" s="242"/>
      <c r="C953" s="242" t="s">
        <v>1634</v>
      </c>
      <c r="D953" s="121" t="str">
        <f>INDEX(Regional.Technologies[Description],MATCH($B$2&amp;"."&amp;G.30.levels.EnergyEfficiency[[#This Row],[Technology code]],Regional.Technologies[Code],0))</f>
        <v>Global Electricity use in the Other industries technology</v>
      </c>
      <c r="E953" s="121">
        <v>1</v>
      </c>
      <c r="F953" s="242" t="s">
        <v>1457</v>
      </c>
      <c r="G953" s="242"/>
      <c r="H953" s="242"/>
      <c r="I953" s="370">
        <v>0</v>
      </c>
      <c r="J953" s="370">
        <f t="shared" si="43"/>
        <v>0</v>
      </c>
      <c r="K953" s="370">
        <f t="shared" si="43"/>
        <v>0</v>
      </c>
      <c r="L953" s="370">
        <f t="shared" si="43"/>
        <v>0</v>
      </c>
      <c r="M953" s="370">
        <f t="shared" si="43"/>
        <v>0</v>
      </c>
      <c r="N953" s="370">
        <f t="shared" si="43"/>
        <v>0</v>
      </c>
      <c r="O953" s="370">
        <f t="shared" si="43"/>
        <v>0</v>
      </c>
      <c r="P953" s="370">
        <f t="shared" si="43"/>
        <v>0</v>
      </c>
      <c r="Q953" s="370">
        <v>0</v>
      </c>
      <c r="R953" s="242"/>
      <c r="T953" s="20"/>
      <c r="U953" s="20"/>
      <c r="V953" s="20"/>
      <c r="W953" s="20"/>
      <c r="X953" s="20"/>
    </row>
    <row r="954" spans="1:24" s="65" customFormat="1" ht="15" customHeight="1" outlineLevel="2">
      <c r="A954" s="219"/>
      <c r="B954" s="242"/>
      <c r="C954" s="242" t="s">
        <v>1634</v>
      </c>
      <c r="D954" s="121" t="str">
        <f>INDEX(Regional.Technologies[Description],MATCH($B$2&amp;"."&amp;G.30.levels.EnergyEfficiency[[#This Row],[Technology code]],Regional.Technologies[Code],0))</f>
        <v>Global Electricity use in the Other industries technology</v>
      </c>
      <c r="E954" s="121">
        <v>2</v>
      </c>
      <c r="F954" s="242" t="s">
        <v>1457</v>
      </c>
      <c r="G954" s="242"/>
      <c r="H954" s="242"/>
      <c r="I954" s="370">
        <v>0</v>
      </c>
      <c r="J954" s="370">
        <f t="shared" si="43"/>
        <v>2.0512820512820513E-2</v>
      </c>
      <c r="K954" s="370">
        <f t="shared" si="43"/>
        <v>4.6153846153846156E-2</v>
      </c>
      <c r="L954" s="370">
        <f t="shared" si="43"/>
        <v>7.179487179487179E-2</v>
      </c>
      <c r="M954" s="370">
        <f t="shared" si="43"/>
        <v>9.7435897435897437E-2</v>
      </c>
      <c r="N954" s="370">
        <f t="shared" si="43"/>
        <v>0.12307692307692308</v>
      </c>
      <c r="O954" s="370">
        <f t="shared" si="43"/>
        <v>0.14871794871794872</v>
      </c>
      <c r="P954" s="370">
        <f t="shared" si="43"/>
        <v>0.17435897435897435</v>
      </c>
      <c r="Q954" s="370">
        <v>0.2</v>
      </c>
      <c r="R954" s="242"/>
      <c r="T954" s="20"/>
      <c r="U954" s="20"/>
      <c r="V954" s="20"/>
      <c r="W954" s="20"/>
      <c r="X954" s="20"/>
    </row>
    <row r="955" spans="1:24" s="65" customFormat="1" ht="15" customHeight="1" outlineLevel="2">
      <c r="A955" s="219"/>
      <c r="B955" s="242"/>
      <c r="C955" s="242" t="s">
        <v>1634</v>
      </c>
      <c r="D955" s="121" t="str">
        <f>INDEX(Regional.Technologies[Description],MATCH($B$2&amp;"."&amp;G.30.levels.EnergyEfficiency[[#This Row],[Technology code]],Regional.Technologies[Code],0))</f>
        <v>Global Electricity use in the Other industries technology</v>
      </c>
      <c r="E955" s="121">
        <v>3</v>
      </c>
      <c r="F955" s="242" t="s">
        <v>1457</v>
      </c>
      <c r="G955" s="242"/>
      <c r="H955" s="242"/>
      <c r="I955" s="370">
        <v>0</v>
      </c>
      <c r="J955" s="370">
        <f t="shared" si="43"/>
        <v>3.0769230769230767E-2</v>
      </c>
      <c r="K955" s="370">
        <f t="shared" si="43"/>
        <v>6.9230769230769221E-2</v>
      </c>
      <c r="L955" s="370">
        <f t="shared" si="43"/>
        <v>0.10769230769230768</v>
      </c>
      <c r="M955" s="370">
        <f t="shared" si="43"/>
        <v>0.14615384615384613</v>
      </c>
      <c r="N955" s="370">
        <f t="shared" si="43"/>
        <v>0.1846153846153846</v>
      </c>
      <c r="O955" s="370">
        <f t="shared" si="43"/>
        <v>0.22307692307692306</v>
      </c>
      <c r="P955" s="370">
        <f t="shared" si="43"/>
        <v>0.2615384615384615</v>
      </c>
      <c r="Q955" s="370">
        <v>0.3</v>
      </c>
      <c r="R955" s="242"/>
      <c r="T955" s="20"/>
      <c r="U955" s="20"/>
      <c r="V955" s="20"/>
      <c r="W955" s="20"/>
      <c r="X955" s="20"/>
    </row>
    <row r="956" spans="1:24" s="65" customFormat="1" ht="15" customHeight="1" outlineLevel="2">
      <c r="A956" s="219"/>
      <c r="B956" s="242"/>
      <c r="C956" s="242" t="s">
        <v>1634</v>
      </c>
      <c r="D956" s="121" t="str">
        <f>INDEX(Regional.Technologies[Description],MATCH($B$2&amp;"."&amp;G.30.levels.EnergyEfficiency[[#This Row],[Technology code]],Regional.Technologies[Code],0))</f>
        <v>Global Electricity use in the Other industries technology</v>
      </c>
      <c r="E956" s="121">
        <v>4</v>
      </c>
      <c r="F956" s="242" t="s">
        <v>1457</v>
      </c>
      <c r="G956" s="242"/>
      <c r="H956" s="242"/>
      <c r="I956" s="370">
        <v>0</v>
      </c>
      <c r="J956" s="370">
        <f t="shared" si="43"/>
        <v>4.1025641025641026E-2</v>
      </c>
      <c r="K956" s="370">
        <f t="shared" si="43"/>
        <v>9.2307692307692313E-2</v>
      </c>
      <c r="L956" s="370">
        <f t="shared" si="43"/>
        <v>0.14358974358974358</v>
      </c>
      <c r="M956" s="370">
        <f t="shared" si="43"/>
        <v>0.19487179487179487</v>
      </c>
      <c r="N956" s="370">
        <f t="shared" si="43"/>
        <v>0.24615384615384617</v>
      </c>
      <c r="O956" s="370">
        <f t="shared" si="43"/>
        <v>0.29743589743589743</v>
      </c>
      <c r="P956" s="370">
        <f t="shared" si="43"/>
        <v>0.3487179487179487</v>
      </c>
      <c r="Q956" s="370">
        <v>0.4</v>
      </c>
      <c r="R956" s="242"/>
      <c r="T956" s="20"/>
      <c r="U956" s="20"/>
      <c r="V956" s="20"/>
      <c r="W956" s="20"/>
      <c r="X956" s="20"/>
    </row>
    <row r="957" spans="1:24" s="65" customFormat="1" ht="15" customHeight="1" outlineLevel="2">
      <c r="A957" s="219"/>
      <c r="B957" s="242"/>
      <c r="C957" s="242" t="s">
        <v>1865</v>
      </c>
      <c r="D957" s="121" t="str">
        <f>INDEX(Regional.Technologies[Description],MATCH($B$2&amp;"."&amp;G.30.levels.EnergyEfficiency[[#This Row],[Technology code]],Regional.Technologies[Code],0))</f>
        <v>Global Coal use in the Other industries technology</v>
      </c>
      <c r="E957" s="121">
        <v>1</v>
      </c>
      <c r="F957" s="242" t="s">
        <v>1457</v>
      </c>
      <c r="G957" s="242"/>
      <c r="H957" s="242"/>
      <c r="I957" s="370">
        <v>0</v>
      </c>
      <c r="J957" s="370">
        <f t="shared" si="43"/>
        <v>0</v>
      </c>
      <c r="K957" s="370">
        <f t="shared" si="43"/>
        <v>0</v>
      </c>
      <c r="L957" s="370">
        <f t="shared" si="43"/>
        <v>0</v>
      </c>
      <c r="M957" s="370">
        <f t="shared" si="43"/>
        <v>0</v>
      </c>
      <c r="N957" s="370">
        <f t="shared" si="43"/>
        <v>0</v>
      </c>
      <c r="O957" s="370">
        <f t="shared" si="43"/>
        <v>0</v>
      </c>
      <c r="P957" s="370">
        <f t="shared" si="43"/>
        <v>0</v>
      </c>
      <c r="Q957" s="370">
        <v>0</v>
      </c>
      <c r="R957" s="242"/>
      <c r="T957" s="20"/>
      <c r="U957" s="20"/>
      <c r="V957" s="20"/>
      <c r="W957" s="20"/>
      <c r="X957" s="20"/>
    </row>
    <row r="958" spans="1:24" s="65" customFormat="1" ht="15" customHeight="1" outlineLevel="2">
      <c r="A958" s="219"/>
      <c r="B958" s="242"/>
      <c r="C958" s="242" t="s">
        <v>1865</v>
      </c>
      <c r="D958" s="121" t="str">
        <f>INDEX(Regional.Technologies[Description],MATCH($B$2&amp;"."&amp;G.30.levels.EnergyEfficiency[[#This Row],[Technology code]],Regional.Technologies[Code],0))</f>
        <v>Global Coal use in the Other industries technology</v>
      </c>
      <c r="E958" s="121">
        <v>2</v>
      </c>
      <c r="F958" s="242" t="s">
        <v>1457</v>
      </c>
      <c r="G958" s="242"/>
      <c r="H958" s="242"/>
      <c r="I958" s="370">
        <v>0</v>
      </c>
      <c r="J958" s="370">
        <f t="shared" si="43"/>
        <v>2.0512820512820513E-2</v>
      </c>
      <c r="K958" s="370">
        <f t="shared" si="43"/>
        <v>4.6153846153846156E-2</v>
      </c>
      <c r="L958" s="370">
        <f t="shared" si="43"/>
        <v>7.179487179487179E-2</v>
      </c>
      <c r="M958" s="370">
        <f t="shared" si="43"/>
        <v>9.7435897435897437E-2</v>
      </c>
      <c r="N958" s="370">
        <f t="shared" si="43"/>
        <v>0.12307692307692308</v>
      </c>
      <c r="O958" s="370">
        <f t="shared" si="43"/>
        <v>0.14871794871794872</v>
      </c>
      <c r="P958" s="370">
        <f t="shared" si="43"/>
        <v>0.17435897435897435</v>
      </c>
      <c r="Q958" s="370">
        <v>0.2</v>
      </c>
      <c r="R958" s="242"/>
      <c r="T958" s="20"/>
      <c r="U958" s="20"/>
      <c r="V958" s="20"/>
      <c r="W958" s="20"/>
      <c r="X958" s="20"/>
    </row>
    <row r="959" spans="1:24" s="65" customFormat="1" ht="15" customHeight="1" outlineLevel="2">
      <c r="A959" s="219"/>
      <c r="B959" s="242"/>
      <c r="C959" s="242" t="s">
        <v>1865</v>
      </c>
      <c r="D959" s="121" t="str">
        <f>INDEX(Regional.Technologies[Description],MATCH($B$2&amp;"."&amp;G.30.levels.EnergyEfficiency[[#This Row],[Technology code]],Regional.Technologies[Code],0))</f>
        <v>Global Coal use in the Other industries technology</v>
      </c>
      <c r="E959" s="121">
        <v>3</v>
      </c>
      <c r="F959" s="242" t="s">
        <v>1457</v>
      </c>
      <c r="G959" s="242"/>
      <c r="H959" s="242"/>
      <c r="I959" s="370">
        <v>0</v>
      </c>
      <c r="J959" s="370">
        <f t="shared" si="43"/>
        <v>3.0769230769230767E-2</v>
      </c>
      <c r="K959" s="370">
        <f t="shared" si="43"/>
        <v>6.9230769230769221E-2</v>
      </c>
      <c r="L959" s="370">
        <f t="shared" si="43"/>
        <v>0.10769230769230768</v>
      </c>
      <c r="M959" s="370">
        <f t="shared" si="43"/>
        <v>0.14615384615384613</v>
      </c>
      <c r="N959" s="370">
        <f t="shared" ref="N959:P959" si="44">(($Q959-$I959)/($Q$121-$I$121))*(N$121-$I$121)+$I959</f>
        <v>0.1846153846153846</v>
      </c>
      <c r="O959" s="370">
        <f t="shared" si="44"/>
        <v>0.22307692307692306</v>
      </c>
      <c r="P959" s="370">
        <f t="shared" si="44"/>
        <v>0.2615384615384615</v>
      </c>
      <c r="Q959" s="370">
        <v>0.3</v>
      </c>
      <c r="R959" s="242"/>
      <c r="T959" s="20"/>
      <c r="U959" s="20"/>
      <c r="V959" s="20"/>
      <c r="W959" s="20"/>
      <c r="X959" s="20"/>
    </row>
    <row r="960" spans="1:24" s="65" customFormat="1" ht="15" customHeight="1" outlineLevel="2">
      <c r="A960" s="219"/>
      <c r="B960" s="242"/>
      <c r="C960" s="242" t="s">
        <v>1865</v>
      </c>
      <c r="D960" s="121" t="str">
        <f>INDEX(Regional.Technologies[Description],MATCH($B$2&amp;"."&amp;G.30.levels.EnergyEfficiency[[#This Row],[Technology code]],Regional.Technologies[Code],0))</f>
        <v>Global Coal use in the Other industries technology</v>
      </c>
      <c r="E960" s="121">
        <v>4</v>
      </c>
      <c r="F960" s="242" t="s">
        <v>1457</v>
      </c>
      <c r="G960" s="242"/>
      <c r="H960" s="242"/>
      <c r="I960" s="370">
        <v>0</v>
      </c>
      <c r="J960" s="370">
        <f t="shared" ref="J960:P976" si="45">(($Q960-$I960)/($Q$121-$I$121))*(J$121-$I$121)+$I960</f>
        <v>4.1025641025641026E-2</v>
      </c>
      <c r="K960" s="370">
        <f t="shared" si="45"/>
        <v>9.2307692307692313E-2</v>
      </c>
      <c r="L960" s="370">
        <f t="shared" si="45"/>
        <v>0.14358974358974358</v>
      </c>
      <c r="M960" s="370">
        <f t="shared" si="45"/>
        <v>0.19487179487179487</v>
      </c>
      <c r="N960" s="370">
        <f t="shared" si="45"/>
        <v>0.24615384615384617</v>
      </c>
      <c r="O960" s="370">
        <f t="shared" si="45"/>
        <v>0.29743589743589743</v>
      </c>
      <c r="P960" s="370">
        <f t="shared" si="45"/>
        <v>0.3487179487179487</v>
      </c>
      <c r="Q960" s="370">
        <v>0.4</v>
      </c>
      <c r="R960" s="242"/>
      <c r="T960" s="20"/>
      <c r="U960" s="20"/>
      <c r="V960" s="20"/>
      <c r="W960" s="20"/>
      <c r="X960" s="20"/>
    </row>
    <row r="961" spans="1:24" s="65" customFormat="1" ht="15" customHeight="1" outlineLevel="2">
      <c r="A961" s="219"/>
      <c r="B961" s="242"/>
      <c r="C961" s="242" t="s">
        <v>1866</v>
      </c>
      <c r="D961" s="121" t="str">
        <f>INDEX(Regional.Technologies[Description],MATCH($B$2&amp;"."&amp;G.30.levels.EnergyEfficiency[[#This Row],[Technology code]],Regional.Technologies[Code],0))</f>
        <v>Global Oil use in the Other industries technology</v>
      </c>
      <c r="E961" s="121">
        <v>1</v>
      </c>
      <c r="F961" s="242" t="s">
        <v>1457</v>
      </c>
      <c r="G961" s="242"/>
      <c r="H961" s="242"/>
      <c r="I961" s="370">
        <v>0</v>
      </c>
      <c r="J961" s="370">
        <f t="shared" si="45"/>
        <v>0</v>
      </c>
      <c r="K961" s="370">
        <f t="shared" si="45"/>
        <v>0</v>
      </c>
      <c r="L961" s="370">
        <f t="shared" si="45"/>
        <v>0</v>
      </c>
      <c r="M961" s="370">
        <f t="shared" si="45"/>
        <v>0</v>
      </c>
      <c r="N961" s="370">
        <f t="shared" si="45"/>
        <v>0</v>
      </c>
      <c r="O961" s="370">
        <f t="shared" si="45"/>
        <v>0</v>
      </c>
      <c r="P961" s="370">
        <f t="shared" si="45"/>
        <v>0</v>
      </c>
      <c r="Q961" s="370">
        <v>0</v>
      </c>
      <c r="R961" s="242"/>
      <c r="T961" s="20"/>
      <c r="U961" s="20"/>
      <c r="V961" s="20"/>
      <c r="W961" s="20"/>
      <c r="X961" s="20"/>
    </row>
    <row r="962" spans="1:24" s="65" customFormat="1" ht="15" customHeight="1" outlineLevel="2">
      <c r="A962" s="219"/>
      <c r="B962" s="242"/>
      <c r="C962" s="242" t="s">
        <v>1866</v>
      </c>
      <c r="D962" s="121" t="str">
        <f>INDEX(Regional.Technologies[Description],MATCH($B$2&amp;"."&amp;G.30.levels.EnergyEfficiency[[#This Row],[Technology code]],Regional.Technologies[Code],0))</f>
        <v>Global Oil use in the Other industries technology</v>
      </c>
      <c r="E962" s="121">
        <v>2</v>
      </c>
      <c r="F962" s="242" t="s">
        <v>1457</v>
      </c>
      <c r="G962" s="242"/>
      <c r="H962" s="242"/>
      <c r="I962" s="370">
        <v>0</v>
      </c>
      <c r="J962" s="370">
        <f t="shared" si="45"/>
        <v>2.0512820512820513E-2</v>
      </c>
      <c r="K962" s="370">
        <f t="shared" si="45"/>
        <v>4.6153846153846156E-2</v>
      </c>
      <c r="L962" s="370">
        <f t="shared" si="45"/>
        <v>7.179487179487179E-2</v>
      </c>
      <c r="M962" s="370">
        <f t="shared" si="45"/>
        <v>9.7435897435897437E-2</v>
      </c>
      <c r="N962" s="370">
        <f t="shared" si="45"/>
        <v>0.12307692307692308</v>
      </c>
      <c r="O962" s="370">
        <f t="shared" si="45"/>
        <v>0.14871794871794872</v>
      </c>
      <c r="P962" s="370">
        <f t="shared" si="45"/>
        <v>0.17435897435897435</v>
      </c>
      <c r="Q962" s="370">
        <v>0.2</v>
      </c>
      <c r="R962" s="242"/>
      <c r="T962" s="20"/>
      <c r="U962" s="20"/>
      <c r="V962" s="20"/>
      <c r="W962" s="20"/>
      <c r="X962" s="20"/>
    </row>
    <row r="963" spans="1:24" s="65" customFormat="1" ht="15" customHeight="1" outlineLevel="2">
      <c r="A963" s="219"/>
      <c r="B963" s="242"/>
      <c r="C963" s="242" t="s">
        <v>1866</v>
      </c>
      <c r="D963" s="121" t="str">
        <f>INDEX(Regional.Technologies[Description],MATCH($B$2&amp;"."&amp;G.30.levels.EnergyEfficiency[[#This Row],[Technology code]],Regional.Technologies[Code],0))</f>
        <v>Global Oil use in the Other industries technology</v>
      </c>
      <c r="E963" s="121">
        <v>3</v>
      </c>
      <c r="F963" s="242" t="s">
        <v>1457</v>
      </c>
      <c r="G963" s="242"/>
      <c r="H963" s="242"/>
      <c r="I963" s="370">
        <v>0</v>
      </c>
      <c r="J963" s="370">
        <f t="shared" si="45"/>
        <v>3.0769230769230767E-2</v>
      </c>
      <c r="K963" s="370">
        <f t="shared" si="45"/>
        <v>6.9230769230769221E-2</v>
      </c>
      <c r="L963" s="370">
        <f t="shared" si="45"/>
        <v>0.10769230769230768</v>
      </c>
      <c r="M963" s="370">
        <f t="shared" si="45"/>
        <v>0.14615384615384613</v>
      </c>
      <c r="N963" s="370">
        <f t="shared" si="45"/>
        <v>0.1846153846153846</v>
      </c>
      <c r="O963" s="370">
        <f t="shared" si="45"/>
        <v>0.22307692307692306</v>
      </c>
      <c r="P963" s="370">
        <f t="shared" si="45"/>
        <v>0.2615384615384615</v>
      </c>
      <c r="Q963" s="370">
        <v>0.3</v>
      </c>
      <c r="R963" s="242"/>
      <c r="T963" s="20"/>
      <c r="U963" s="20"/>
      <c r="V963" s="20"/>
      <c r="W963" s="20"/>
      <c r="X963" s="20"/>
    </row>
    <row r="964" spans="1:24" s="65" customFormat="1" ht="15" customHeight="1" outlineLevel="2">
      <c r="A964" s="219"/>
      <c r="B964" s="242"/>
      <c r="C964" s="242" t="s">
        <v>1866</v>
      </c>
      <c r="D964" s="121" t="str">
        <f>INDEX(Regional.Technologies[Description],MATCH($B$2&amp;"."&amp;G.30.levels.EnergyEfficiency[[#This Row],[Technology code]],Regional.Technologies[Code],0))</f>
        <v>Global Oil use in the Other industries technology</v>
      </c>
      <c r="E964" s="121">
        <v>4</v>
      </c>
      <c r="F964" s="242" t="s">
        <v>1457</v>
      </c>
      <c r="G964" s="242"/>
      <c r="H964" s="242"/>
      <c r="I964" s="370">
        <v>0</v>
      </c>
      <c r="J964" s="370">
        <f t="shared" si="45"/>
        <v>4.1025641025641026E-2</v>
      </c>
      <c r="K964" s="370">
        <f t="shared" si="45"/>
        <v>9.2307692307692313E-2</v>
      </c>
      <c r="L964" s="370">
        <f t="shared" si="45"/>
        <v>0.14358974358974358</v>
      </c>
      <c r="M964" s="370">
        <f t="shared" si="45"/>
        <v>0.19487179487179487</v>
      </c>
      <c r="N964" s="370">
        <f t="shared" si="45"/>
        <v>0.24615384615384617</v>
      </c>
      <c r="O964" s="370">
        <f t="shared" si="45"/>
        <v>0.29743589743589743</v>
      </c>
      <c r="P964" s="370">
        <f t="shared" si="45"/>
        <v>0.3487179487179487</v>
      </c>
      <c r="Q964" s="370">
        <v>0.4</v>
      </c>
      <c r="R964" s="242"/>
      <c r="T964" s="20"/>
      <c r="U964" s="20"/>
      <c r="V964" s="20"/>
      <c r="W964" s="20"/>
      <c r="X964" s="20"/>
    </row>
    <row r="965" spans="1:24" s="65" customFormat="1" ht="15" customHeight="1" outlineLevel="2">
      <c r="A965" s="219"/>
      <c r="B965" s="242"/>
      <c r="C965" s="242" t="s">
        <v>1867</v>
      </c>
      <c r="D965" s="121" t="str">
        <f>INDEX(Regional.Technologies[Description],MATCH($B$2&amp;"."&amp;G.30.levels.EnergyEfficiency[[#This Row],[Technology code]],Regional.Technologies[Code],0))</f>
        <v>Global Natural Gas use in the Other industries technology</v>
      </c>
      <c r="E965" s="121">
        <v>1</v>
      </c>
      <c r="F965" s="242" t="s">
        <v>1457</v>
      </c>
      <c r="G965" s="242"/>
      <c r="H965" s="242"/>
      <c r="I965" s="370">
        <v>0</v>
      </c>
      <c r="J965" s="370">
        <f t="shared" si="45"/>
        <v>0</v>
      </c>
      <c r="K965" s="370">
        <f t="shared" si="45"/>
        <v>0</v>
      </c>
      <c r="L965" s="370">
        <f t="shared" si="45"/>
        <v>0</v>
      </c>
      <c r="M965" s="370">
        <f t="shared" si="45"/>
        <v>0</v>
      </c>
      <c r="N965" s="370">
        <f t="shared" si="45"/>
        <v>0</v>
      </c>
      <c r="O965" s="370">
        <f t="shared" si="45"/>
        <v>0</v>
      </c>
      <c r="P965" s="370">
        <f t="shared" si="45"/>
        <v>0</v>
      </c>
      <c r="Q965" s="370">
        <v>0</v>
      </c>
      <c r="R965" s="242"/>
      <c r="T965" s="20"/>
      <c r="U965" s="20"/>
      <c r="V965" s="20"/>
      <c r="W965" s="20"/>
      <c r="X965" s="20"/>
    </row>
    <row r="966" spans="1:24" s="65" customFormat="1" ht="15" customHeight="1" outlineLevel="2">
      <c r="A966" s="219"/>
      <c r="B966" s="242"/>
      <c r="C966" s="242" t="s">
        <v>1867</v>
      </c>
      <c r="D966" s="121" t="str">
        <f>INDEX(Regional.Technologies[Description],MATCH($B$2&amp;"."&amp;G.30.levels.EnergyEfficiency[[#This Row],[Technology code]],Regional.Technologies[Code],0))</f>
        <v>Global Natural Gas use in the Other industries technology</v>
      </c>
      <c r="E966" s="121">
        <v>2</v>
      </c>
      <c r="F966" s="242" t="s">
        <v>1457</v>
      </c>
      <c r="G966" s="242"/>
      <c r="H966" s="242"/>
      <c r="I966" s="370">
        <v>0</v>
      </c>
      <c r="J966" s="370">
        <f t="shared" si="45"/>
        <v>2.0512820512820513E-2</v>
      </c>
      <c r="K966" s="370">
        <f t="shared" si="45"/>
        <v>4.6153846153846156E-2</v>
      </c>
      <c r="L966" s="370">
        <f t="shared" si="45"/>
        <v>7.179487179487179E-2</v>
      </c>
      <c r="M966" s="370">
        <f t="shared" si="45"/>
        <v>9.7435897435897437E-2</v>
      </c>
      <c r="N966" s="370">
        <f t="shared" si="45"/>
        <v>0.12307692307692308</v>
      </c>
      <c r="O966" s="370">
        <f t="shared" si="45"/>
        <v>0.14871794871794872</v>
      </c>
      <c r="P966" s="370">
        <f t="shared" si="45"/>
        <v>0.17435897435897435</v>
      </c>
      <c r="Q966" s="370">
        <v>0.2</v>
      </c>
      <c r="R966" s="242"/>
      <c r="T966" s="20"/>
      <c r="U966" s="20"/>
      <c r="V966" s="20"/>
      <c r="W966" s="20"/>
      <c r="X966" s="20"/>
    </row>
    <row r="967" spans="1:24" s="65" customFormat="1" ht="15" customHeight="1" outlineLevel="2">
      <c r="A967" s="219"/>
      <c r="B967" s="242"/>
      <c r="C967" s="242" t="s">
        <v>1867</v>
      </c>
      <c r="D967" s="121" t="str">
        <f>INDEX(Regional.Technologies[Description],MATCH($B$2&amp;"."&amp;G.30.levels.EnergyEfficiency[[#This Row],[Technology code]],Regional.Technologies[Code],0))</f>
        <v>Global Natural Gas use in the Other industries technology</v>
      </c>
      <c r="E967" s="121">
        <v>3</v>
      </c>
      <c r="F967" s="242" t="s">
        <v>1457</v>
      </c>
      <c r="G967" s="242"/>
      <c r="H967" s="242"/>
      <c r="I967" s="370">
        <v>0</v>
      </c>
      <c r="J967" s="370">
        <f t="shared" si="45"/>
        <v>3.0769230769230767E-2</v>
      </c>
      <c r="K967" s="370">
        <f t="shared" si="45"/>
        <v>6.9230769230769221E-2</v>
      </c>
      <c r="L967" s="370">
        <f t="shared" si="45"/>
        <v>0.10769230769230768</v>
      </c>
      <c r="M967" s="370">
        <f t="shared" si="45"/>
        <v>0.14615384615384613</v>
      </c>
      <c r="N967" s="370">
        <f t="shared" si="45"/>
        <v>0.1846153846153846</v>
      </c>
      <c r="O967" s="370">
        <f t="shared" si="45"/>
        <v>0.22307692307692306</v>
      </c>
      <c r="P967" s="370">
        <f t="shared" si="45"/>
        <v>0.2615384615384615</v>
      </c>
      <c r="Q967" s="370">
        <v>0.3</v>
      </c>
      <c r="R967" s="242"/>
      <c r="T967" s="20"/>
      <c r="U967" s="20"/>
      <c r="V967" s="20"/>
      <c r="W967" s="20"/>
      <c r="X967" s="20"/>
    </row>
    <row r="968" spans="1:24" s="65" customFormat="1" ht="15" customHeight="1" outlineLevel="2">
      <c r="A968" s="219"/>
      <c r="B968" s="242"/>
      <c r="C968" s="242" t="s">
        <v>1867</v>
      </c>
      <c r="D968" s="121" t="str">
        <f>INDEX(Regional.Technologies[Description],MATCH($B$2&amp;"."&amp;G.30.levels.EnergyEfficiency[[#This Row],[Technology code]],Regional.Technologies[Code],0))</f>
        <v>Global Natural Gas use in the Other industries technology</v>
      </c>
      <c r="E968" s="121">
        <v>4</v>
      </c>
      <c r="F968" s="242" t="s">
        <v>1457</v>
      </c>
      <c r="G968" s="242"/>
      <c r="H968" s="242"/>
      <c r="I968" s="370">
        <v>0</v>
      </c>
      <c r="J968" s="370">
        <f t="shared" si="45"/>
        <v>4.1025641025641026E-2</v>
      </c>
      <c r="K968" s="370">
        <f t="shared" si="45"/>
        <v>9.2307692307692313E-2</v>
      </c>
      <c r="L968" s="370">
        <f t="shared" si="45"/>
        <v>0.14358974358974358</v>
      </c>
      <c r="M968" s="370">
        <f t="shared" si="45"/>
        <v>0.19487179487179487</v>
      </c>
      <c r="N968" s="370">
        <f t="shared" si="45"/>
        <v>0.24615384615384617</v>
      </c>
      <c r="O968" s="370">
        <f t="shared" si="45"/>
        <v>0.29743589743589743</v>
      </c>
      <c r="P968" s="370">
        <f t="shared" si="45"/>
        <v>0.3487179487179487</v>
      </c>
      <c r="Q968" s="370">
        <v>0.4</v>
      </c>
      <c r="R968" s="242"/>
      <c r="T968" s="20"/>
      <c r="U968" s="20"/>
      <c r="V968" s="20"/>
      <c r="W968" s="20"/>
      <c r="X968" s="20"/>
    </row>
    <row r="969" spans="1:24" s="65" customFormat="1" ht="15" customHeight="1" outlineLevel="2">
      <c r="A969" s="219"/>
      <c r="B969" s="242"/>
      <c r="C969" s="242" t="s">
        <v>1868</v>
      </c>
      <c r="D969" s="121" t="str">
        <f>INDEX(Regional.Technologies[Description],MATCH($B$2&amp;"."&amp;G.30.levels.EnergyEfficiency[[#This Row],[Technology code]],Regional.Technologies[Code],0))</f>
        <v>Global Solid Hydrocarbons use in the Other industries technology</v>
      </c>
      <c r="E969" s="121">
        <v>1</v>
      </c>
      <c r="F969" s="242" t="s">
        <v>1457</v>
      </c>
      <c r="G969" s="242"/>
      <c r="H969" s="242"/>
      <c r="I969" s="370">
        <v>0</v>
      </c>
      <c r="J969" s="370">
        <f t="shared" si="45"/>
        <v>0</v>
      </c>
      <c r="K969" s="370">
        <f t="shared" si="45"/>
        <v>0</v>
      </c>
      <c r="L969" s="370">
        <f t="shared" si="45"/>
        <v>0</v>
      </c>
      <c r="M969" s="370">
        <f t="shared" si="45"/>
        <v>0</v>
      </c>
      <c r="N969" s="370">
        <f t="shared" si="45"/>
        <v>0</v>
      </c>
      <c r="O969" s="370">
        <f t="shared" si="45"/>
        <v>0</v>
      </c>
      <c r="P969" s="370">
        <f t="shared" si="45"/>
        <v>0</v>
      </c>
      <c r="Q969" s="370">
        <v>0</v>
      </c>
      <c r="R969" s="242"/>
      <c r="T969" s="20"/>
      <c r="U969" s="20"/>
      <c r="V969" s="20"/>
      <c r="W969" s="20"/>
      <c r="X969" s="20"/>
    </row>
    <row r="970" spans="1:24" s="65" customFormat="1" ht="15" customHeight="1" outlineLevel="2">
      <c r="A970" s="219"/>
      <c r="B970" s="242"/>
      <c r="C970" s="242" t="s">
        <v>1868</v>
      </c>
      <c r="D970" s="121" t="str">
        <f>INDEX(Regional.Technologies[Description],MATCH($B$2&amp;"."&amp;G.30.levels.EnergyEfficiency[[#This Row],[Technology code]],Regional.Technologies[Code],0))</f>
        <v>Global Solid Hydrocarbons use in the Other industries technology</v>
      </c>
      <c r="E970" s="121">
        <v>2</v>
      </c>
      <c r="F970" s="242" t="s">
        <v>1457</v>
      </c>
      <c r="G970" s="242"/>
      <c r="H970" s="242"/>
      <c r="I970" s="370">
        <v>0</v>
      </c>
      <c r="J970" s="370">
        <f t="shared" si="45"/>
        <v>2.0512820512820513E-2</v>
      </c>
      <c r="K970" s="370">
        <f t="shared" si="45"/>
        <v>4.6153846153846156E-2</v>
      </c>
      <c r="L970" s="370">
        <f t="shared" si="45"/>
        <v>7.179487179487179E-2</v>
      </c>
      <c r="M970" s="370">
        <f t="shared" si="45"/>
        <v>9.7435897435897437E-2</v>
      </c>
      <c r="N970" s="370">
        <f t="shared" si="45"/>
        <v>0.12307692307692308</v>
      </c>
      <c r="O970" s="370">
        <f t="shared" si="45"/>
        <v>0.14871794871794872</v>
      </c>
      <c r="P970" s="370">
        <f t="shared" si="45"/>
        <v>0.17435897435897435</v>
      </c>
      <c r="Q970" s="370">
        <v>0.2</v>
      </c>
      <c r="R970" s="242"/>
      <c r="T970" s="20"/>
      <c r="U970" s="20"/>
      <c r="V970" s="20"/>
      <c r="W970" s="20"/>
      <c r="X970" s="20"/>
    </row>
    <row r="971" spans="1:24" s="65" customFormat="1" ht="15" customHeight="1" outlineLevel="2">
      <c r="A971" s="219"/>
      <c r="B971" s="242"/>
      <c r="C971" s="242" t="s">
        <v>1868</v>
      </c>
      <c r="D971" s="121" t="str">
        <f>INDEX(Regional.Technologies[Description],MATCH($B$2&amp;"."&amp;G.30.levels.EnergyEfficiency[[#This Row],[Technology code]],Regional.Technologies[Code],0))</f>
        <v>Global Solid Hydrocarbons use in the Other industries technology</v>
      </c>
      <c r="E971" s="121">
        <v>3</v>
      </c>
      <c r="F971" s="242" t="s">
        <v>1457</v>
      </c>
      <c r="G971" s="242"/>
      <c r="H971" s="242"/>
      <c r="I971" s="370">
        <v>0</v>
      </c>
      <c r="J971" s="370">
        <f t="shared" si="45"/>
        <v>3.0769230769230767E-2</v>
      </c>
      <c r="K971" s="370">
        <f t="shared" si="45"/>
        <v>6.9230769230769221E-2</v>
      </c>
      <c r="L971" s="370">
        <f t="shared" si="45"/>
        <v>0.10769230769230768</v>
      </c>
      <c r="M971" s="370">
        <f t="shared" si="45"/>
        <v>0.14615384615384613</v>
      </c>
      <c r="N971" s="370">
        <f t="shared" si="45"/>
        <v>0.1846153846153846</v>
      </c>
      <c r="O971" s="370">
        <f t="shared" si="45"/>
        <v>0.22307692307692306</v>
      </c>
      <c r="P971" s="370">
        <f t="shared" si="45"/>
        <v>0.2615384615384615</v>
      </c>
      <c r="Q971" s="370">
        <v>0.3</v>
      </c>
      <c r="R971" s="242"/>
      <c r="T971" s="20"/>
      <c r="U971" s="20"/>
      <c r="V971" s="20"/>
      <c r="W971" s="20"/>
      <c r="X971" s="20"/>
    </row>
    <row r="972" spans="1:24" s="65" customFormat="1" ht="15" customHeight="1" outlineLevel="2">
      <c r="A972" s="219"/>
      <c r="B972" s="242"/>
      <c r="C972" s="242" t="s">
        <v>1868</v>
      </c>
      <c r="D972" s="121" t="str">
        <f>INDEX(Regional.Technologies[Description],MATCH($B$2&amp;"."&amp;G.30.levels.EnergyEfficiency[[#This Row],[Technology code]],Regional.Technologies[Code],0))</f>
        <v>Global Solid Hydrocarbons use in the Other industries technology</v>
      </c>
      <c r="E972" s="121">
        <v>4</v>
      </c>
      <c r="F972" s="242" t="s">
        <v>1457</v>
      </c>
      <c r="G972" s="242"/>
      <c r="H972" s="242"/>
      <c r="I972" s="370">
        <v>0</v>
      </c>
      <c r="J972" s="370">
        <f t="shared" si="45"/>
        <v>4.1025641025641026E-2</v>
      </c>
      <c r="K972" s="370">
        <f t="shared" si="45"/>
        <v>9.2307692307692313E-2</v>
      </c>
      <c r="L972" s="370">
        <f t="shared" si="45"/>
        <v>0.14358974358974358</v>
      </c>
      <c r="M972" s="370">
        <f t="shared" si="45"/>
        <v>0.19487179487179487</v>
      </c>
      <c r="N972" s="370">
        <f t="shared" si="45"/>
        <v>0.24615384615384617</v>
      </c>
      <c r="O972" s="370">
        <f t="shared" si="45"/>
        <v>0.29743589743589743</v>
      </c>
      <c r="P972" s="370">
        <f t="shared" si="45"/>
        <v>0.3487179487179487</v>
      </c>
      <c r="Q972" s="370">
        <v>0.4</v>
      </c>
      <c r="R972" s="242"/>
      <c r="T972" s="20"/>
      <c r="U972" s="20"/>
      <c r="V972" s="20"/>
      <c r="W972" s="20"/>
      <c r="X972" s="20"/>
    </row>
    <row r="973" spans="1:24" s="65" customFormat="1" ht="15" customHeight="1" outlineLevel="2">
      <c r="A973" s="219"/>
      <c r="B973" s="242"/>
      <c r="C973" s="242" t="s">
        <v>1869</v>
      </c>
      <c r="D973" s="121" t="str">
        <f>INDEX(Regional.Technologies[Description],MATCH($B$2&amp;"."&amp;G.30.levels.EnergyEfficiency[[#This Row],[Technology code]],Regional.Technologies[Code],0))</f>
        <v>Global Heat use in the Other industries technology</v>
      </c>
      <c r="E973" s="121">
        <v>1</v>
      </c>
      <c r="F973" s="242" t="s">
        <v>1457</v>
      </c>
      <c r="G973" s="242"/>
      <c r="H973" s="242"/>
      <c r="I973" s="370">
        <v>0</v>
      </c>
      <c r="J973" s="370">
        <f t="shared" si="45"/>
        <v>0</v>
      </c>
      <c r="K973" s="370">
        <f t="shared" si="45"/>
        <v>0</v>
      </c>
      <c r="L973" s="370">
        <f t="shared" si="45"/>
        <v>0</v>
      </c>
      <c r="M973" s="370">
        <f t="shared" si="45"/>
        <v>0</v>
      </c>
      <c r="N973" s="370">
        <f t="shared" si="45"/>
        <v>0</v>
      </c>
      <c r="O973" s="370">
        <f t="shared" si="45"/>
        <v>0</v>
      </c>
      <c r="P973" s="370">
        <f t="shared" si="45"/>
        <v>0</v>
      </c>
      <c r="Q973" s="370">
        <v>0</v>
      </c>
      <c r="R973" s="242"/>
      <c r="T973" s="20"/>
      <c r="U973" s="20"/>
      <c r="V973" s="20"/>
      <c r="W973" s="20"/>
      <c r="X973" s="20"/>
    </row>
    <row r="974" spans="1:24" s="65" customFormat="1" ht="15" customHeight="1" outlineLevel="2">
      <c r="A974" s="219"/>
      <c r="B974" s="242"/>
      <c r="C974" s="242" t="s">
        <v>1869</v>
      </c>
      <c r="D974" s="121" t="str">
        <f>INDEX(Regional.Technologies[Description],MATCH($B$2&amp;"."&amp;G.30.levels.EnergyEfficiency[[#This Row],[Technology code]],Regional.Technologies[Code],0))</f>
        <v>Global Heat use in the Other industries technology</v>
      </c>
      <c r="E974" s="121">
        <v>2</v>
      </c>
      <c r="F974" s="242" t="s">
        <v>1457</v>
      </c>
      <c r="G974" s="242"/>
      <c r="H974" s="242"/>
      <c r="I974" s="370">
        <v>0</v>
      </c>
      <c r="J974" s="370">
        <f t="shared" si="45"/>
        <v>2.0512820512820513E-2</v>
      </c>
      <c r="K974" s="370">
        <f t="shared" si="45"/>
        <v>4.6153846153846156E-2</v>
      </c>
      <c r="L974" s="370">
        <f t="shared" si="45"/>
        <v>7.179487179487179E-2</v>
      </c>
      <c r="M974" s="370">
        <f t="shared" si="45"/>
        <v>9.7435897435897437E-2</v>
      </c>
      <c r="N974" s="370">
        <f t="shared" si="45"/>
        <v>0.12307692307692308</v>
      </c>
      <c r="O974" s="370">
        <f t="shared" si="45"/>
        <v>0.14871794871794872</v>
      </c>
      <c r="P974" s="370">
        <f t="shared" si="45"/>
        <v>0.17435897435897435</v>
      </c>
      <c r="Q974" s="370">
        <v>0.2</v>
      </c>
      <c r="R974" s="242"/>
      <c r="T974" s="20"/>
      <c r="U974" s="20"/>
      <c r="V974" s="20"/>
      <c r="W974" s="20"/>
      <c r="X974" s="20"/>
    </row>
    <row r="975" spans="1:24" s="65" customFormat="1" ht="15" customHeight="1" outlineLevel="2">
      <c r="A975" s="219"/>
      <c r="B975" s="242"/>
      <c r="C975" s="242" t="s">
        <v>1869</v>
      </c>
      <c r="D975" s="121" t="str">
        <f>INDEX(Regional.Technologies[Description],MATCH($B$2&amp;"."&amp;G.30.levels.EnergyEfficiency[[#This Row],[Technology code]],Regional.Technologies[Code],0))</f>
        <v>Global Heat use in the Other industries technology</v>
      </c>
      <c r="E975" s="121">
        <v>3</v>
      </c>
      <c r="F975" s="242" t="s">
        <v>1457</v>
      </c>
      <c r="G975" s="242"/>
      <c r="H975" s="242"/>
      <c r="I975" s="370">
        <v>0</v>
      </c>
      <c r="J975" s="370">
        <f t="shared" si="45"/>
        <v>3.0769230769230767E-2</v>
      </c>
      <c r="K975" s="370">
        <f t="shared" si="45"/>
        <v>6.9230769230769221E-2</v>
      </c>
      <c r="L975" s="370">
        <f t="shared" si="45"/>
        <v>0.10769230769230768</v>
      </c>
      <c r="M975" s="370">
        <f t="shared" si="45"/>
        <v>0.14615384615384613</v>
      </c>
      <c r="N975" s="370">
        <f t="shared" si="45"/>
        <v>0.1846153846153846</v>
      </c>
      <c r="O975" s="370">
        <f t="shared" si="45"/>
        <v>0.22307692307692306</v>
      </c>
      <c r="P975" s="370">
        <f t="shared" si="45"/>
        <v>0.2615384615384615</v>
      </c>
      <c r="Q975" s="370">
        <v>0.3</v>
      </c>
      <c r="R975" s="242"/>
      <c r="T975" s="20"/>
      <c r="U975" s="20"/>
      <c r="V975" s="20"/>
      <c r="W975" s="20"/>
      <c r="X975" s="20"/>
    </row>
    <row r="976" spans="1:24" s="65" customFormat="1" ht="15" customHeight="1" outlineLevel="2">
      <c r="A976" s="219"/>
      <c r="B976" s="242"/>
      <c r="C976" s="242" t="s">
        <v>1869</v>
      </c>
      <c r="D976" s="121" t="str">
        <f>INDEX(Regional.Technologies[Description],MATCH($B$2&amp;"."&amp;G.30.levels.EnergyEfficiency[[#This Row],[Technology code]],Regional.Technologies[Code],0))</f>
        <v>Global Heat use in the Other industries technology</v>
      </c>
      <c r="E976" s="121">
        <v>4</v>
      </c>
      <c r="F976" s="242" t="s">
        <v>1457</v>
      </c>
      <c r="G976" s="242"/>
      <c r="H976" s="242"/>
      <c r="I976" s="370">
        <v>0</v>
      </c>
      <c r="J976" s="370">
        <f t="shared" si="45"/>
        <v>4.1025641025641026E-2</v>
      </c>
      <c r="K976" s="370">
        <f t="shared" si="45"/>
        <v>9.2307692307692313E-2</v>
      </c>
      <c r="L976" s="370">
        <f t="shared" si="45"/>
        <v>0.14358974358974358</v>
      </c>
      <c r="M976" s="370">
        <f t="shared" si="45"/>
        <v>0.19487179487179487</v>
      </c>
      <c r="N976" s="370">
        <f t="shared" si="45"/>
        <v>0.24615384615384617</v>
      </c>
      <c r="O976" s="370">
        <f t="shared" si="45"/>
        <v>0.29743589743589743</v>
      </c>
      <c r="P976" s="370">
        <f t="shared" si="45"/>
        <v>0.3487179487179487</v>
      </c>
      <c r="Q976" s="370">
        <v>0.4</v>
      </c>
      <c r="R976" s="242"/>
      <c r="T976" s="20"/>
      <c r="U976" s="20"/>
      <c r="V976" s="20"/>
      <c r="W976" s="20"/>
      <c r="X976" s="20"/>
    </row>
    <row r="977" spans="1:24" s="65" customFormat="1" ht="15" customHeight="1" outlineLevel="2">
      <c r="A977" s="219"/>
      <c r="B977" s="242"/>
      <c r="C977" s="242"/>
      <c r="D977" s="242"/>
      <c r="E977" s="121"/>
      <c r="F977" s="242"/>
      <c r="G977" s="242"/>
      <c r="H977" s="242"/>
      <c r="I977" s="242"/>
      <c r="J977" s="242"/>
      <c r="K977" s="242"/>
      <c r="L977" s="242"/>
      <c r="M977" s="242"/>
      <c r="N977" s="242"/>
      <c r="O977" s="242"/>
      <c r="P977" s="242"/>
      <c r="Q977" s="242"/>
      <c r="R977" s="242"/>
      <c r="T977" s="20"/>
      <c r="U977" s="20"/>
      <c r="V977" s="20"/>
      <c r="W977" s="20"/>
      <c r="X977" s="20"/>
    </row>
    <row r="978" spans="1:24" s="65" customFormat="1" ht="15" customHeight="1" outlineLevel="2">
      <c r="A978" s="219"/>
      <c r="B978" s="242"/>
      <c r="C978" s="248" t="s">
        <v>2181</v>
      </c>
      <c r="D978" s="242"/>
      <c r="E978" s="121"/>
      <c r="F978" s="242"/>
      <c r="G978" s="242"/>
      <c r="H978" s="242"/>
      <c r="I978" s="242"/>
      <c r="J978" s="242"/>
      <c r="K978" s="242"/>
      <c r="L978" s="242"/>
      <c r="M978" s="242"/>
      <c r="N978" s="242"/>
      <c r="O978" s="242"/>
      <c r="P978" s="242"/>
      <c r="Q978" s="242" t="s">
        <v>511</v>
      </c>
      <c r="R978" s="242"/>
      <c r="T978" s="20"/>
      <c r="U978" s="20"/>
      <c r="V978" s="20"/>
      <c r="W978" s="20"/>
      <c r="X978" s="20"/>
    </row>
    <row r="979" spans="1:24" s="65" customFormat="1" ht="15" customHeight="1" outlineLevel="2">
      <c r="A979" s="219"/>
      <c r="B979" s="242"/>
      <c r="C979" s="243"/>
      <c r="D979" s="242"/>
      <c r="E979" s="121"/>
      <c r="F979" s="242"/>
      <c r="G979" s="242"/>
      <c r="H979" s="242"/>
      <c r="I979" s="242"/>
      <c r="J979" s="242"/>
      <c r="K979" s="242"/>
      <c r="L979" s="242"/>
      <c r="M979" s="242"/>
      <c r="N979" s="242"/>
      <c r="O979" s="242"/>
      <c r="P979" s="242"/>
      <c r="Q979" s="242"/>
      <c r="R979" s="242"/>
      <c r="T979" s="20"/>
      <c r="U979" s="20"/>
      <c r="V979" s="20"/>
      <c r="W979" s="20"/>
      <c r="X979" s="20"/>
    </row>
    <row r="980" spans="1:24" s="65" customFormat="1" ht="15" customHeight="1" outlineLevel="2">
      <c r="A980" s="219"/>
      <c r="B980" s="242"/>
      <c r="C980" s="247" t="s">
        <v>454</v>
      </c>
      <c r="D980" s="247" t="s">
        <v>241</v>
      </c>
      <c r="E980" s="121" t="s">
        <v>207</v>
      </c>
      <c r="F980" s="247" t="s">
        <v>274</v>
      </c>
      <c r="G980" s="247" t="s">
        <v>509</v>
      </c>
      <c r="H980" s="247" t="s">
        <v>510</v>
      </c>
      <c r="I980" s="183" t="s">
        <v>1107</v>
      </c>
      <c r="J980" s="247" t="s">
        <v>210</v>
      </c>
      <c r="K980" s="247" t="s">
        <v>211</v>
      </c>
      <c r="L980" s="247" t="s">
        <v>212</v>
      </c>
      <c r="M980" s="247" t="s">
        <v>213</v>
      </c>
      <c r="N980" s="247" t="s">
        <v>214</v>
      </c>
      <c r="O980" s="247" t="s">
        <v>215</v>
      </c>
      <c r="P980" s="247" t="s">
        <v>216</v>
      </c>
      <c r="Q980" s="247" t="s">
        <v>217</v>
      </c>
      <c r="R980" s="242"/>
      <c r="T980" s="179" t="str">
        <f>$T$6</f>
        <v>Source</v>
      </c>
      <c r="U980" s="179" t="str">
        <f>$U$6</f>
        <v>Link</v>
      </c>
      <c r="V980" s="179" t="str">
        <f>$V$6</f>
        <v>Risk (Green, Amber/Green, Amber, Red/Amber, Red)</v>
      </c>
      <c r="W980" s="179" t="s">
        <v>869</v>
      </c>
      <c r="X980" s="179" t="str">
        <f>$X$6</f>
        <v>Comment author</v>
      </c>
    </row>
    <row r="981" spans="1:24" s="65" customFormat="1" ht="15" customHeight="1" outlineLevel="2">
      <c r="A981" s="219"/>
      <c r="B981" s="242"/>
      <c r="C981" s="242"/>
      <c r="D981" s="242" t="s">
        <v>1613</v>
      </c>
      <c r="E981" s="121">
        <v>1</v>
      </c>
      <c r="F981" s="121" t="s">
        <v>1619</v>
      </c>
      <c r="G981" s="242"/>
      <c r="H981" s="242"/>
      <c r="I981" s="370">
        <v>0</v>
      </c>
      <c r="J981" s="370">
        <v>0</v>
      </c>
      <c r="K981" s="370">
        <v>0</v>
      </c>
      <c r="L981" s="370">
        <v>0</v>
      </c>
      <c r="M981" s="370">
        <f>(($Q981-$L981)/($Q$980-$L$980))*(M$980-$L$980)+$L981</f>
        <v>0</v>
      </c>
      <c r="N981" s="370">
        <f t="shared" ref="N981:P1000" si="46">(($Q981-$L981)/($Q$980-$L$980))*(N$980-$L$980)+$L981</f>
        <v>0</v>
      </c>
      <c r="O981" s="370">
        <f t="shared" si="46"/>
        <v>0</v>
      </c>
      <c r="P981" s="370">
        <f t="shared" si="46"/>
        <v>0</v>
      </c>
      <c r="Q981" s="370">
        <v>0</v>
      </c>
      <c r="R981" s="242"/>
      <c r="T981" s="20"/>
      <c r="U981" s="20"/>
      <c r="V981" s="20"/>
      <c r="W981" s="20"/>
      <c r="X981" s="20"/>
    </row>
    <row r="982" spans="1:24" s="65" customFormat="1" ht="15" customHeight="1" outlineLevel="2">
      <c r="A982" s="219"/>
      <c r="B982" s="242"/>
      <c r="C982" s="242"/>
      <c r="D982" s="242" t="s">
        <v>1613</v>
      </c>
      <c r="E982" s="121">
        <v>2</v>
      </c>
      <c r="F982" s="121" t="s">
        <v>1619</v>
      </c>
      <c r="G982" s="242"/>
      <c r="H982" s="242"/>
      <c r="I982" s="370">
        <v>0</v>
      </c>
      <c r="J982" s="370">
        <v>0</v>
      </c>
      <c r="K982" s="370">
        <v>0</v>
      </c>
      <c r="L982" s="370">
        <v>0</v>
      </c>
      <c r="M982" s="370">
        <f t="shared" ref="M982:P1001" si="47">(($Q982-$L982)/($Q$980-$L$980))*(M$980-$L$980)+$L982</f>
        <v>0.17</v>
      </c>
      <c r="N982" s="370">
        <f t="shared" si="46"/>
        <v>0.34</v>
      </c>
      <c r="O982" s="370">
        <f t="shared" si="46"/>
        <v>0.51</v>
      </c>
      <c r="P982" s="370">
        <f t="shared" si="46"/>
        <v>0.68</v>
      </c>
      <c r="Q982" s="370">
        <v>0.85</v>
      </c>
      <c r="R982" s="242"/>
      <c r="T982" s="20"/>
      <c r="U982" s="20"/>
      <c r="V982" s="20"/>
      <c r="W982" s="20"/>
      <c r="X982" s="20"/>
    </row>
    <row r="983" spans="1:24" s="65" customFormat="1" ht="15" customHeight="1" outlineLevel="2">
      <c r="A983" s="219"/>
      <c r="B983" s="242"/>
      <c r="C983" s="242"/>
      <c r="D983" s="242" t="s">
        <v>1613</v>
      </c>
      <c r="E983" s="121">
        <v>3</v>
      </c>
      <c r="F983" s="121" t="s">
        <v>1619</v>
      </c>
      <c r="G983" s="242"/>
      <c r="H983" s="242"/>
      <c r="I983" s="370">
        <v>0</v>
      </c>
      <c r="J983" s="370">
        <v>0</v>
      </c>
      <c r="K983" s="370">
        <v>0</v>
      </c>
      <c r="L983" s="370">
        <v>0</v>
      </c>
      <c r="M983" s="370">
        <f t="shared" si="47"/>
        <v>0.17</v>
      </c>
      <c r="N983" s="370">
        <f t="shared" si="46"/>
        <v>0.34</v>
      </c>
      <c r="O983" s="370">
        <f t="shared" si="46"/>
        <v>0.51</v>
      </c>
      <c r="P983" s="370">
        <f t="shared" si="46"/>
        <v>0.68</v>
      </c>
      <c r="Q983" s="370">
        <f>Q982</f>
        <v>0.85</v>
      </c>
      <c r="R983" s="242"/>
      <c r="T983" s="20"/>
      <c r="U983" s="20"/>
      <c r="V983" s="20"/>
      <c r="W983" s="20"/>
      <c r="X983" s="20"/>
    </row>
    <row r="984" spans="1:24" s="65" customFormat="1" ht="15" customHeight="1" outlineLevel="2">
      <c r="A984" s="219"/>
      <c r="B984" s="242"/>
      <c r="C984" s="242"/>
      <c r="D984" s="242" t="s">
        <v>2182</v>
      </c>
      <c r="E984" s="121">
        <v>4</v>
      </c>
      <c r="F984" s="121" t="s">
        <v>1619</v>
      </c>
      <c r="G984" s="242"/>
      <c r="H984" s="242"/>
      <c r="I984" s="370">
        <v>0</v>
      </c>
      <c r="J984" s="370">
        <v>0</v>
      </c>
      <c r="K984" s="370">
        <v>0</v>
      </c>
      <c r="L984" s="370">
        <v>0</v>
      </c>
      <c r="M984" s="370">
        <f t="shared" si="47"/>
        <v>0.17</v>
      </c>
      <c r="N984" s="370">
        <f t="shared" si="46"/>
        <v>0.34</v>
      </c>
      <c r="O984" s="370">
        <f t="shared" si="46"/>
        <v>0.51</v>
      </c>
      <c r="P984" s="370">
        <f t="shared" si="46"/>
        <v>0.68</v>
      </c>
      <c r="Q984" s="370">
        <f>Q983</f>
        <v>0.85</v>
      </c>
      <c r="R984" s="242"/>
      <c r="T984" s="20"/>
      <c r="U984" s="20"/>
      <c r="V984" s="20"/>
      <c r="W984" s="20"/>
      <c r="X984" s="20"/>
    </row>
    <row r="985" spans="1:24" s="65" customFormat="1" ht="15" customHeight="1" outlineLevel="2">
      <c r="A985" s="219"/>
      <c r="B985" s="242"/>
      <c r="C985" s="242"/>
      <c r="D985" s="242" t="s">
        <v>2182</v>
      </c>
      <c r="E985" s="121">
        <v>1</v>
      </c>
      <c r="F985" s="121" t="s">
        <v>1619</v>
      </c>
      <c r="G985" s="242"/>
      <c r="H985" s="242"/>
      <c r="I985" s="370">
        <v>0</v>
      </c>
      <c r="J985" s="370">
        <v>0</v>
      </c>
      <c r="K985" s="370">
        <v>0</v>
      </c>
      <c r="L985" s="370">
        <v>0</v>
      </c>
      <c r="M985" s="370">
        <f t="shared" si="47"/>
        <v>0</v>
      </c>
      <c r="N985" s="370">
        <f t="shared" si="46"/>
        <v>0</v>
      </c>
      <c r="O985" s="370">
        <f t="shared" si="46"/>
        <v>0</v>
      </c>
      <c r="P985" s="370">
        <f t="shared" si="46"/>
        <v>0</v>
      </c>
      <c r="Q985" s="370">
        <v>0</v>
      </c>
      <c r="R985" s="242"/>
      <c r="T985" s="20"/>
      <c r="U985" s="20"/>
      <c r="V985" s="20"/>
      <c r="W985" s="20"/>
      <c r="X985" s="20"/>
    </row>
    <row r="986" spans="1:24" s="65" customFormat="1" ht="15" customHeight="1" outlineLevel="2">
      <c r="A986" s="219"/>
      <c r="B986" s="242"/>
      <c r="C986" s="242"/>
      <c r="D986" s="242" t="s">
        <v>2182</v>
      </c>
      <c r="E986" s="121">
        <v>2</v>
      </c>
      <c r="F986" s="121" t="s">
        <v>1619</v>
      </c>
      <c r="G986" s="242"/>
      <c r="H986" s="242"/>
      <c r="I986" s="370">
        <v>0</v>
      </c>
      <c r="J986" s="370">
        <v>0</v>
      </c>
      <c r="K986" s="370">
        <v>0</v>
      </c>
      <c r="L986" s="370">
        <v>0</v>
      </c>
      <c r="M986" s="370">
        <f t="shared" si="47"/>
        <v>0.17</v>
      </c>
      <c r="N986" s="370">
        <f t="shared" si="46"/>
        <v>0.34</v>
      </c>
      <c r="O986" s="370">
        <f t="shared" si="46"/>
        <v>0.51</v>
      </c>
      <c r="P986" s="370">
        <f t="shared" si="46"/>
        <v>0.68</v>
      </c>
      <c r="Q986" s="370">
        <v>0.85</v>
      </c>
      <c r="R986" s="242"/>
      <c r="T986" s="20"/>
      <c r="U986" s="20"/>
      <c r="V986" s="20"/>
      <c r="W986" s="20"/>
      <c r="X986" s="20"/>
    </row>
    <row r="987" spans="1:24" s="65" customFormat="1" ht="15" customHeight="1" outlineLevel="2">
      <c r="A987" s="219"/>
      <c r="B987" s="242"/>
      <c r="C987" s="242"/>
      <c r="D987" s="242" t="s">
        <v>2182</v>
      </c>
      <c r="E987" s="121">
        <v>3</v>
      </c>
      <c r="F987" s="121" t="s">
        <v>1619</v>
      </c>
      <c r="G987" s="242"/>
      <c r="H987" s="242"/>
      <c r="I987" s="370">
        <v>0</v>
      </c>
      <c r="J987" s="370">
        <v>0</v>
      </c>
      <c r="K987" s="370">
        <v>0</v>
      </c>
      <c r="L987" s="370">
        <v>0</v>
      </c>
      <c r="M987" s="370">
        <f t="shared" si="47"/>
        <v>0.17</v>
      </c>
      <c r="N987" s="370">
        <f t="shared" si="46"/>
        <v>0.34</v>
      </c>
      <c r="O987" s="370">
        <f t="shared" si="46"/>
        <v>0.51</v>
      </c>
      <c r="P987" s="370">
        <f t="shared" si="46"/>
        <v>0.68</v>
      </c>
      <c r="Q987" s="370">
        <f>Q986</f>
        <v>0.85</v>
      </c>
      <c r="R987" s="242"/>
      <c r="T987" s="20"/>
      <c r="U987" s="20"/>
      <c r="V987" s="20"/>
      <c r="W987" s="20"/>
      <c r="X987" s="20"/>
    </row>
    <row r="988" spans="1:24" s="65" customFormat="1" ht="15" customHeight="1" outlineLevel="2">
      <c r="A988" s="219"/>
      <c r="B988" s="242"/>
      <c r="C988" s="242"/>
      <c r="D988" s="242" t="s">
        <v>1613</v>
      </c>
      <c r="E988" s="121">
        <v>4</v>
      </c>
      <c r="F988" s="121" t="s">
        <v>1619</v>
      </c>
      <c r="G988" s="242"/>
      <c r="H988" s="242"/>
      <c r="I988" s="370">
        <v>0</v>
      </c>
      <c r="J988" s="370">
        <v>0</v>
      </c>
      <c r="K988" s="370">
        <v>0</v>
      </c>
      <c r="L988" s="370">
        <v>0</v>
      </c>
      <c r="M988" s="370">
        <f t="shared" si="47"/>
        <v>0.17</v>
      </c>
      <c r="N988" s="370">
        <f t="shared" si="46"/>
        <v>0.34</v>
      </c>
      <c r="O988" s="370">
        <f t="shared" si="46"/>
        <v>0.51</v>
      </c>
      <c r="P988" s="370">
        <f t="shared" si="46"/>
        <v>0.68</v>
      </c>
      <c r="Q988" s="370">
        <f>Q987</f>
        <v>0.85</v>
      </c>
      <c r="R988" s="242"/>
      <c r="T988" s="20"/>
      <c r="U988" s="20"/>
      <c r="V988" s="20"/>
      <c r="W988" s="20"/>
      <c r="X988" s="20"/>
    </row>
    <row r="989" spans="1:24" s="65" customFormat="1" ht="15" customHeight="1" outlineLevel="2">
      <c r="A989" s="219"/>
      <c r="B989" s="242"/>
      <c r="C989" s="242"/>
      <c r="D989" s="242" t="s">
        <v>1614</v>
      </c>
      <c r="E989" s="121">
        <v>1</v>
      </c>
      <c r="F989" s="121" t="s">
        <v>1619</v>
      </c>
      <c r="G989" s="242"/>
      <c r="H989" s="242"/>
      <c r="I989" s="370">
        <v>0</v>
      </c>
      <c r="J989" s="370">
        <v>0</v>
      </c>
      <c r="K989" s="370">
        <v>0</v>
      </c>
      <c r="L989" s="370">
        <v>0</v>
      </c>
      <c r="M989" s="370">
        <f t="shared" si="47"/>
        <v>0</v>
      </c>
      <c r="N989" s="370">
        <f t="shared" si="46"/>
        <v>0</v>
      </c>
      <c r="O989" s="370">
        <f t="shared" si="46"/>
        <v>0</v>
      </c>
      <c r="P989" s="370">
        <f t="shared" si="46"/>
        <v>0</v>
      </c>
      <c r="Q989" s="370">
        <v>0</v>
      </c>
      <c r="R989" s="242"/>
      <c r="T989" s="20"/>
      <c r="U989" s="20"/>
      <c r="V989" s="20"/>
      <c r="W989" s="20"/>
      <c r="X989" s="20"/>
    </row>
    <row r="990" spans="1:24" s="65" customFormat="1" ht="15" customHeight="1" outlineLevel="2">
      <c r="A990" s="219"/>
      <c r="B990" s="242"/>
      <c r="C990" s="242"/>
      <c r="D990" s="242" t="s">
        <v>1614</v>
      </c>
      <c r="E990" s="121">
        <v>2</v>
      </c>
      <c r="F990" s="121" t="s">
        <v>1619</v>
      </c>
      <c r="G990" s="242"/>
      <c r="H990" s="242"/>
      <c r="I990" s="370">
        <v>0</v>
      </c>
      <c r="J990" s="370">
        <v>0</v>
      </c>
      <c r="K990" s="370">
        <v>0</v>
      </c>
      <c r="L990" s="370">
        <v>0</v>
      </c>
      <c r="M990" s="370">
        <f t="shared" si="47"/>
        <v>0.17</v>
      </c>
      <c r="N990" s="370">
        <f t="shared" si="46"/>
        <v>0.34</v>
      </c>
      <c r="O990" s="370">
        <f t="shared" si="46"/>
        <v>0.51</v>
      </c>
      <c r="P990" s="370">
        <f t="shared" si="46"/>
        <v>0.68</v>
      </c>
      <c r="Q990" s="370">
        <v>0.85</v>
      </c>
      <c r="R990" s="242"/>
      <c r="T990" s="20"/>
      <c r="U990" s="20"/>
      <c r="V990" s="20"/>
      <c r="W990" s="20"/>
      <c r="X990" s="20"/>
    </row>
    <row r="991" spans="1:24" s="65" customFormat="1" ht="15" customHeight="1" outlineLevel="2">
      <c r="A991" s="219"/>
      <c r="B991" s="242"/>
      <c r="C991" s="242"/>
      <c r="D991" s="242" t="s">
        <v>1614</v>
      </c>
      <c r="E991" s="121">
        <v>3</v>
      </c>
      <c r="F991" s="121" t="s">
        <v>1619</v>
      </c>
      <c r="G991" s="242"/>
      <c r="H991" s="242"/>
      <c r="I991" s="370">
        <v>0</v>
      </c>
      <c r="J991" s="370">
        <v>0</v>
      </c>
      <c r="K991" s="370">
        <v>0</v>
      </c>
      <c r="L991" s="370">
        <v>0</v>
      </c>
      <c r="M991" s="370">
        <f t="shared" si="47"/>
        <v>0.17</v>
      </c>
      <c r="N991" s="370">
        <f t="shared" si="46"/>
        <v>0.34</v>
      </c>
      <c r="O991" s="370">
        <f t="shared" si="46"/>
        <v>0.51</v>
      </c>
      <c r="P991" s="370">
        <f t="shared" si="46"/>
        <v>0.68</v>
      </c>
      <c r="Q991" s="370">
        <f>Q990</f>
        <v>0.85</v>
      </c>
      <c r="R991" s="242"/>
      <c r="T991" s="20"/>
      <c r="U991" s="20"/>
      <c r="V991" s="20"/>
      <c r="W991" s="20"/>
      <c r="X991" s="20"/>
    </row>
    <row r="992" spans="1:24" s="65" customFormat="1" ht="15" customHeight="1" outlineLevel="2">
      <c r="A992" s="219"/>
      <c r="B992" s="242"/>
      <c r="C992" s="242"/>
      <c r="D992" s="242" t="s">
        <v>1614</v>
      </c>
      <c r="E992" s="121">
        <v>4</v>
      </c>
      <c r="F992" s="121" t="s">
        <v>1619</v>
      </c>
      <c r="G992" s="242"/>
      <c r="H992" s="242"/>
      <c r="I992" s="370">
        <v>0</v>
      </c>
      <c r="J992" s="370">
        <v>0</v>
      </c>
      <c r="K992" s="370">
        <v>0</v>
      </c>
      <c r="L992" s="370">
        <v>0</v>
      </c>
      <c r="M992" s="370">
        <f t="shared" si="47"/>
        <v>0.17</v>
      </c>
      <c r="N992" s="370">
        <f t="shared" si="46"/>
        <v>0.34</v>
      </c>
      <c r="O992" s="370">
        <f t="shared" si="46"/>
        <v>0.51</v>
      </c>
      <c r="P992" s="370">
        <f t="shared" si="46"/>
        <v>0.68</v>
      </c>
      <c r="Q992" s="370">
        <f>Q991</f>
        <v>0.85</v>
      </c>
      <c r="R992" s="242"/>
      <c r="T992" s="20"/>
      <c r="U992" s="20"/>
      <c r="V992" s="20"/>
      <c r="W992" s="20"/>
      <c r="X992" s="20"/>
    </row>
    <row r="993" spans="1:24" s="65" customFormat="1" ht="15" customHeight="1" outlineLevel="2">
      <c r="A993" s="219"/>
      <c r="B993" s="242"/>
      <c r="C993" s="242"/>
      <c r="D993" s="242" t="s">
        <v>1925</v>
      </c>
      <c r="E993" s="121">
        <v>1</v>
      </c>
      <c r="F993" s="121" t="s">
        <v>1418</v>
      </c>
      <c r="G993" s="242"/>
      <c r="H993" s="242"/>
      <c r="I993" s="370">
        <v>0</v>
      </c>
      <c r="J993" s="370">
        <v>0</v>
      </c>
      <c r="K993" s="370">
        <v>0</v>
      </c>
      <c r="L993" s="370">
        <v>0</v>
      </c>
      <c r="M993" s="370">
        <f t="shared" si="47"/>
        <v>0</v>
      </c>
      <c r="N993" s="370">
        <f t="shared" si="46"/>
        <v>0</v>
      </c>
      <c r="O993" s="370">
        <f t="shared" si="46"/>
        <v>0</v>
      </c>
      <c r="P993" s="370">
        <f t="shared" si="46"/>
        <v>0</v>
      </c>
      <c r="Q993" s="370">
        <v>0</v>
      </c>
      <c r="R993" s="242"/>
      <c r="T993" s="20"/>
      <c r="U993" s="20"/>
      <c r="V993" s="20"/>
      <c r="W993" s="20"/>
      <c r="X993" s="20"/>
    </row>
    <row r="994" spans="1:24" s="65" customFormat="1" ht="15" customHeight="1" outlineLevel="2">
      <c r="A994" s="219"/>
      <c r="B994" s="242"/>
      <c r="C994" s="242"/>
      <c r="D994" s="242" t="s">
        <v>1925</v>
      </c>
      <c r="E994" s="121">
        <v>2</v>
      </c>
      <c r="F994" s="121" t="s">
        <v>1418</v>
      </c>
      <c r="G994" s="242"/>
      <c r="H994" s="242"/>
      <c r="I994" s="370">
        <v>0</v>
      </c>
      <c r="J994" s="370">
        <v>0</v>
      </c>
      <c r="K994" s="370">
        <v>0</v>
      </c>
      <c r="L994" s="370">
        <v>0</v>
      </c>
      <c r="M994" s="370">
        <f t="shared" si="47"/>
        <v>0.17</v>
      </c>
      <c r="N994" s="370">
        <f t="shared" si="46"/>
        <v>0.34</v>
      </c>
      <c r="O994" s="370">
        <f t="shared" si="46"/>
        <v>0.51</v>
      </c>
      <c r="P994" s="370">
        <f t="shared" si="46"/>
        <v>0.68</v>
      </c>
      <c r="Q994" s="370">
        <v>0.85</v>
      </c>
      <c r="R994" s="242"/>
      <c r="T994" s="20"/>
      <c r="U994" s="20"/>
      <c r="V994" s="20"/>
      <c r="W994" s="20"/>
      <c r="X994" s="20"/>
    </row>
    <row r="995" spans="1:24" s="65" customFormat="1" ht="15" customHeight="1" outlineLevel="2">
      <c r="A995" s="219"/>
      <c r="B995" s="242"/>
      <c r="C995" s="242"/>
      <c r="D995" s="242" t="s">
        <v>1925</v>
      </c>
      <c r="E995" s="121">
        <v>3</v>
      </c>
      <c r="F995" s="121" t="s">
        <v>1418</v>
      </c>
      <c r="G995" s="242"/>
      <c r="H995" s="242"/>
      <c r="I995" s="370">
        <v>0</v>
      </c>
      <c r="J995" s="370">
        <v>0</v>
      </c>
      <c r="K995" s="370">
        <v>0</v>
      </c>
      <c r="L995" s="370">
        <v>0</v>
      </c>
      <c r="M995" s="370">
        <f t="shared" si="47"/>
        <v>0.17</v>
      </c>
      <c r="N995" s="370">
        <f t="shared" si="46"/>
        <v>0.34</v>
      </c>
      <c r="O995" s="370">
        <f t="shared" si="46"/>
        <v>0.51</v>
      </c>
      <c r="P995" s="370">
        <f t="shared" si="46"/>
        <v>0.68</v>
      </c>
      <c r="Q995" s="370">
        <f>Q994</f>
        <v>0.85</v>
      </c>
      <c r="R995" s="242"/>
      <c r="T995" s="20"/>
      <c r="U995" s="20"/>
      <c r="V995" s="20"/>
      <c r="W995" s="20"/>
      <c r="X995" s="20"/>
    </row>
    <row r="996" spans="1:24" s="65" customFormat="1" ht="15" customHeight="1" outlineLevel="2">
      <c r="A996" s="219"/>
      <c r="B996" s="242"/>
      <c r="C996" s="242"/>
      <c r="D996" s="242" t="s">
        <v>1925</v>
      </c>
      <c r="E996" s="121">
        <v>4</v>
      </c>
      <c r="F996" s="121" t="s">
        <v>1418</v>
      </c>
      <c r="G996" s="242"/>
      <c r="H996" s="242"/>
      <c r="I996" s="370">
        <v>0</v>
      </c>
      <c r="J996" s="370">
        <v>0</v>
      </c>
      <c r="K996" s="370">
        <v>0</v>
      </c>
      <c r="L996" s="370">
        <v>0</v>
      </c>
      <c r="M996" s="370">
        <f t="shared" si="47"/>
        <v>0.17</v>
      </c>
      <c r="N996" s="370">
        <f t="shared" si="46"/>
        <v>0.34</v>
      </c>
      <c r="O996" s="370">
        <f t="shared" si="46"/>
        <v>0.51</v>
      </c>
      <c r="P996" s="370">
        <f t="shared" si="46"/>
        <v>0.68</v>
      </c>
      <c r="Q996" s="370">
        <f>Q995</f>
        <v>0.85</v>
      </c>
      <c r="R996" s="242"/>
      <c r="T996" s="20"/>
      <c r="U996" s="20"/>
      <c r="V996" s="20"/>
      <c r="W996" s="20"/>
      <c r="X996" s="20"/>
    </row>
    <row r="997" spans="1:24" s="65" customFormat="1" ht="15" customHeight="1" outlineLevel="2">
      <c r="A997" s="219"/>
      <c r="B997" s="242"/>
      <c r="C997" s="242"/>
      <c r="D997" s="242" t="s">
        <v>1641</v>
      </c>
      <c r="E997" s="121">
        <v>1</v>
      </c>
      <c r="F997" s="121" t="s">
        <v>1418</v>
      </c>
      <c r="G997" s="242"/>
      <c r="H997" s="242"/>
      <c r="I997" s="370">
        <v>0</v>
      </c>
      <c r="J997" s="370">
        <v>0</v>
      </c>
      <c r="K997" s="370">
        <v>0</v>
      </c>
      <c r="L997" s="370">
        <v>0</v>
      </c>
      <c r="M997" s="370">
        <f t="shared" si="47"/>
        <v>0</v>
      </c>
      <c r="N997" s="370">
        <f t="shared" si="46"/>
        <v>0</v>
      </c>
      <c r="O997" s="370">
        <f t="shared" si="46"/>
        <v>0</v>
      </c>
      <c r="P997" s="370">
        <f t="shared" si="46"/>
        <v>0</v>
      </c>
      <c r="Q997" s="370">
        <v>0</v>
      </c>
      <c r="R997" s="242"/>
      <c r="T997" s="20"/>
      <c r="U997" s="20"/>
      <c r="V997" s="20"/>
      <c r="W997" s="20"/>
      <c r="X997" s="20"/>
    </row>
    <row r="998" spans="1:24" s="65" customFormat="1" ht="15" customHeight="1" outlineLevel="2">
      <c r="A998" s="219"/>
      <c r="B998" s="242"/>
      <c r="C998" s="242"/>
      <c r="D998" s="242" t="s">
        <v>1641</v>
      </c>
      <c r="E998" s="121">
        <v>2</v>
      </c>
      <c r="F998" s="121" t="s">
        <v>1418</v>
      </c>
      <c r="G998" s="242"/>
      <c r="H998" s="242"/>
      <c r="I998" s="370">
        <v>0</v>
      </c>
      <c r="J998" s="370">
        <v>0</v>
      </c>
      <c r="K998" s="370">
        <v>0</v>
      </c>
      <c r="L998" s="370">
        <v>0</v>
      </c>
      <c r="M998" s="370">
        <f t="shared" si="47"/>
        <v>0.17</v>
      </c>
      <c r="N998" s="370">
        <f t="shared" si="46"/>
        <v>0.34</v>
      </c>
      <c r="O998" s="370">
        <f t="shared" si="46"/>
        <v>0.51</v>
      </c>
      <c r="P998" s="370">
        <f t="shared" si="46"/>
        <v>0.68</v>
      </c>
      <c r="Q998" s="370">
        <v>0.85</v>
      </c>
      <c r="R998" s="242"/>
      <c r="T998" s="20"/>
      <c r="U998" s="20"/>
      <c r="V998" s="20"/>
      <c r="W998" s="20"/>
      <c r="X998" s="20"/>
    </row>
    <row r="999" spans="1:24" s="65" customFormat="1" ht="15" customHeight="1" outlineLevel="2">
      <c r="A999" s="219"/>
      <c r="B999" s="242"/>
      <c r="C999" s="242"/>
      <c r="D999" s="242" t="s">
        <v>1641</v>
      </c>
      <c r="E999" s="121">
        <v>3</v>
      </c>
      <c r="F999" s="121" t="s">
        <v>1418</v>
      </c>
      <c r="G999" s="242"/>
      <c r="H999" s="242"/>
      <c r="I999" s="370">
        <v>0</v>
      </c>
      <c r="J999" s="370">
        <v>0</v>
      </c>
      <c r="K999" s="370">
        <v>0</v>
      </c>
      <c r="L999" s="370">
        <v>0</v>
      </c>
      <c r="M999" s="370">
        <f t="shared" si="47"/>
        <v>0.17</v>
      </c>
      <c r="N999" s="370">
        <f t="shared" si="46"/>
        <v>0.34</v>
      </c>
      <c r="O999" s="370">
        <f t="shared" si="46"/>
        <v>0.51</v>
      </c>
      <c r="P999" s="370">
        <f t="shared" si="46"/>
        <v>0.68</v>
      </c>
      <c r="Q999" s="370">
        <f>Q998</f>
        <v>0.85</v>
      </c>
      <c r="R999" s="242"/>
      <c r="T999" s="20"/>
      <c r="U999" s="20"/>
      <c r="V999" s="20"/>
      <c r="W999" s="20"/>
      <c r="X999" s="20"/>
    </row>
    <row r="1000" spans="1:24" s="65" customFormat="1" ht="15" customHeight="1" outlineLevel="2">
      <c r="A1000" s="219"/>
      <c r="B1000" s="242"/>
      <c r="C1000" s="242"/>
      <c r="D1000" s="242" t="s">
        <v>1641</v>
      </c>
      <c r="E1000" s="121">
        <v>4</v>
      </c>
      <c r="F1000" s="121" t="s">
        <v>1418</v>
      </c>
      <c r="G1000" s="242"/>
      <c r="H1000" s="242"/>
      <c r="I1000" s="370">
        <v>0</v>
      </c>
      <c r="J1000" s="370">
        <v>0</v>
      </c>
      <c r="K1000" s="370">
        <v>0</v>
      </c>
      <c r="L1000" s="370">
        <v>0</v>
      </c>
      <c r="M1000" s="370">
        <f t="shared" si="47"/>
        <v>0.17</v>
      </c>
      <c r="N1000" s="370">
        <f t="shared" si="46"/>
        <v>0.34</v>
      </c>
      <c r="O1000" s="370">
        <f t="shared" si="46"/>
        <v>0.51</v>
      </c>
      <c r="P1000" s="370">
        <f t="shared" si="46"/>
        <v>0.68</v>
      </c>
      <c r="Q1000" s="370">
        <f>Q999</f>
        <v>0.85</v>
      </c>
      <c r="R1000" s="242"/>
      <c r="T1000" s="20"/>
      <c r="U1000" s="20"/>
      <c r="V1000" s="20"/>
      <c r="W1000" s="20"/>
      <c r="X1000" s="20"/>
    </row>
    <row r="1001" spans="1:24" s="65" customFormat="1" ht="15" customHeight="1" outlineLevel="2">
      <c r="A1001" s="219"/>
      <c r="B1001" s="242"/>
      <c r="C1001" s="242"/>
      <c r="D1001" s="242" t="s">
        <v>1926</v>
      </c>
      <c r="E1001" s="121">
        <v>1</v>
      </c>
      <c r="F1001" s="242" t="s">
        <v>1917</v>
      </c>
      <c r="G1001" s="242"/>
      <c r="H1001" s="242"/>
      <c r="I1001" s="370">
        <v>0</v>
      </c>
      <c r="J1001" s="370">
        <v>0</v>
      </c>
      <c r="K1001" s="370">
        <v>0</v>
      </c>
      <c r="L1001" s="370">
        <v>0</v>
      </c>
      <c r="M1001" s="370">
        <f t="shared" si="47"/>
        <v>0</v>
      </c>
      <c r="N1001" s="370">
        <f t="shared" si="47"/>
        <v>0</v>
      </c>
      <c r="O1001" s="370">
        <f t="shared" si="47"/>
        <v>0</v>
      </c>
      <c r="P1001" s="370">
        <f t="shared" si="47"/>
        <v>0</v>
      </c>
      <c r="Q1001" s="370">
        <v>0</v>
      </c>
      <c r="R1001" s="242"/>
      <c r="T1001" s="20"/>
      <c r="U1001" s="20"/>
      <c r="V1001" s="20"/>
      <c r="W1001" s="20"/>
      <c r="X1001" s="20"/>
    </row>
    <row r="1002" spans="1:24" s="65" customFormat="1" ht="15" customHeight="1" outlineLevel="2">
      <c r="A1002" s="219"/>
      <c r="B1002" s="242"/>
      <c r="C1002" s="242"/>
      <c r="D1002" s="242" t="s">
        <v>1926</v>
      </c>
      <c r="E1002" s="121">
        <v>2</v>
      </c>
      <c r="F1002" s="242" t="s">
        <v>1917</v>
      </c>
      <c r="G1002" s="242"/>
      <c r="H1002" s="242"/>
      <c r="I1002" s="370">
        <v>0</v>
      </c>
      <c r="J1002" s="370">
        <v>0</v>
      </c>
      <c r="K1002" s="370">
        <v>0</v>
      </c>
      <c r="L1002" s="370">
        <v>0</v>
      </c>
      <c r="M1002" s="370">
        <f t="shared" ref="M1002:P1032" si="48">(($Q1002-$L1002)/($Q$980-$L$980))*(M$980-$L$980)+$L1002</f>
        <v>0.17</v>
      </c>
      <c r="N1002" s="370">
        <f t="shared" si="48"/>
        <v>0.34</v>
      </c>
      <c r="O1002" s="370">
        <f t="shared" si="48"/>
        <v>0.51</v>
      </c>
      <c r="P1002" s="370">
        <f t="shared" si="48"/>
        <v>0.68</v>
      </c>
      <c r="Q1002" s="370">
        <v>0.85</v>
      </c>
      <c r="R1002" s="242"/>
      <c r="T1002" s="20"/>
      <c r="U1002" s="20"/>
      <c r="V1002" s="20"/>
      <c r="W1002" s="20"/>
      <c r="X1002" s="20"/>
    </row>
    <row r="1003" spans="1:24" s="65" customFormat="1" ht="15" customHeight="1" outlineLevel="2">
      <c r="A1003" s="219"/>
      <c r="B1003" s="242"/>
      <c r="C1003" s="242"/>
      <c r="D1003" s="242" t="s">
        <v>1926</v>
      </c>
      <c r="E1003" s="121">
        <v>3</v>
      </c>
      <c r="F1003" s="242" t="s">
        <v>1917</v>
      </c>
      <c r="G1003" s="242"/>
      <c r="H1003" s="242"/>
      <c r="I1003" s="370">
        <v>0</v>
      </c>
      <c r="J1003" s="370">
        <v>0</v>
      </c>
      <c r="K1003" s="370">
        <v>0</v>
      </c>
      <c r="L1003" s="370">
        <v>0</v>
      </c>
      <c r="M1003" s="370">
        <f t="shared" si="48"/>
        <v>0.17</v>
      </c>
      <c r="N1003" s="370">
        <f t="shared" si="48"/>
        <v>0.34</v>
      </c>
      <c r="O1003" s="370">
        <f t="shared" si="48"/>
        <v>0.51</v>
      </c>
      <c r="P1003" s="370">
        <f t="shared" si="48"/>
        <v>0.68</v>
      </c>
      <c r="Q1003" s="370">
        <f>Q1002</f>
        <v>0.85</v>
      </c>
      <c r="R1003" s="242"/>
      <c r="T1003" s="20"/>
      <c r="U1003" s="20"/>
      <c r="V1003" s="20"/>
      <c r="W1003" s="20"/>
      <c r="X1003" s="20"/>
    </row>
    <row r="1004" spans="1:24" s="65" customFormat="1" ht="15" customHeight="1" outlineLevel="2">
      <c r="A1004" s="219"/>
      <c r="B1004" s="242"/>
      <c r="C1004" s="242"/>
      <c r="D1004" s="242" t="s">
        <v>1926</v>
      </c>
      <c r="E1004" s="121">
        <v>4</v>
      </c>
      <c r="F1004" s="242" t="s">
        <v>1917</v>
      </c>
      <c r="G1004" s="242"/>
      <c r="H1004" s="242"/>
      <c r="I1004" s="370">
        <v>0</v>
      </c>
      <c r="J1004" s="370">
        <v>0</v>
      </c>
      <c r="K1004" s="370">
        <v>0</v>
      </c>
      <c r="L1004" s="370">
        <v>0</v>
      </c>
      <c r="M1004" s="370">
        <f t="shared" si="48"/>
        <v>0.17</v>
      </c>
      <c r="N1004" s="370">
        <f t="shared" si="48"/>
        <v>0.34</v>
      </c>
      <c r="O1004" s="370">
        <f t="shared" si="48"/>
        <v>0.51</v>
      </c>
      <c r="P1004" s="370">
        <f t="shared" si="48"/>
        <v>0.68</v>
      </c>
      <c r="Q1004" s="370">
        <f>Q1003</f>
        <v>0.85</v>
      </c>
      <c r="R1004" s="242"/>
      <c r="T1004" s="20"/>
      <c r="U1004" s="20"/>
      <c r="V1004" s="20"/>
      <c r="W1004" s="20"/>
      <c r="X1004" s="20"/>
    </row>
    <row r="1005" spans="1:24" s="65" customFormat="1" ht="15" customHeight="1" outlineLevel="2">
      <c r="A1005" s="219"/>
      <c r="B1005" s="242"/>
      <c r="C1005" s="242"/>
      <c r="D1005" s="242" t="s">
        <v>1927</v>
      </c>
      <c r="E1005" s="121">
        <v>1</v>
      </c>
      <c r="F1005" s="242" t="s">
        <v>1918</v>
      </c>
      <c r="G1005" s="242"/>
      <c r="H1005" s="242"/>
      <c r="I1005" s="370">
        <v>0</v>
      </c>
      <c r="J1005" s="370">
        <v>0</v>
      </c>
      <c r="K1005" s="370">
        <v>0</v>
      </c>
      <c r="L1005" s="370">
        <v>0</v>
      </c>
      <c r="M1005" s="370">
        <f t="shared" si="48"/>
        <v>0</v>
      </c>
      <c r="N1005" s="370">
        <f t="shared" si="48"/>
        <v>0</v>
      </c>
      <c r="O1005" s="370">
        <f t="shared" si="48"/>
        <v>0</v>
      </c>
      <c r="P1005" s="370">
        <f t="shared" si="48"/>
        <v>0</v>
      </c>
      <c r="Q1005" s="370">
        <v>0</v>
      </c>
      <c r="R1005" s="242"/>
      <c r="T1005" s="20"/>
      <c r="U1005" s="20"/>
      <c r="V1005" s="20"/>
      <c r="W1005" s="20"/>
      <c r="X1005" s="20"/>
    </row>
    <row r="1006" spans="1:24" s="65" customFormat="1" ht="15" customHeight="1" outlineLevel="2">
      <c r="A1006" s="219"/>
      <c r="B1006" s="242"/>
      <c r="C1006" s="242"/>
      <c r="D1006" s="242" t="s">
        <v>1927</v>
      </c>
      <c r="E1006" s="121">
        <v>2</v>
      </c>
      <c r="F1006" s="242" t="s">
        <v>1918</v>
      </c>
      <c r="G1006" s="242"/>
      <c r="H1006" s="242"/>
      <c r="I1006" s="370">
        <v>0</v>
      </c>
      <c r="J1006" s="370">
        <v>0</v>
      </c>
      <c r="K1006" s="370">
        <v>0</v>
      </c>
      <c r="L1006" s="370">
        <v>0</v>
      </c>
      <c r="M1006" s="370">
        <f t="shared" si="48"/>
        <v>0.17</v>
      </c>
      <c r="N1006" s="370">
        <f t="shared" si="48"/>
        <v>0.34</v>
      </c>
      <c r="O1006" s="370">
        <f t="shared" si="48"/>
        <v>0.51</v>
      </c>
      <c r="P1006" s="370">
        <f t="shared" si="48"/>
        <v>0.68</v>
      </c>
      <c r="Q1006" s="370">
        <v>0.85</v>
      </c>
      <c r="R1006" s="242"/>
      <c r="T1006" s="20"/>
      <c r="U1006" s="20"/>
      <c r="V1006" s="20"/>
      <c r="W1006" s="20"/>
      <c r="X1006" s="20"/>
    </row>
    <row r="1007" spans="1:24" s="65" customFormat="1" ht="15" customHeight="1" outlineLevel="2">
      <c r="A1007" s="219"/>
      <c r="B1007" s="242"/>
      <c r="C1007" s="242"/>
      <c r="D1007" s="242" t="s">
        <v>1927</v>
      </c>
      <c r="E1007" s="121">
        <v>3</v>
      </c>
      <c r="F1007" s="242" t="s">
        <v>1918</v>
      </c>
      <c r="G1007" s="242"/>
      <c r="H1007" s="242"/>
      <c r="I1007" s="370">
        <v>0</v>
      </c>
      <c r="J1007" s="370">
        <v>0</v>
      </c>
      <c r="K1007" s="370">
        <v>0</v>
      </c>
      <c r="L1007" s="370">
        <v>0</v>
      </c>
      <c r="M1007" s="370">
        <f t="shared" si="48"/>
        <v>0.17</v>
      </c>
      <c r="N1007" s="370">
        <f t="shared" si="48"/>
        <v>0.34</v>
      </c>
      <c r="O1007" s="370">
        <f t="shared" si="48"/>
        <v>0.51</v>
      </c>
      <c r="P1007" s="370">
        <f t="shared" si="48"/>
        <v>0.68</v>
      </c>
      <c r="Q1007" s="370">
        <f>Q1006</f>
        <v>0.85</v>
      </c>
      <c r="R1007" s="242"/>
      <c r="T1007" s="20"/>
      <c r="U1007" s="20"/>
      <c r="V1007" s="20"/>
      <c r="W1007" s="20"/>
      <c r="X1007" s="20"/>
    </row>
    <row r="1008" spans="1:24" s="65" customFormat="1" ht="15" customHeight="1" outlineLevel="2">
      <c r="A1008" s="219"/>
      <c r="B1008" s="242"/>
      <c r="C1008" s="242"/>
      <c r="D1008" s="242" t="s">
        <v>1927</v>
      </c>
      <c r="E1008" s="121">
        <v>4</v>
      </c>
      <c r="F1008" s="242" t="s">
        <v>1918</v>
      </c>
      <c r="G1008" s="242"/>
      <c r="H1008" s="242"/>
      <c r="I1008" s="370">
        <v>0</v>
      </c>
      <c r="J1008" s="370">
        <v>0</v>
      </c>
      <c r="K1008" s="370">
        <v>0</v>
      </c>
      <c r="L1008" s="370">
        <v>0</v>
      </c>
      <c r="M1008" s="370">
        <f t="shared" si="48"/>
        <v>0.17</v>
      </c>
      <c r="N1008" s="370">
        <f t="shared" si="48"/>
        <v>0.34</v>
      </c>
      <c r="O1008" s="370">
        <f t="shared" si="48"/>
        <v>0.51</v>
      </c>
      <c r="P1008" s="370">
        <f t="shared" si="48"/>
        <v>0.68</v>
      </c>
      <c r="Q1008" s="370">
        <f>Q1007</f>
        <v>0.85</v>
      </c>
      <c r="R1008" s="242"/>
      <c r="T1008" s="20"/>
      <c r="U1008" s="20"/>
      <c r="V1008" s="20"/>
      <c r="W1008" s="20"/>
      <c r="X1008" s="20"/>
    </row>
    <row r="1009" spans="1:24" s="65" customFormat="1" ht="15" customHeight="1" outlineLevel="2">
      <c r="A1009" s="219"/>
      <c r="B1009" s="242"/>
      <c r="C1009" s="242"/>
      <c r="D1009" s="242" t="s">
        <v>1928</v>
      </c>
      <c r="E1009" s="121">
        <v>1</v>
      </c>
      <c r="F1009" s="242" t="s">
        <v>1919</v>
      </c>
      <c r="G1009" s="242"/>
      <c r="H1009" s="242"/>
      <c r="I1009" s="370">
        <v>0</v>
      </c>
      <c r="J1009" s="370">
        <v>0</v>
      </c>
      <c r="K1009" s="370">
        <v>0</v>
      </c>
      <c r="L1009" s="370">
        <v>0</v>
      </c>
      <c r="M1009" s="370">
        <f t="shared" si="48"/>
        <v>0</v>
      </c>
      <c r="N1009" s="370">
        <f t="shared" si="48"/>
        <v>0</v>
      </c>
      <c r="O1009" s="370">
        <f t="shared" si="48"/>
        <v>0</v>
      </c>
      <c r="P1009" s="370">
        <f t="shared" si="48"/>
        <v>0</v>
      </c>
      <c r="Q1009" s="370">
        <v>0</v>
      </c>
      <c r="R1009" s="242"/>
      <c r="T1009" s="20"/>
      <c r="U1009" s="20"/>
      <c r="V1009" s="20"/>
      <c r="W1009" s="20"/>
      <c r="X1009" s="20"/>
    </row>
    <row r="1010" spans="1:24" s="65" customFormat="1" ht="15" customHeight="1" outlineLevel="2">
      <c r="A1010" s="219"/>
      <c r="B1010" s="242"/>
      <c r="C1010" s="242"/>
      <c r="D1010" s="242" t="s">
        <v>1928</v>
      </c>
      <c r="E1010" s="121">
        <v>2</v>
      </c>
      <c r="F1010" s="242" t="s">
        <v>1919</v>
      </c>
      <c r="G1010" s="242"/>
      <c r="H1010" s="242"/>
      <c r="I1010" s="370">
        <v>0</v>
      </c>
      <c r="J1010" s="370">
        <v>0</v>
      </c>
      <c r="K1010" s="370">
        <v>0</v>
      </c>
      <c r="L1010" s="370">
        <v>0</v>
      </c>
      <c r="M1010" s="370">
        <f t="shared" si="48"/>
        <v>0.17</v>
      </c>
      <c r="N1010" s="370">
        <f t="shared" si="48"/>
        <v>0.34</v>
      </c>
      <c r="O1010" s="370">
        <f t="shared" si="48"/>
        <v>0.51</v>
      </c>
      <c r="P1010" s="370">
        <f t="shared" si="48"/>
        <v>0.68</v>
      </c>
      <c r="Q1010" s="370">
        <v>0.85</v>
      </c>
      <c r="R1010" s="242"/>
      <c r="T1010" s="20"/>
      <c r="U1010" s="20"/>
      <c r="V1010" s="20"/>
      <c r="W1010" s="20"/>
      <c r="X1010" s="20"/>
    </row>
    <row r="1011" spans="1:24" s="65" customFormat="1" ht="15" customHeight="1" outlineLevel="2">
      <c r="A1011" s="219"/>
      <c r="B1011" s="242"/>
      <c r="C1011" s="242"/>
      <c r="D1011" s="242" t="s">
        <v>1928</v>
      </c>
      <c r="E1011" s="121">
        <v>3</v>
      </c>
      <c r="F1011" s="242" t="s">
        <v>1919</v>
      </c>
      <c r="G1011" s="242"/>
      <c r="H1011" s="242"/>
      <c r="I1011" s="370">
        <v>0</v>
      </c>
      <c r="J1011" s="370">
        <v>0</v>
      </c>
      <c r="K1011" s="370">
        <v>0</v>
      </c>
      <c r="L1011" s="370">
        <v>0</v>
      </c>
      <c r="M1011" s="370">
        <f t="shared" si="48"/>
        <v>0.17</v>
      </c>
      <c r="N1011" s="370">
        <f t="shared" si="48"/>
        <v>0.34</v>
      </c>
      <c r="O1011" s="370">
        <f t="shared" si="48"/>
        <v>0.51</v>
      </c>
      <c r="P1011" s="370">
        <f t="shared" si="48"/>
        <v>0.68</v>
      </c>
      <c r="Q1011" s="370">
        <f>Q1010</f>
        <v>0.85</v>
      </c>
      <c r="R1011" s="242"/>
      <c r="T1011" s="20"/>
      <c r="U1011" s="20"/>
      <c r="V1011" s="20"/>
      <c r="W1011" s="20"/>
      <c r="X1011" s="20"/>
    </row>
    <row r="1012" spans="1:24" s="65" customFormat="1" ht="15" customHeight="1" outlineLevel="2">
      <c r="A1012" s="219"/>
      <c r="B1012" s="242"/>
      <c r="C1012" s="242"/>
      <c r="D1012" s="242" t="s">
        <v>1928</v>
      </c>
      <c r="E1012" s="121">
        <v>4</v>
      </c>
      <c r="F1012" s="242" t="s">
        <v>1919</v>
      </c>
      <c r="G1012" s="242"/>
      <c r="H1012" s="242"/>
      <c r="I1012" s="370">
        <v>0</v>
      </c>
      <c r="J1012" s="370">
        <v>0</v>
      </c>
      <c r="K1012" s="370">
        <v>0</v>
      </c>
      <c r="L1012" s="370">
        <v>0</v>
      </c>
      <c r="M1012" s="370">
        <f t="shared" si="48"/>
        <v>0.17</v>
      </c>
      <c r="N1012" s="370">
        <f t="shared" si="48"/>
        <v>0.34</v>
      </c>
      <c r="O1012" s="370">
        <f t="shared" si="48"/>
        <v>0.51</v>
      </c>
      <c r="P1012" s="370">
        <f t="shared" si="48"/>
        <v>0.68</v>
      </c>
      <c r="Q1012" s="370">
        <f>Q1011</f>
        <v>0.85</v>
      </c>
      <c r="R1012" s="242"/>
      <c r="T1012" s="20"/>
      <c r="U1012" s="20"/>
      <c r="V1012" s="20"/>
      <c r="W1012" s="20"/>
      <c r="X1012" s="20"/>
    </row>
    <row r="1013" spans="1:24" s="65" customFormat="1" ht="15" customHeight="1" outlineLevel="2">
      <c r="A1013" s="219"/>
      <c r="B1013" s="242"/>
      <c r="C1013" s="242"/>
      <c r="D1013" s="242" t="s">
        <v>1929</v>
      </c>
      <c r="E1013" s="121">
        <v>1</v>
      </c>
      <c r="F1013" s="242" t="s">
        <v>1920</v>
      </c>
      <c r="G1013" s="242"/>
      <c r="H1013" s="242"/>
      <c r="I1013" s="370">
        <v>0</v>
      </c>
      <c r="J1013" s="370">
        <v>0</v>
      </c>
      <c r="K1013" s="370">
        <v>0</v>
      </c>
      <c r="L1013" s="370">
        <v>0</v>
      </c>
      <c r="M1013" s="370">
        <f t="shared" si="48"/>
        <v>0</v>
      </c>
      <c r="N1013" s="370">
        <f t="shared" si="48"/>
        <v>0</v>
      </c>
      <c r="O1013" s="370">
        <f t="shared" si="48"/>
        <v>0</v>
      </c>
      <c r="P1013" s="370">
        <f t="shared" si="48"/>
        <v>0</v>
      </c>
      <c r="Q1013" s="370">
        <v>0</v>
      </c>
      <c r="R1013" s="242"/>
      <c r="T1013" s="20"/>
      <c r="U1013" s="20"/>
      <c r="V1013" s="20"/>
      <c r="W1013" s="20"/>
      <c r="X1013" s="20"/>
    </row>
    <row r="1014" spans="1:24" s="65" customFormat="1" ht="15" customHeight="1" outlineLevel="2">
      <c r="A1014" s="219"/>
      <c r="B1014" s="242"/>
      <c r="C1014" s="242"/>
      <c r="D1014" s="242" t="s">
        <v>1929</v>
      </c>
      <c r="E1014" s="121">
        <v>2</v>
      </c>
      <c r="F1014" s="242" t="s">
        <v>1920</v>
      </c>
      <c r="G1014" s="242"/>
      <c r="H1014" s="242"/>
      <c r="I1014" s="370">
        <v>0</v>
      </c>
      <c r="J1014" s="370">
        <v>0</v>
      </c>
      <c r="K1014" s="370">
        <v>0</v>
      </c>
      <c r="L1014" s="370">
        <v>0</v>
      </c>
      <c r="M1014" s="370">
        <f t="shared" si="48"/>
        <v>0.17</v>
      </c>
      <c r="N1014" s="370">
        <f t="shared" si="48"/>
        <v>0.34</v>
      </c>
      <c r="O1014" s="370">
        <f t="shared" si="48"/>
        <v>0.51</v>
      </c>
      <c r="P1014" s="370">
        <f t="shared" si="48"/>
        <v>0.68</v>
      </c>
      <c r="Q1014" s="370">
        <v>0.85</v>
      </c>
      <c r="R1014" s="242"/>
      <c r="T1014" s="20"/>
      <c r="U1014" s="20"/>
      <c r="V1014" s="20"/>
      <c r="W1014" s="20"/>
      <c r="X1014" s="20"/>
    </row>
    <row r="1015" spans="1:24" s="65" customFormat="1" ht="15" customHeight="1" outlineLevel="2">
      <c r="A1015" s="219"/>
      <c r="B1015" s="242"/>
      <c r="C1015" s="242"/>
      <c r="D1015" s="242" t="s">
        <v>1929</v>
      </c>
      <c r="E1015" s="121">
        <v>3</v>
      </c>
      <c r="F1015" s="242" t="s">
        <v>1920</v>
      </c>
      <c r="G1015" s="242"/>
      <c r="H1015" s="242"/>
      <c r="I1015" s="370">
        <v>0</v>
      </c>
      <c r="J1015" s="370">
        <v>0</v>
      </c>
      <c r="K1015" s="370">
        <v>0</v>
      </c>
      <c r="L1015" s="370">
        <v>0</v>
      </c>
      <c r="M1015" s="370">
        <f t="shared" si="48"/>
        <v>0.17</v>
      </c>
      <c r="N1015" s="370">
        <f t="shared" si="48"/>
        <v>0.34</v>
      </c>
      <c r="O1015" s="370">
        <f t="shared" si="48"/>
        <v>0.51</v>
      </c>
      <c r="P1015" s="370">
        <f t="shared" si="48"/>
        <v>0.68</v>
      </c>
      <c r="Q1015" s="370">
        <f>Q1014</f>
        <v>0.85</v>
      </c>
      <c r="R1015" s="242"/>
      <c r="T1015" s="20"/>
      <c r="U1015" s="20"/>
      <c r="V1015" s="20"/>
      <c r="W1015" s="20"/>
      <c r="X1015" s="20"/>
    </row>
    <row r="1016" spans="1:24" s="65" customFormat="1" ht="15" customHeight="1" outlineLevel="2">
      <c r="A1016" s="219"/>
      <c r="B1016" s="242"/>
      <c r="C1016" s="242"/>
      <c r="D1016" s="242" t="s">
        <v>1929</v>
      </c>
      <c r="E1016" s="121">
        <v>4</v>
      </c>
      <c r="F1016" s="242" t="s">
        <v>1920</v>
      </c>
      <c r="G1016" s="242"/>
      <c r="H1016" s="242"/>
      <c r="I1016" s="370">
        <v>0</v>
      </c>
      <c r="J1016" s="370">
        <v>0</v>
      </c>
      <c r="K1016" s="370">
        <v>0</v>
      </c>
      <c r="L1016" s="370">
        <v>0</v>
      </c>
      <c r="M1016" s="370">
        <f t="shared" si="48"/>
        <v>0.17</v>
      </c>
      <c r="N1016" s="370">
        <f t="shared" si="48"/>
        <v>0.34</v>
      </c>
      <c r="O1016" s="370">
        <f t="shared" si="48"/>
        <v>0.51</v>
      </c>
      <c r="P1016" s="370">
        <f t="shared" si="48"/>
        <v>0.68</v>
      </c>
      <c r="Q1016" s="370">
        <f>Q1015</f>
        <v>0.85</v>
      </c>
      <c r="R1016" s="242"/>
      <c r="T1016" s="20"/>
      <c r="U1016" s="20"/>
      <c r="V1016" s="20"/>
      <c r="W1016" s="20"/>
      <c r="X1016" s="20"/>
    </row>
    <row r="1017" spans="1:24" s="65" customFormat="1" ht="15" customHeight="1" outlineLevel="2">
      <c r="A1017" s="219"/>
      <c r="B1017" s="242"/>
      <c r="C1017" s="242"/>
      <c r="D1017" s="242" t="s">
        <v>1930</v>
      </c>
      <c r="E1017" s="121">
        <v>1</v>
      </c>
      <c r="F1017" s="242" t="s">
        <v>1921</v>
      </c>
      <c r="G1017" s="242"/>
      <c r="H1017" s="242"/>
      <c r="I1017" s="370">
        <v>0</v>
      </c>
      <c r="J1017" s="370">
        <v>0</v>
      </c>
      <c r="K1017" s="370">
        <v>0</v>
      </c>
      <c r="L1017" s="370">
        <v>0</v>
      </c>
      <c r="M1017" s="370">
        <f t="shared" si="48"/>
        <v>0</v>
      </c>
      <c r="N1017" s="370">
        <f t="shared" si="48"/>
        <v>0</v>
      </c>
      <c r="O1017" s="370">
        <f t="shared" si="48"/>
        <v>0</v>
      </c>
      <c r="P1017" s="370">
        <f t="shared" si="48"/>
        <v>0</v>
      </c>
      <c r="Q1017" s="370">
        <v>0</v>
      </c>
      <c r="R1017" s="242"/>
      <c r="T1017" s="20"/>
      <c r="U1017" s="20"/>
      <c r="V1017" s="20"/>
      <c r="W1017" s="20"/>
      <c r="X1017" s="20"/>
    </row>
    <row r="1018" spans="1:24" s="65" customFormat="1" ht="15" customHeight="1" outlineLevel="2">
      <c r="A1018" s="219"/>
      <c r="B1018" s="242"/>
      <c r="C1018" s="242"/>
      <c r="D1018" s="242" t="s">
        <v>1930</v>
      </c>
      <c r="E1018" s="121">
        <v>2</v>
      </c>
      <c r="F1018" s="242" t="s">
        <v>1921</v>
      </c>
      <c r="G1018" s="242"/>
      <c r="H1018" s="242"/>
      <c r="I1018" s="370">
        <v>0</v>
      </c>
      <c r="J1018" s="370">
        <v>0</v>
      </c>
      <c r="K1018" s="370">
        <v>0</v>
      </c>
      <c r="L1018" s="370">
        <v>0</v>
      </c>
      <c r="M1018" s="370">
        <f t="shared" si="48"/>
        <v>0.17</v>
      </c>
      <c r="N1018" s="370">
        <f t="shared" si="48"/>
        <v>0.34</v>
      </c>
      <c r="O1018" s="370">
        <f t="shared" si="48"/>
        <v>0.51</v>
      </c>
      <c r="P1018" s="370">
        <f t="shared" si="48"/>
        <v>0.68</v>
      </c>
      <c r="Q1018" s="370">
        <v>0.85</v>
      </c>
      <c r="R1018" s="242"/>
      <c r="T1018" s="20"/>
      <c r="U1018" s="20"/>
      <c r="V1018" s="20"/>
      <c r="W1018" s="20"/>
      <c r="X1018" s="20"/>
    </row>
    <row r="1019" spans="1:24" s="65" customFormat="1" ht="15" customHeight="1" outlineLevel="2">
      <c r="A1019" s="219"/>
      <c r="B1019" s="242"/>
      <c r="C1019" s="242"/>
      <c r="D1019" s="242" t="s">
        <v>1930</v>
      </c>
      <c r="E1019" s="121">
        <v>3</v>
      </c>
      <c r="F1019" s="242" t="s">
        <v>1921</v>
      </c>
      <c r="G1019" s="242"/>
      <c r="H1019" s="242"/>
      <c r="I1019" s="370">
        <v>0</v>
      </c>
      <c r="J1019" s="370">
        <v>0</v>
      </c>
      <c r="K1019" s="370">
        <v>0</v>
      </c>
      <c r="L1019" s="370">
        <v>0</v>
      </c>
      <c r="M1019" s="370">
        <f t="shared" si="48"/>
        <v>0.17</v>
      </c>
      <c r="N1019" s="370">
        <f t="shared" si="48"/>
        <v>0.34</v>
      </c>
      <c r="O1019" s="370">
        <f t="shared" si="48"/>
        <v>0.51</v>
      </c>
      <c r="P1019" s="370">
        <f t="shared" si="48"/>
        <v>0.68</v>
      </c>
      <c r="Q1019" s="370">
        <f>Q1018</f>
        <v>0.85</v>
      </c>
      <c r="R1019" s="242"/>
      <c r="T1019" s="20"/>
      <c r="U1019" s="20"/>
      <c r="V1019" s="20"/>
      <c r="W1019" s="20"/>
      <c r="X1019" s="20"/>
    </row>
    <row r="1020" spans="1:24" s="65" customFormat="1" ht="15" customHeight="1" outlineLevel="2">
      <c r="A1020" s="219"/>
      <c r="B1020" s="242"/>
      <c r="C1020" s="242"/>
      <c r="D1020" s="242" t="s">
        <v>1930</v>
      </c>
      <c r="E1020" s="121">
        <v>4</v>
      </c>
      <c r="F1020" s="242" t="s">
        <v>1921</v>
      </c>
      <c r="G1020" s="242"/>
      <c r="H1020" s="242"/>
      <c r="I1020" s="370">
        <v>0</v>
      </c>
      <c r="J1020" s="370">
        <v>0</v>
      </c>
      <c r="K1020" s="370">
        <v>0</v>
      </c>
      <c r="L1020" s="370">
        <v>0</v>
      </c>
      <c r="M1020" s="370">
        <f t="shared" si="48"/>
        <v>0.17</v>
      </c>
      <c r="N1020" s="370">
        <f t="shared" si="48"/>
        <v>0.34</v>
      </c>
      <c r="O1020" s="370">
        <f t="shared" si="48"/>
        <v>0.51</v>
      </c>
      <c r="P1020" s="370">
        <f t="shared" si="48"/>
        <v>0.68</v>
      </c>
      <c r="Q1020" s="370">
        <f>Q1019</f>
        <v>0.85</v>
      </c>
      <c r="R1020" s="242"/>
      <c r="T1020" s="20"/>
      <c r="U1020" s="20"/>
      <c r="V1020" s="20"/>
      <c r="W1020" s="20"/>
      <c r="X1020" s="20"/>
    </row>
    <row r="1021" spans="1:24" s="65" customFormat="1" ht="15" customHeight="1" outlineLevel="2">
      <c r="A1021" s="219"/>
      <c r="B1021" s="242"/>
      <c r="C1021" s="242"/>
      <c r="D1021" s="242" t="s">
        <v>1931</v>
      </c>
      <c r="E1021" s="121">
        <v>1</v>
      </c>
      <c r="F1021" s="242" t="s">
        <v>1922</v>
      </c>
      <c r="G1021" s="242"/>
      <c r="H1021" s="242"/>
      <c r="I1021" s="370">
        <v>0</v>
      </c>
      <c r="J1021" s="370">
        <v>0</v>
      </c>
      <c r="K1021" s="370">
        <v>0</v>
      </c>
      <c r="L1021" s="370">
        <v>0</v>
      </c>
      <c r="M1021" s="370">
        <f t="shared" si="48"/>
        <v>0</v>
      </c>
      <c r="N1021" s="370">
        <f t="shared" si="48"/>
        <v>0</v>
      </c>
      <c r="O1021" s="370">
        <f t="shared" si="48"/>
        <v>0</v>
      </c>
      <c r="P1021" s="370">
        <f t="shared" si="48"/>
        <v>0</v>
      </c>
      <c r="Q1021" s="370">
        <v>0</v>
      </c>
      <c r="R1021" s="242"/>
      <c r="T1021" s="20"/>
      <c r="U1021" s="20"/>
      <c r="V1021" s="20"/>
      <c r="W1021" s="20"/>
      <c r="X1021" s="20"/>
    </row>
    <row r="1022" spans="1:24" s="65" customFormat="1" ht="15" customHeight="1" outlineLevel="2">
      <c r="A1022" s="219"/>
      <c r="B1022" s="242"/>
      <c r="C1022" s="242"/>
      <c r="D1022" s="242" t="s">
        <v>1931</v>
      </c>
      <c r="E1022" s="121">
        <v>2</v>
      </c>
      <c r="F1022" s="242" t="s">
        <v>1922</v>
      </c>
      <c r="G1022" s="242"/>
      <c r="H1022" s="242"/>
      <c r="I1022" s="370">
        <v>0</v>
      </c>
      <c r="J1022" s="370">
        <v>0</v>
      </c>
      <c r="K1022" s="370">
        <v>0</v>
      </c>
      <c r="L1022" s="370">
        <v>0</v>
      </c>
      <c r="M1022" s="370">
        <f t="shared" si="48"/>
        <v>0.17</v>
      </c>
      <c r="N1022" s="370">
        <f t="shared" si="48"/>
        <v>0.34</v>
      </c>
      <c r="O1022" s="370">
        <f t="shared" si="48"/>
        <v>0.51</v>
      </c>
      <c r="P1022" s="370">
        <f t="shared" si="48"/>
        <v>0.68</v>
      </c>
      <c r="Q1022" s="370">
        <v>0.85</v>
      </c>
      <c r="R1022" s="242"/>
      <c r="T1022" s="20"/>
      <c r="U1022" s="20"/>
      <c r="V1022" s="20"/>
      <c r="W1022" s="20"/>
      <c r="X1022" s="20"/>
    </row>
    <row r="1023" spans="1:24" s="65" customFormat="1" ht="15" customHeight="1" outlineLevel="2">
      <c r="A1023" s="219"/>
      <c r="B1023" s="242"/>
      <c r="C1023" s="242"/>
      <c r="D1023" s="242" t="s">
        <v>1931</v>
      </c>
      <c r="E1023" s="121">
        <v>3</v>
      </c>
      <c r="F1023" s="242" t="s">
        <v>1922</v>
      </c>
      <c r="G1023" s="242"/>
      <c r="H1023" s="242"/>
      <c r="I1023" s="370">
        <v>0</v>
      </c>
      <c r="J1023" s="370">
        <v>0</v>
      </c>
      <c r="K1023" s="370">
        <v>0</v>
      </c>
      <c r="L1023" s="370">
        <v>0</v>
      </c>
      <c r="M1023" s="370">
        <f t="shared" si="48"/>
        <v>0.17</v>
      </c>
      <c r="N1023" s="370">
        <f t="shared" si="48"/>
        <v>0.34</v>
      </c>
      <c r="O1023" s="370">
        <f t="shared" si="48"/>
        <v>0.51</v>
      </c>
      <c r="P1023" s="370">
        <f t="shared" si="48"/>
        <v>0.68</v>
      </c>
      <c r="Q1023" s="370">
        <f>Q1022</f>
        <v>0.85</v>
      </c>
      <c r="R1023" s="242"/>
      <c r="T1023" s="20"/>
      <c r="U1023" s="20"/>
      <c r="V1023" s="20"/>
      <c r="W1023" s="20"/>
      <c r="X1023" s="20"/>
    </row>
    <row r="1024" spans="1:24" s="65" customFormat="1" ht="15" customHeight="1" outlineLevel="2">
      <c r="A1024" s="219"/>
      <c r="B1024" s="242"/>
      <c r="C1024" s="242"/>
      <c r="D1024" s="242" t="s">
        <v>1931</v>
      </c>
      <c r="E1024" s="121">
        <v>4</v>
      </c>
      <c r="F1024" s="242" t="s">
        <v>1922</v>
      </c>
      <c r="G1024" s="242"/>
      <c r="H1024" s="242"/>
      <c r="I1024" s="370">
        <v>0</v>
      </c>
      <c r="J1024" s="370">
        <v>0</v>
      </c>
      <c r="K1024" s="370">
        <v>0</v>
      </c>
      <c r="L1024" s="370">
        <v>0</v>
      </c>
      <c r="M1024" s="370">
        <f t="shared" si="48"/>
        <v>0.17</v>
      </c>
      <c r="N1024" s="370">
        <f t="shared" si="48"/>
        <v>0.34</v>
      </c>
      <c r="O1024" s="370">
        <f t="shared" si="48"/>
        <v>0.51</v>
      </c>
      <c r="P1024" s="370">
        <f t="shared" si="48"/>
        <v>0.68</v>
      </c>
      <c r="Q1024" s="370">
        <f>Q1023</f>
        <v>0.85</v>
      </c>
      <c r="R1024" s="242"/>
      <c r="T1024" s="20"/>
      <c r="U1024" s="20"/>
      <c r="V1024" s="20"/>
      <c r="W1024" s="20"/>
      <c r="X1024" s="20"/>
    </row>
    <row r="1025" spans="1:24" s="65" customFormat="1" ht="15" customHeight="1" outlineLevel="2">
      <c r="A1025" s="219"/>
      <c r="B1025" s="242"/>
      <c r="C1025" s="242"/>
      <c r="D1025" s="242" t="s">
        <v>1932</v>
      </c>
      <c r="E1025" s="121">
        <v>1</v>
      </c>
      <c r="F1025" s="242" t="s">
        <v>1923</v>
      </c>
      <c r="G1025" s="242"/>
      <c r="H1025" s="242"/>
      <c r="I1025" s="370">
        <v>0</v>
      </c>
      <c r="J1025" s="370">
        <v>0</v>
      </c>
      <c r="K1025" s="370">
        <v>0</v>
      </c>
      <c r="L1025" s="370">
        <v>0</v>
      </c>
      <c r="M1025" s="370">
        <f t="shared" si="48"/>
        <v>0</v>
      </c>
      <c r="N1025" s="370">
        <f t="shared" si="48"/>
        <v>0</v>
      </c>
      <c r="O1025" s="370">
        <f t="shared" si="48"/>
        <v>0</v>
      </c>
      <c r="P1025" s="370">
        <f t="shared" si="48"/>
        <v>0</v>
      </c>
      <c r="Q1025" s="370">
        <v>0</v>
      </c>
      <c r="R1025" s="242"/>
      <c r="T1025" s="20"/>
      <c r="U1025" s="20"/>
      <c r="V1025" s="20"/>
      <c r="W1025" s="20"/>
      <c r="X1025" s="20"/>
    </row>
    <row r="1026" spans="1:24" s="65" customFormat="1" ht="15" customHeight="1" outlineLevel="2">
      <c r="A1026" s="219"/>
      <c r="B1026" s="242"/>
      <c r="C1026" s="242"/>
      <c r="D1026" s="242" t="s">
        <v>1932</v>
      </c>
      <c r="E1026" s="121">
        <v>2</v>
      </c>
      <c r="F1026" s="242" t="s">
        <v>1923</v>
      </c>
      <c r="G1026" s="242"/>
      <c r="H1026" s="242"/>
      <c r="I1026" s="370">
        <v>0</v>
      </c>
      <c r="J1026" s="370">
        <v>0</v>
      </c>
      <c r="K1026" s="370">
        <v>0</v>
      </c>
      <c r="L1026" s="370">
        <v>0</v>
      </c>
      <c r="M1026" s="370">
        <f t="shared" si="48"/>
        <v>0.17</v>
      </c>
      <c r="N1026" s="370">
        <f t="shared" si="48"/>
        <v>0.34</v>
      </c>
      <c r="O1026" s="370">
        <f t="shared" si="48"/>
        <v>0.51</v>
      </c>
      <c r="P1026" s="370">
        <f t="shared" si="48"/>
        <v>0.68</v>
      </c>
      <c r="Q1026" s="370">
        <v>0.85</v>
      </c>
      <c r="R1026" s="242"/>
      <c r="T1026" s="20"/>
      <c r="U1026" s="20"/>
      <c r="V1026" s="20"/>
      <c r="W1026" s="20"/>
      <c r="X1026" s="20"/>
    </row>
    <row r="1027" spans="1:24" s="65" customFormat="1" ht="15" customHeight="1" outlineLevel="2">
      <c r="A1027" s="219"/>
      <c r="B1027" s="242"/>
      <c r="C1027" s="242"/>
      <c r="D1027" s="242" t="s">
        <v>1932</v>
      </c>
      <c r="E1027" s="121">
        <v>3</v>
      </c>
      <c r="F1027" s="242" t="s">
        <v>1923</v>
      </c>
      <c r="G1027" s="242"/>
      <c r="H1027" s="242"/>
      <c r="I1027" s="370">
        <v>0</v>
      </c>
      <c r="J1027" s="370">
        <v>0</v>
      </c>
      <c r="K1027" s="370">
        <v>0</v>
      </c>
      <c r="L1027" s="370">
        <v>0</v>
      </c>
      <c r="M1027" s="370">
        <f t="shared" si="48"/>
        <v>0.17</v>
      </c>
      <c r="N1027" s="370">
        <f t="shared" si="48"/>
        <v>0.34</v>
      </c>
      <c r="O1027" s="370">
        <f t="shared" si="48"/>
        <v>0.51</v>
      </c>
      <c r="P1027" s="370">
        <f t="shared" si="48"/>
        <v>0.68</v>
      </c>
      <c r="Q1027" s="370">
        <f>Q1026</f>
        <v>0.85</v>
      </c>
      <c r="R1027" s="242"/>
      <c r="T1027" s="20"/>
      <c r="U1027" s="20"/>
      <c r="V1027" s="20"/>
      <c r="W1027" s="20"/>
      <c r="X1027" s="20"/>
    </row>
    <row r="1028" spans="1:24" s="65" customFormat="1" ht="15" customHeight="1" outlineLevel="2">
      <c r="A1028" s="219"/>
      <c r="B1028" s="242"/>
      <c r="C1028" s="242"/>
      <c r="D1028" s="242" t="s">
        <v>1932</v>
      </c>
      <c r="E1028" s="121">
        <v>4</v>
      </c>
      <c r="F1028" s="242" t="s">
        <v>1923</v>
      </c>
      <c r="G1028" s="242"/>
      <c r="H1028" s="242"/>
      <c r="I1028" s="370">
        <v>0</v>
      </c>
      <c r="J1028" s="370">
        <v>0</v>
      </c>
      <c r="K1028" s="370">
        <v>0</v>
      </c>
      <c r="L1028" s="370">
        <v>0</v>
      </c>
      <c r="M1028" s="370">
        <f t="shared" si="48"/>
        <v>0.17</v>
      </c>
      <c r="N1028" s="370">
        <f t="shared" si="48"/>
        <v>0.34</v>
      </c>
      <c r="O1028" s="370">
        <f t="shared" si="48"/>
        <v>0.51</v>
      </c>
      <c r="P1028" s="370">
        <f t="shared" si="48"/>
        <v>0.68</v>
      </c>
      <c r="Q1028" s="370">
        <f>Q1027</f>
        <v>0.85</v>
      </c>
      <c r="R1028" s="242"/>
      <c r="T1028" s="20"/>
      <c r="U1028" s="20"/>
      <c r="V1028" s="20"/>
      <c r="W1028" s="20"/>
      <c r="X1028" s="20"/>
    </row>
    <row r="1029" spans="1:24" s="65" customFormat="1" ht="15" customHeight="1" outlineLevel="2">
      <c r="A1029" s="219"/>
      <c r="B1029" s="242"/>
      <c r="C1029" s="242"/>
      <c r="D1029" s="242" t="s">
        <v>1933</v>
      </c>
      <c r="E1029" s="121">
        <v>1</v>
      </c>
      <c r="F1029" s="242" t="s">
        <v>1457</v>
      </c>
      <c r="G1029" s="242"/>
      <c r="H1029" s="242"/>
      <c r="I1029" s="370">
        <v>0</v>
      </c>
      <c r="J1029" s="370">
        <v>0</v>
      </c>
      <c r="K1029" s="370">
        <v>0</v>
      </c>
      <c r="L1029" s="370">
        <v>0</v>
      </c>
      <c r="M1029" s="370">
        <f t="shared" si="48"/>
        <v>0</v>
      </c>
      <c r="N1029" s="370">
        <f t="shared" si="48"/>
        <v>0</v>
      </c>
      <c r="O1029" s="370">
        <f t="shared" si="48"/>
        <v>0</v>
      </c>
      <c r="P1029" s="370">
        <f t="shared" si="48"/>
        <v>0</v>
      </c>
      <c r="Q1029" s="370">
        <v>0</v>
      </c>
      <c r="R1029" s="242"/>
      <c r="T1029" s="20"/>
      <c r="U1029" s="20"/>
      <c r="V1029" s="20"/>
      <c r="W1029" s="20"/>
      <c r="X1029" s="20"/>
    </row>
    <row r="1030" spans="1:24" s="65" customFormat="1" ht="15" customHeight="1" outlineLevel="2">
      <c r="A1030" s="219"/>
      <c r="B1030" s="242"/>
      <c r="C1030" s="242"/>
      <c r="D1030" s="242" t="s">
        <v>1933</v>
      </c>
      <c r="E1030" s="121">
        <v>2</v>
      </c>
      <c r="F1030" s="242" t="s">
        <v>1457</v>
      </c>
      <c r="G1030" s="242"/>
      <c r="H1030" s="242"/>
      <c r="I1030" s="370">
        <v>0</v>
      </c>
      <c r="J1030" s="370">
        <v>0</v>
      </c>
      <c r="K1030" s="370">
        <v>0</v>
      </c>
      <c r="L1030" s="370">
        <v>0</v>
      </c>
      <c r="M1030" s="370">
        <f t="shared" si="48"/>
        <v>0.17</v>
      </c>
      <c r="N1030" s="370">
        <f t="shared" si="48"/>
        <v>0.34</v>
      </c>
      <c r="O1030" s="370">
        <f t="shared" si="48"/>
        <v>0.51</v>
      </c>
      <c r="P1030" s="370">
        <f t="shared" si="48"/>
        <v>0.68</v>
      </c>
      <c r="Q1030" s="370">
        <v>0.85</v>
      </c>
      <c r="R1030" s="242"/>
      <c r="T1030" s="20"/>
      <c r="U1030" s="20"/>
      <c r="V1030" s="20"/>
      <c r="W1030" s="20"/>
      <c r="X1030" s="20"/>
    </row>
    <row r="1031" spans="1:24" s="65" customFormat="1" ht="15" customHeight="1" outlineLevel="2">
      <c r="A1031" s="219"/>
      <c r="B1031" s="242"/>
      <c r="C1031" s="242"/>
      <c r="D1031" s="242" t="s">
        <v>1933</v>
      </c>
      <c r="E1031" s="121">
        <v>3</v>
      </c>
      <c r="F1031" s="242" t="s">
        <v>1457</v>
      </c>
      <c r="G1031" s="242"/>
      <c r="H1031" s="242"/>
      <c r="I1031" s="370">
        <v>0</v>
      </c>
      <c r="J1031" s="370">
        <v>0</v>
      </c>
      <c r="K1031" s="370">
        <v>0</v>
      </c>
      <c r="L1031" s="370">
        <v>0</v>
      </c>
      <c r="M1031" s="370">
        <f t="shared" si="48"/>
        <v>0.17</v>
      </c>
      <c r="N1031" s="370">
        <f t="shared" si="48"/>
        <v>0.34</v>
      </c>
      <c r="O1031" s="370">
        <f t="shared" si="48"/>
        <v>0.51</v>
      </c>
      <c r="P1031" s="370">
        <f t="shared" si="48"/>
        <v>0.68</v>
      </c>
      <c r="Q1031" s="370">
        <f>Q1030</f>
        <v>0.85</v>
      </c>
      <c r="R1031" s="242"/>
      <c r="T1031" s="20"/>
      <c r="U1031" s="20"/>
      <c r="V1031" s="20"/>
      <c r="W1031" s="20"/>
      <c r="X1031" s="20"/>
    </row>
    <row r="1032" spans="1:24" s="65" customFormat="1" ht="15" customHeight="1" outlineLevel="2">
      <c r="A1032" s="219"/>
      <c r="B1032" s="242"/>
      <c r="C1032" s="242"/>
      <c r="D1032" s="242" t="s">
        <v>1933</v>
      </c>
      <c r="E1032" s="121">
        <v>4</v>
      </c>
      <c r="F1032" s="242" t="s">
        <v>1457</v>
      </c>
      <c r="G1032" s="242"/>
      <c r="H1032" s="242"/>
      <c r="I1032" s="370">
        <v>0</v>
      </c>
      <c r="J1032" s="370">
        <v>0</v>
      </c>
      <c r="K1032" s="370">
        <v>0</v>
      </c>
      <c r="L1032" s="370">
        <v>0</v>
      </c>
      <c r="M1032" s="370">
        <f t="shared" si="48"/>
        <v>0.17</v>
      </c>
      <c r="N1032" s="370">
        <f t="shared" si="48"/>
        <v>0.34</v>
      </c>
      <c r="O1032" s="370">
        <f t="shared" si="48"/>
        <v>0.51</v>
      </c>
      <c r="P1032" s="370">
        <f t="shared" si="48"/>
        <v>0.68</v>
      </c>
      <c r="Q1032" s="370">
        <f>Q1031</f>
        <v>0.85</v>
      </c>
      <c r="R1032" s="242"/>
      <c r="T1032" s="20"/>
      <c r="U1032" s="20"/>
      <c r="V1032" s="20"/>
      <c r="W1032" s="20"/>
      <c r="X1032" s="20"/>
    </row>
    <row r="1033" spans="1:24" s="65" customFormat="1" ht="15" customHeight="1" outlineLevel="2">
      <c r="A1033" s="219"/>
      <c r="B1033" s="242"/>
      <c r="C1033" s="242"/>
      <c r="D1033" s="242"/>
      <c r="E1033" s="242"/>
      <c r="F1033" s="242"/>
      <c r="G1033" s="242"/>
      <c r="H1033" s="242"/>
      <c r="I1033" s="242"/>
      <c r="J1033" s="242"/>
      <c r="K1033" s="242"/>
      <c r="L1033" s="242"/>
      <c r="M1033" s="242"/>
      <c r="N1033" s="242"/>
      <c r="O1033" s="242"/>
      <c r="P1033" s="242"/>
      <c r="Q1033" s="242"/>
      <c r="R1033" s="242"/>
      <c r="T1033" s="20"/>
      <c r="U1033" s="20"/>
      <c r="V1033" s="20"/>
      <c r="W1033" s="20"/>
      <c r="X1033" s="20"/>
    </row>
    <row r="1034" spans="1:24" s="65" customFormat="1" ht="15" customHeight="1" outlineLevel="2">
      <c r="A1034" s="219"/>
      <c r="B1034" s="242"/>
      <c r="C1034" s="248" t="s">
        <v>2183</v>
      </c>
      <c r="D1034" s="242"/>
      <c r="E1034" s="242"/>
      <c r="F1034" s="242"/>
      <c r="G1034" s="242"/>
      <c r="H1034" s="242"/>
      <c r="I1034" s="242"/>
      <c r="J1034" s="242"/>
      <c r="K1034" s="242"/>
      <c r="L1034" s="242"/>
      <c r="M1034" s="242"/>
      <c r="N1034" s="242"/>
      <c r="O1034" s="242"/>
      <c r="P1034" s="242"/>
      <c r="Q1034" s="242"/>
      <c r="R1034" s="242"/>
      <c r="T1034" s="20"/>
      <c r="U1034" s="20"/>
      <c r="V1034" s="20"/>
      <c r="W1034" s="20"/>
      <c r="X1034" s="20"/>
    </row>
    <row r="1035" spans="1:24" s="65" customFormat="1" ht="15" customHeight="1" outlineLevel="2">
      <c r="A1035" s="219"/>
      <c r="B1035" s="242"/>
      <c r="C1035" s="242"/>
      <c r="D1035" s="242"/>
      <c r="E1035" s="242"/>
      <c r="F1035" s="242"/>
      <c r="G1035" s="242"/>
      <c r="H1035" s="242"/>
      <c r="I1035" s="242"/>
      <c r="J1035" s="242"/>
      <c r="K1035" s="242"/>
      <c r="L1035" s="242"/>
      <c r="M1035" s="242"/>
      <c r="N1035" s="242"/>
      <c r="O1035" s="242"/>
      <c r="P1035" s="242"/>
      <c r="Q1035" s="242"/>
      <c r="R1035" s="242"/>
      <c r="T1035" s="20"/>
      <c r="U1035" s="20"/>
      <c r="V1035" s="20"/>
      <c r="W1035" s="20"/>
      <c r="X1035" s="20"/>
    </row>
    <row r="1036" spans="1:24" s="65" customFormat="1" ht="15" customHeight="1" outlineLevel="2">
      <c r="A1036" s="219"/>
      <c r="B1036" s="242"/>
      <c r="C1036" s="242"/>
      <c r="D1036" s="293">
        <f>0.33*Unit.TWh</f>
        <v>1.188E-3</v>
      </c>
      <c r="E1036" s="242" t="str">
        <f>Preferences.energy&amp;"per tCO2 captured"</f>
        <v>EJper tCO2 captured</v>
      </c>
      <c r="F1036" s="242"/>
      <c r="G1036" s="242"/>
      <c r="H1036" s="242"/>
      <c r="I1036" s="242"/>
      <c r="J1036" s="242"/>
      <c r="K1036" s="242"/>
      <c r="L1036" s="242"/>
      <c r="M1036" s="242"/>
      <c r="N1036" s="242"/>
      <c r="O1036" s="242"/>
      <c r="P1036" s="242"/>
      <c r="Q1036" s="242"/>
      <c r="R1036" s="242"/>
      <c r="T1036" s="20"/>
      <c r="U1036" s="20"/>
      <c r="V1036" s="20"/>
      <c r="W1036" s="20"/>
      <c r="X1036" s="20"/>
    </row>
    <row r="1037" spans="1:24" s="65" customFormat="1" ht="15" customHeight="1" outlineLevel="2">
      <c r="A1037" s="219"/>
      <c r="B1037" s="242"/>
      <c r="C1037" s="242"/>
      <c r="D1037" s="242"/>
      <c r="E1037" s="242"/>
      <c r="F1037" s="242"/>
      <c r="G1037" s="242"/>
      <c r="H1037" s="242"/>
      <c r="I1037" s="242"/>
      <c r="J1037" s="242"/>
      <c r="K1037" s="242"/>
      <c r="L1037" s="242"/>
      <c r="M1037" s="242"/>
      <c r="N1037" s="242"/>
      <c r="O1037" s="242"/>
      <c r="P1037" s="242"/>
      <c r="Q1037" s="242"/>
      <c r="R1037" s="242"/>
      <c r="T1037" s="20"/>
      <c r="U1037" s="20"/>
      <c r="V1037" s="20"/>
      <c r="W1037" s="20"/>
      <c r="X1037" s="20"/>
    </row>
    <row r="1038" spans="1:24" s="65" customFormat="1" ht="15" customHeight="1" outlineLevel="2">
      <c r="A1038" s="219"/>
      <c r="B1038" s="242"/>
      <c r="C1038" s="242"/>
      <c r="D1038" s="242"/>
      <c r="E1038" s="242"/>
      <c r="F1038" s="242"/>
      <c r="G1038" s="242"/>
      <c r="H1038" s="242"/>
      <c r="I1038" s="242"/>
      <c r="J1038" s="242"/>
      <c r="K1038" s="242"/>
      <c r="L1038" s="242"/>
      <c r="M1038" s="242"/>
      <c r="N1038" s="242"/>
      <c r="O1038" s="242"/>
      <c r="P1038" s="242"/>
      <c r="Q1038" s="242"/>
      <c r="R1038" s="242"/>
      <c r="T1038" s="20"/>
      <c r="U1038" s="20"/>
      <c r="V1038" s="20"/>
      <c r="W1038" s="20"/>
      <c r="X1038" s="20"/>
    </row>
    <row r="1039" spans="1:24" s="65" customFormat="1" ht="15" customHeight="1" outlineLevel="2">
      <c r="A1039" s="219"/>
      <c r="B1039" s="242"/>
      <c r="C1039" s="242"/>
      <c r="D1039" s="242"/>
      <c r="E1039" s="242"/>
      <c r="F1039" s="242"/>
      <c r="G1039" s="242"/>
      <c r="H1039" s="242"/>
      <c r="I1039" s="242"/>
      <c r="J1039" s="242"/>
      <c r="K1039" s="242"/>
      <c r="L1039" s="242"/>
      <c r="M1039" s="242"/>
      <c r="N1039" s="242"/>
      <c r="O1039" s="242"/>
      <c r="P1039" s="242"/>
      <c r="Q1039" s="242"/>
      <c r="R1039" s="242"/>
      <c r="T1039" s="20"/>
      <c r="U1039" s="20"/>
      <c r="V1039" s="20"/>
      <c r="W1039" s="20"/>
      <c r="X1039" s="20"/>
    </row>
    <row r="1040" spans="1:24" s="65" customFormat="1" ht="15" customHeight="1" outlineLevel="2">
      <c r="A1040" s="219"/>
      <c r="B1040" s="242"/>
      <c r="C1040" s="242"/>
      <c r="D1040" s="242"/>
      <c r="E1040" s="242"/>
      <c r="F1040" s="242"/>
      <c r="G1040" s="242"/>
      <c r="H1040" s="242"/>
      <c r="I1040" s="242"/>
      <c r="J1040" s="242"/>
      <c r="K1040" s="242"/>
      <c r="L1040" s="242"/>
      <c r="M1040" s="242"/>
      <c r="N1040" s="242"/>
      <c r="O1040" s="242"/>
      <c r="P1040" s="242"/>
      <c r="Q1040" s="242"/>
      <c r="R1040" s="242"/>
      <c r="T1040" s="20"/>
      <c r="U1040" s="20"/>
      <c r="V1040" s="20"/>
      <c r="W1040" s="20"/>
      <c r="X1040" s="20"/>
    </row>
    <row r="1041" spans="1:24" s="65" customFormat="1" ht="15" customHeight="1">
      <c r="A1041" s="219"/>
      <c r="B1041" s="41" t="s">
        <v>591</v>
      </c>
      <c r="C1041" s="41"/>
      <c r="D1041" s="41"/>
      <c r="E1041" s="41"/>
      <c r="F1041" s="41"/>
      <c r="G1041" s="41"/>
      <c r="H1041" s="41"/>
      <c r="I1041" s="41"/>
      <c r="J1041" s="41"/>
      <c r="K1041" s="41"/>
      <c r="L1041" s="41"/>
      <c r="M1041" s="41"/>
      <c r="N1041" s="41"/>
      <c r="O1041" s="41"/>
      <c r="P1041" s="41"/>
      <c r="Q1041" s="41"/>
      <c r="R1041" s="41"/>
      <c r="T1041" s="179" t="str">
        <f>$T$6</f>
        <v>Source</v>
      </c>
      <c r="U1041" s="179" t="str">
        <f>$U$6</f>
        <v>Link</v>
      </c>
      <c r="V1041" s="179" t="str">
        <f>$V$6</f>
        <v>Risk (Green, Amber/Green, Amber, Red/Amber, Red)</v>
      </c>
      <c r="W1041" s="179" t="s">
        <v>869</v>
      </c>
      <c r="X1041" s="179" t="str">
        <f>$X$6</f>
        <v>Comment author</v>
      </c>
    </row>
    <row r="1042" spans="1:24" s="65" customFormat="1" ht="15" customHeight="1" outlineLevel="1">
      <c r="A1042" s="219"/>
      <c r="B1042" s="242"/>
      <c r="C1042" s="244"/>
      <c r="D1042" s="242"/>
      <c r="E1042" s="242"/>
      <c r="F1042" s="242"/>
      <c r="G1042" s="242"/>
      <c r="H1042" s="242"/>
      <c r="I1042" s="242"/>
      <c r="J1042" s="242"/>
      <c r="K1042" s="242"/>
      <c r="L1042" s="242"/>
      <c r="M1042" s="242"/>
      <c r="N1042" s="242"/>
      <c r="O1042" s="242"/>
      <c r="P1042" s="242"/>
      <c r="Q1042" s="242"/>
      <c r="R1042" s="242"/>
      <c r="T1042" s="20"/>
      <c r="U1042" s="20"/>
      <c r="V1042" s="20"/>
      <c r="W1042" s="20"/>
      <c r="X1042" s="20"/>
    </row>
    <row r="1043" spans="1:24" s="65" customFormat="1" ht="15" customHeight="1" outlineLevel="1">
      <c r="A1043" s="219"/>
      <c r="B1043" s="242"/>
      <c r="C1043" s="244" t="s">
        <v>1648</v>
      </c>
      <c r="D1043" s="242"/>
      <c r="E1043" s="242"/>
      <c r="F1043" s="242"/>
      <c r="G1043" s="242"/>
      <c r="H1043" s="242"/>
      <c r="I1043" s="242"/>
      <c r="J1043" s="242"/>
      <c r="K1043" s="242"/>
      <c r="L1043" s="242"/>
      <c r="M1043" s="242"/>
      <c r="N1043" s="242"/>
      <c r="O1043" s="242"/>
      <c r="P1043" s="242"/>
      <c r="Q1043" s="242"/>
      <c r="R1043" s="242"/>
      <c r="T1043" s="179" t="str">
        <f>$T$6</f>
        <v>Source</v>
      </c>
      <c r="U1043" s="179" t="str">
        <f>$U$6</f>
        <v>Link</v>
      </c>
      <c r="V1043" s="179" t="str">
        <f>$V$6</f>
        <v>Risk (Green, Amber/Green, Amber, Red/Amber, Red)</v>
      </c>
      <c r="W1043" s="179" t="s">
        <v>869</v>
      </c>
      <c r="X1043" s="179" t="str">
        <f>$X$6</f>
        <v>Comment author</v>
      </c>
    </row>
    <row r="1044" spans="1:24" s="65" customFormat="1" ht="15" customHeight="1" outlineLevel="2" thickBot="1">
      <c r="A1044" s="219"/>
      <c r="B1044" s="242"/>
      <c r="C1044" s="248"/>
      <c r="D1044" s="248"/>
      <c r="E1044" s="248"/>
      <c r="F1044" s="248"/>
      <c r="G1044" s="248"/>
      <c r="H1044" s="248"/>
      <c r="I1044" s="242"/>
      <c r="J1044" s="242"/>
      <c r="K1044" s="242"/>
      <c r="L1044" s="242"/>
      <c r="M1044" s="242"/>
      <c r="N1044" s="242"/>
      <c r="O1044" s="242"/>
      <c r="P1044" s="242"/>
      <c r="Q1044" s="242"/>
      <c r="R1044" s="242"/>
      <c r="T1044" s="20"/>
      <c r="U1044" s="20"/>
      <c r="V1044" s="20"/>
      <c r="W1044" s="20"/>
      <c r="X1044" s="20"/>
    </row>
    <row r="1045" spans="1:24" s="65" customFormat="1" ht="15" customHeight="1" outlineLevel="2">
      <c r="A1045" s="219"/>
      <c r="B1045" s="242"/>
      <c r="C1045" s="42" t="s">
        <v>279</v>
      </c>
      <c r="D1045" s="42" t="s">
        <v>241</v>
      </c>
      <c r="E1045" s="42" t="s">
        <v>69</v>
      </c>
      <c r="F1045" s="42" t="s">
        <v>1468</v>
      </c>
      <c r="G1045" s="42" t="s">
        <v>1644</v>
      </c>
      <c r="H1045" s="42"/>
      <c r="I1045" s="42" t="s">
        <v>69</v>
      </c>
      <c r="J1045" s="242"/>
      <c r="K1045" s="242"/>
      <c r="L1045" s="242"/>
      <c r="M1045" s="242"/>
      <c r="N1045" s="242"/>
      <c r="O1045" s="242"/>
      <c r="P1045" s="242"/>
      <c r="Q1045" s="242"/>
      <c r="R1045" s="242"/>
      <c r="T1045" s="20"/>
      <c r="U1045" s="20"/>
      <c r="V1045" s="20"/>
      <c r="W1045" s="20"/>
      <c r="X1045" s="20"/>
    </row>
    <row r="1046" spans="1:24" s="65" customFormat="1" ht="15" customHeight="1" outlineLevel="2">
      <c r="A1046" s="219"/>
      <c r="B1046" s="242"/>
      <c r="C1046" s="121" t="s">
        <v>1470</v>
      </c>
      <c r="D1046" s="121" t="s">
        <v>1471</v>
      </c>
      <c r="E1046" s="121" t="s">
        <v>1472</v>
      </c>
      <c r="F1046" s="121">
        <f>1000</f>
        <v>1000</v>
      </c>
      <c r="G1046" s="121" t="s">
        <v>1473</v>
      </c>
      <c r="H1046" s="121"/>
      <c r="I1046" s="121" t="s">
        <v>1474</v>
      </c>
      <c r="J1046" s="242"/>
      <c r="K1046" s="242"/>
      <c r="L1046" s="242"/>
      <c r="M1046" s="242"/>
      <c r="N1046" s="242"/>
      <c r="O1046" s="242"/>
      <c r="P1046" s="242"/>
      <c r="Q1046" s="242"/>
      <c r="R1046" s="242"/>
      <c r="T1046" s="20"/>
      <c r="U1046" s="20"/>
      <c r="V1046" s="20"/>
      <c r="W1046" s="20"/>
      <c r="X1046" s="20"/>
    </row>
    <row r="1047" spans="1:24" s="65" customFormat="1" ht="15" customHeight="1" outlineLevel="2">
      <c r="A1047" s="219"/>
      <c r="B1047" s="242"/>
      <c r="C1047" s="121" t="s">
        <v>1475</v>
      </c>
      <c r="D1047" s="121" t="s">
        <v>1476</v>
      </c>
      <c r="E1047" s="121" t="s">
        <v>1472</v>
      </c>
      <c r="F1047" s="121">
        <f>1000</f>
        <v>1000</v>
      </c>
      <c r="G1047" s="121" t="s">
        <v>1473</v>
      </c>
      <c r="H1047" s="121"/>
      <c r="I1047" s="121" t="s">
        <v>1474</v>
      </c>
      <c r="J1047" s="242"/>
      <c r="K1047" s="242"/>
      <c r="L1047" s="242"/>
      <c r="M1047" s="242"/>
      <c r="N1047" s="242"/>
      <c r="O1047" s="242"/>
      <c r="P1047" s="242"/>
      <c r="Q1047" s="242"/>
      <c r="R1047" s="242"/>
      <c r="T1047" s="20"/>
      <c r="U1047" s="20"/>
      <c r="V1047" s="20"/>
      <c r="W1047" s="20"/>
      <c r="X1047" s="20"/>
    </row>
    <row r="1048" spans="1:24" s="65" customFormat="1" ht="15" customHeight="1" outlineLevel="2">
      <c r="A1048" s="219"/>
      <c r="B1048" s="242"/>
      <c r="C1048" s="121" t="s">
        <v>1477</v>
      </c>
      <c r="D1048" s="121" t="s">
        <v>1478</v>
      </c>
      <c r="E1048" s="121" t="s">
        <v>1472</v>
      </c>
      <c r="F1048" s="121" t="s">
        <v>1440</v>
      </c>
      <c r="G1048" s="121" t="s">
        <v>1479</v>
      </c>
      <c r="H1048" s="121"/>
      <c r="I1048" s="121" t="s">
        <v>1440</v>
      </c>
      <c r="J1048" s="242"/>
      <c r="K1048" s="242"/>
      <c r="L1048" s="242"/>
      <c r="M1048" s="242"/>
      <c r="N1048" s="242"/>
      <c r="O1048" s="242"/>
      <c r="P1048" s="242"/>
      <c r="Q1048" s="242"/>
      <c r="R1048" s="242"/>
      <c r="T1048" s="20"/>
      <c r="U1048" s="20"/>
      <c r="V1048" s="20"/>
      <c r="W1048" s="20"/>
      <c r="X1048" s="20"/>
    </row>
    <row r="1049" spans="1:24" s="65" customFormat="1" ht="15" customHeight="1" outlineLevel="2">
      <c r="A1049" s="219"/>
      <c r="B1049" s="242"/>
      <c r="C1049" s="121" t="s">
        <v>1480</v>
      </c>
      <c r="D1049" s="121" t="s">
        <v>1481</v>
      </c>
      <c r="E1049" s="121" t="s">
        <v>1472</v>
      </c>
      <c r="F1049" s="121">
        <v>1</v>
      </c>
      <c r="G1049" s="121" t="s">
        <v>1482</v>
      </c>
      <c r="H1049" s="121"/>
      <c r="I1049" s="121" t="s">
        <v>1483</v>
      </c>
      <c r="J1049" s="242"/>
      <c r="K1049" s="242"/>
      <c r="L1049" s="242"/>
      <c r="M1049" s="242"/>
      <c r="N1049" s="242"/>
      <c r="O1049" s="242"/>
      <c r="P1049" s="242"/>
      <c r="Q1049" s="242"/>
      <c r="R1049" s="242"/>
      <c r="T1049" s="20"/>
      <c r="U1049" s="20"/>
      <c r="V1049" s="20"/>
      <c r="W1049" s="20"/>
      <c r="X1049" s="20"/>
    </row>
    <row r="1050" spans="1:24" s="65" customFormat="1" ht="15" customHeight="1" outlineLevel="2">
      <c r="A1050" s="219"/>
      <c r="B1050" s="242"/>
      <c r="C1050" s="121" t="s">
        <v>1484</v>
      </c>
      <c r="D1050" s="121" t="s">
        <v>1485</v>
      </c>
      <c r="E1050" s="121" t="s">
        <v>1472</v>
      </c>
      <c r="F1050" s="121">
        <v>1</v>
      </c>
      <c r="G1050" s="121" t="s">
        <v>1482</v>
      </c>
      <c r="H1050" s="121"/>
      <c r="I1050" s="121" t="s">
        <v>1483</v>
      </c>
      <c r="J1050" s="242"/>
      <c r="K1050" s="242"/>
      <c r="L1050" s="242"/>
      <c r="M1050" s="242"/>
      <c r="N1050" s="242"/>
      <c r="O1050" s="242"/>
      <c r="P1050" s="242"/>
      <c r="Q1050" s="242"/>
      <c r="R1050" s="242"/>
      <c r="T1050" s="20"/>
      <c r="U1050" s="20"/>
      <c r="V1050" s="20"/>
      <c r="W1050" s="20"/>
      <c r="X1050" s="20"/>
    </row>
    <row r="1051" spans="1:24" s="65" customFormat="1" ht="15" customHeight="1" outlineLevel="2">
      <c r="A1051" s="219"/>
      <c r="B1051" s="242"/>
      <c r="C1051" s="121" t="s">
        <v>1486</v>
      </c>
      <c r="D1051" s="121" t="s">
        <v>1487</v>
      </c>
      <c r="E1051" s="121" t="s">
        <v>1472</v>
      </c>
      <c r="F1051" s="121">
        <v>1</v>
      </c>
      <c r="G1051" s="121" t="s">
        <v>1488</v>
      </c>
      <c r="H1051" s="121"/>
      <c r="I1051" s="121" t="s">
        <v>1489</v>
      </c>
      <c r="J1051" s="242"/>
      <c r="K1051" s="242"/>
      <c r="L1051" s="242"/>
      <c r="M1051" s="242"/>
      <c r="N1051" s="242"/>
      <c r="O1051" s="242"/>
      <c r="P1051" s="242"/>
      <c r="Q1051" s="242"/>
      <c r="R1051" s="242"/>
      <c r="T1051" s="20"/>
      <c r="U1051" s="20"/>
      <c r="V1051" s="20"/>
      <c r="W1051" s="20"/>
      <c r="X1051" s="20"/>
    </row>
    <row r="1052" spans="1:24" s="65" customFormat="1" ht="15" customHeight="1" outlineLevel="2">
      <c r="A1052" s="219"/>
      <c r="B1052" s="242"/>
      <c r="C1052" s="121" t="s">
        <v>1490</v>
      </c>
      <c r="D1052" s="121" t="s">
        <v>1491</v>
      </c>
      <c r="E1052" s="121" t="s">
        <v>1472</v>
      </c>
      <c r="F1052" s="121">
        <v>1</v>
      </c>
      <c r="G1052" s="121" t="s">
        <v>1488</v>
      </c>
      <c r="H1052" s="121"/>
      <c r="I1052" s="121" t="s">
        <v>1489</v>
      </c>
      <c r="J1052" s="242"/>
      <c r="K1052" s="242"/>
      <c r="L1052" s="242"/>
      <c r="M1052" s="242"/>
      <c r="N1052" s="242"/>
      <c r="O1052" s="242"/>
      <c r="P1052" s="242"/>
      <c r="Q1052" s="242"/>
      <c r="R1052" s="242"/>
      <c r="T1052" s="20"/>
      <c r="U1052" s="20"/>
      <c r="V1052" s="20"/>
      <c r="W1052" s="20"/>
      <c r="X1052" s="20"/>
    </row>
    <row r="1053" spans="1:24" s="65" customFormat="1" ht="15" customHeight="1" outlineLevel="2">
      <c r="A1053" s="219"/>
      <c r="B1053" s="242"/>
      <c r="C1053" s="121" t="s">
        <v>1492</v>
      </c>
      <c r="D1053" s="121" t="s">
        <v>1493</v>
      </c>
      <c r="E1053" s="121" t="s">
        <v>1472</v>
      </c>
      <c r="F1053" s="121">
        <v>1</v>
      </c>
      <c r="G1053" s="121" t="s">
        <v>1488</v>
      </c>
      <c r="H1053" s="121"/>
      <c r="I1053" s="121" t="s">
        <v>1489</v>
      </c>
      <c r="J1053" s="242"/>
      <c r="K1053" s="242"/>
      <c r="L1053" s="242"/>
      <c r="M1053" s="242"/>
      <c r="N1053" s="242"/>
      <c r="O1053" s="242"/>
      <c r="P1053" s="242"/>
      <c r="Q1053" s="242"/>
      <c r="R1053" s="242"/>
      <c r="T1053" s="20"/>
      <c r="U1053" s="20"/>
      <c r="V1053" s="20"/>
      <c r="W1053" s="20"/>
      <c r="X1053" s="20"/>
    </row>
    <row r="1054" spans="1:24" s="65" customFormat="1" ht="15" customHeight="1" outlineLevel="2">
      <c r="A1054" s="219"/>
      <c r="B1054" s="242"/>
      <c r="C1054" s="121" t="s">
        <v>1494</v>
      </c>
      <c r="D1054" s="121" t="s">
        <v>1495</v>
      </c>
      <c r="E1054" s="121" t="s">
        <v>1472</v>
      </c>
      <c r="F1054" s="121">
        <v>1</v>
      </c>
      <c r="G1054" s="121" t="s">
        <v>1488</v>
      </c>
      <c r="H1054" s="121"/>
      <c r="I1054" s="121" t="s">
        <v>1489</v>
      </c>
      <c r="J1054" s="242"/>
      <c r="K1054" s="242"/>
      <c r="L1054" s="242"/>
      <c r="M1054" s="242"/>
      <c r="N1054" s="242"/>
      <c r="O1054" s="242"/>
      <c r="P1054" s="242"/>
      <c r="Q1054" s="242"/>
      <c r="R1054" s="242"/>
      <c r="T1054" s="20"/>
      <c r="U1054" s="20"/>
      <c r="V1054" s="20"/>
      <c r="W1054" s="20"/>
      <c r="X1054" s="20"/>
    </row>
    <row r="1055" spans="1:24" s="65" customFormat="1" ht="15" customHeight="1" outlineLevel="2">
      <c r="A1055" s="219"/>
      <c r="B1055" s="242"/>
      <c r="C1055" s="121" t="s">
        <v>1496</v>
      </c>
      <c r="D1055" s="121" t="s">
        <v>1497</v>
      </c>
      <c r="E1055" s="121" t="s">
        <v>1472</v>
      </c>
      <c r="F1055" s="121">
        <v>1</v>
      </c>
      <c r="G1055" s="121" t="s">
        <v>1488</v>
      </c>
      <c r="H1055" s="121"/>
      <c r="I1055" s="121" t="s">
        <v>1489</v>
      </c>
      <c r="J1055" s="242"/>
      <c r="K1055" s="242"/>
      <c r="L1055" s="242"/>
      <c r="M1055" s="242"/>
      <c r="N1055" s="242"/>
      <c r="O1055" s="242"/>
      <c r="P1055" s="242"/>
      <c r="Q1055" s="242"/>
      <c r="R1055" s="242"/>
      <c r="T1055" s="20"/>
      <c r="U1055" s="20"/>
      <c r="V1055" s="20"/>
      <c r="W1055" s="20"/>
      <c r="X1055" s="20"/>
    </row>
    <row r="1056" spans="1:24" s="65" customFormat="1" ht="15" customHeight="1" outlineLevel="2">
      <c r="A1056" s="219"/>
      <c r="B1056" s="242"/>
      <c r="C1056" s="121" t="s">
        <v>1498</v>
      </c>
      <c r="D1056" s="121" t="s">
        <v>1499</v>
      </c>
      <c r="E1056" s="121" t="s">
        <v>1472</v>
      </c>
      <c r="F1056" s="121">
        <v>1</v>
      </c>
      <c r="G1056" s="121" t="s">
        <v>1488</v>
      </c>
      <c r="H1056" s="121"/>
      <c r="I1056" s="121" t="s">
        <v>1489</v>
      </c>
      <c r="J1056" s="242"/>
      <c r="K1056" s="242"/>
      <c r="L1056" s="242"/>
      <c r="M1056" s="242"/>
      <c r="N1056" s="242"/>
      <c r="O1056" s="242"/>
      <c r="P1056" s="242"/>
      <c r="Q1056" s="242"/>
      <c r="R1056" s="242"/>
      <c r="T1056" s="20"/>
      <c r="U1056" s="20"/>
      <c r="V1056" s="20"/>
      <c r="W1056" s="20"/>
      <c r="X1056" s="20"/>
    </row>
    <row r="1057" spans="1:24" s="65" customFormat="1" ht="15" customHeight="1" outlineLevel="2">
      <c r="A1057" s="219"/>
      <c r="B1057" s="242"/>
      <c r="C1057" s="121" t="s">
        <v>1500</v>
      </c>
      <c r="D1057" s="121" t="s">
        <v>1501</v>
      </c>
      <c r="E1057" s="121" t="s">
        <v>1472</v>
      </c>
      <c r="F1057" s="121">
        <v>1</v>
      </c>
      <c r="G1057" s="121" t="s">
        <v>1488</v>
      </c>
      <c r="H1057" s="121"/>
      <c r="I1057" s="121" t="s">
        <v>1489</v>
      </c>
      <c r="J1057" s="242"/>
      <c r="K1057" s="242"/>
      <c r="L1057" s="242"/>
      <c r="M1057" s="242"/>
      <c r="N1057" s="242"/>
      <c r="O1057" s="242"/>
      <c r="P1057" s="242"/>
      <c r="Q1057" s="242"/>
      <c r="R1057" s="242"/>
      <c r="T1057" s="20"/>
      <c r="U1057" s="20"/>
      <c r="V1057" s="20"/>
      <c r="W1057" s="20"/>
      <c r="X1057" s="20"/>
    </row>
    <row r="1058" spans="1:24" s="65" customFormat="1" ht="15" customHeight="1" outlineLevel="2">
      <c r="A1058" s="219"/>
      <c r="B1058" s="242"/>
      <c r="C1058" s="121" t="s">
        <v>1502</v>
      </c>
      <c r="D1058" s="121" t="s">
        <v>1503</v>
      </c>
      <c r="E1058" s="121" t="s">
        <v>1472</v>
      </c>
      <c r="F1058" s="121">
        <v>1</v>
      </c>
      <c r="G1058" s="121" t="s">
        <v>1488</v>
      </c>
      <c r="H1058" s="121"/>
      <c r="I1058" s="121" t="s">
        <v>1489</v>
      </c>
      <c r="J1058" s="242"/>
      <c r="K1058" s="242"/>
      <c r="L1058" s="242"/>
      <c r="M1058" s="242"/>
      <c r="N1058" s="242"/>
      <c r="O1058" s="242"/>
      <c r="P1058" s="242"/>
      <c r="Q1058" s="242"/>
      <c r="R1058" s="242"/>
      <c r="T1058" s="20"/>
      <c r="U1058" s="20"/>
      <c r="V1058" s="20"/>
      <c r="W1058" s="20"/>
      <c r="X1058" s="20"/>
    </row>
    <row r="1059" spans="1:24" s="65" customFormat="1" ht="15" customHeight="1" outlineLevel="2">
      <c r="A1059" s="219"/>
      <c r="B1059" s="242"/>
      <c r="C1059" s="121" t="s">
        <v>1504</v>
      </c>
      <c r="D1059" s="121" t="s">
        <v>1505</v>
      </c>
      <c r="E1059" s="121" t="s">
        <v>1472</v>
      </c>
      <c r="F1059" s="121">
        <v>1</v>
      </c>
      <c r="G1059" s="121" t="s">
        <v>1488</v>
      </c>
      <c r="H1059" s="121"/>
      <c r="I1059" s="121" t="s">
        <v>1489</v>
      </c>
      <c r="J1059" s="242"/>
      <c r="K1059" s="242"/>
      <c r="L1059" s="242"/>
      <c r="M1059" s="242"/>
      <c r="N1059" s="242"/>
      <c r="O1059" s="242"/>
      <c r="P1059" s="242"/>
      <c r="Q1059" s="242"/>
      <c r="R1059" s="242"/>
      <c r="T1059" s="20"/>
      <c r="U1059" s="20"/>
      <c r="V1059" s="20"/>
      <c r="W1059" s="20"/>
      <c r="X1059" s="20"/>
    </row>
    <row r="1060" spans="1:24" s="65" customFormat="1" ht="15" customHeight="1" outlineLevel="2">
      <c r="A1060" s="219"/>
      <c r="B1060" s="242"/>
      <c r="C1060" s="121" t="s">
        <v>1506</v>
      </c>
      <c r="D1060" s="121" t="s">
        <v>1507</v>
      </c>
      <c r="E1060" s="121" t="s">
        <v>1472</v>
      </c>
      <c r="F1060" s="121">
        <v>1</v>
      </c>
      <c r="G1060" s="121" t="s">
        <v>1488</v>
      </c>
      <c r="H1060" s="121"/>
      <c r="I1060" s="121" t="s">
        <v>1489</v>
      </c>
      <c r="J1060" s="242"/>
      <c r="K1060" s="242"/>
      <c r="L1060" s="242"/>
      <c r="M1060" s="242"/>
      <c r="N1060" s="242"/>
      <c r="O1060" s="242"/>
      <c r="P1060" s="242"/>
      <c r="Q1060" s="242"/>
      <c r="R1060" s="242"/>
      <c r="T1060" s="20"/>
      <c r="U1060" s="20"/>
      <c r="V1060" s="20"/>
      <c r="W1060" s="20"/>
      <c r="X1060" s="20"/>
    </row>
    <row r="1061" spans="1:24" s="65" customFormat="1" ht="15" customHeight="1" outlineLevel="2">
      <c r="A1061" s="219"/>
      <c r="B1061" s="242"/>
      <c r="C1061" s="121" t="s">
        <v>1508</v>
      </c>
      <c r="D1061" s="121" t="s">
        <v>1509</v>
      </c>
      <c r="E1061" s="121" t="s">
        <v>1472</v>
      </c>
      <c r="F1061" s="121">
        <v>1</v>
      </c>
      <c r="G1061" s="121" t="s">
        <v>1488</v>
      </c>
      <c r="H1061" s="121"/>
      <c r="I1061" s="121" t="s">
        <v>1489</v>
      </c>
      <c r="J1061" s="242"/>
      <c r="K1061" s="242"/>
      <c r="L1061" s="242"/>
      <c r="M1061" s="242"/>
      <c r="N1061" s="242"/>
      <c r="O1061" s="242"/>
      <c r="P1061" s="242"/>
      <c r="Q1061" s="242"/>
      <c r="R1061" s="242"/>
      <c r="T1061" s="20"/>
      <c r="U1061" s="20"/>
      <c r="V1061" s="20"/>
      <c r="W1061" s="20"/>
      <c r="X1061" s="20"/>
    </row>
    <row r="1062" spans="1:24" s="65" customFormat="1" ht="15" customHeight="1" outlineLevel="2">
      <c r="A1062" s="219"/>
      <c r="B1062" s="242"/>
      <c r="C1062" s="121" t="s">
        <v>1510</v>
      </c>
      <c r="D1062" s="121" t="s">
        <v>1511</v>
      </c>
      <c r="E1062" s="121" t="s">
        <v>1472</v>
      </c>
      <c r="F1062" s="121">
        <v>1</v>
      </c>
      <c r="G1062" s="121" t="s">
        <v>1488</v>
      </c>
      <c r="H1062" s="121"/>
      <c r="I1062" s="121" t="s">
        <v>1489</v>
      </c>
      <c r="J1062" s="242"/>
      <c r="K1062" s="242"/>
      <c r="L1062" s="242"/>
      <c r="M1062" s="242"/>
      <c r="N1062" s="242"/>
      <c r="O1062" s="242"/>
      <c r="P1062" s="242"/>
      <c r="Q1062" s="242"/>
      <c r="R1062" s="242"/>
      <c r="T1062" s="20"/>
      <c r="U1062" s="20"/>
      <c r="V1062" s="20"/>
      <c r="W1062" s="20"/>
      <c r="X1062" s="20"/>
    </row>
    <row r="1063" spans="1:24" s="65" customFormat="1" ht="15" customHeight="1" outlineLevel="2">
      <c r="A1063" s="219"/>
      <c r="B1063" s="242"/>
      <c r="C1063" s="121" t="s">
        <v>1512</v>
      </c>
      <c r="D1063" s="121" t="s">
        <v>1513</v>
      </c>
      <c r="E1063" s="121" t="s">
        <v>1472</v>
      </c>
      <c r="F1063" s="121">
        <v>1</v>
      </c>
      <c r="G1063" s="121" t="s">
        <v>1488</v>
      </c>
      <c r="H1063" s="121"/>
      <c r="I1063" s="121" t="s">
        <v>1489</v>
      </c>
      <c r="J1063" s="242"/>
      <c r="K1063" s="242"/>
      <c r="L1063" s="242"/>
      <c r="M1063" s="242"/>
      <c r="N1063" s="242"/>
      <c r="O1063" s="242"/>
      <c r="P1063" s="242"/>
      <c r="Q1063" s="242"/>
      <c r="R1063" s="242"/>
      <c r="T1063" s="20"/>
      <c r="U1063" s="20"/>
      <c r="V1063" s="20"/>
      <c r="W1063" s="20"/>
      <c r="X1063" s="20"/>
    </row>
    <row r="1064" spans="1:24" s="65" customFormat="1" ht="15" customHeight="1" outlineLevel="2">
      <c r="A1064" s="219"/>
      <c r="B1064" s="242"/>
      <c r="C1064" s="121" t="s">
        <v>1514</v>
      </c>
      <c r="D1064" s="121" t="s">
        <v>1515</v>
      </c>
      <c r="E1064" s="121" t="s">
        <v>1472</v>
      </c>
      <c r="F1064" s="121">
        <v>1</v>
      </c>
      <c r="G1064" s="121" t="s">
        <v>1488</v>
      </c>
      <c r="H1064" s="121"/>
      <c r="I1064" s="121" t="s">
        <v>1489</v>
      </c>
      <c r="J1064" s="242"/>
      <c r="K1064" s="242"/>
      <c r="L1064" s="242"/>
      <c r="M1064" s="242"/>
      <c r="N1064" s="242"/>
      <c r="O1064" s="242"/>
      <c r="P1064" s="242"/>
      <c r="Q1064" s="242"/>
      <c r="R1064" s="242"/>
      <c r="T1064" s="20"/>
      <c r="U1064" s="20"/>
      <c r="V1064" s="20"/>
      <c r="W1064" s="20"/>
      <c r="X1064" s="20"/>
    </row>
    <row r="1065" spans="1:24" s="65" customFormat="1" ht="15" customHeight="1" outlineLevel="2">
      <c r="A1065" s="219"/>
      <c r="B1065" s="242"/>
      <c r="C1065" s="121" t="s">
        <v>1516</v>
      </c>
      <c r="D1065" s="121" t="s">
        <v>1517</v>
      </c>
      <c r="E1065" s="121" t="s">
        <v>1472</v>
      </c>
      <c r="F1065" s="121">
        <v>1</v>
      </c>
      <c r="G1065" s="121" t="s">
        <v>1488</v>
      </c>
      <c r="H1065" s="121"/>
      <c r="I1065" s="121" t="s">
        <v>1489</v>
      </c>
      <c r="J1065" s="242"/>
      <c r="K1065" s="242"/>
      <c r="L1065" s="242"/>
      <c r="M1065" s="242"/>
      <c r="N1065" s="242"/>
      <c r="O1065" s="242"/>
      <c r="P1065" s="242"/>
      <c r="Q1065" s="242"/>
      <c r="R1065" s="242"/>
      <c r="T1065" s="20"/>
      <c r="U1065" s="20"/>
      <c r="V1065" s="20"/>
      <c r="W1065" s="20"/>
      <c r="X1065" s="20"/>
    </row>
    <row r="1066" spans="1:24" s="65" customFormat="1" ht="15" customHeight="1" outlineLevel="2">
      <c r="A1066" s="219"/>
      <c r="B1066" s="242"/>
      <c r="C1066" s="121" t="s">
        <v>1518</v>
      </c>
      <c r="D1066" s="121" t="s">
        <v>1519</v>
      </c>
      <c r="E1066" s="121" t="s">
        <v>1472</v>
      </c>
      <c r="F1066" s="121">
        <v>1000</v>
      </c>
      <c r="G1066" s="121" t="s">
        <v>1488</v>
      </c>
      <c r="H1066" s="121"/>
      <c r="I1066" s="121" t="s">
        <v>1489</v>
      </c>
      <c r="J1066" s="242"/>
      <c r="K1066" s="242"/>
      <c r="L1066" s="242"/>
      <c r="M1066" s="242"/>
      <c r="N1066" s="242"/>
      <c r="O1066" s="242"/>
      <c r="P1066" s="242"/>
      <c r="Q1066" s="242"/>
      <c r="R1066" s="242"/>
      <c r="T1066" s="20"/>
      <c r="U1066" s="20"/>
      <c r="V1066" s="20"/>
      <c r="W1066" s="20"/>
      <c r="X1066" s="20"/>
    </row>
    <row r="1067" spans="1:24" s="65" customFormat="1" ht="15" customHeight="1" outlineLevel="2">
      <c r="A1067" s="219"/>
      <c r="B1067" s="242"/>
      <c r="C1067" s="121" t="s">
        <v>1520</v>
      </c>
      <c r="D1067" s="121" t="s">
        <v>1521</v>
      </c>
      <c r="E1067" s="121" t="s">
        <v>1472</v>
      </c>
      <c r="F1067" s="121">
        <v>1000</v>
      </c>
      <c r="G1067" s="121" t="s">
        <v>1488</v>
      </c>
      <c r="H1067" s="121"/>
      <c r="I1067" s="121" t="s">
        <v>1489</v>
      </c>
      <c r="J1067" s="242"/>
      <c r="K1067" s="242"/>
      <c r="L1067" s="242"/>
      <c r="M1067" s="242"/>
      <c r="N1067" s="242"/>
      <c r="O1067" s="242"/>
      <c r="P1067" s="242"/>
      <c r="Q1067" s="242"/>
      <c r="R1067" s="242"/>
      <c r="T1067" s="20"/>
      <c r="U1067" s="20"/>
      <c r="V1067" s="20"/>
      <c r="W1067" s="20"/>
      <c r="X1067" s="20"/>
    </row>
    <row r="1068" spans="1:24" s="65" customFormat="1" ht="15" customHeight="1" outlineLevel="2">
      <c r="A1068" s="219"/>
      <c r="B1068" s="242"/>
      <c r="C1068" s="121" t="s">
        <v>1522</v>
      </c>
      <c r="D1068" s="121" t="s">
        <v>1523</v>
      </c>
      <c r="E1068" s="121" t="s">
        <v>1472</v>
      </c>
      <c r="F1068" s="121">
        <v>1000</v>
      </c>
      <c r="G1068" s="121" t="s">
        <v>1488</v>
      </c>
      <c r="H1068" s="121"/>
      <c r="I1068" s="121" t="s">
        <v>1489</v>
      </c>
      <c r="J1068" s="242"/>
      <c r="K1068" s="242"/>
      <c r="L1068" s="242"/>
      <c r="M1068" s="242"/>
      <c r="N1068" s="242"/>
      <c r="O1068" s="242"/>
      <c r="P1068" s="242"/>
      <c r="Q1068" s="242"/>
      <c r="R1068" s="242"/>
      <c r="T1068" s="20"/>
      <c r="U1068" s="20"/>
      <c r="V1068" s="20"/>
      <c r="W1068" s="20"/>
      <c r="X1068" s="20"/>
    </row>
    <row r="1069" spans="1:24" s="65" customFormat="1" ht="15" customHeight="1" outlineLevel="2">
      <c r="A1069" s="219"/>
      <c r="B1069" s="242"/>
      <c r="C1069" s="121" t="s">
        <v>1524</v>
      </c>
      <c r="D1069" s="121" t="s">
        <v>1525</v>
      </c>
      <c r="E1069" s="121" t="s">
        <v>1472</v>
      </c>
      <c r="F1069" s="121">
        <v>1000</v>
      </c>
      <c r="G1069" s="121" t="s">
        <v>1488</v>
      </c>
      <c r="H1069" s="121"/>
      <c r="I1069" s="121" t="s">
        <v>1489</v>
      </c>
      <c r="J1069" s="242"/>
      <c r="K1069" s="242"/>
      <c r="L1069" s="242"/>
      <c r="M1069" s="242"/>
      <c r="N1069" s="242"/>
      <c r="O1069" s="242"/>
      <c r="P1069" s="242"/>
      <c r="Q1069" s="242"/>
      <c r="R1069" s="242"/>
      <c r="T1069" s="20"/>
      <c r="U1069" s="20"/>
      <c r="V1069" s="20"/>
      <c r="W1069" s="20"/>
      <c r="X1069" s="20"/>
    </row>
    <row r="1070" spans="1:24" s="65" customFormat="1" ht="15" customHeight="1" outlineLevel="2">
      <c r="A1070" s="219"/>
      <c r="B1070" s="242"/>
      <c r="C1070" s="121" t="s">
        <v>1526</v>
      </c>
      <c r="D1070" s="121" t="s">
        <v>1527</v>
      </c>
      <c r="E1070" s="121" t="s">
        <v>1472</v>
      </c>
      <c r="F1070" s="121">
        <v>1000</v>
      </c>
      <c r="G1070" s="121" t="s">
        <v>1488</v>
      </c>
      <c r="H1070" s="121"/>
      <c r="I1070" s="121" t="s">
        <v>1489</v>
      </c>
      <c r="J1070" s="242"/>
      <c r="K1070" s="242"/>
      <c r="L1070" s="242"/>
      <c r="M1070" s="242"/>
      <c r="N1070" s="242"/>
      <c r="O1070" s="242"/>
      <c r="P1070" s="242"/>
      <c r="Q1070" s="242"/>
      <c r="R1070" s="242"/>
      <c r="T1070" s="20"/>
      <c r="U1070" s="20"/>
      <c r="V1070" s="20"/>
      <c r="W1070" s="20"/>
      <c r="X1070" s="20"/>
    </row>
    <row r="1071" spans="1:24" s="65" customFormat="1" ht="15" customHeight="1" outlineLevel="2">
      <c r="A1071" s="219"/>
      <c r="B1071" s="242"/>
      <c r="C1071" s="121" t="s">
        <v>1528</v>
      </c>
      <c r="D1071" s="121" t="s">
        <v>1529</v>
      </c>
      <c r="E1071" s="121" t="s">
        <v>1472</v>
      </c>
      <c r="F1071" s="121">
        <v>1000</v>
      </c>
      <c r="G1071" s="121" t="s">
        <v>1488</v>
      </c>
      <c r="H1071" s="121"/>
      <c r="I1071" s="121" t="s">
        <v>1489</v>
      </c>
      <c r="J1071" s="242"/>
      <c r="K1071" s="242"/>
      <c r="L1071" s="242"/>
      <c r="M1071" s="242"/>
      <c r="N1071" s="242"/>
      <c r="O1071" s="242"/>
      <c r="P1071" s="242"/>
      <c r="Q1071" s="242"/>
      <c r="R1071" s="242"/>
      <c r="T1071" s="20"/>
      <c r="U1071" s="20"/>
      <c r="V1071" s="20"/>
      <c r="W1071" s="20"/>
      <c r="X1071" s="20"/>
    </row>
    <row r="1072" spans="1:24" s="65" customFormat="1" ht="15" customHeight="1" outlineLevel="2">
      <c r="A1072" s="219"/>
      <c r="B1072" s="242"/>
      <c r="C1072" s="121" t="s">
        <v>1530</v>
      </c>
      <c r="D1072" s="121" t="s">
        <v>1531</v>
      </c>
      <c r="E1072" s="121" t="s">
        <v>1472</v>
      </c>
      <c r="F1072" s="121">
        <v>1000</v>
      </c>
      <c r="G1072" s="121" t="s">
        <v>1488</v>
      </c>
      <c r="H1072" s="121"/>
      <c r="I1072" s="121" t="s">
        <v>1489</v>
      </c>
      <c r="J1072" s="242"/>
      <c r="K1072" s="242"/>
      <c r="L1072" s="242"/>
      <c r="M1072" s="242"/>
      <c r="N1072" s="242"/>
      <c r="O1072" s="242"/>
      <c r="P1072" s="242"/>
      <c r="Q1072" s="242"/>
      <c r="R1072" s="242"/>
      <c r="T1072" s="20"/>
      <c r="U1072" s="20"/>
      <c r="V1072" s="20"/>
      <c r="W1072" s="20"/>
      <c r="X1072" s="20"/>
    </row>
    <row r="1073" spans="1:24" s="65" customFormat="1" ht="15" customHeight="1" outlineLevel="2">
      <c r="A1073" s="219"/>
      <c r="B1073" s="242"/>
      <c r="C1073" s="121" t="s">
        <v>1532</v>
      </c>
      <c r="D1073" s="121" t="s">
        <v>1533</v>
      </c>
      <c r="E1073" s="121" t="s">
        <v>1472</v>
      </c>
      <c r="F1073" s="121">
        <v>1000</v>
      </c>
      <c r="G1073" s="121" t="s">
        <v>1488</v>
      </c>
      <c r="H1073" s="121"/>
      <c r="I1073" s="121" t="s">
        <v>1489</v>
      </c>
      <c r="J1073" s="242"/>
      <c r="K1073" s="242"/>
      <c r="L1073" s="242"/>
      <c r="M1073" s="242"/>
      <c r="N1073" s="242"/>
      <c r="O1073" s="242"/>
      <c r="P1073" s="242"/>
      <c r="Q1073" s="242"/>
      <c r="R1073" s="242"/>
      <c r="T1073" s="20"/>
      <c r="U1073" s="20"/>
      <c r="V1073" s="20"/>
      <c r="W1073" s="20"/>
      <c r="X1073" s="20"/>
    </row>
    <row r="1074" spans="1:24" s="65" customFormat="1" ht="15" customHeight="1" outlineLevel="2">
      <c r="A1074" s="219"/>
      <c r="B1074" s="242"/>
      <c r="C1074" s="121" t="s">
        <v>1534</v>
      </c>
      <c r="D1074" s="121" t="s">
        <v>1535</v>
      </c>
      <c r="E1074" s="121" t="s">
        <v>1472</v>
      </c>
      <c r="F1074" s="121">
        <v>1000</v>
      </c>
      <c r="G1074" s="121" t="s">
        <v>1488</v>
      </c>
      <c r="H1074" s="121"/>
      <c r="I1074" s="121" t="s">
        <v>1489</v>
      </c>
      <c r="J1074" s="242"/>
      <c r="K1074" s="242"/>
      <c r="L1074" s="242"/>
      <c r="M1074" s="242"/>
      <c r="N1074" s="242"/>
      <c r="O1074" s="242"/>
      <c r="P1074" s="242"/>
      <c r="Q1074" s="242"/>
      <c r="R1074" s="242"/>
      <c r="T1074" s="20"/>
      <c r="U1074" s="20"/>
      <c r="V1074" s="20"/>
      <c r="W1074" s="20"/>
      <c r="X1074" s="20"/>
    </row>
    <row r="1075" spans="1:24" s="65" customFormat="1" ht="15" customHeight="1" outlineLevel="2">
      <c r="A1075" s="219"/>
      <c r="B1075" s="242"/>
      <c r="C1075" s="121" t="s">
        <v>1536</v>
      </c>
      <c r="D1075" s="121" t="s">
        <v>1537</v>
      </c>
      <c r="E1075" s="121" t="s">
        <v>1472</v>
      </c>
      <c r="F1075" s="121">
        <v>10000</v>
      </c>
      <c r="G1075" s="121" t="s">
        <v>1488</v>
      </c>
      <c r="H1075" s="121"/>
      <c r="I1075" s="121" t="s">
        <v>1489</v>
      </c>
      <c r="J1075" s="242"/>
      <c r="K1075" s="242"/>
      <c r="L1075" s="242"/>
      <c r="M1075" s="242"/>
      <c r="N1075" s="242"/>
      <c r="O1075" s="242"/>
      <c r="P1075" s="242"/>
      <c r="Q1075" s="242"/>
      <c r="R1075" s="242"/>
      <c r="T1075" s="20"/>
      <c r="U1075" s="20"/>
      <c r="V1075" s="20"/>
      <c r="W1075" s="20"/>
      <c r="X1075" s="20"/>
    </row>
    <row r="1076" spans="1:24" s="65" customFormat="1" ht="15" customHeight="1" outlineLevel="2">
      <c r="A1076" s="219"/>
      <c r="B1076" s="242"/>
      <c r="C1076" s="121" t="s">
        <v>1538</v>
      </c>
      <c r="D1076" s="121" t="s">
        <v>1539</v>
      </c>
      <c r="E1076" s="121" t="s">
        <v>1472</v>
      </c>
      <c r="F1076" s="121">
        <v>1</v>
      </c>
      <c r="G1076" s="121" t="s">
        <v>1540</v>
      </c>
      <c r="H1076" s="121"/>
      <c r="I1076" s="121" t="s">
        <v>1472</v>
      </c>
      <c r="J1076" s="242"/>
      <c r="K1076" s="242"/>
      <c r="L1076" s="242"/>
      <c r="M1076" s="242"/>
      <c r="N1076" s="242"/>
      <c r="O1076" s="242"/>
      <c r="P1076" s="242"/>
      <c r="Q1076" s="242"/>
      <c r="R1076" s="242"/>
      <c r="T1076" s="20"/>
      <c r="U1076" s="20"/>
      <c r="V1076" s="20"/>
      <c r="W1076" s="20"/>
      <c r="X1076" s="20"/>
    </row>
    <row r="1077" spans="1:24" s="65" customFormat="1" ht="15" customHeight="1" outlineLevel="2">
      <c r="A1077" s="219"/>
      <c r="B1077" s="242"/>
      <c r="C1077" s="121" t="s">
        <v>1541</v>
      </c>
      <c r="D1077" s="121" t="s">
        <v>1542</v>
      </c>
      <c r="E1077" s="121" t="s">
        <v>1472</v>
      </c>
      <c r="F1077" s="121">
        <v>1</v>
      </c>
      <c r="G1077" s="121" t="s">
        <v>1540</v>
      </c>
      <c r="H1077" s="121"/>
      <c r="I1077" s="121" t="s">
        <v>1472</v>
      </c>
      <c r="J1077" s="242"/>
      <c r="K1077" s="242"/>
      <c r="L1077" s="242"/>
      <c r="M1077" s="242"/>
      <c r="N1077" s="242"/>
      <c r="O1077" s="242"/>
      <c r="P1077" s="242"/>
      <c r="Q1077" s="242"/>
      <c r="R1077" s="242"/>
      <c r="T1077" s="20"/>
      <c r="U1077" s="20"/>
      <c r="V1077" s="20"/>
      <c r="W1077" s="20"/>
      <c r="X1077" s="20"/>
    </row>
    <row r="1078" spans="1:24" s="65" customFormat="1" ht="15" customHeight="1" outlineLevel="2">
      <c r="A1078" s="219"/>
      <c r="B1078" s="242"/>
      <c r="C1078" s="121" t="s">
        <v>1543</v>
      </c>
      <c r="D1078" s="121" t="s">
        <v>1544</v>
      </c>
      <c r="E1078" s="121" t="s">
        <v>1472</v>
      </c>
      <c r="F1078" s="121">
        <v>10</v>
      </c>
      <c r="G1078" s="121" t="s">
        <v>1488</v>
      </c>
      <c r="H1078" s="121"/>
      <c r="I1078" s="121" t="s">
        <v>1489</v>
      </c>
      <c r="J1078" s="242"/>
      <c r="K1078" s="242"/>
      <c r="L1078" s="242"/>
      <c r="M1078" s="242"/>
      <c r="N1078" s="242"/>
      <c r="O1078" s="242"/>
      <c r="P1078" s="242"/>
      <c r="Q1078" s="242"/>
      <c r="R1078" s="242"/>
      <c r="T1078" s="20"/>
      <c r="U1078" s="20"/>
      <c r="V1078" s="20"/>
      <c r="W1078" s="20"/>
      <c r="X1078" s="20"/>
    </row>
    <row r="1079" spans="1:24" s="65" customFormat="1" ht="15" customHeight="1" outlineLevel="2">
      <c r="A1079" s="219"/>
      <c r="B1079" s="242"/>
      <c r="C1079" s="121" t="s">
        <v>1545</v>
      </c>
      <c r="D1079" s="121" t="s">
        <v>1546</v>
      </c>
      <c r="E1079" s="121" t="s">
        <v>1472</v>
      </c>
      <c r="F1079" s="121">
        <v>10</v>
      </c>
      <c r="G1079" s="121" t="s">
        <v>1488</v>
      </c>
      <c r="H1079" s="121"/>
      <c r="I1079" s="121" t="s">
        <v>1489</v>
      </c>
      <c r="J1079" s="242"/>
      <c r="K1079" s="242"/>
      <c r="L1079" s="242"/>
      <c r="M1079" s="242"/>
      <c r="N1079" s="242"/>
      <c r="O1079" s="242"/>
      <c r="P1079" s="242"/>
      <c r="Q1079" s="242"/>
      <c r="R1079" s="242"/>
      <c r="T1079" s="20"/>
      <c r="U1079" s="20"/>
      <c r="V1079" s="20"/>
      <c r="W1079" s="20"/>
      <c r="X1079" s="20"/>
    </row>
    <row r="1080" spans="1:24" s="65" customFormat="1" ht="15" customHeight="1" outlineLevel="2">
      <c r="A1080" s="219"/>
      <c r="B1080" s="242"/>
      <c r="C1080" s="121" t="s">
        <v>1547</v>
      </c>
      <c r="D1080" s="121" t="s">
        <v>1548</v>
      </c>
      <c r="E1080" s="121" t="s">
        <v>1472</v>
      </c>
      <c r="F1080" s="121">
        <v>10</v>
      </c>
      <c r="G1080" s="121" t="s">
        <v>1488</v>
      </c>
      <c r="H1080" s="121"/>
      <c r="I1080" s="121" t="s">
        <v>1489</v>
      </c>
      <c r="J1080" s="242"/>
      <c r="K1080" s="242"/>
      <c r="L1080" s="242"/>
      <c r="M1080" s="242"/>
      <c r="N1080" s="242"/>
      <c r="O1080" s="242"/>
      <c r="P1080" s="242"/>
      <c r="Q1080" s="242"/>
      <c r="R1080" s="242"/>
      <c r="T1080" s="20"/>
      <c r="U1080" s="20"/>
      <c r="V1080" s="20"/>
      <c r="W1080" s="20"/>
      <c r="X1080" s="20"/>
    </row>
    <row r="1081" spans="1:24" s="65" customFormat="1" ht="15" customHeight="1" outlineLevel="2">
      <c r="A1081" s="219"/>
      <c r="B1081" s="242"/>
      <c r="C1081" s="121" t="s">
        <v>1549</v>
      </c>
      <c r="D1081" s="121" t="s">
        <v>1550</v>
      </c>
      <c r="E1081" s="121" t="s">
        <v>1472</v>
      </c>
      <c r="F1081" s="121">
        <v>1</v>
      </c>
      <c r="G1081" s="121" t="s">
        <v>1551</v>
      </c>
      <c r="H1081" s="121"/>
      <c r="I1081" s="121" t="s">
        <v>1474</v>
      </c>
      <c r="J1081" s="242"/>
      <c r="K1081" s="242"/>
      <c r="L1081" s="242"/>
      <c r="M1081" s="242"/>
      <c r="N1081" s="242"/>
      <c r="O1081" s="242"/>
      <c r="P1081" s="242"/>
      <c r="Q1081" s="242"/>
      <c r="R1081" s="242"/>
      <c r="T1081" s="20"/>
      <c r="U1081" s="20"/>
      <c r="V1081" s="20"/>
      <c r="W1081" s="20"/>
      <c r="X1081" s="20"/>
    </row>
    <row r="1082" spans="1:24" s="65" customFormat="1" ht="15" customHeight="1" outlineLevel="2">
      <c r="A1082" s="219"/>
      <c r="B1082" s="242"/>
      <c r="C1082" s="121" t="s">
        <v>1552</v>
      </c>
      <c r="D1082" s="121" t="s">
        <v>1553</v>
      </c>
      <c r="E1082" s="121" t="s">
        <v>1472</v>
      </c>
      <c r="F1082" s="121">
        <v>1</v>
      </c>
      <c r="G1082" s="121" t="s">
        <v>1551</v>
      </c>
      <c r="H1082" s="121"/>
      <c r="I1082" s="121" t="s">
        <v>1474</v>
      </c>
      <c r="J1082" s="242"/>
      <c r="K1082" s="242"/>
      <c r="L1082" s="242"/>
      <c r="M1082" s="242"/>
      <c r="N1082" s="242"/>
      <c r="O1082" s="242"/>
      <c r="P1082" s="242"/>
      <c r="Q1082" s="242"/>
      <c r="R1082" s="242"/>
      <c r="T1082" s="20"/>
      <c r="U1082" s="20"/>
      <c r="V1082" s="20"/>
      <c r="W1082" s="20"/>
      <c r="X1082" s="20"/>
    </row>
    <row r="1083" spans="1:24" s="65" customFormat="1" ht="15" customHeight="1" outlineLevel="2">
      <c r="A1083" s="219"/>
      <c r="B1083" s="242"/>
      <c r="C1083" s="121" t="s">
        <v>1554</v>
      </c>
      <c r="D1083" s="121" t="s">
        <v>1555</v>
      </c>
      <c r="E1083" s="121" t="s">
        <v>1472</v>
      </c>
      <c r="F1083" s="121">
        <v>1000</v>
      </c>
      <c r="G1083" s="121" t="s">
        <v>1488</v>
      </c>
      <c r="H1083" s="121"/>
      <c r="I1083" s="121" t="s">
        <v>1474</v>
      </c>
      <c r="J1083" s="242"/>
      <c r="K1083" s="242"/>
      <c r="L1083" s="242"/>
      <c r="M1083" s="242"/>
      <c r="N1083" s="242"/>
      <c r="O1083" s="242"/>
      <c r="P1083" s="242"/>
      <c r="Q1083" s="242"/>
      <c r="R1083" s="242"/>
      <c r="T1083" s="20"/>
      <c r="U1083" s="20"/>
      <c r="V1083" s="20"/>
      <c r="W1083" s="20"/>
      <c r="X1083" s="20"/>
    </row>
    <row r="1084" spans="1:24" s="65" customFormat="1" ht="15" customHeight="1" outlineLevel="2">
      <c r="A1084" s="219"/>
      <c r="B1084" s="242"/>
      <c r="C1084" s="121" t="s">
        <v>1556</v>
      </c>
      <c r="D1084" s="121" t="s">
        <v>1557</v>
      </c>
      <c r="E1084" s="121" t="s">
        <v>1472</v>
      </c>
      <c r="F1084" s="121">
        <v>1000</v>
      </c>
      <c r="G1084" s="121" t="s">
        <v>1488</v>
      </c>
      <c r="H1084" s="121"/>
      <c r="I1084" s="121" t="s">
        <v>1474</v>
      </c>
      <c r="J1084" s="242"/>
      <c r="K1084" s="242"/>
      <c r="L1084" s="242"/>
      <c r="M1084" s="242"/>
      <c r="N1084" s="242"/>
      <c r="O1084" s="242"/>
      <c r="P1084" s="242"/>
      <c r="Q1084" s="242"/>
      <c r="R1084" s="242"/>
      <c r="T1084" s="20"/>
      <c r="U1084" s="20"/>
      <c r="V1084" s="20"/>
      <c r="W1084" s="20"/>
      <c r="X1084" s="20"/>
    </row>
    <row r="1085" spans="1:24" s="65" customFormat="1" ht="15" customHeight="1" outlineLevel="2">
      <c r="A1085" s="219"/>
      <c r="B1085" s="242"/>
      <c r="C1085" s="121" t="s">
        <v>1558</v>
      </c>
      <c r="D1085" s="121" t="s">
        <v>1559</v>
      </c>
      <c r="E1085" s="121" t="s">
        <v>1472</v>
      </c>
      <c r="F1085" s="121">
        <v>1000</v>
      </c>
      <c r="G1085" s="121" t="s">
        <v>1488</v>
      </c>
      <c r="H1085" s="121"/>
      <c r="I1085" s="121" t="s">
        <v>1474</v>
      </c>
      <c r="J1085" s="242"/>
      <c r="K1085" s="242"/>
      <c r="L1085" s="242"/>
      <c r="M1085" s="242"/>
      <c r="N1085" s="242"/>
      <c r="O1085" s="242"/>
      <c r="P1085" s="242"/>
      <c r="Q1085" s="242"/>
      <c r="R1085" s="242"/>
      <c r="T1085" s="20"/>
      <c r="U1085" s="20"/>
      <c r="V1085" s="20"/>
      <c r="W1085" s="20"/>
      <c r="X1085" s="20"/>
    </row>
    <row r="1086" spans="1:24" s="65" customFormat="1" ht="15" customHeight="1" outlineLevel="2">
      <c r="A1086" s="219"/>
      <c r="B1086" s="242"/>
      <c r="C1086" s="121" t="s">
        <v>1560</v>
      </c>
      <c r="D1086" s="121" t="s">
        <v>1561</v>
      </c>
      <c r="E1086" s="121" t="s">
        <v>1472</v>
      </c>
      <c r="F1086" s="121">
        <v>1000</v>
      </c>
      <c r="G1086" s="121" t="s">
        <v>1488</v>
      </c>
      <c r="H1086" s="121"/>
      <c r="I1086" s="121" t="s">
        <v>1474</v>
      </c>
      <c r="J1086" s="242"/>
      <c r="K1086" s="242"/>
      <c r="L1086" s="242"/>
      <c r="M1086" s="242"/>
      <c r="N1086" s="242"/>
      <c r="O1086" s="242"/>
      <c r="P1086" s="242"/>
      <c r="Q1086" s="242"/>
      <c r="R1086" s="242"/>
      <c r="T1086" s="20"/>
      <c r="U1086" s="20"/>
      <c r="V1086" s="20"/>
      <c r="W1086" s="20"/>
      <c r="X1086" s="20"/>
    </row>
    <row r="1087" spans="1:24" s="65" customFormat="1" ht="15" customHeight="1" outlineLevel="2">
      <c r="A1087" s="219"/>
      <c r="B1087" s="242"/>
      <c r="C1087" s="121" t="s">
        <v>1562</v>
      </c>
      <c r="D1087" s="121" t="s">
        <v>1563</v>
      </c>
      <c r="E1087" s="121" t="s">
        <v>1472</v>
      </c>
      <c r="F1087" s="121">
        <v>1000</v>
      </c>
      <c r="G1087" s="121" t="s">
        <v>1488</v>
      </c>
      <c r="H1087" s="121"/>
      <c r="I1087" s="121" t="s">
        <v>1474</v>
      </c>
      <c r="J1087" s="242"/>
      <c r="K1087" s="242"/>
      <c r="L1087" s="242"/>
      <c r="M1087" s="242"/>
      <c r="N1087" s="242"/>
      <c r="O1087" s="242"/>
      <c r="P1087" s="242"/>
      <c r="Q1087" s="242"/>
      <c r="R1087" s="242"/>
      <c r="T1087" s="20"/>
      <c r="U1087" s="20"/>
      <c r="V1087" s="20"/>
      <c r="W1087" s="20"/>
      <c r="X1087" s="20"/>
    </row>
    <row r="1088" spans="1:24" s="65" customFormat="1" ht="15" customHeight="1" outlineLevel="2">
      <c r="A1088" s="219"/>
      <c r="B1088" s="242"/>
      <c r="C1088" s="121" t="s">
        <v>1564</v>
      </c>
      <c r="D1088" s="121" t="s">
        <v>1565</v>
      </c>
      <c r="E1088" s="121" t="s">
        <v>1472</v>
      </c>
      <c r="F1088" s="121">
        <v>1000</v>
      </c>
      <c r="G1088" s="121" t="s">
        <v>1488</v>
      </c>
      <c r="H1088" s="121"/>
      <c r="I1088" s="121" t="s">
        <v>1474</v>
      </c>
      <c r="J1088" s="242"/>
      <c r="K1088" s="242"/>
      <c r="L1088" s="242"/>
      <c r="M1088" s="242"/>
      <c r="N1088" s="242"/>
      <c r="O1088" s="242"/>
      <c r="P1088" s="242"/>
      <c r="Q1088" s="242"/>
      <c r="R1088" s="242"/>
      <c r="T1088" s="20"/>
      <c r="U1088" s="20"/>
      <c r="V1088" s="20"/>
      <c r="W1088" s="20"/>
      <c r="X1088" s="20"/>
    </row>
    <row r="1089" spans="1:24" s="65" customFormat="1" ht="15" customHeight="1" outlineLevel="2">
      <c r="A1089" s="219"/>
      <c r="B1089" s="242"/>
      <c r="C1089" s="121" t="s">
        <v>1566</v>
      </c>
      <c r="D1089" s="121" t="s">
        <v>1567</v>
      </c>
      <c r="E1089" s="121" t="s">
        <v>1472</v>
      </c>
      <c r="F1089" s="121">
        <v>1000</v>
      </c>
      <c r="G1089" s="121" t="s">
        <v>1488</v>
      </c>
      <c r="H1089" s="121"/>
      <c r="I1089" s="121" t="s">
        <v>1474</v>
      </c>
      <c r="J1089" s="242"/>
      <c r="K1089" s="242"/>
      <c r="L1089" s="242"/>
      <c r="M1089" s="242"/>
      <c r="N1089" s="242"/>
      <c r="O1089" s="242"/>
      <c r="P1089" s="242"/>
      <c r="Q1089" s="242"/>
      <c r="R1089" s="242"/>
      <c r="T1089" s="20"/>
      <c r="U1089" s="20"/>
      <c r="V1089" s="20"/>
      <c r="W1089" s="20"/>
      <c r="X1089" s="20"/>
    </row>
    <row r="1090" spans="1:24" s="65" customFormat="1" ht="15" customHeight="1" outlineLevel="2">
      <c r="A1090" s="219"/>
      <c r="B1090" s="242"/>
      <c r="C1090" s="121" t="s">
        <v>1568</v>
      </c>
      <c r="D1090" s="121" t="s">
        <v>1569</v>
      </c>
      <c r="E1090" s="121" t="s">
        <v>1472</v>
      </c>
      <c r="F1090" s="121">
        <v>1000</v>
      </c>
      <c r="G1090" s="121" t="s">
        <v>1488</v>
      </c>
      <c r="H1090" s="121"/>
      <c r="I1090" s="121" t="s">
        <v>1474</v>
      </c>
      <c r="J1090" s="242"/>
      <c r="K1090" s="242"/>
      <c r="L1090" s="242"/>
      <c r="M1090" s="242"/>
      <c r="N1090" s="242"/>
      <c r="O1090" s="242"/>
      <c r="P1090" s="242"/>
      <c r="Q1090" s="242"/>
      <c r="R1090" s="242"/>
      <c r="T1090" s="20"/>
      <c r="U1090" s="20"/>
      <c r="V1090" s="20"/>
      <c r="W1090" s="20"/>
      <c r="X1090" s="20"/>
    </row>
    <row r="1091" spans="1:24" s="65" customFormat="1" ht="15" customHeight="1" outlineLevel="2" thickBot="1">
      <c r="A1091" s="219"/>
      <c r="B1091" s="242"/>
      <c r="C1091" s="162" t="s">
        <v>1570</v>
      </c>
      <c r="D1091" s="162"/>
      <c r="E1091" s="162" t="s">
        <v>1472</v>
      </c>
      <c r="F1091" s="162" t="s">
        <v>1440</v>
      </c>
      <c r="G1091" s="162" t="s">
        <v>1479</v>
      </c>
      <c r="H1091" s="162"/>
      <c r="I1091" s="162" t="s">
        <v>1440</v>
      </c>
      <c r="J1091" s="242"/>
      <c r="K1091" s="242"/>
      <c r="L1091" s="242"/>
      <c r="M1091" s="242"/>
      <c r="N1091" s="242"/>
      <c r="O1091" s="242"/>
      <c r="P1091" s="242"/>
      <c r="Q1091" s="242"/>
      <c r="R1091" s="242"/>
      <c r="T1091" s="20"/>
      <c r="U1091" s="20"/>
      <c r="V1091" s="20"/>
      <c r="W1091" s="20"/>
      <c r="X1091" s="20"/>
    </row>
    <row r="1092" spans="1:24" s="65" customFormat="1" ht="15" customHeight="1" outlineLevel="2">
      <c r="A1092" s="219"/>
      <c r="B1092" s="242"/>
      <c r="C1092" s="242"/>
      <c r="D1092" s="242"/>
      <c r="E1092" s="242"/>
      <c r="F1092" s="242"/>
      <c r="G1092" s="242"/>
      <c r="H1092" s="242"/>
      <c r="I1092" s="242"/>
      <c r="J1092" s="242"/>
      <c r="K1092" s="242"/>
      <c r="L1092" s="242"/>
      <c r="M1092" s="242"/>
      <c r="N1092" s="242"/>
      <c r="O1092" s="242"/>
      <c r="P1092" s="242"/>
      <c r="Q1092" s="242"/>
      <c r="R1092" s="242"/>
      <c r="T1092" s="20"/>
      <c r="U1092" s="20"/>
      <c r="V1092" s="20"/>
      <c r="W1092" s="20"/>
      <c r="X1092" s="20"/>
    </row>
    <row r="1093" spans="1:24" s="65" customFormat="1" ht="15" customHeight="1" outlineLevel="1">
      <c r="A1093" s="219"/>
      <c r="B1093" s="242"/>
      <c r="C1093" s="244" t="s">
        <v>1647</v>
      </c>
      <c r="D1093" s="242"/>
      <c r="E1093" s="242"/>
      <c r="F1093" s="242"/>
      <c r="G1093" s="242"/>
      <c r="H1093" s="242"/>
      <c r="I1093" s="242"/>
      <c r="J1093" s="242"/>
      <c r="K1093" s="242"/>
      <c r="L1093" s="242"/>
      <c r="M1093" s="242"/>
      <c r="N1093" s="242"/>
      <c r="O1093" s="242"/>
      <c r="P1093" s="242"/>
      <c r="Q1093" s="242"/>
      <c r="R1093" s="242"/>
      <c r="T1093" s="179" t="str">
        <f>$T$6</f>
        <v>Source</v>
      </c>
      <c r="U1093" s="179" t="str">
        <f>$U$6</f>
        <v>Link</v>
      </c>
      <c r="V1093" s="179" t="str">
        <f>$V$6</f>
        <v>Risk (Green, Amber/Green, Amber, Red/Amber, Red)</v>
      </c>
      <c r="W1093" s="179" t="s">
        <v>869</v>
      </c>
      <c r="X1093" s="179" t="str">
        <f>$X$6</f>
        <v>Comment author</v>
      </c>
    </row>
    <row r="1094" spans="1:24" s="65" customFormat="1" ht="15" customHeight="1" outlineLevel="2" thickBot="1">
      <c r="A1094" s="219"/>
      <c r="B1094" s="242"/>
      <c r="C1094" s="248"/>
      <c r="D1094" s="248"/>
      <c r="E1094" s="248"/>
      <c r="F1094" s="248"/>
      <c r="G1094" s="248"/>
      <c r="H1094" s="248"/>
      <c r="I1094" s="248"/>
      <c r="J1094" s="248"/>
      <c r="K1094" s="248"/>
      <c r="L1094" s="248"/>
      <c r="M1094" s="248"/>
      <c r="N1094" s="248"/>
      <c r="O1094" s="248"/>
      <c r="P1094" s="242"/>
      <c r="Q1094" s="242"/>
      <c r="R1094" s="242"/>
      <c r="T1094" s="20"/>
      <c r="U1094" s="20"/>
      <c r="V1094" s="20"/>
      <c r="W1094" s="20"/>
      <c r="X1094" s="20"/>
    </row>
    <row r="1095" spans="1:24" s="65" customFormat="1" ht="15" customHeight="1" outlineLevel="2">
      <c r="A1095" s="219"/>
      <c r="B1095" s="242"/>
      <c r="C1095" s="42" t="s">
        <v>1645</v>
      </c>
      <c r="D1095" s="42"/>
      <c r="E1095" s="42" t="s">
        <v>280</v>
      </c>
      <c r="F1095" s="42" t="s">
        <v>358</v>
      </c>
      <c r="G1095" s="42" t="s">
        <v>1572</v>
      </c>
      <c r="H1095" s="42" t="s">
        <v>1573</v>
      </c>
      <c r="I1095" s="42" t="s">
        <v>69</v>
      </c>
      <c r="J1095" s="42" t="s">
        <v>1574</v>
      </c>
      <c r="K1095" s="42" t="str">
        <f>"Efficiency ("&amp;Preferences.weight&amp;"/product)"</f>
        <v>Efficiency (Gt/product)</v>
      </c>
      <c r="L1095" s="42" t="str">
        <f>"Total "&amp;Preferences.weight</f>
        <v>Total Gt</v>
      </c>
      <c r="M1095" s="248"/>
      <c r="N1095" s="248"/>
      <c r="O1095" s="248"/>
      <c r="P1095" s="242"/>
      <c r="Q1095" s="242"/>
      <c r="R1095" s="242"/>
      <c r="T1095" s="20"/>
      <c r="U1095" s="20"/>
      <c r="V1095" s="20"/>
      <c r="W1095" s="20"/>
      <c r="X1095" s="20"/>
    </row>
    <row r="1096" spans="1:24" s="65" customFormat="1" ht="15" customHeight="1" outlineLevel="2">
      <c r="A1096" s="219"/>
      <c r="B1096" s="242"/>
      <c r="C1096" s="121" t="s">
        <v>1396</v>
      </c>
      <c r="D1096" s="121"/>
      <c r="E1096" s="121" t="s">
        <v>1583</v>
      </c>
      <c r="F1096" s="121" t="s">
        <v>56</v>
      </c>
      <c r="G1096" s="289">
        <f>L1096*10^6/K1096</f>
        <v>4330000000</v>
      </c>
      <c r="H1096" s="289">
        <f>G1096</f>
        <v>4330000000</v>
      </c>
      <c r="I1096" s="121" t="s">
        <v>1474</v>
      </c>
      <c r="J1096" s="289">
        <v>20</v>
      </c>
      <c r="K1096" s="289">
        <f>0.1*unit.Mt</f>
        <v>1E-4</v>
      </c>
      <c r="L1096" s="403">
        <f>433*unit.Mt</f>
        <v>0.433</v>
      </c>
      <c r="M1096" s="242"/>
      <c r="N1096" s="242"/>
      <c r="O1096" s="242"/>
      <c r="P1096" s="242"/>
      <c r="Q1096" s="242"/>
      <c r="R1096" s="242"/>
      <c r="T1096" s="20" t="s">
        <v>1587</v>
      </c>
      <c r="U1096" s="20"/>
      <c r="V1096" s="20"/>
      <c r="W1096" s="20" t="s">
        <v>1587</v>
      </c>
      <c r="X1096" s="20"/>
    </row>
    <row r="1097" spans="1:24" s="65" customFormat="1" ht="15" customHeight="1" outlineLevel="2">
      <c r="A1097" s="219"/>
      <c r="B1097" s="242"/>
      <c r="C1097" s="121"/>
      <c r="D1097" s="121"/>
      <c r="E1097" s="121"/>
      <c r="F1097" s="121" t="s">
        <v>1584</v>
      </c>
      <c r="G1097" s="289">
        <f>L1097*10^6/K1097</f>
        <v>1500000000</v>
      </c>
      <c r="H1097" s="289">
        <f>G1097</f>
        <v>1500000000</v>
      </c>
      <c r="I1097" s="121" t="s">
        <v>1474</v>
      </c>
      <c r="J1097" s="289">
        <v>20</v>
      </c>
      <c r="K1097" s="289">
        <f>0.1*unit.Mt</f>
        <v>1E-4</v>
      </c>
      <c r="L1097" s="403">
        <f>150*unit.Mt</f>
        <v>0.15</v>
      </c>
      <c r="M1097" s="242"/>
      <c r="N1097" s="242"/>
      <c r="O1097" s="242"/>
      <c r="P1097" s="242"/>
      <c r="Q1097" s="242"/>
      <c r="R1097" s="242"/>
      <c r="T1097" s="20" t="s">
        <v>1586</v>
      </c>
      <c r="U1097" s="20"/>
      <c r="V1097" s="20"/>
      <c r="W1097" s="20" t="s">
        <v>1585</v>
      </c>
      <c r="X1097" s="20"/>
    </row>
    <row r="1098" spans="1:24" s="65" customFormat="1" ht="15" customHeight="1" outlineLevel="2">
      <c r="A1098" s="219"/>
      <c r="B1098" s="242"/>
      <c r="C1098" s="121"/>
      <c r="D1098" s="121"/>
      <c r="E1098" s="121" t="s">
        <v>1580</v>
      </c>
      <c r="F1098" s="121" t="s">
        <v>1581</v>
      </c>
      <c r="G1098" s="289">
        <f t="shared" ref="G1098:G1101" si="49">L1098*10^6/K1098</f>
        <v>54000000</v>
      </c>
      <c r="H1098" s="289">
        <f t="shared" ref="H1098:H1101" si="50">G1098</f>
        <v>54000000</v>
      </c>
      <c r="I1098" s="121" t="s">
        <v>1489</v>
      </c>
      <c r="J1098" s="289">
        <v>20</v>
      </c>
      <c r="K1098" s="289">
        <f>0.5*unit.Mt</f>
        <v>5.0000000000000001E-4</v>
      </c>
      <c r="L1098" s="403">
        <f>27*unit.Mt</f>
        <v>2.7E-2</v>
      </c>
      <c r="M1098" s="242"/>
      <c r="N1098" s="242"/>
      <c r="O1098" s="242"/>
      <c r="P1098" s="242"/>
      <c r="Q1098" s="242"/>
      <c r="R1098" s="242"/>
      <c r="T1098" s="20" t="s">
        <v>1582</v>
      </c>
      <c r="U1098" s="20"/>
      <c r="V1098" s="20"/>
      <c r="W1098" s="20">
        <v>0.5</v>
      </c>
      <c r="X1098" s="20"/>
    </row>
    <row r="1099" spans="1:24" s="65" customFormat="1" ht="15" customHeight="1" outlineLevel="2">
      <c r="A1099" s="219"/>
      <c r="B1099" s="242"/>
      <c r="C1099" s="121"/>
      <c r="D1099" s="121"/>
      <c r="E1099" s="121"/>
      <c r="F1099" s="121" t="s">
        <v>1488</v>
      </c>
      <c r="G1099" s="289">
        <f t="shared" si="49"/>
        <v>274000000</v>
      </c>
      <c r="H1099" s="289">
        <f t="shared" si="50"/>
        <v>274000000</v>
      </c>
      <c r="I1099" s="121" t="s">
        <v>1489</v>
      </c>
      <c r="J1099" s="289">
        <v>20</v>
      </c>
      <c r="K1099" s="289">
        <f>0.5*unit.Mt</f>
        <v>5.0000000000000001E-4</v>
      </c>
      <c r="L1099" s="403">
        <f>137*unit.Mt</f>
        <v>0.13700000000000001</v>
      </c>
      <c r="M1099" s="242"/>
      <c r="N1099" s="242"/>
      <c r="O1099" s="242"/>
      <c r="P1099" s="242"/>
      <c r="Q1099" s="242"/>
      <c r="R1099" s="242"/>
      <c r="T1099" s="20" t="s">
        <v>1582</v>
      </c>
      <c r="U1099" s="20"/>
      <c r="V1099" s="20"/>
      <c r="W1099" s="20">
        <v>0.5</v>
      </c>
      <c r="X1099" s="20"/>
    </row>
    <row r="1100" spans="1:24" s="65" customFormat="1" ht="15" customHeight="1" outlineLevel="2">
      <c r="A1100" s="219"/>
      <c r="B1100" s="242"/>
      <c r="C1100" s="121"/>
      <c r="D1100" s="121"/>
      <c r="E1100" s="121" t="s">
        <v>1588</v>
      </c>
      <c r="F1100" s="121" t="s">
        <v>1590</v>
      </c>
      <c r="G1100" s="289">
        <f t="shared" si="49"/>
        <v>18000000.000000004</v>
      </c>
      <c r="H1100" s="289">
        <f t="shared" si="50"/>
        <v>18000000.000000004</v>
      </c>
      <c r="I1100" s="121" t="s">
        <v>1489</v>
      </c>
      <c r="J1100" s="289">
        <v>20</v>
      </c>
      <c r="K1100" s="289">
        <f>0.5*unit.Mt</f>
        <v>5.0000000000000001E-4</v>
      </c>
      <c r="L1100" s="403">
        <f>9*unit.Mt</f>
        <v>9.0000000000000011E-3</v>
      </c>
      <c r="M1100" s="242"/>
      <c r="N1100" s="242"/>
      <c r="O1100" s="242"/>
      <c r="P1100" s="242"/>
      <c r="Q1100" s="242"/>
      <c r="R1100" s="242"/>
      <c r="T1100" s="20" t="s">
        <v>1582</v>
      </c>
      <c r="U1100" s="20"/>
      <c r="V1100" s="20"/>
      <c r="W1100" s="20">
        <v>0.5</v>
      </c>
      <c r="X1100" s="20"/>
    </row>
    <row r="1101" spans="1:24" s="65" customFormat="1" ht="15" customHeight="1" outlineLevel="2">
      <c r="A1101" s="219"/>
      <c r="B1101" s="242"/>
      <c r="C1101" s="121"/>
      <c r="D1101" s="121"/>
      <c r="E1101" s="121"/>
      <c r="F1101" s="121" t="s">
        <v>1591</v>
      </c>
      <c r="G1101" s="289">
        <f t="shared" si="49"/>
        <v>58000000</v>
      </c>
      <c r="H1101" s="289">
        <f t="shared" si="50"/>
        <v>58000000</v>
      </c>
      <c r="I1101" s="121" t="s">
        <v>1489</v>
      </c>
      <c r="J1101" s="289">
        <v>20</v>
      </c>
      <c r="K1101" s="289">
        <f>0.5*unit.Mt</f>
        <v>5.0000000000000001E-4</v>
      </c>
      <c r="L1101" s="403">
        <f>29*unit.Mt</f>
        <v>2.9000000000000001E-2</v>
      </c>
      <c r="M1101" s="242"/>
      <c r="N1101" s="242"/>
      <c r="O1101" s="242"/>
      <c r="P1101" s="242"/>
      <c r="Q1101" s="242"/>
      <c r="R1101" s="242"/>
      <c r="T1101" s="20" t="s">
        <v>1582</v>
      </c>
      <c r="U1101" s="20"/>
      <c r="V1101" s="20"/>
      <c r="W1101" s="20">
        <v>0.5</v>
      </c>
      <c r="X1101" s="20"/>
    </row>
    <row r="1102" spans="1:24" s="65" customFormat="1" ht="15" customHeight="1" outlineLevel="2">
      <c r="A1102" s="219"/>
      <c r="B1102" s="242"/>
      <c r="C1102" s="121"/>
      <c r="D1102" s="121"/>
      <c r="E1102" s="121"/>
      <c r="F1102" s="121" t="s">
        <v>1589</v>
      </c>
      <c r="G1102" s="289">
        <f>L1102*10^6/K1102</f>
        <v>268000000</v>
      </c>
      <c r="H1102" s="289">
        <f>G1102</f>
        <v>268000000</v>
      </c>
      <c r="I1102" s="121" t="s">
        <v>1489</v>
      </c>
      <c r="J1102" s="289">
        <v>20</v>
      </c>
      <c r="K1102" s="289">
        <f>0.5*unit.Mt</f>
        <v>5.0000000000000001E-4</v>
      </c>
      <c r="L1102" s="403">
        <f>134*unit.Mt</f>
        <v>0.13400000000000001</v>
      </c>
      <c r="M1102" s="242"/>
      <c r="N1102" s="242"/>
      <c r="O1102" s="242"/>
      <c r="P1102" s="242"/>
      <c r="Q1102" s="242"/>
      <c r="R1102" s="242"/>
      <c r="T1102" s="20"/>
      <c r="U1102" s="20"/>
      <c r="V1102" s="20"/>
      <c r="W1102" s="20"/>
      <c r="X1102" s="20"/>
    </row>
    <row r="1103" spans="1:24" s="65" customFormat="1" ht="15" customHeight="1" outlineLevel="2">
      <c r="A1103" s="219"/>
      <c r="B1103" s="242"/>
      <c r="C1103" s="121"/>
      <c r="D1103" s="121"/>
      <c r="E1103" s="121" t="s">
        <v>51</v>
      </c>
      <c r="F1103" s="121" t="s">
        <v>1575</v>
      </c>
      <c r="G1103" s="289">
        <f>L1103*10^6/K1103</f>
        <v>96875000</v>
      </c>
      <c r="H1103" s="289">
        <f>G1103</f>
        <v>96875000</v>
      </c>
      <c r="I1103" s="121" t="s">
        <v>1472</v>
      </c>
      <c r="J1103" s="289">
        <v>20</v>
      </c>
      <c r="K1103" s="289">
        <f>0.96*unit.Mt</f>
        <v>9.6000000000000002E-4</v>
      </c>
      <c r="L1103" s="403">
        <f>93*unit.Mt</f>
        <v>9.2999999999999999E-2</v>
      </c>
      <c r="M1103" s="242"/>
      <c r="N1103" s="242"/>
      <c r="O1103" s="242"/>
      <c r="P1103" s="242"/>
      <c r="Q1103" s="242"/>
      <c r="R1103" s="242"/>
      <c r="T1103" s="20" t="s">
        <v>1576</v>
      </c>
      <c r="U1103" s="20"/>
      <c r="V1103" s="20"/>
      <c r="W1103" s="20" t="s">
        <v>1440</v>
      </c>
      <c r="X1103" s="20"/>
    </row>
    <row r="1104" spans="1:24" s="65" customFormat="1" ht="15" customHeight="1" outlineLevel="2">
      <c r="A1104" s="219"/>
      <c r="B1104" s="242"/>
      <c r="C1104" s="121"/>
      <c r="D1104" s="121"/>
      <c r="E1104" s="121"/>
      <c r="F1104" s="121" t="s">
        <v>1577</v>
      </c>
      <c r="G1104" s="289">
        <f>L1104*10^6/K1104</f>
        <v>8668730.6501547974</v>
      </c>
      <c r="H1104" s="289">
        <f>G1104</f>
        <v>8668730.6501547974</v>
      </c>
      <c r="I1104" s="121" t="s">
        <v>1472</v>
      </c>
      <c r="J1104" s="289">
        <v>20</v>
      </c>
      <c r="K1104" s="289">
        <f>3.23*unit.Mt</f>
        <v>3.2300000000000002E-3</v>
      </c>
      <c r="L1104" s="403">
        <f>28*unit.Mt</f>
        <v>2.8000000000000001E-2</v>
      </c>
      <c r="M1104" s="242"/>
      <c r="N1104" s="242"/>
      <c r="O1104" s="242"/>
      <c r="P1104" s="242"/>
      <c r="Q1104" s="242"/>
      <c r="R1104" s="242"/>
      <c r="T1104" s="20" t="s">
        <v>1579</v>
      </c>
      <c r="U1104" s="20"/>
      <c r="V1104" s="20"/>
      <c r="W1104" s="20" t="s">
        <v>1578</v>
      </c>
      <c r="X1104" s="20"/>
    </row>
    <row r="1105" spans="1:24" s="65" customFormat="1" ht="15" customHeight="1" outlineLevel="2">
      <c r="A1105" s="219"/>
      <c r="B1105" s="242"/>
      <c r="C1105" s="121"/>
      <c r="D1105" s="121"/>
      <c r="E1105" s="121" t="s">
        <v>299</v>
      </c>
      <c r="F1105" s="121" t="s">
        <v>299</v>
      </c>
      <c r="G1105" s="289"/>
      <c r="H1105" s="289"/>
      <c r="I1105" s="121"/>
      <c r="J1105" s="289"/>
      <c r="K1105" s="289"/>
      <c r="L1105" s="403">
        <f>L1106-SUM(L1096:L1104)</f>
        <v>0.47829999999999995</v>
      </c>
      <c r="M1105" s="242"/>
      <c r="N1105" s="242"/>
      <c r="O1105" s="242"/>
      <c r="P1105" s="242"/>
      <c r="Q1105" s="242"/>
      <c r="R1105" s="242"/>
      <c r="T1105" s="20" t="s">
        <v>1593</v>
      </c>
      <c r="U1105" s="20"/>
      <c r="V1105" s="20"/>
      <c r="W1105" s="20" t="s">
        <v>1592</v>
      </c>
      <c r="X1105" s="20"/>
    </row>
    <row r="1106" spans="1:24" s="65" customFormat="1" ht="15" customHeight="1" outlineLevel="2">
      <c r="A1106" s="219"/>
      <c r="B1106" s="242"/>
      <c r="C1106" s="121"/>
      <c r="D1106" s="121"/>
      <c r="E1106" s="121" t="s">
        <v>375</v>
      </c>
      <c r="F1106" s="121" t="s">
        <v>375</v>
      </c>
      <c r="G1106" s="289"/>
      <c r="H1106" s="289"/>
      <c r="I1106" s="121"/>
      <c r="J1106" s="289"/>
      <c r="K1106" s="289"/>
      <c r="L1106" s="403">
        <f>1518.3*unit.Mt</f>
        <v>1.5183</v>
      </c>
      <c r="M1106" s="242"/>
      <c r="N1106" s="242"/>
      <c r="O1106" s="242"/>
      <c r="P1106" s="242"/>
      <c r="Q1106" s="242"/>
      <c r="R1106" s="242"/>
      <c r="T1106" s="20" t="s">
        <v>1594</v>
      </c>
      <c r="U1106" s="20"/>
      <c r="V1106" s="20"/>
      <c r="W1106" s="20"/>
      <c r="X1106" s="20"/>
    </row>
    <row r="1107" spans="1:24" s="65" customFormat="1" ht="15" customHeight="1" outlineLevel="2">
      <c r="A1107" s="219"/>
      <c r="B1107" s="242"/>
      <c r="C1107" s="121"/>
      <c r="D1107" s="121"/>
      <c r="E1107" s="121"/>
      <c r="F1107" s="121"/>
      <c r="G1107" s="289"/>
      <c r="H1107" s="289"/>
      <c r="I1107" s="121"/>
      <c r="J1107" s="289"/>
      <c r="K1107" s="289"/>
      <c r="L1107" s="403"/>
      <c r="M1107" s="242"/>
      <c r="N1107" s="242"/>
      <c r="O1107" s="242"/>
      <c r="P1107" s="242"/>
      <c r="Q1107" s="242"/>
      <c r="R1107" s="242"/>
      <c r="T1107" s="20"/>
      <c r="U1107" s="20"/>
      <c r="V1107" s="20"/>
      <c r="W1107" s="20"/>
      <c r="X1107" s="20"/>
    </row>
    <row r="1108" spans="1:24" s="65" customFormat="1" ht="15" customHeight="1" outlineLevel="2">
      <c r="A1108" s="219"/>
      <c r="B1108" s="242"/>
      <c r="C1108" s="121" t="s">
        <v>1418</v>
      </c>
      <c r="D1108" s="121"/>
      <c r="E1108" s="121" t="s">
        <v>1583</v>
      </c>
      <c r="F1108" s="121" t="s">
        <v>56</v>
      </c>
      <c r="G1108" s="289">
        <f>H1102</f>
        <v>268000000</v>
      </c>
      <c r="H1108" s="289">
        <f>G1108</f>
        <v>268000000</v>
      </c>
      <c r="I1108" s="121" t="s">
        <v>1474</v>
      </c>
      <c r="J1108" s="289">
        <v>20</v>
      </c>
      <c r="K1108" s="289">
        <f>L1108/G1108*10^6</f>
        <v>4.1044776119402987E-5</v>
      </c>
      <c r="L1108" s="403">
        <f>11*unit.Mt</f>
        <v>1.0999999999999999E-2</v>
      </c>
      <c r="M1108" s="242"/>
      <c r="N1108" s="242"/>
      <c r="O1108" s="242"/>
      <c r="P1108" s="242"/>
      <c r="Q1108" s="242"/>
      <c r="R1108" s="242"/>
      <c r="T1108" s="20" t="s">
        <v>1576</v>
      </c>
      <c r="U1108" s="20"/>
      <c r="V1108" s="20"/>
      <c r="W1108" s="20" t="s">
        <v>1598</v>
      </c>
      <c r="X1108" s="20"/>
    </row>
    <row r="1109" spans="1:24" s="65" customFormat="1" ht="15" customHeight="1" outlineLevel="2">
      <c r="A1109" s="219"/>
      <c r="B1109" s="242"/>
      <c r="C1109" s="121"/>
      <c r="D1109" s="121"/>
      <c r="E1109" s="121" t="s">
        <v>1580</v>
      </c>
      <c r="F1109" s="121" t="s">
        <v>1597</v>
      </c>
      <c r="G1109" s="289">
        <f>L1109*10^6/K1109</f>
        <v>13333333.333333334</v>
      </c>
      <c r="H1109" s="289">
        <f>G1109</f>
        <v>13333333.333333334</v>
      </c>
      <c r="I1109" s="121" t="s">
        <v>156</v>
      </c>
      <c r="J1109" s="289">
        <v>20</v>
      </c>
      <c r="K1109" s="289">
        <f>0.3*unit.Mt</f>
        <v>2.9999999999999997E-4</v>
      </c>
      <c r="L1109" s="403">
        <f>4*unit.Mt</f>
        <v>4.0000000000000001E-3</v>
      </c>
      <c r="M1109" s="242"/>
      <c r="N1109" s="242"/>
      <c r="O1109" s="242"/>
      <c r="P1109" s="242"/>
      <c r="Q1109" s="242"/>
      <c r="R1109" s="242"/>
      <c r="T1109" s="20"/>
      <c r="U1109" s="20"/>
      <c r="V1109" s="20"/>
      <c r="W1109" s="20"/>
      <c r="X1109" s="20"/>
    </row>
    <row r="1110" spans="1:24" s="65" customFormat="1" ht="15" customHeight="1" outlineLevel="2">
      <c r="A1110" s="219"/>
      <c r="B1110" s="242"/>
      <c r="C1110" s="121"/>
      <c r="D1110" s="121"/>
      <c r="E1110" s="121"/>
      <c r="F1110" s="121" t="s">
        <v>1581</v>
      </c>
      <c r="G1110" s="289">
        <f>L1110*10^6/K1110</f>
        <v>6666666.666666667</v>
      </c>
      <c r="H1110" s="289">
        <f>G1110</f>
        <v>6666666.666666667</v>
      </c>
      <c r="I1110" s="121" t="s">
        <v>1489</v>
      </c>
      <c r="J1110" s="289">
        <v>20</v>
      </c>
      <c r="K1110" s="289">
        <f>0.3*unit.Mt</f>
        <v>2.9999999999999997E-4</v>
      </c>
      <c r="L1110" s="403">
        <f>2*unit.Mt</f>
        <v>2E-3</v>
      </c>
      <c r="M1110" s="242"/>
      <c r="N1110" s="242"/>
      <c r="O1110" s="242"/>
      <c r="P1110" s="242"/>
      <c r="Q1110" s="242"/>
      <c r="R1110" s="242"/>
      <c r="T1110" s="20" t="s">
        <v>1582</v>
      </c>
      <c r="U1110" s="20"/>
      <c r="V1110" s="20"/>
      <c r="W1110" s="20">
        <v>0.3</v>
      </c>
      <c r="X1110" s="20"/>
    </row>
    <row r="1111" spans="1:24" s="65" customFormat="1" ht="15" customHeight="1" outlineLevel="2">
      <c r="A1111" s="219"/>
      <c r="B1111" s="242"/>
      <c r="C1111" s="121"/>
      <c r="D1111" s="121"/>
      <c r="E1111" s="121"/>
      <c r="F1111" s="121" t="s">
        <v>1488</v>
      </c>
      <c r="G1111" s="289">
        <f>L1111*10^6/K1111</f>
        <v>10000000</v>
      </c>
      <c r="H1111" s="289">
        <f>G1111</f>
        <v>10000000</v>
      </c>
      <c r="I1111" s="121" t="s">
        <v>1489</v>
      </c>
      <c r="J1111" s="289">
        <v>20</v>
      </c>
      <c r="K1111" s="289">
        <f>0.3*unit.Mt</f>
        <v>2.9999999999999997E-4</v>
      </c>
      <c r="L1111" s="403">
        <f>3*unit.Mt</f>
        <v>3.0000000000000001E-3</v>
      </c>
      <c r="M1111" s="242"/>
      <c r="N1111" s="242"/>
      <c r="O1111" s="242"/>
      <c r="P1111" s="242"/>
      <c r="Q1111" s="242"/>
      <c r="R1111" s="242"/>
      <c r="T1111" s="20" t="s">
        <v>1582</v>
      </c>
      <c r="U1111" s="20"/>
      <c r="V1111" s="20"/>
      <c r="W1111" s="20">
        <v>0.3</v>
      </c>
      <c r="X1111" s="20"/>
    </row>
    <row r="1112" spans="1:24" s="65" customFormat="1" ht="15" customHeight="1" outlineLevel="2">
      <c r="A1112" s="219"/>
      <c r="B1112" s="242"/>
      <c r="C1112" s="121"/>
      <c r="D1112" s="121"/>
      <c r="E1112" s="121" t="s">
        <v>51</v>
      </c>
      <c r="F1112" s="121" t="s">
        <v>1482</v>
      </c>
      <c r="G1112" s="289">
        <f>L1112*10^6/K1112</f>
        <v>1020.4081632653061</v>
      </c>
      <c r="H1112" s="289">
        <f>G1112</f>
        <v>1020.4081632653061</v>
      </c>
      <c r="I1112" s="121" t="s">
        <v>1472</v>
      </c>
      <c r="J1112" s="289">
        <v>20</v>
      </c>
      <c r="K1112" s="289">
        <f>980*unit.Mt</f>
        <v>0.98</v>
      </c>
      <c r="L1112" s="403">
        <f>1*unit.Mt</f>
        <v>1E-3</v>
      </c>
      <c r="M1112" s="242"/>
      <c r="N1112" s="242"/>
      <c r="O1112" s="242"/>
      <c r="P1112" s="242"/>
      <c r="Q1112" s="242"/>
      <c r="R1112" s="242"/>
      <c r="T1112" s="20" t="s">
        <v>1596</v>
      </c>
      <c r="U1112" s="20"/>
      <c r="V1112" s="20"/>
      <c r="W1112" s="20" t="s">
        <v>1440</v>
      </c>
      <c r="X1112" s="20"/>
    </row>
    <row r="1113" spans="1:24" s="65" customFormat="1" ht="15" customHeight="1" outlineLevel="2">
      <c r="A1113" s="219"/>
      <c r="B1113" s="242"/>
      <c r="C1113" s="121"/>
      <c r="D1113" s="121"/>
      <c r="E1113" s="121"/>
      <c r="F1113" s="121" t="s">
        <v>1575</v>
      </c>
      <c r="G1113" s="289">
        <f t="shared" ref="G1113:G1114" si="51">L1113*10^6/K1113</f>
        <v>66666666.666666664</v>
      </c>
      <c r="H1113" s="289">
        <f t="shared" ref="H1113:H1116" si="52">G1113</f>
        <v>66666666.666666664</v>
      </c>
      <c r="I1113" s="121" t="s">
        <v>1472</v>
      </c>
      <c r="J1113" s="289">
        <v>20</v>
      </c>
      <c r="K1113" s="289">
        <f>0.12*unit.Mt</f>
        <v>1.2E-4</v>
      </c>
      <c r="L1113" s="403">
        <f>8*unit.Mt</f>
        <v>8.0000000000000002E-3</v>
      </c>
      <c r="M1113" s="242"/>
      <c r="N1113" s="242"/>
      <c r="O1113" s="242"/>
      <c r="P1113" s="242"/>
      <c r="Q1113" s="242"/>
      <c r="R1113" s="242"/>
      <c r="T1113" s="20" t="s">
        <v>1576</v>
      </c>
      <c r="U1113" s="20"/>
      <c r="V1113" s="20"/>
      <c r="W1113" s="20" t="s">
        <v>1576</v>
      </c>
      <c r="X1113" s="20"/>
    </row>
    <row r="1114" spans="1:24" s="65" customFormat="1" ht="15" customHeight="1" outlineLevel="2">
      <c r="A1114" s="219"/>
      <c r="B1114" s="242"/>
      <c r="C1114" s="121"/>
      <c r="D1114" s="121"/>
      <c r="E1114" s="121"/>
      <c r="F1114" s="121" t="s">
        <v>1577</v>
      </c>
      <c r="G1114" s="289">
        <f t="shared" si="51"/>
        <v>25925925.925925925</v>
      </c>
      <c r="H1114" s="289">
        <f t="shared" si="52"/>
        <v>25925925.925925925</v>
      </c>
      <c r="I1114" s="121" t="s">
        <v>1472</v>
      </c>
      <c r="J1114" s="289">
        <v>20</v>
      </c>
      <c r="K1114" s="289">
        <f>K1113*L1098/L1104</f>
        <v>1.1571428571428571E-4</v>
      </c>
      <c r="L1114" s="403">
        <f>3*unit.Mt</f>
        <v>3.0000000000000001E-3</v>
      </c>
      <c r="M1114" s="242"/>
      <c r="N1114" s="242"/>
      <c r="O1114" s="242"/>
      <c r="P1114" s="242"/>
      <c r="Q1114" s="242"/>
      <c r="R1114" s="242"/>
      <c r="T1114" s="20" t="s">
        <v>1582</v>
      </c>
      <c r="U1114" s="20"/>
      <c r="V1114" s="20"/>
      <c r="W1114" s="20" t="s">
        <v>1595</v>
      </c>
      <c r="X1114" s="20"/>
    </row>
    <row r="1115" spans="1:24" s="65" customFormat="1" ht="15" customHeight="1" outlineLevel="2">
      <c r="A1115" s="219"/>
      <c r="B1115" s="242"/>
      <c r="C1115" s="121"/>
      <c r="D1115" s="121"/>
      <c r="E1115" s="121" t="s">
        <v>1588</v>
      </c>
      <c r="F1115" s="121" t="s">
        <v>1590</v>
      </c>
      <c r="G1115" s="289">
        <f>L1115*10^6/K1115</f>
        <v>20000000</v>
      </c>
      <c r="H1115" s="289">
        <f t="shared" si="52"/>
        <v>20000000</v>
      </c>
      <c r="I1115" s="121" t="s">
        <v>1489</v>
      </c>
      <c r="J1115" s="289">
        <v>20</v>
      </c>
      <c r="K1115" s="289">
        <f>0.3*unit.Mt</f>
        <v>2.9999999999999997E-4</v>
      </c>
      <c r="L1115" s="403">
        <f>6*unit.Mt</f>
        <v>6.0000000000000001E-3</v>
      </c>
      <c r="M1115" s="242"/>
      <c r="N1115" s="242"/>
      <c r="O1115" s="242"/>
      <c r="P1115" s="242"/>
      <c r="Q1115" s="242"/>
      <c r="R1115" s="242"/>
      <c r="T1115" s="20" t="s">
        <v>1582</v>
      </c>
      <c r="U1115" s="20"/>
      <c r="V1115" s="20"/>
      <c r="W1115" s="20">
        <v>0.3</v>
      </c>
      <c r="X1115" s="20"/>
    </row>
    <row r="1116" spans="1:24" s="65" customFormat="1" ht="15" customHeight="1" outlineLevel="2">
      <c r="A1116" s="219"/>
      <c r="B1116" s="242"/>
      <c r="C1116" s="121"/>
      <c r="D1116" s="121"/>
      <c r="E1116" s="121"/>
      <c r="F1116" s="121" t="s">
        <v>1591</v>
      </c>
      <c r="G1116" s="289">
        <f>L1116*10^6/K1116</f>
        <v>10000000</v>
      </c>
      <c r="H1116" s="289">
        <f t="shared" si="52"/>
        <v>10000000</v>
      </c>
      <c r="I1116" s="121" t="s">
        <v>1489</v>
      </c>
      <c r="J1116" s="289">
        <v>20</v>
      </c>
      <c r="K1116" s="289">
        <f>0.3*unit.Mt</f>
        <v>2.9999999999999997E-4</v>
      </c>
      <c r="L1116" s="403">
        <f>3*unit.Mt</f>
        <v>3.0000000000000001E-3</v>
      </c>
      <c r="M1116" s="242"/>
      <c r="N1116" s="242"/>
      <c r="O1116" s="242"/>
      <c r="P1116" s="242"/>
      <c r="Q1116" s="242"/>
      <c r="R1116" s="242"/>
      <c r="T1116" s="20" t="s">
        <v>1582</v>
      </c>
      <c r="U1116" s="20"/>
      <c r="V1116" s="20"/>
      <c r="W1116" s="20">
        <v>0.3</v>
      </c>
      <c r="X1116" s="20"/>
    </row>
    <row r="1117" spans="1:24" s="65" customFormat="1" ht="15" customHeight="1" outlineLevel="2">
      <c r="A1117" s="219"/>
      <c r="B1117" s="242"/>
      <c r="C1117" s="121"/>
      <c r="D1117" s="121"/>
      <c r="E1117" s="121"/>
      <c r="F1117" s="121" t="s">
        <v>1589</v>
      </c>
      <c r="G1117" s="289">
        <f>L1117*10^6/K1117</f>
        <v>13333333.333333334</v>
      </c>
      <c r="H1117" s="289">
        <f>G1117</f>
        <v>13333333.333333334</v>
      </c>
      <c r="I1117" s="121" t="s">
        <v>1489</v>
      </c>
      <c r="J1117" s="289">
        <v>20</v>
      </c>
      <c r="K1117" s="289">
        <f>0.3*unit.Mt</f>
        <v>2.9999999999999997E-4</v>
      </c>
      <c r="L1117" s="403">
        <f>4*unit.Mt</f>
        <v>4.0000000000000001E-3</v>
      </c>
      <c r="M1117" s="242"/>
      <c r="N1117" s="242"/>
      <c r="O1117" s="242"/>
      <c r="P1117" s="242"/>
      <c r="Q1117" s="242"/>
      <c r="R1117" s="242"/>
      <c r="T1117" s="20" t="s">
        <v>1582</v>
      </c>
      <c r="U1117" s="20"/>
      <c r="V1117" s="20"/>
      <c r="W1117" s="20">
        <v>0.3</v>
      </c>
      <c r="X1117" s="20"/>
    </row>
    <row r="1118" spans="1:24" s="65" customFormat="1" ht="15" customHeight="1" outlineLevel="2">
      <c r="A1118" s="219"/>
      <c r="B1118" s="242"/>
      <c r="C1118" s="121"/>
      <c r="D1118" s="121"/>
      <c r="E1118" s="121" t="s">
        <v>299</v>
      </c>
      <c r="F1118" s="121" t="s">
        <v>299</v>
      </c>
      <c r="G1118" s="289"/>
      <c r="H1118" s="289"/>
      <c r="I1118" s="121"/>
      <c r="J1118" s="289"/>
      <c r="K1118" s="289"/>
      <c r="L1118" s="403">
        <f>L1119-SUM(L1108:L1117)</f>
        <v>4.7661824812873316E-2</v>
      </c>
      <c r="M1118" s="242"/>
      <c r="N1118" s="242"/>
      <c r="O1118" s="242"/>
      <c r="P1118" s="242"/>
      <c r="Q1118" s="242"/>
      <c r="R1118" s="242"/>
      <c r="T1118" s="20" t="s">
        <v>1593</v>
      </c>
      <c r="U1118" s="20"/>
      <c r="V1118" s="20"/>
      <c r="W1118" s="20" t="s">
        <v>1592</v>
      </c>
      <c r="X1118" s="20"/>
    </row>
    <row r="1119" spans="1:24" s="65" customFormat="1" ht="15" customHeight="1" outlineLevel="2">
      <c r="A1119" s="219"/>
      <c r="B1119" s="242"/>
      <c r="C1119" s="121"/>
      <c r="D1119" s="121"/>
      <c r="E1119" s="121" t="s">
        <v>375</v>
      </c>
      <c r="F1119" s="121" t="s">
        <v>375</v>
      </c>
      <c r="G1119" s="289"/>
      <c r="H1119" s="289"/>
      <c r="I1119" s="121"/>
      <c r="J1119" s="289"/>
      <c r="K1119" s="289"/>
      <c r="L1119" s="404">
        <f>92.6618248128733*unit.Mt</f>
        <v>9.2661824812873314E-2</v>
      </c>
      <c r="M1119" s="242"/>
      <c r="N1119" s="242"/>
      <c r="O1119" s="242"/>
      <c r="P1119" s="242"/>
      <c r="Q1119" s="242"/>
      <c r="R1119" s="242"/>
      <c r="T1119" s="20" t="s">
        <v>1594</v>
      </c>
      <c r="U1119" s="20"/>
      <c r="V1119" s="20"/>
      <c r="W1119" s="20"/>
      <c r="X1119" s="20"/>
    </row>
    <row r="1120" spans="1:24" s="65" customFormat="1" ht="15" customHeight="1" outlineLevel="2">
      <c r="A1120" s="219"/>
      <c r="B1120" s="242"/>
      <c r="C1120" s="121"/>
      <c r="D1120" s="121"/>
      <c r="E1120" s="121"/>
      <c r="F1120" s="121"/>
      <c r="G1120" s="289"/>
      <c r="H1120" s="289"/>
      <c r="I1120" s="121"/>
      <c r="J1120" s="289"/>
      <c r="K1120" s="289"/>
      <c r="L1120" s="403"/>
      <c r="M1120" s="242"/>
      <c r="N1120" s="242"/>
      <c r="O1120" s="242"/>
      <c r="P1120" s="242"/>
      <c r="Q1120" s="242"/>
      <c r="R1120" s="242"/>
      <c r="T1120" s="20"/>
      <c r="U1120" s="20"/>
      <c r="V1120" s="20"/>
      <c r="W1120" s="20"/>
      <c r="X1120" s="20"/>
    </row>
    <row r="1121" spans="1:24" s="65" customFormat="1" ht="15" customHeight="1" outlineLevel="2">
      <c r="A1121" s="219"/>
      <c r="B1121" s="242"/>
      <c r="C1121" s="121" t="s">
        <v>1435</v>
      </c>
      <c r="D1121" s="121" t="s">
        <v>1934</v>
      </c>
      <c r="E1121" s="121"/>
      <c r="F1121" s="121"/>
      <c r="G1121" s="289"/>
      <c r="H1121" s="289"/>
      <c r="I1121" s="121"/>
      <c r="J1121" s="289"/>
      <c r="K1121" s="289"/>
      <c r="L1121" s="403">
        <f>319.54321918044*unit.Mt</f>
        <v>0.31954321918044004</v>
      </c>
      <c r="M1121" s="242"/>
      <c r="N1121" s="242"/>
      <c r="O1121" s="242"/>
      <c r="P1121" s="242"/>
      <c r="Q1121" s="242"/>
      <c r="R1121" s="242"/>
      <c r="T1121" s="20"/>
      <c r="U1121" s="20"/>
      <c r="V1121" s="20"/>
      <c r="W1121" s="20"/>
      <c r="X1121" s="20"/>
    </row>
    <row r="1122" spans="1:24" s="65" customFormat="1" ht="15" customHeight="1" outlineLevel="2">
      <c r="A1122" s="219"/>
      <c r="B1122" s="242"/>
      <c r="C1122" s="121"/>
      <c r="D1122" s="121" t="s">
        <v>1622</v>
      </c>
      <c r="E1122" s="121"/>
      <c r="F1122" s="121"/>
      <c r="G1122" s="289"/>
      <c r="H1122" s="289"/>
      <c r="I1122" s="121"/>
      <c r="J1122" s="289"/>
      <c r="K1122" s="289"/>
      <c r="L1122" s="403">
        <f>163.870192214286*unit.Mt</f>
        <v>0.163870192214286</v>
      </c>
      <c r="M1122" s="242"/>
      <c r="N1122" s="242"/>
      <c r="O1122" s="242"/>
      <c r="P1122" s="242"/>
      <c r="Q1122" s="242"/>
      <c r="R1122" s="242"/>
      <c r="T1122" s="20"/>
      <c r="U1122" s="20"/>
      <c r="V1122" s="20"/>
      <c r="W1122" s="20"/>
      <c r="X1122" s="20"/>
    </row>
    <row r="1123" spans="1:24" s="65" customFormat="1" ht="15" customHeight="1" outlineLevel="2">
      <c r="A1123" s="219"/>
      <c r="B1123" s="242"/>
      <c r="C1123" s="121"/>
      <c r="D1123" s="121" t="s">
        <v>1623</v>
      </c>
      <c r="E1123" s="121"/>
      <c r="F1123" s="121"/>
      <c r="G1123" s="289"/>
      <c r="H1123" s="289"/>
      <c r="I1123" s="121"/>
      <c r="J1123" s="289"/>
      <c r="K1123" s="289"/>
      <c r="L1123" s="403">
        <f>58.0195399496282*unit.Mt</f>
        <v>5.8019539949628197E-2</v>
      </c>
      <c r="M1123" s="242"/>
      <c r="N1123" s="242"/>
      <c r="O1123" s="242"/>
      <c r="P1123" s="242"/>
      <c r="Q1123" s="242"/>
      <c r="R1123" s="242"/>
      <c r="T1123" s="20"/>
      <c r="U1123" s="20"/>
      <c r="V1123" s="20"/>
      <c r="W1123" s="20"/>
      <c r="X1123" s="20"/>
    </row>
    <row r="1124" spans="1:24" s="65" customFormat="1" ht="15" customHeight="1" outlineLevel="2">
      <c r="A1124" s="219"/>
      <c r="B1124" s="242"/>
      <c r="C1124" s="121"/>
      <c r="D1124" s="121" t="s">
        <v>1894</v>
      </c>
      <c r="E1124" s="121"/>
      <c r="F1124" s="121"/>
      <c r="G1124" s="289"/>
      <c r="H1124" s="289"/>
      <c r="I1124" s="121"/>
      <c r="J1124" s="289"/>
      <c r="K1124" s="289"/>
      <c r="L1124" s="403">
        <f>100*unit.Mt</f>
        <v>0.1</v>
      </c>
      <c r="M1124" s="242"/>
      <c r="N1124" s="242"/>
      <c r="O1124" s="242"/>
      <c r="P1124" s="242"/>
      <c r="Q1124" s="242"/>
      <c r="R1124" s="242"/>
      <c r="T1124" s="20"/>
      <c r="U1124" s="20"/>
      <c r="V1124" s="20"/>
      <c r="W1124" s="20"/>
      <c r="X1124" s="20"/>
    </row>
    <row r="1125" spans="1:24" s="65" customFormat="1" ht="15" customHeight="1" outlineLevel="2">
      <c r="A1125" s="219"/>
      <c r="B1125" s="242"/>
      <c r="C1125" s="121"/>
      <c r="D1125" s="121" t="s">
        <v>375</v>
      </c>
      <c r="E1125" s="121" t="s">
        <v>375</v>
      </c>
      <c r="F1125" s="121" t="s">
        <v>375</v>
      </c>
      <c r="G1125" s="289"/>
      <c r="H1125" s="289"/>
      <c r="I1125" s="121"/>
      <c r="J1125" s="289"/>
      <c r="K1125" s="289"/>
      <c r="L1125" s="403">
        <f>SUM(L1121:L1124)</f>
        <v>0.64143295134435419</v>
      </c>
      <c r="M1125" s="242"/>
      <c r="N1125" s="242"/>
      <c r="O1125" s="242"/>
      <c r="P1125" s="242"/>
      <c r="Q1125" s="242"/>
      <c r="R1125" s="242"/>
      <c r="T1125" s="20" t="s">
        <v>1602</v>
      </c>
      <c r="U1125" s="20"/>
      <c r="V1125" s="20"/>
      <c r="W1125" s="20"/>
      <c r="X1125" s="20"/>
    </row>
    <row r="1126" spans="1:24" s="65" customFormat="1" ht="15" customHeight="1" outlineLevel="2">
      <c r="A1126" s="219"/>
      <c r="B1126" s="242"/>
      <c r="C1126" s="121"/>
      <c r="D1126" s="121"/>
      <c r="E1126" s="121"/>
      <c r="F1126" s="121"/>
      <c r="G1126" s="289"/>
      <c r="H1126" s="289"/>
      <c r="I1126" s="121"/>
      <c r="J1126" s="289"/>
      <c r="K1126" s="289"/>
      <c r="L1126" s="403"/>
      <c r="M1126" s="242"/>
      <c r="N1126" s="242"/>
      <c r="O1126" s="242"/>
      <c r="P1126" s="242"/>
      <c r="Q1126" s="242"/>
      <c r="R1126" s="242"/>
      <c r="T1126" s="20"/>
      <c r="U1126" s="20"/>
      <c r="V1126" s="20"/>
      <c r="W1126" s="20"/>
      <c r="X1126" s="20"/>
    </row>
    <row r="1127" spans="1:24" s="65" customFormat="1" ht="15" customHeight="1" outlineLevel="2">
      <c r="A1127" s="219"/>
      <c r="B1127" s="242"/>
      <c r="C1127" s="121" t="s">
        <v>1603</v>
      </c>
      <c r="D1127" s="121"/>
      <c r="E1127" s="121" t="s">
        <v>375</v>
      </c>
      <c r="F1127" s="121" t="s">
        <v>375</v>
      </c>
      <c r="G1127" s="289"/>
      <c r="H1127" s="289"/>
      <c r="I1127" s="121"/>
      <c r="J1127" s="289"/>
      <c r="K1127" s="289"/>
      <c r="L1127" s="403">
        <f>611.151461*unit.Mt</f>
        <v>0.61115146100000006</v>
      </c>
      <c r="M1127" s="242"/>
      <c r="N1127" s="242"/>
      <c r="O1127" s="242"/>
      <c r="P1127" s="242"/>
      <c r="Q1127" s="242"/>
      <c r="R1127" s="242"/>
      <c r="T1127" s="20" t="s">
        <v>1604</v>
      </c>
      <c r="U1127" s="20"/>
      <c r="V1127" s="20"/>
      <c r="W1127" s="20"/>
      <c r="X1127" s="20"/>
    </row>
    <row r="1128" spans="1:24" s="65" customFormat="1" ht="15" customHeight="1" outlineLevel="2">
      <c r="A1128" s="219"/>
      <c r="B1128" s="242"/>
      <c r="C1128" s="121"/>
      <c r="D1128" s="121"/>
      <c r="E1128" s="121"/>
      <c r="F1128" s="121"/>
      <c r="G1128" s="289"/>
      <c r="H1128" s="289"/>
      <c r="I1128" s="121"/>
      <c r="J1128" s="289"/>
      <c r="K1128" s="289"/>
      <c r="L1128" s="403"/>
      <c r="M1128" s="242"/>
      <c r="N1128" s="242"/>
      <c r="O1128" s="242"/>
      <c r="P1128" s="242"/>
      <c r="Q1128" s="242"/>
      <c r="R1128" s="242"/>
      <c r="T1128" s="20"/>
      <c r="U1128" s="20"/>
      <c r="V1128" s="20"/>
      <c r="W1128" s="20"/>
      <c r="X1128" s="20"/>
    </row>
    <row r="1129" spans="1:24" s="65" customFormat="1" ht="15" customHeight="1" outlineLevel="2">
      <c r="A1129" s="219"/>
      <c r="B1129" s="242"/>
      <c r="C1129" s="121" t="s">
        <v>1426</v>
      </c>
      <c r="D1129" s="121"/>
      <c r="E1129" s="121" t="s">
        <v>1583</v>
      </c>
      <c r="F1129" s="121" t="s">
        <v>56</v>
      </c>
      <c r="G1129" s="289">
        <f>G1108</f>
        <v>268000000</v>
      </c>
      <c r="H1129" s="289">
        <f>G1129</f>
        <v>268000000</v>
      </c>
      <c r="I1129" s="121" t="s">
        <v>1474</v>
      </c>
      <c r="J1129" s="289">
        <v>20</v>
      </c>
      <c r="K1129" s="289">
        <f>L1129/G1129*10^6</f>
        <v>7.462686567164179E-3</v>
      </c>
      <c r="L1129" s="403">
        <f>2000*unit.Mt</f>
        <v>2</v>
      </c>
      <c r="M1129" s="242"/>
      <c r="N1129" s="242"/>
      <c r="O1129" s="242"/>
      <c r="P1129" s="242"/>
      <c r="Q1129" s="242"/>
      <c r="R1129" s="242"/>
      <c r="T1129" s="20" t="s">
        <v>1576</v>
      </c>
      <c r="U1129" s="20"/>
      <c r="V1129" s="20"/>
      <c r="W1129" s="20" t="s">
        <v>1599</v>
      </c>
      <c r="X1129" s="20"/>
    </row>
    <row r="1130" spans="1:24" s="65" customFormat="1" ht="15" customHeight="1" outlineLevel="2">
      <c r="A1130" s="219"/>
      <c r="B1130" s="242"/>
      <c r="C1130" s="121"/>
      <c r="D1130" s="121"/>
      <c r="E1130" s="121" t="s">
        <v>299</v>
      </c>
      <c r="F1130" s="121" t="s">
        <v>299</v>
      </c>
      <c r="G1130" s="289"/>
      <c r="H1130" s="289"/>
      <c r="I1130" s="121"/>
      <c r="J1130" s="289"/>
      <c r="K1130" s="289"/>
      <c r="L1130" s="403">
        <f>L1131-SUM(L1129)</f>
        <v>1.6303640407050004</v>
      </c>
      <c r="M1130" s="242"/>
      <c r="N1130" s="242"/>
      <c r="O1130" s="242"/>
      <c r="P1130" s="242"/>
      <c r="Q1130" s="242"/>
      <c r="R1130" s="242"/>
      <c r="T1130" s="20" t="s">
        <v>1593</v>
      </c>
      <c r="U1130" s="20"/>
      <c r="V1130" s="20"/>
      <c r="W1130" s="20" t="s">
        <v>1592</v>
      </c>
      <c r="X1130" s="20"/>
    </row>
    <row r="1131" spans="1:24" s="65" customFormat="1" ht="15" customHeight="1" outlineLevel="2">
      <c r="A1131" s="219"/>
      <c r="B1131" s="242"/>
      <c r="C1131" s="121"/>
      <c r="D1131" s="121"/>
      <c r="E1131" s="121" t="s">
        <v>375</v>
      </c>
      <c r="F1131" s="121" t="s">
        <v>375</v>
      </c>
      <c r="G1131" s="289"/>
      <c r="H1131" s="289"/>
      <c r="I1131" s="121"/>
      <c r="J1131" s="289"/>
      <c r="K1131" s="289"/>
      <c r="L1131" s="403">
        <f>3630.364040705*unit.Mt</f>
        <v>3.6303640407050004</v>
      </c>
      <c r="M1131" s="242"/>
      <c r="N1131" s="242"/>
      <c r="O1131" s="242"/>
      <c r="P1131" s="242"/>
      <c r="Q1131" s="242"/>
      <c r="R1131" s="242"/>
      <c r="T1131" s="20" t="s">
        <v>1600</v>
      </c>
      <c r="U1131" s="20"/>
      <c r="V1131" s="20"/>
      <c r="W1131" s="20"/>
      <c r="X1131" s="20"/>
    </row>
    <row r="1132" spans="1:24" s="65" customFormat="1" ht="15" customHeight="1" outlineLevel="2">
      <c r="A1132" s="219"/>
      <c r="B1132" s="242"/>
      <c r="C1132" s="121"/>
      <c r="D1132" s="121"/>
      <c r="E1132" s="121"/>
      <c r="F1132" s="121"/>
      <c r="G1132" s="289"/>
      <c r="H1132" s="289"/>
      <c r="I1132" s="121"/>
      <c r="J1132" s="289"/>
      <c r="K1132" s="289"/>
      <c r="L1132" s="403"/>
      <c r="M1132" s="242"/>
      <c r="N1132" s="242"/>
      <c r="O1132" s="242"/>
      <c r="P1132" s="242"/>
      <c r="Q1132" s="242"/>
      <c r="R1132" s="242"/>
      <c r="T1132" s="20"/>
      <c r="U1132" s="20"/>
      <c r="V1132" s="20"/>
      <c r="W1132" s="20"/>
      <c r="X1132" s="20"/>
    </row>
    <row r="1133" spans="1:24" s="65" customFormat="1" ht="15" customHeight="1" outlineLevel="2">
      <c r="A1133" s="219"/>
      <c r="B1133" s="242"/>
      <c r="C1133" s="121" t="s">
        <v>299</v>
      </c>
      <c r="D1133" s="121"/>
      <c r="E1133" s="121" t="s">
        <v>1605</v>
      </c>
      <c r="F1133" s="121" t="s">
        <v>1540</v>
      </c>
      <c r="G1133" s="289" t="s">
        <v>1440</v>
      </c>
      <c r="H1133" s="289" t="s">
        <v>1440</v>
      </c>
      <c r="I1133" s="121" t="s">
        <v>1472</v>
      </c>
      <c r="J1133" s="289" t="s">
        <v>1440</v>
      </c>
      <c r="K1133" s="289" t="s">
        <v>1440</v>
      </c>
      <c r="L1133" s="403"/>
      <c r="M1133" s="242"/>
      <c r="N1133" s="242"/>
      <c r="O1133" s="242"/>
      <c r="P1133" s="242"/>
      <c r="Q1133" s="242"/>
      <c r="R1133" s="242"/>
      <c r="T1133" s="20" t="s">
        <v>1606</v>
      </c>
      <c r="U1133" s="20"/>
      <c r="V1133" s="20"/>
      <c r="W1133" s="20" t="s">
        <v>1606</v>
      </c>
      <c r="X1133" s="20"/>
    </row>
    <row r="1134" spans="1:24" s="65" customFormat="1" ht="15" customHeight="1" outlineLevel="2">
      <c r="A1134" s="219"/>
      <c r="B1134" s="242"/>
      <c r="C1134" s="121"/>
      <c r="D1134" s="121"/>
      <c r="E1134" s="121" t="s">
        <v>1605</v>
      </c>
      <c r="F1134" s="121" t="s">
        <v>1551</v>
      </c>
      <c r="G1134" s="289" t="s">
        <v>1440</v>
      </c>
      <c r="H1134" s="289" t="s">
        <v>1440</v>
      </c>
      <c r="I1134" s="121" t="s">
        <v>1474</v>
      </c>
      <c r="J1134" s="289" t="s">
        <v>1440</v>
      </c>
      <c r="K1134" s="289" t="s">
        <v>1440</v>
      </c>
      <c r="L1134" s="403"/>
      <c r="M1134" s="242"/>
      <c r="N1134" s="242"/>
      <c r="O1134" s="242"/>
      <c r="P1134" s="242"/>
      <c r="Q1134" s="242"/>
      <c r="R1134" s="242"/>
      <c r="T1134" s="20" t="s">
        <v>1606</v>
      </c>
      <c r="U1134" s="20"/>
      <c r="V1134" s="20"/>
      <c r="W1134" s="20" t="s">
        <v>1606</v>
      </c>
      <c r="X1134" s="20"/>
    </row>
    <row r="1135" spans="1:24" s="65" customFormat="1" ht="15" customHeight="1" outlineLevel="2">
      <c r="A1135" s="219"/>
      <c r="B1135" s="242"/>
      <c r="C1135" s="121"/>
      <c r="D1135" s="121"/>
      <c r="E1135" s="121" t="s">
        <v>299</v>
      </c>
      <c r="F1135" s="121"/>
      <c r="G1135" s="289"/>
      <c r="H1135" s="289"/>
      <c r="I1135" s="121"/>
      <c r="J1135" s="289"/>
      <c r="K1135" s="289"/>
      <c r="L1135" s="403"/>
      <c r="M1135" s="242"/>
      <c r="N1135" s="242"/>
      <c r="O1135" s="242"/>
      <c r="P1135" s="242"/>
      <c r="Q1135" s="242"/>
      <c r="R1135" s="242"/>
      <c r="T1135" s="20"/>
      <c r="U1135" s="20"/>
      <c r="V1135" s="20"/>
      <c r="W1135" s="20"/>
      <c r="X1135" s="20"/>
    </row>
    <row r="1136" spans="1:24" s="65" customFormat="1" ht="15" customHeight="1" outlineLevel="2" thickBot="1">
      <c r="A1136" s="285"/>
      <c r="B1136" s="242"/>
      <c r="C1136" s="103" t="s">
        <v>375</v>
      </c>
      <c r="D1136" s="103"/>
      <c r="E1136" s="103" t="s">
        <v>375</v>
      </c>
      <c r="F1136" s="103" t="s">
        <v>375</v>
      </c>
      <c r="G1136" s="290"/>
      <c r="H1136" s="290"/>
      <c r="I1136" s="103"/>
      <c r="J1136" s="103"/>
      <c r="K1136" s="103"/>
      <c r="L1136" s="431">
        <f>SUM(L1096:L1135)</f>
        <v>12.376669094724456</v>
      </c>
      <c r="M1136" s="242"/>
      <c r="N1136" s="242"/>
      <c r="O1136" s="242"/>
      <c r="P1136" s="242"/>
      <c r="Q1136" s="242"/>
      <c r="R1136" s="242"/>
      <c r="T1136" s="20" t="s">
        <v>1607</v>
      </c>
      <c r="U1136" s="20"/>
      <c r="V1136" s="20"/>
      <c r="W1136" s="20"/>
      <c r="X1136" s="20"/>
    </row>
    <row r="1137" spans="1:24" s="65" customFormat="1" ht="15" customHeight="1" outlineLevel="2">
      <c r="A1137" s="219"/>
      <c r="B1137" s="242"/>
      <c r="C1137" s="242"/>
      <c r="D1137" s="242"/>
      <c r="E1137" s="242"/>
      <c r="F1137" s="242"/>
      <c r="G1137" s="250"/>
      <c r="H1137" s="250"/>
      <c r="I1137" s="242"/>
      <c r="J1137" s="242"/>
      <c r="K1137" s="242"/>
      <c r="L1137" s="242"/>
      <c r="M1137" s="242"/>
      <c r="N1137" s="242"/>
      <c r="O1137" s="242"/>
      <c r="P1137" s="242"/>
      <c r="Q1137" s="242"/>
      <c r="R1137" s="242"/>
      <c r="T1137" s="20"/>
      <c r="U1137" s="20"/>
      <c r="V1137" s="20"/>
      <c r="W1137" s="20"/>
      <c r="X1137" s="20"/>
    </row>
    <row r="1138" spans="1:24" s="65" customFormat="1" ht="15" customHeight="1" outlineLevel="2">
      <c r="A1138" s="219"/>
      <c r="B1138" s="242"/>
      <c r="C1138" s="242"/>
      <c r="D1138" s="242"/>
      <c r="E1138" s="242"/>
      <c r="F1138" s="242"/>
      <c r="G1138" s="250"/>
      <c r="H1138" s="250"/>
      <c r="I1138" s="242"/>
      <c r="J1138" s="242"/>
      <c r="K1138" s="242"/>
      <c r="L1138" s="242"/>
      <c r="M1138" s="242"/>
      <c r="N1138" s="242"/>
      <c r="O1138" s="242"/>
      <c r="P1138" s="242"/>
      <c r="Q1138" s="242"/>
      <c r="R1138" s="242"/>
      <c r="T1138" s="20"/>
      <c r="U1138" s="20"/>
      <c r="V1138" s="20"/>
      <c r="W1138" s="20"/>
      <c r="X1138" s="20"/>
    </row>
    <row r="1139" spans="1:24" s="65" customFormat="1" ht="15" customHeight="1" outlineLevel="1">
      <c r="A1139" s="219"/>
      <c r="B1139" s="242"/>
      <c r="C1139" s="248" t="s">
        <v>1649</v>
      </c>
      <c r="D1139" s="242"/>
      <c r="E1139" s="242"/>
      <c r="F1139" s="242"/>
      <c r="G1139" s="250"/>
      <c r="H1139" s="250"/>
      <c r="I1139" s="242"/>
      <c r="J1139" s="242"/>
      <c r="K1139" s="242"/>
      <c r="L1139" s="242"/>
      <c r="M1139" s="242"/>
      <c r="N1139" s="242"/>
      <c r="O1139" s="242"/>
      <c r="P1139" s="242"/>
      <c r="Q1139" s="242"/>
      <c r="R1139" s="242"/>
      <c r="T1139" s="179" t="str">
        <f>$T$6</f>
        <v>Source</v>
      </c>
      <c r="U1139" s="179" t="str">
        <f>$U$6</f>
        <v>Link</v>
      </c>
      <c r="V1139" s="179" t="str">
        <f>$V$6</f>
        <v>Risk (Green, Amber/Green, Amber, Red/Amber, Red)</v>
      </c>
      <c r="W1139" s="179" t="s">
        <v>869</v>
      </c>
      <c r="X1139" s="179" t="str">
        <f>$X$6</f>
        <v>Comment author</v>
      </c>
    </row>
    <row r="1140" spans="1:24" s="65" customFormat="1" ht="15" customHeight="1" outlineLevel="2">
      <c r="A1140" s="219"/>
      <c r="B1140" s="242"/>
      <c r="C1140" s="248"/>
      <c r="D1140" s="242"/>
      <c r="E1140" s="242"/>
      <c r="F1140" s="242"/>
      <c r="G1140" s="250"/>
      <c r="H1140" s="250"/>
      <c r="I1140" s="242"/>
      <c r="J1140" s="242"/>
      <c r="K1140" s="242"/>
      <c r="L1140" s="242"/>
      <c r="M1140" s="242"/>
      <c r="N1140" s="242"/>
      <c r="O1140" s="242"/>
      <c r="P1140" s="242"/>
      <c r="Q1140" s="242"/>
      <c r="R1140" s="242"/>
      <c r="T1140" s="20"/>
      <c r="U1140" s="20"/>
      <c r="V1140" s="20"/>
      <c r="W1140" s="20"/>
      <c r="X1140" s="20"/>
    </row>
    <row r="1141" spans="1:24" s="65" customFormat="1" ht="15" customHeight="1" outlineLevel="2" thickBot="1">
      <c r="A1141" s="219"/>
      <c r="B1141" s="242"/>
      <c r="C1141" s="248"/>
      <c r="D1141" s="242"/>
      <c r="E1141" s="242"/>
      <c r="F1141" s="242"/>
      <c r="G1141" s="250"/>
      <c r="H1141" s="250"/>
      <c r="I1141" s="242"/>
      <c r="J1141" s="242"/>
      <c r="K1141" s="242"/>
      <c r="L1141" s="242"/>
      <c r="M1141" s="242"/>
      <c r="N1141" s="242"/>
      <c r="O1141" s="242"/>
      <c r="P1141" s="242"/>
      <c r="Q1141" s="242"/>
      <c r="R1141" s="242"/>
      <c r="T1141" s="20"/>
      <c r="U1141" s="20"/>
      <c r="V1141" s="20"/>
      <c r="W1141" s="20"/>
      <c r="X1141" s="20"/>
    </row>
    <row r="1142" spans="1:24" s="65" customFormat="1" ht="15" customHeight="1" outlineLevel="2">
      <c r="A1142" s="219"/>
      <c r="B1142" s="242"/>
      <c r="C1142" s="42" t="s">
        <v>355</v>
      </c>
      <c r="D1142" s="42" t="s">
        <v>1469</v>
      </c>
      <c r="E1142" s="42" t="str">
        <f>Preferences.weight&amp;" (2011)"</f>
        <v>Gt (2011)</v>
      </c>
      <c r="F1142" s="242" t="s">
        <v>2184</v>
      </c>
      <c r="G1142" s="250"/>
      <c r="H1142" s="250"/>
      <c r="I1142" s="242"/>
      <c r="J1142" s="242"/>
      <c r="K1142" s="242"/>
      <c r="L1142" s="242"/>
      <c r="M1142" s="242"/>
      <c r="N1142" s="242"/>
      <c r="O1142" s="242"/>
      <c r="P1142" s="242"/>
      <c r="Q1142" s="242"/>
      <c r="R1142" s="242"/>
      <c r="T1142" s="179"/>
      <c r="U1142" s="179"/>
      <c r="V1142" s="179"/>
      <c r="W1142" s="179"/>
      <c r="X1142" s="179"/>
    </row>
    <row r="1143" spans="1:24" s="65" customFormat="1" ht="15" customHeight="1" outlineLevel="2">
      <c r="A1143" s="219"/>
      <c r="B1143" s="242"/>
      <c r="C1143" s="242" t="s">
        <v>1619</v>
      </c>
      <c r="D1143" s="242" t="s">
        <v>1937</v>
      </c>
      <c r="E1143" s="121">
        <f>1072.617*unit.Mt</f>
        <v>1.0726169999999999</v>
      </c>
      <c r="F1143" s="357">
        <f>E1144/SUM(E1143:E1144)</f>
        <v>0.29354080221300138</v>
      </c>
      <c r="G1143" s="250"/>
      <c r="H1143" s="250"/>
      <c r="I1143" s="242"/>
      <c r="J1143" s="242"/>
      <c r="K1143" s="242"/>
      <c r="L1143" s="242"/>
      <c r="M1143" s="242"/>
      <c r="N1143" s="242"/>
      <c r="O1143" s="242"/>
      <c r="P1143" s="242"/>
      <c r="Q1143" s="242"/>
      <c r="R1143" s="242"/>
      <c r="T1143" s="179" t="s">
        <v>1600</v>
      </c>
      <c r="U1143" s="179" t="s">
        <v>2010</v>
      </c>
      <c r="V1143" s="263"/>
      <c r="W1143" s="179" t="s">
        <v>1620</v>
      </c>
      <c r="X1143" s="179"/>
    </row>
    <row r="1144" spans="1:24" s="65" customFormat="1" ht="15" customHeight="1" outlineLevel="2">
      <c r="A1144" s="219"/>
      <c r="B1144" s="242"/>
      <c r="C1144" s="242"/>
      <c r="D1144" s="242" t="s">
        <v>1938</v>
      </c>
      <c r="E1144" s="121">
        <f>445.683*unit.Mt</f>
        <v>0.445683</v>
      </c>
      <c r="F1144" s="242"/>
      <c r="G1144" s="250"/>
      <c r="H1144" s="250"/>
      <c r="I1144" s="242"/>
      <c r="J1144" s="242"/>
      <c r="K1144" s="242"/>
      <c r="L1144" s="242"/>
      <c r="M1144" s="242"/>
      <c r="N1144" s="242"/>
      <c r="O1144" s="242"/>
      <c r="P1144" s="242"/>
      <c r="Q1144" s="242"/>
      <c r="R1144" s="242"/>
      <c r="T1144" s="179" t="s">
        <v>1600</v>
      </c>
      <c r="U1144" s="179" t="s">
        <v>2010</v>
      </c>
      <c r="V1144" s="263"/>
      <c r="W1144" s="179" t="s">
        <v>1620</v>
      </c>
      <c r="X1144" s="179"/>
    </row>
    <row r="1145" spans="1:24" s="65" customFormat="1" ht="15" customHeight="1" outlineLevel="2">
      <c r="A1145" s="219"/>
      <c r="B1145" s="242"/>
      <c r="C1145" s="242" t="s">
        <v>1418</v>
      </c>
      <c r="D1145" s="291" t="s">
        <v>1625</v>
      </c>
      <c r="E1145" s="292">
        <f>100.178697*unit.Mt</f>
        <v>0.100178697</v>
      </c>
      <c r="F1145" s="250"/>
      <c r="G1145" s="250"/>
      <c r="H1145" s="250"/>
      <c r="I1145" s="242"/>
      <c r="J1145" s="242"/>
      <c r="K1145" s="242"/>
      <c r="L1145" s="242"/>
      <c r="M1145" s="242"/>
      <c r="N1145" s="242"/>
      <c r="O1145" s="242"/>
      <c r="P1145" s="242"/>
      <c r="Q1145" s="242"/>
      <c r="R1145" s="242"/>
      <c r="T1145" s="179" t="s">
        <v>1600</v>
      </c>
      <c r="U1145" s="179" t="s">
        <v>2010</v>
      </c>
      <c r="V1145" s="263"/>
      <c r="W1145" s="179" t="s">
        <v>1440</v>
      </c>
      <c r="X1145" s="179"/>
    </row>
    <row r="1146" spans="1:24" s="65" customFormat="1" ht="15" customHeight="1" outlineLevel="2">
      <c r="A1146" s="219"/>
      <c r="B1146" s="242"/>
      <c r="C1146" s="242"/>
      <c r="D1146" s="242" t="s">
        <v>1939</v>
      </c>
      <c r="E1146" s="121">
        <f>44.359989*unit.Mt</f>
        <v>4.4359989000000002E-2</v>
      </c>
      <c r="F1146" s="357">
        <f>E1147/SUM(E1146:E1147)</f>
        <v>0.52127006898921802</v>
      </c>
      <c r="G1146" s="250"/>
      <c r="H1146" s="250"/>
      <c r="I1146" s="242"/>
      <c r="J1146" s="242"/>
      <c r="K1146" s="242"/>
      <c r="L1146" s="242"/>
      <c r="M1146" s="242"/>
      <c r="N1146" s="242"/>
      <c r="O1146" s="242"/>
      <c r="P1146" s="242"/>
      <c r="Q1146" s="242"/>
      <c r="R1146" s="242"/>
      <c r="T1146" s="179" t="s">
        <v>1600</v>
      </c>
      <c r="U1146" s="179" t="s">
        <v>2010</v>
      </c>
      <c r="V1146" s="263"/>
      <c r="W1146" s="179" t="s">
        <v>1440</v>
      </c>
      <c r="X1146" s="179"/>
    </row>
    <row r="1147" spans="1:24" s="65" customFormat="1" ht="15" customHeight="1" outlineLevel="2">
      <c r="A1147" s="219"/>
      <c r="B1147" s="242"/>
      <c r="C1147" s="242"/>
      <c r="D1147" s="242" t="s">
        <v>1940</v>
      </c>
      <c r="E1147" s="121">
        <f>48.3018358128733*unit.Mt</f>
        <v>4.8301835812873298E-2</v>
      </c>
      <c r="F1147" s="293"/>
      <c r="G1147" s="250"/>
      <c r="H1147" s="250"/>
      <c r="I1147" s="242"/>
      <c r="J1147" s="242"/>
      <c r="K1147" s="242"/>
      <c r="L1147" s="242"/>
      <c r="M1147" s="242"/>
      <c r="N1147" s="242"/>
      <c r="O1147" s="242"/>
      <c r="P1147" s="242"/>
      <c r="Q1147" s="242"/>
      <c r="R1147" s="242"/>
      <c r="T1147" s="179" t="s">
        <v>1600</v>
      </c>
      <c r="U1147" s="179" t="s">
        <v>2010</v>
      </c>
      <c r="V1147" s="263"/>
      <c r="W1147" s="179" t="s">
        <v>1440</v>
      </c>
      <c r="X1147" s="179"/>
    </row>
    <row r="1148" spans="1:24" s="65" customFormat="1" ht="15" customHeight="1" outlineLevel="2">
      <c r="A1148" s="219"/>
      <c r="B1148" s="242"/>
      <c r="C1148" s="242" t="s">
        <v>1435</v>
      </c>
      <c r="D1148" s="242" t="s">
        <v>1941</v>
      </c>
      <c r="E1148" s="121">
        <f>319.54321918044*unit.Mt</f>
        <v>0.31954321918044004</v>
      </c>
      <c r="F1148" s="242"/>
      <c r="G1148" s="250"/>
      <c r="H1148" s="250"/>
      <c r="I1148" s="242"/>
      <c r="J1148" s="242"/>
      <c r="K1148" s="242"/>
      <c r="L1148" s="242"/>
      <c r="M1148" s="242"/>
      <c r="N1148" s="242"/>
      <c r="O1148" s="242"/>
      <c r="P1148" s="242"/>
      <c r="Q1148" s="242"/>
      <c r="R1148" s="242"/>
      <c r="T1148" s="179" t="s">
        <v>1600</v>
      </c>
      <c r="U1148" s="179" t="s">
        <v>2010</v>
      </c>
      <c r="V1148" s="263"/>
      <c r="W1148" s="179" t="s">
        <v>1440</v>
      </c>
      <c r="X1148" s="179"/>
    </row>
    <row r="1149" spans="1:24" s="65" customFormat="1" ht="15" customHeight="1" outlineLevel="2">
      <c r="A1149" s="219"/>
      <c r="B1149" s="242"/>
      <c r="C1149" s="242"/>
      <c r="D1149" s="242" t="s">
        <v>1622</v>
      </c>
      <c r="E1149" s="121">
        <f>163.870192214286*unit.Mt</f>
        <v>0.163870192214286</v>
      </c>
      <c r="F1149" s="242"/>
      <c r="G1149" s="250"/>
      <c r="H1149" s="250"/>
      <c r="I1149" s="242"/>
      <c r="J1149" s="242"/>
      <c r="K1149" s="242"/>
      <c r="L1149" s="242"/>
      <c r="M1149" s="242"/>
      <c r="N1149" s="242"/>
      <c r="O1149" s="242"/>
      <c r="P1149" s="242"/>
      <c r="Q1149" s="242"/>
      <c r="R1149" s="242"/>
      <c r="T1149" s="179" t="s">
        <v>1600</v>
      </c>
      <c r="U1149" s="179" t="s">
        <v>2010</v>
      </c>
      <c r="V1149" s="263"/>
      <c r="W1149" s="179" t="s">
        <v>1440</v>
      </c>
      <c r="X1149" s="179"/>
    </row>
    <row r="1150" spans="1:24" s="65" customFormat="1" ht="15" customHeight="1" outlineLevel="2">
      <c r="A1150" s="219"/>
      <c r="B1150" s="242"/>
      <c r="C1150" s="242"/>
      <c r="D1150" s="242" t="s">
        <v>1623</v>
      </c>
      <c r="E1150" s="121">
        <f>58.0195399496282*unit.Mt</f>
        <v>5.8019539949628197E-2</v>
      </c>
      <c r="F1150" s="242"/>
      <c r="G1150" s="250"/>
      <c r="H1150" s="250"/>
      <c r="I1150" s="242"/>
      <c r="J1150" s="242"/>
      <c r="K1150" s="242"/>
      <c r="L1150" s="242"/>
      <c r="M1150" s="242"/>
      <c r="N1150" s="242"/>
      <c r="O1150" s="242"/>
      <c r="P1150" s="242"/>
      <c r="Q1150" s="242"/>
      <c r="R1150" s="242"/>
      <c r="T1150" s="179" t="s">
        <v>1600</v>
      </c>
      <c r="U1150" s="179" t="s">
        <v>2010</v>
      </c>
      <c r="V1150" s="263"/>
      <c r="W1150" s="179" t="s">
        <v>1440</v>
      </c>
      <c r="X1150" s="179"/>
    </row>
    <row r="1151" spans="1:24" s="65" customFormat="1" ht="15" customHeight="1" outlineLevel="2">
      <c r="A1151" s="219"/>
      <c r="B1151" s="242"/>
      <c r="C1151" s="242"/>
      <c r="D1151" s="242" t="s">
        <v>1942</v>
      </c>
      <c r="E1151" s="121">
        <f>100*unit.Mt</f>
        <v>0.1</v>
      </c>
      <c r="F1151" s="242"/>
      <c r="G1151" s="250"/>
      <c r="H1151" s="250"/>
      <c r="I1151" s="242"/>
      <c r="J1151" s="242"/>
      <c r="K1151" s="242"/>
      <c r="L1151" s="242"/>
      <c r="M1151" s="242"/>
      <c r="N1151" s="242"/>
      <c r="O1151" s="242"/>
      <c r="P1151" s="242"/>
      <c r="Q1151" s="242"/>
      <c r="R1151" s="242"/>
      <c r="T1151" s="179" t="s">
        <v>1593</v>
      </c>
      <c r="U1151" s="179" t="s">
        <v>1935</v>
      </c>
      <c r="V1151" s="294" t="s">
        <v>2009</v>
      </c>
      <c r="W1151" s="179" t="s">
        <v>1440</v>
      </c>
      <c r="X1151" s="179"/>
    </row>
    <row r="1152" spans="1:24" s="65" customFormat="1" ht="15" customHeight="1" outlineLevel="2">
      <c r="A1152" s="219"/>
      <c r="B1152" s="242"/>
      <c r="C1152" s="242" t="s">
        <v>1447</v>
      </c>
      <c r="D1152" s="242" t="s">
        <v>1896</v>
      </c>
      <c r="E1152" s="121">
        <f>186.797304*unit.Mt</f>
        <v>0.186797304</v>
      </c>
      <c r="F1152" s="242"/>
      <c r="G1152" s="250"/>
      <c r="H1152" s="250"/>
      <c r="I1152" s="242"/>
      <c r="J1152" s="242"/>
      <c r="K1152" s="242"/>
      <c r="L1152" s="242"/>
      <c r="M1152" s="242"/>
      <c r="N1152" s="242"/>
      <c r="O1152" s="242"/>
      <c r="P1152" s="242"/>
      <c r="Q1152" s="242"/>
      <c r="R1152" s="242"/>
      <c r="T1152" s="179" t="s">
        <v>1600</v>
      </c>
      <c r="U1152" s="179" t="s">
        <v>2010</v>
      </c>
      <c r="V1152" s="263"/>
      <c r="W1152" s="179" t="s">
        <v>1440</v>
      </c>
      <c r="X1152" s="179"/>
    </row>
    <row r="1153" spans="1:24" s="65" customFormat="1" ht="15" customHeight="1" outlineLevel="2">
      <c r="A1153" s="219"/>
      <c r="B1153" s="242"/>
      <c r="C1153" s="242"/>
      <c r="D1153" s="242" t="s">
        <v>1943</v>
      </c>
      <c r="E1153" s="121">
        <f>(611.151461-208.04959)*unit.Mt</f>
        <v>0.40310187100000006</v>
      </c>
      <c r="F1153" s="357">
        <f>E1154/SUM(E1153:E1154)</f>
        <v>0.34042230654178207</v>
      </c>
      <c r="G1153" s="250"/>
      <c r="H1153" s="250"/>
      <c r="I1153" s="242"/>
      <c r="J1153" s="242"/>
      <c r="K1153" s="242"/>
      <c r="L1153" s="242"/>
      <c r="M1153" s="242"/>
      <c r="N1153" s="242"/>
      <c r="O1153" s="242"/>
      <c r="P1153" s="242"/>
      <c r="Q1153" s="242"/>
      <c r="R1153" s="242"/>
      <c r="T1153" s="179" t="s">
        <v>1600</v>
      </c>
      <c r="U1153" s="179" t="s">
        <v>2010</v>
      </c>
      <c r="V1153" s="262"/>
      <c r="W1153" s="179" t="s">
        <v>1630</v>
      </c>
      <c r="X1153" s="179"/>
    </row>
    <row r="1154" spans="1:24" s="65" customFormat="1" ht="15" customHeight="1" outlineLevel="2">
      <c r="A1154" s="219"/>
      <c r="B1154" s="242"/>
      <c r="C1154" s="242"/>
      <c r="D1154" s="242" t="s">
        <v>1944</v>
      </c>
      <c r="E1154" s="121">
        <f>208.04959*unit.Mt</f>
        <v>0.20804959000000001</v>
      </c>
      <c r="F1154" s="242"/>
      <c r="G1154" s="250"/>
      <c r="H1154" s="250"/>
      <c r="I1154" s="242"/>
      <c r="J1154" s="242"/>
      <c r="K1154" s="242"/>
      <c r="L1154" s="242"/>
      <c r="M1154" s="242"/>
      <c r="N1154" s="242"/>
      <c r="O1154" s="242"/>
      <c r="P1154" s="242"/>
      <c r="Q1154" s="242"/>
      <c r="R1154" s="242"/>
      <c r="T1154" s="179" t="s">
        <v>1600</v>
      </c>
      <c r="U1154" s="179" t="s">
        <v>2010</v>
      </c>
      <c r="V1154" s="263"/>
      <c r="W1154" s="179" t="s">
        <v>1440</v>
      </c>
      <c r="X1154" s="179"/>
    </row>
    <row r="1155" spans="1:24" s="65" customFormat="1" ht="15" customHeight="1" outlineLevel="2">
      <c r="A1155" s="219"/>
      <c r="B1155" s="242"/>
      <c r="C1155" s="242" t="s">
        <v>1426</v>
      </c>
      <c r="D1155" s="242" t="s">
        <v>1426</v>
      </c>
      <c r="E1155" s="121">
        <f>3630.364040705*unit.Mt</f>
        <v>3.6303640407050004</v>
      </c>
      <c r="F1155" s="242"/>
      <c r="G1155" s="250"/>
      <c r="H1155" s="250"/>
      <c r="I1155" s="242"/>
      <c r="J1155" s="242"/>
      <c r="K1155" s="242"/>
      <c r="L1155" s="242"/>
      <c r="M1155" s="242"/>
      <c r="N1155" s="242"/>
      <c r="O1155" s="242"/>
      <c r="P1155" s="242"/>
      <c r="Q1155" s="242"/>
      <c r="R1155" s="242"/>
      <c r="T1155" s="179" t="s">
        <v>1600</v>
      </c>
      <c r="U1155" s="179" t="s">
        <v>2010</v>
      </c>
      <c r="V1155" s="263"/>
      <c r="W1155" s="179" t="s">
        <v>1440</v>
      </c>
      <c r="X1155" s="179"/>
    </row>
    <row r="1156" spans="1:24" s="65" customFormat="1" ht="15" customHeight="1" outlineLevel="2" thickBot="1">
      <c r="A1156" s="219"/>
      <c r="B1156" s="242"/>
      <c r="C1156" s="162" t="s">
        <v>1457</v>
      </c>
      <c r="D1156" s="162" t="s">
        <v>1457</v>
      </c>
      <c r="E1156" s="162">
        <f>1000*unit.Mt</f>
        <v>1</v>
      </c>
      <c r="F1156" s="242"/>
      <c r="G1156" s="250"/>
      <c r="H1156" s="250"/>
      <c r="I1156" s="242"/>
      <c r="J1156" s="242"/>
      <c r="K1156" s="242"/>
      <c r="L1156" s="242"/>
      <c r="M1156" s="242"/>
      <c r="N1156" s="242"/>
      <c r="O1156" s="242"/>
      <c r="P1156" s="242"/>
      <c r="Q1156" s="242"/>
      <c r="R1156" s="242"/>
      <c r="T1156" s="179" t="s">
        <v>1593</v>
      </c>
      <c r="U1156" s="179" t="s">
        <v>1935</v>
      </c>
      <c r="V1156" s="294"/>
      <c r="W1156" s="179" t="s">
        <v>1936</v>
      </c>
      <c r="X1156" s="179"/>
    </row>
    <row r="1157" spans="1:24" s="65" customFormat="1" ht="15" customHeight="1" outlineLevel="2" thickBot="1">
      <c r="A1157" s="219"/>
      <c r="B1157" s="242"/>
      <c r="C1157" s="162" t="s">
        <v>375</v>
      </c>
      <c r="D1157" s="162" t="s">
        <v>375</v>
      </c>
      <c r="E1157" s="432">
        <f>SUM(E1143:E1156)</f>
        <v>7.7808862788622282</v>
      </c>
      <c r="F1157" s="242"/>
      <c r="G1157" s="250"/>
      <c r="H1157" s="250"/>
      <c r="I1157" s="242"/>
      <c r="J1157" s="242"/>
      <c r="K1157" s="242"/>
      <c r="L1157" s="242"/>
      <c r="M1157" s="242"/>
      <c r="N1157" s="242"/>
      <c r="O1157" s="242"/>
      <c r="P1157" s="242"/>
      <c r="Q1157" s="242"/>
      <c r="R1157" s="242"/>
      <c r="T1157" s="179"/>
      <c r="U1157" s="179"/>
      <c r="V1157" s="294"/>
      <c r="W1157" s="179"/>
      <c r="X1157" s="179"/>
    </row>
    <row r="1158" spans="1:24" s="65" customFormat="1" ht="15" customHeight="1" outlineLevel="2">
      <c r="A1158" s="219"/>
      <c r="B1158" s="242"/>
      <c r="C1158" s="242"/>
      <c r="D1158" s="242"/>
      <c r="E1158" s="242"/>
      <c r="F1158" s="242"/>
      <c r="G1158" s="250"/>
      <c r="H1158" s="250"/>
      <c r="I1158" s="242"/>
      <c r="J1158" s="242"/>
      <c r="K1158" s="242"/>
      <c r="L1158" s="242"/>
      <c r="M1158" s="242"/>
      <c r="N1158" s="242"/>
      <c r="O1158" s="242"/>
      <c r="P1158" s="242"/>
      <c r="Q1158" s="242"/>
      <c r="R1158" s="242"/>
      <c r="T1158" s="179"/>
      <c r="U1158" s="179"/>
      <c r="W1158" s="179"/>
      <c r="X1158" s="179"/>
    </row>
    <row r="1159" spans="1:24" s="65" customFormat="1" ht="15" customHeight="1" outlineLevel="1">
      <c r="A1159" s="219"/>
      <c r="B1159" s="242"/>
      <c r="C1159" s="248" t="s">
        <v>1650</v>
      </c>
      <c r="D1159" s="242"/>
      <c r="E1159" s="242"/>
      <c r="F1159" s="242"/>
      <c r="G1159" s="242"/>
      <c r="H1159" s="242"/>
      <c r="I1159" s="242"/>
      <c r="J1159" s="242"/>
      <c r="K1159" s="242"/>
      <c r="L1159" s="242"/>
      <c r="M1159" s="242"/>
      <c r="N1159" s="242"/>
      <c r="O1159" s="242"/>
      <c r="P1159" s="242"/>
      <c r="Q1159" s="242"/>
      <c r="R1159" s="242"/>
      <c r="T1159" s="179" t="str">
        <f>$T$6</f>
        <v>Source</v>
      </c>
      <c r="U1159" s="179" t="str">
        <f>$U$6</f>
        <v>Link</v>
      </c>
      <c r="V1159" s="179" t="str">
        <f>$V$6</f>
        <v>Risk (Green, Amber/Green, Amber, Red/Amber, Red)</v>
      </c>
      <c r="W1159" s="179" t="s">
        <v>869</v>
      </c>
      <c r="X1159" s="179" t="str">
        <f>$X$6</f>
        <v>Comment author</v>
      </c>
    </row>
    <row r="1160" spans="1:24" s="65" customFormat="1" ht="15" customHeight="1" outlineLevel="2" thickBot="1">
      <c r="A1160" s="219"/>
      <c r="B1160" s="242"/>
      <c r="C1160" s="248"/>
      <c r="D1160" s="242"/>
      <c r="E1160" s="242"/>
      <c r="F1160" s="242" t="str">
        <f>"("&amp;Preferences.energy&amp;" 2011)"</f>
        <v>(EJ 2011)</v>
      </c>
      <c r="G1160" s="242" t="str">
        <f>"("&amp;Preferences.energy&amp;" 2011)"</f>
        <v>(EJ 2011)</v>
      </c>
      <c r="H1160" s="242" t="str">
        <f>"("&amp;Preferences.energy&amp;"/"&amp;Preferences.weight&amp;" 2011)"</f>
        <v>(EJ/Gt 2011)</v>
      </c>
      <c r="I1160" s="242"/>
      <c r="J1160" s="242"/>
      <c r="K1160" s="242"/>
      <c r="L1160" s="242"/>
      <c r="M1160" s="242"/>
      <c r="N1160" s="242"/>
      <c r="O1160" s="242"/>
      <c r="P1160" s="242"/>
      <c r="Q1160" s="242"/>
      <c r="R1160" s="242"/>
      <c r="T1160" s="179"/>
      <c r="U1160" s="179"/>
      <c r="W1160" s="179"/>
      <c r="X1160" s="179"/>
    </row>
    <row r="1161" spans="1:24" s="65" customFormat="1" ht="15" customHeight="1" outlineLevel="2">
      <c r="A1161" s="219"/>
      <c r="B1161" s="242"/>
      <c r="C1161" s="42" t="s">
        <v>355</v>
      </c>
      <c r="D1161" s="42" t="s">
        <v>355</v>
      </c>
      <c r="E1161" s="42" t="s">
        <v>630</v>
      </c>
      <c r="F1161" s="42" t="s">
        <v>2015</v>
      </c>
      <c r="G1161" s="42" t="s">
        <v>2016</v>
      </c>
      <c r="H1161" s="42" t="s">
        <v>2011</v>
      </c>
      <c r="I1161" s="242"/>
      <c r="J1161" s="242"/>
      <c r="K1161" s="242"/>
      <c r="L1161" s="242"/>
      <c r="M1161" s="242"/>
      <c r="N1161" s="242"/>
      <c r="O1161" s="242"/>
      <c r="P1161" s="242"/>
      <c r="Q1161" s="242"/>
      <c r="R1161" s="242"/>
      <c r="T1161" s="179"/>
      <c r="U1161" s="179"/>
      <c r="W1161" s="179"/>
      <c r="X1161" s="179"/>
    </row>
    <row r="1162" spans="1:24" s="65" customFormat="1" ht="15" customHeight="1" outlineLevel="2">
      <c r="A1162" s="219"/>
      <c r="B1162" s="242"/>
      <c r="C1162" s="242" t="s">
        <v>1619</v>
      </c>
      <c r="D1162" s="251" t="s">
        <v>1937</v>
      </c>
      <c r="E1162" s="251" t="s">
        <v>1376</v>
      </c>
      <c r="F1162" s="250">
        <f>55.1484604877356*Unit.Mtoe</f>
        <v>2.3089557437005142</v>
      </c>
      <c r="G1162" s="250">
        <f>F1162*100%</f>
        <v>2.3089557437005142</v>
      </c>
      <c r="H1162" s="295">
        <f>G1162/VLOOKUP(D1162,$D$1143:$E$1157,2,0)</f>
        <v>2.1526376551001096</v>
      </c>
      <c r="I1162" s="242">
        <f>F1162*(105%)*(95%)</f>
        <v>2.3031833543412628</v>
      </c>
      <c r="J1162" s="242"/>
      <c r="K1162" s="242"/>
      <c r="L1162" s="242"/>
      <c r="M1162" s="242"/>
      <c r="N1162" s="242"/>
      <c r="O1162" s="242"/>
      <c r="P1162" s="242"/>
      <c r="Q1162" s="242"/>
      <c r="R1162" s="242"/>
      <c r="T1162" s="179" t="s">
        <v>2019</v>
      </c>
      <c r="U1162" s="179"/>
      <c r="V1162" s="325" t="s">
        <v>2017</v>
      </c>
      <c r="W1162" s="179"/>
      <c r="X1162" s="179"/>
    </row>
    <row r="1163" spans="1:24" s="65" customFormat="1" ht="15" customHeight="1" outlineLevel="2">
      <c r="A1163" s="219"/>
      <c r="B1163" s="242"/>
      <c r="C1163" s="242"/>
      <c r="D1163" s="251" t="s">
        <v>1937</v>
      </c>
      <c r="E1163" s="251" t="s">
        <v>1798</v>
      </c>
      <c r="F1163" s="250">
        <f>305.992565283871*Unit.Mtoe</f>
        <v>12.81129672330511</v>
      </c>
      <c r="G1163" s="250">
        <f t="shared" ref="G1163:G1226" si="53">F1163</f>
        <v>12.81129672330511</v>
      </c>
      <c r="H1163" s="295">
        <f t="shared" ref="H1163:H1226" si="54">G1163/VLOOKUP(D1163,$D$1143:$E$1157,2,0)</f>
        <v>11.943962032398435</v>
      </c>
      <c r="I1163" s="242"/>
      <c r="J1163" s="242"/>
      <c r="K1163" s="242"/>
      <c r="L1163" s="242"/>
      <c r="M1163" s="242"/>
      <c r="N1163" s="242"/>
      <c r="O1163" s="242"/>
      <c r="P1163" s="242"/>
      <c r="Q1163" s="242"/>
      <c r="R1163" s="242"/>
      <c r="T1163" s="179" t="s">
        <v>1600</v>
      </c>
      <c r="U1163" s="179"/>
      <c r="V1163" s="326" t="s">
        <v>2018</v>
      </c>
      <c r="W1163" s="179"/>
      <c r="X1163" s="179"/>
    </row>
    <row r="1164" spans="1:24" s="65" customFormat="1" ht="15" customHeight="1" outlineLevel="2">
      <c r="A1164" s="219"/>
      <c r="B1164" s="242"/>
      <c r="C1164" s="242"/>
      <c r="D1164" s="251" t="s">
        <v>1937</v>
      </c>
      <c r="E1164" s="251" t="s">
        <v>1799</v>
      </c>
      <c r="F1164" s="250">
        <f>14.459243*Unit.Mtoe</f>
        <v>0.6053795859240001</v>
      </c>
      <c r="G1164" s="250">
        <f t="shared" si="53"/>
        <v>0.6053795859240001</v>
      </c>
      <c r="H1164" s="295">
        <f t="shared" si="54"/>
        <v>0.56439492001711711</v>
      </c>
      <c r="I1164" s="242"/>
      <c r="J1164" s="242"/>
      <c r="K1164" s="242"/>
      <c r="L1164" s="242"/>
      <c r="M1164" s="242"/>
      <c r="N1164" s="242"/>
      <c r="O1164" s="242"/>
      <c r="P1164" s="242"/>
      <c r="Q1164" s="242"/>
      <c r="R1164" s="242"/>
      <c r="T1164" s="179" t="s">
        <v>1600</v>
      </c>
      <c r="U1164" s="179"/>
      <c r="V1164" s="326" t="s">
        <v>2018</v>
      </c>
      <c r="W1164" s="179"/>
      <c r="X1164" s="179"/>
    </row>
    <row r="1165" spans="1:24" s="65" customFormat="1" ht="15" customHeight="1" outlineLevel="2">
      <c r="A1165" s="219"/>
      <c r="B1165" s="242"/>
      <c r="C1165" s="242"/>
      <c r="D1165" s="251" t="s">
        <v>1937</v>
      </c>
      <c r="E1165" s="251" t="s">
        <v>1800</v>
      </c>
      <c r="F1165" s="250">
        <f>25.1208348013659*Unit.Mtoe</f>
        <v>1.0517591114635876</v>
      </c>
      <c r="G1165" s="250">
        <f>F1165+(F1162-G1162)</f>
        <v>1.0517591114635876</v>
      </c>
      <c r="H1165" s="295">
        <f t="shared" si="54"/>
        <v>0.98055420664001003</v>
      </c>
      <c r="I1165" s="242"/>
      <c r="J1165" s="242"/>
      <c r="K1165" s="242"/>
      <c r="L1165" s="242"/>
      <c r="M1165" s="242"/>
      <c r="N1165" s="242"/>
      <c r="O1165" s="242"/>
      <c r="P1165" s="242"/>
      <c r="Q1165" s="242"/>
      <c r="R1165" s="242"/>
      <c r="T1165" s="179" t="s">
        <v>2019</v>
      </c>
      <c r="U1165" s="179"/>
      <c r="V1165" s="325" t="s">
        <v>2017</v>
      </c>
      <c r="W1165" s="179"/>
      <c r="X1165" s="179"/>
    </row>
    <row r="1166" spans="1:24" s="65" customFormat="1" ht="15" customHeight="1" outlineLevel="2">
      <c r="A1166" s="219"/>
      <c r="B1166" s="242"/>
      <c r="C1166" s="242"/>
      <c r="D1166" s="251" t="s">
        <v>1937</v>
      </c>
      <c r="E1166" s="251" t="s">
        <v>1802</v>
      </c>
      <c r="F1166" s="250">
        <f>4.20145*Unit.Mtoe</f>
        <v>0.17590630860000003</v>
      </c>
      <c r="G1166" s="250">
        <f t="shared" si="53"/>
        <v>0.17590630860000003</v>
      </c>
      <c r="H1166" s="295">
        <f t="shared" si="54"/>
        <v>0.16399731553760574</v>
      </c>
      <c r="I1166" s="242"/>
      <c r="J1166" s="242"/>
      <c r="K1166" s="242"/>
      <c r="L1166" s="242"/>
      <c r="M1166" s="242"/>
      <c r="N1166" s="242"/>
      <c r="O1166" s="242"/>
      <c r="P1166" s="242"/>
      <c r="Q1166" s="242"/>
      <c r="R1166" s="242"/>
      <c r="T1166" s="179" t="s">
        <v>1600</v>
      </c>
      <c r="U1166" s="179"/>
      <c r="V1166" s="326" t="s">
        <v>2018</v>
      </c>
      <c r="W1166" s="179"/>
      <c r="X1166" s="179"/>
    </row>
    <row r="1167" spans="1:24" s="65" customFormat="1" ht="15" customHeight="1" outlineLevel="2">
      <c r="A1167" s="219"/>
      <c r="B1167" s="242"/>
      <c r="C1167" s="242"/>
      <c r="D1167" s="251" t="s">
        <v>1937</v>
      </c>
      <c r="E1167" s="251" t="s">
        <v>1635</v>
      </c>
      <c r="F1167" s="250">
        <f>19.189086*Unit.Mtoe</f>
        <v>0.80340865264799999</v>
      </c>
      <c r="G1167" s="250">
        <f t="shared" si="53"/>
        <v>0.80340865264799999</v>
      </c>
      <c r="H1167" s="295">
        <f t="shared" si="54"/>
        <v>0.74901726585351536</v>
      </c>
      <c r="I1167" s="242"/>
      <c r="J1167" s="242"/>
      <c r="K1167" s="242"/>
      <c r="L1167" s="242"/>
      <c r="M1167" s="242"/>
      <c r="N1167" s="242"/>
      <c r="O1167" s="242"/>
      <c r="P1167" s="242"/>
      <c r="Q1167" s="242"/>
      <c r="R1167" s="242"/>
      <c r="T1167" s="179" t="s">
        <v>1600</v>
      </c>
      <c r="U1167" s="179"/>
      <c r="V1167" s="326" t="s">
        <v>2018</v>
      </c>
      <c r="W1167" s="179"/>
      <c r="X1167" s="179"/>
    </row>
    <row r="1168" spans="1:24" s="65" customFormat="1" ht="15" customHeight="1" outlineLevel="2">
      <c r="A1168" s="219"/>
      <c r="B1168" s="242"/>
      <c r="C1168" s="242"/>
      <c r="D1168" s="242" t="s">
        <v>1938</v>
      </c>
      <c r="E1168" s="251" t="s">
        <v>1379</v>
      </c>
      <c r="F1168" s="250">
        <f>39.0577635122644*Unit.Mtoe</f>
        <v>1.6352704427314861</v>
      </c>
      <c r="G1168" s="250">
        <f>F1168*100%</f>
        <v>1.6352704427314861</v>
      </c>
      <c r="H1168" s="295">
        <f t="shared" si="54"/>
        <v>3.669133538258103</v>
      </c>
      <c r="I1168" s="242"/>
      <c r="J1168" s="242"/>
      <c r="K1168" s="242"/>
      <c r="L1168" s="242"/>
      <c r="M1168" s="242"/>
      <c r="N1168" s="242"/>
      <c r="O1168" s="242"/>
      <c r="P1168" s="242"/>
      <c r="Q1168" s="242"/>
      <c r="R1168" s="242"/>
      <c r="T1168" s="179" t="s">
        <v>2019</v>
      </c>
      <c r="U1168" s="179"/>
      <c r="V1168" s="325" t="s">
        <v>2017</v>
      </c>
      <c r="W1168" s="179"/>
      <c r="X1168" s="179"/>
    </row>
    <row r="1169" spans="1:24" s="65" customFormat="1" ht="15" customHeight="1" outlineLevel="2">
      <c r="A1169" s="219"/>
      <c r="B1169" s="242"/>
      <c r="C1169" s="242"/>
      <c r="D1169" s="242" t="s">
        <v>1938</v>
      </c>
      <c r="E1169" s="251" t="s">
        <v>1803</v>
      </c>
      <c r="F1169" s="250">
        <f>248.977653716129*Unit.Mtoe</f>
        <v>10.424196405786889</v>
      </c>
      <c r="G1169" s="250">
        <f t="shared" si="53"/>
        <v>10.424196405786889</v>
      </c>
      <c r="H1169" s="295">
        <f t="shared" si="54"/>
        <v>23.389261887455632</v>
      </c>
      <c r="I1169" s="242"/>
      <c r="J1169" s="242"/>
      <c r="K1169" s="242"/>
      <c r="L1169" s="242"/>
      <c r="M1169" s="242"/>
      <c r="N1169" s="242"/>
      <c r="O1169" s="242"/>
      <c r="P1169" s="242"/>
      <c r="Q1169" s="242"/>
      <c r="R1169" s="242"/>
      <c r="T1169" s="179" t="s">
        <v>1600</v>
      </c>
      <c r="U1169" s="179"/>
      <c r="V1169" s="326" t="s">
        <v>2018</v>
      </c>
      <c r="W1169" s="179"/>
      <c r="X1169" s="179"/>
    </row>
    <row r="1170" spans="1:24" s="65" customFormat="1" ht="15" customHeight="1" outlineLevel="2">
      <c r="A1170" s="219"/>
      <c r="B1170" s="242"/>
      <c r="C1170" s="242"/>
      <c r="D1170" s="242" t="s">
        <v>1938</v>
      </c>
      <c r="E1170" s="251" t="s">
        <v>1804</v>
      </c>
      <c r="F1170" s="250">
        <f>0*Unit.Mtoe</f>
        <v>0</v>
      </c>
      <c r="G1170" s="250">
        <f t="shared" si="53"/>
        <v>0</v>
      </c>
      <c r="H1170" s="295">
        <f t="shared" si="54"/>
        <v>0</v>
      </c>
      <c r="I1170" s="242"/>
      <c r="J1170" s="242"/>
      <c r="K1170" s="242"/>
      <c r="L1170" s="242"/>
      <c r="M1170" s="242"/>
      <c r="N1170" s="242"/>
      <c r="O1170" s="242"/>
      <c r="P1170" s="242"/>
      <c r="Q1170" s="242"/>
      <c r="R1170" s="242"/>
      <c r="T1170" s="179" t="s">
        <v>1600</v>
      </c>
      <c r="U1170" s="179"/>
      <c r="V1170" s="326" t="s">
        <v>2018</v>
      </c>
      <c r="W1170" s="179"/>
      <c r="X1170" s="179"/>
    </row>
    <row r="1171" spans="1:24" s="65" customFormat="1" ht="15" customHeight="1" outlineLevel="2">
      <c r="A1171" s="219"/>
      <c r="B1171" s="242"/>
      <c r="C1171" s="242"/>
      <c r="D1171" s="242" t="s">
        <v>1938</v>
      </c>
      <c r="E1171" s="251" t="s">
        <v>1805</v>
      </c>
      <c r="F1171" s="250">
        <f>29.9227811986341*Unit.Mtoe</f>
        <v>1.2528070032244127</v>
      </c>
      <c r="G1171" s="250">
        <f>F1171+(F1168-G1168)</f>
        <v>1.2528070032244127</v>
      </c>
      <c r="H1171" s="295">
        <f t="shared" si="54"/>
        <v>2.8109822524628778</v>
      </c>
      <c r="I1171" s="242"/>
      <c r="J1171" s="242"/>
      <c r="K1171" s="242"/>
      <c r="L1171" s="242"/>
      <c r="M1171" s="242"/>
      <c r="N1171" s="242"/>
      <c r="O1171" s="242"/>
      <c r="P1171" s="242"/>
      <c r="Q1171" s="242"/>
      <c r="R1171" s="242"/>
      <c r="T1171" s="179" t="s">
        <v>2019</v>
      </c>
      <c r="U1171" s="179"/>
      <c r="V1171" s="325" t="s">
        <v>2017</v>
      </c>
      <c r="W1171" s="179"/>
      <c r="X1171" s="179"/>
    </row>
    <row r="1172" spans="1:24" s="65" customFormat="1" ht="15" customHeight="1" outlineLevel="2">
      <c r="A1172" s="219"/>
      <c r="B1172" s="242"/>
      <c r="C1172" s="242"/>
      <c r="D1172" s="242" t="s">
        <v>1938</v>
      </c>
      <c r="E1172" s="251" t="s">
        <v>1806</v>
      </c>
      <c r="F1172" s="250">
        <f>0*Unit.Mtoe</f>
        <v>0</v>
      </c>
      <c r="G1172" s="250">
        <f t="shared" si="53"/>
        <v>0</v>
      </c>
      <c r="H1172" s="295">
        <f t="shared" si="54"/>
        <v>0</v>
      </c>
      <c r="I1172" s="242"/>
      <c r="J1172" s="242"/>
      <c r="K1172" s="242"/>
      <c r="L1172" s="242"/>
      <c r="M1172" s="242"/>
      <c r="N1172" s="242"/>
      <c r="O1172" s="242"/>
      <c r="P1172" s="242"/>
      <c r="Q1172" s="242"/>
      <c r="R1172" s="242"/>
      <c r="T1172" s="179" t="s">
        <v>1600</v>
      </c>
      <c r="U1172" s="179"/>
      <c r="V1172" s="326" t="s">
        <v>2018</v>
      </c>
      <c r="W1172" s="179"/>
      <c r="X1172" s="179"/>
    </row>
    <row r="1173" spans="1:24" s="65" customFormat="1" ht="15" customHeight="1" outlineLevel="2">
      <c r="A1173" s="219"/>
      <c r="B1173" s="242"/>
      <c r="C1173" s="242"/>
      <c r="D1173" s="242" t="s">
        <v>1938</v>
      </c>
      <c r="E1173" s="251" t="s">
        <v>1636</v>
      </c>
      <c r="F1173" s="250">
        <f>0*Unit.Mtoe</f>
        <v>0</v>
      </c>
      <c r="G1173" s="250">
        <f t="shared" si="53"/>
        <v>0</v>
      </c>
      <c r="H1173" s="295">
        <f t="shared" si="54"/>
        <v>0</v>
      </c>
      <c r="I1173" s="242"/>
      <c r="J1173" s="242"/>
      <c r="K1173" s="242"/>
      <c r="L1173" s="242"/>
      <c r="M1173" s="242"/>
      <c r="N1173" s="242"/>
      <c r="O1173" s="242"/>
      <c r="P1173" s="242"/>
      <c r="Q1173" s="242"/>
      <c r="R1173" s="242"/>
      <c r="T1173" s="179" t="s">
        <v>1600</v>
      </c>
      <c r="U1173" s="179"/>
      <c r="V1173" s="326" t="s">
        <v>2018</v>
      </c>
      <c r="W1173" s="179"/>
      <c r="X1173" s="179"/>
    </row>
    <row r="1174" spans="1:24" s="65" customFormat="1" ht="15" customHeight="1" outlineLevel="2">
      <c r="A1174" s="219"/>
      <c r="B1174" s="242"/>
      <c r="C1174" s="242" t="s">
        <v>1418</v>
      </c>
      <c r="D1174" s="242" t="s">
        <v>1625</v>
      </c>
      <c r="E1174" s="251" t="s">
        <v>1807</v>
      </c>
      <c r="F1174" s="250">
        <f>1.31434594360585*Unit.Mtoe</f>
        <v>5.5029035966889732E-2</v>
      </c>
      <c r="G1174" s="405">
        <f>F1174*105%</f>
        <v>5.7780487765234222E-2</v>
      </c>
      <c r="H1174" s="295">
        <f t="shared" si="54"/>
        <v>0.57677419946113118</v>
      </c>
      <c r="I1174" s="242"/>
      <c r="J1174" s="242"/>
      <c r="K1174" s="242"/>
      <c r="L1174" s="242"/>
      <c r="M1174" s="242"/>
      <c r="N1174" s="242"/>
      <c r="O1174" s="242"/>
      <c r="P1174" s="242"/>
      <c r="Q1174" s="242"/>
      <c r="R1174" s="242"/>
      <c r="T1174" s="179" t="s">
        <v>2019</v>
      </c>
      <c r="U1174" s="179"/>
      <c r="V1174" s="325" t="s">
        <v>2017</v>
      </c>
      <c r="W1174" s="179"/>
      <c r="X1174" s="179"/>
    </row>
    <row r="1175" spans="1:24" s="65" customFormat="1" ht="15" customHeight="1" outlineLevel="2">
      <c r="A1175" s="219"/>
      <c r="B1175" s="242"/>
      <c r="C1175" s="242"/>
      <c r="D1175" s="242" t="s">
        <v>1625</v>
      </c>
      <c r="E1175" s="251" t="s">
        <v>1808</v>
      </c>
      <c r="F1175" s="250">
        <f>14.7552286594824*Unit.Mtoe</f>
        <v>0.61777191351520921</v>
      </c>
      <c r="G1175" s="250">
        <f t="shared" si="53"/>
        <v>0.61777191351520921</v>
      </c>
      <c r="H1175" s="295">
        <f t="shared" si="54"/>
        <v>6.1666994282747485</v>
      </c>
      <c r="I1175" s="242"/>
      <c r="J1175" s="242"/>
      <c r="K1175" s="242"/>
      <c r="L1175" s="242"/>
      <c r="M1175" s="242"/>
      <c r="N1175" s="242"/>
      <c r="O1175" s="242"/>
      <c r="P1175" s="242"/>
      <c r="Q1175" s="242"/>
      <c r="R1175" s="242"/>
      <c r="T1175" s="179" t="s">
        <v>1600</v>
      </c>
      <c r="U1175" s="179"/>
      <c r="V1175" s="326" t="s">
        <v>2018</v>
      </c>
      <c r="W1175" s="179"/>
      <c r="X1175" s="179"/>
    </row>
    <row r="1176" spans="1:24" s="65" customFormat="1" ht="15" customHeight="1" outlineLevel="2">
      <c r="A1176" s="219"/>
      <c r="B1176" s="242"/>
      <c r="C1176" s="242"/>
      <c r="D1176" s="242" t="s">
        <v>1625</v>
      </c>
      <c r="E1176" s="251" t="s">
        <v>1809</v>
      </c>
      <c r="F1176" s="250">
        <f>8.59940301972088*Unit.Mtoe</f>
        <v>0.3600398056296738</v>
      </c>
      <c r="G1176" s="250">
        <f t="shared" si="53"/>
        <v>0.3600398056296738</v>
      </c>
      <c r="H1176" s="295">
        <f t="shared" si="54"/>
        <v>3.5939757294874162</v>
      </c>
      <c r="I1176" s="242"/>
      <c r="J1176" s="242"/>
      <c r="K1176" s="242"/>
      <c r="L1176" s="242"/>
      <c r="M1176" s="242"/>
      <c r="N1176" s="242"/>
      <c r="O1176" s="242"/>
      <c r="P1176" s="242"/>
      <c r="Q1176" s="242"/>
      <c r="R1176" s="242"/>
      <c r="T1176" s="179" t="s">
        <v>1600</v>
      </c>
      <c r="U1176" s="179"/>
      <c r="V1176" s="326" t="s">
        <v>2018</v>
      </c>
      <c r="W1176" s="179"/>
      <c r="X1176" s="179"/>
    </row>
    <row r="1177" spans="1:24" s="65" customFormat="1" ht="15" customHeight="1" outlineLevel="2">
      <c r="A1177" s="219"/>
      <c r="B1177" s="242"/>
      <c r="C1177" s="242"/>
      <c r="D1177" s="242" t="s">
        <v>1625</v>
      </c>
      <c r="E1177" s="251" t="s">
        <v>1810</v>
      </c>
      <c r="F1177" s="250">
        <f>8.02740608538836*Unit.Mtoe</f>
        <v>0.33609143798303992</v>
      </c>
      <c r="G1177" s="405">
        <f>F1177+(F1174-G1174)</f>
        <v>0.3333399861846954</v>
      </c>
      <c r="H1177" s="295">
        <f t="shared" si="54"/>
        <v>3.3274538017268824</v>
      </c>
      <c r="I1177" s="242"/>
      <c r="J1177" s="242"/>
      <c r="K1177" s="242"/>
      <c r="L1177" s="242"/>
      <c r="M1177" s="242"/>
      <c r="N1177" s="242"/>
      <c r="O1177" s="242"/>
      <c r="P1177" s="242"/>
      <c r="Q1177" s="242"/>
      <c r="R1177" s="242"/>
      <c r="T1177" s="179" t="s">
        <v>2019</v>
      </c>
      <c r="U1177" s="179"/>
      <c r="V1177" s="325" t="s">
        <v>2017</v>
      </c>
      <c r="W1177" s="179"/>
      <c r="X1177" s="179"/>
    </row>
    <row r="1178" spans="1:24" s="65" customFormat="1" ht="15" customHeight="1" outlineLevel="2">
      <c r="A1178" s="219"/>
      <c r="B1178" s="242"/>
      <c r="C1178" s="242"/>
      <c r="D1178" s="242" t="s">
        <v>1625</v>
      </c>
      <c r="E1178" s="251" t="s">
        <v>1811</v>
      </c>
      <c r="F1178" s="250">
        <f>0*Unit.Mtoe</f>
        <v>0</v>
      </c>
      <c r="G1178" s="250">
        <f t="shared" si="53"/>
        <v>0</v>
      </c>
      <c r="H1178" s="295">
        <f t="shared" si="54"/>
        <v>0</v>
      </c>
      <c r="I1178" s="242"/>
      <c r="J1178" s="242"/>
      <c r="K1178" s="242"/>
      <c r="L1178" s="242"/>
      <c r="M1178" s="242"/>
      <c r="N1178" s="242"/>
      <c r="O1178" s="242"/>
      <c r="P1178" s="242"/>
      <c r="Q1178" s="242"/>
      <c r="R1178" s="242"/>
      <c r="T1178" s="179" t="s">
        <v>1600</v>
      </c>
      <c r="U1178" s="179"/>
      <c r="V1178" s="326" t="s">
        <v>2018</v>
      </c>
      <c r="W1178" s="179"/>
      <c r="X1178" s="179"/>
    </row>
    <row r="1179" spans="1:24" s="65" customFormat="1" ht="15" customHeight="1" outlineLevel="2">
      <c r="A1179" s="219"/>
      <c r="B1179" s="242"/>
      <c r="C1179" s="242"/>
      <c r="D1179" s="242" t="s">
        <v>1625</v>
      </c>
      <c r="E1179" s="251" t="s">
        <v>1812</v>
      </c>
      <c r="F1179" s="250">
        <f>0*Unit.Mtoe</f>
        <v>0</v>
      </c>
      <c r="G1179" s="250">
        <f t="shared" si="53"/>
        <v>0</v>
      </c>
      <c r="H1179" s="295">
        <f t="shared" si="54"/>
        <v>0</v>
      </c>
      <c r="I1179" s="242"/>
      <c r="J1179" s="242"/>
      <c r="K1179" s="242"/>
      <c r="L1179" s="242"/>
      <c r="M1179" s="242"/>
      <c r="N1179" s="242"/>
      <c r="O1179" s="242"/>
      <c r="P1179" s="242"/>
      <c r="Q1179" s="242"/>
      <c r="R1179" s="242"/>
      <c r="T1179" s="179" t="s">
        <v>1600</v>
      </c>
      <c r="U1179" s="179"/>
      <c r="V1179" s="326" t="s">
        <v>2018</v>
      </c>
      <c r="W1179" s="179"/>
      <c r="X1179" s="179"/>
    </row>
    <row r="1180" spans="1:24" s="65" customFormat="1" ht="15" customHeight="1" outlineLevel="2">
      <c r="A1180" s="219"/>
      <c r="B1180" s="242"/>
      <c r="C1180" s="242"/>
      <c r="D1180" s="242" t="s">
        <v>1939</v>
      </c>
      <c r="E1180" s="251" t="s">
        <v>1639</v>
      </c>
      <c r="F1180" s="250">
        <f>56.4053034131584*Unit.Mtoe</f>
        <v>2.3615772433021158</v>
      </c>
      <c r="G1180" s="405">
        <f>F1180*105%</f>
        <v>2.4796561054672219</v>
      </c>
      <c r="H1180" s="295">
        <f t="shared" si="54"/>
        <v>55.898483326206907</v>
      </c>
      <c r="I1180" s="242"/>
      <c r="J1180" s="242"/>
      <c r="K1180" s="242"/>
      <c r="L1180" s="242"/>
      <c r="M1180" s="242"/>
      <c r="N1180" s="242"/>
      <c r="O1180" s="242"/>
      <c r="P1180" s="242"/>
      <c r="Q1180" s="242"/>
      <c r="R1180" s="242"/>
      <c r="T1180" s="179" t="s">
        <v>2019</v>
      </c>
      <c r="U1180" s="179"/>
      <c r="V1180" s="325" t="s">
        <v>2017</v>
      </c>
      <c r="W1180" s="179"/>
      <c r="X1180" s="179"/>
    </row>
    <row r="1181" spans="1:24" s="65" customFormat="1" ht="15" customHeight="1" outlineLevel="2">
      <c r="A1181" s="219"/>
      <c r="B1181" s="242"/>
      <c r="C1181" s="242"/>
      <c r="D1181" s="242" t="s">
        <v>1939</v>
      </c>
      <c r="E1181" s="251" t="s">
        <v>1813</v>
      </c>
      <c r="F1181" s="250">
        <f>2.774328056256*Unit.Mtoe</f>
        <v>0.11615556705932621</v>
      </c>
      <c r="G1181" s="250">
        <f t="shared" si="53"/>
        <v>0.11615556705932621</v>
      </c>
      <c r="H1181" s="295">
        <f t="shared" si="54"/>
        <v>2.6184760113291778</v>
      </c>
      <c r="I1181" s="242"/>
      <c r="J1181" s="242"/>
      <c r="K1181" s="242"/>
      <c r="L1181" s="242"/>
      <c r="M1181" s="242"/>
      <c r="N1181" s="242"/>
      <c r="O1181" s="242"/>
      <c r="P1181" s="242"/>
      <c r="Q1181" s="242"/>
      <c r="R1181" s="242"/>
      <c r="T1181" s="179" t="s">
        <v>1600</v>
      </c>
      <c r="U1181" s="179"/>
      <c r="V1181" s="326" t="s">
        <v>2018</v>
      </c>
      <c r="W1181" s="179"/>
      <c r="X1181" s="179"/>
    </row>
    <row r="1182" spans="1:24" s="65" customFormat="1" ht="15" customHeight="1" outlineLevel="2">
      <c r="A1182" s="219"/>
      <c r="B1182" s="242"/>
      <c r="C1182" s="242"/>
      <c r="D1182" s="242" t="s">
        <v>1939</v>
      </c>
      <c r="E1182" s="251" t="s">
        <v>1814</v>
      </c>
      <c r="F1182" s="250">
        <f>4.30690108638664*Unit.Mtoe</f>
        <v>0.18032133468483585</v>
      </c>
      <c r="G1182" s="250">
        <f t="shared" si="53"/>
        <v>0.18032133468483585</v>
      </c>
      <c r="H1182" s="295">
        <f t="shared" si="54"/>
        <v>4.0649544499399184</v>
      </c>
      <c r="I1182" s="242"/>
      <c r="J1182" s="242"/>
      <c r="K1182" s="242"/>
      <c r="L1182" s="242"/>
      <c r="M1182" s="242"/>
      <c r="N1182" s="242"/>
      <c r="O1182" s="242"/>
      <c r="P1182" s="242"/>
      <c r="Q1182" s="242"/>
      <c r="R1182" s="242"/>
      <c r="T1182" s="179" t="s">
        <v>1600</v>
      </c>
      <c r="U1182" s="179"/>
      <c r="V1182" s="326" t="s">
        <v>2018</v>
      </c>
      <c r="W1182" s="179"/>
      <c r="X1182" s="179"/>
    </row>
    <row r="1183" spans="1:24" s="65" customFormat="1" ht="15" customHeight="1" outlineLevel="2">
      <c r="A1183" s="219"/>
      <c r="B1183" s="242"/>
      <c r="C1183" s="242"/>
      <c r="D1183" s="242" t="s">
        <v>1939</v>
      </c>
      <c r="E1183" s="251" t="s">
        <v>1815</v>
      </c>
      <c r="F1183" s="250">
        <f>2.39858406175982*Unit.Mtoe</f>
        <v>0.10042391749776015</v>
      </c>
      <c r="G1183" s="405">
        <f>F1183+(F1180-G1180)</f>
        <v>-1.7654944667345948E-2</v>
      </c>
      <c r="H1183" s="295">
        <f t="shared" si="54"/>
        <v>-0.39799253934318934</v>
      </c>
      <c r="I1183" s="242"/>
      <c r="J1183" s="242"/>
      <c r="K1183" s="242"/>
      <c r="L1183" s="242"/>
      <c r="M1183" s="242"/>
      <c r="N1183" s="242"/>
      <c r="O1183" s="242"/>
      <c r="P1183" s="242"/>
      <c r="Q1183" s="242"/>
      <c r="R1183" s="242"/>
      <c r="T1183" s="179" t="s">
        <v>2019</v>
      </c>
      <c r="U1183" s="179"/>
      <c r="V1183" s="325" t="s">
        <v>2017</v>
      </c>
      <c r="W1183" s="179"/>
      <c r="X1183" s="179"/>
    </row>
    <row r="1184" spans="1:24" s="65" customFormat="1" ht="15" customHeight="1" outlineLevel="2">
      <c r="A1184" s="219"/>
      <c r="B1184" s="242"/>
      <c r="C1184" s="242"/>
      <c r="D1184" s="242" t="s">
        <v>1939</v>
      </c>
      <c r="E1184" s="251" t="s">
        <v>1816</v>
      </c>
      <c r="F1184" s="250">
        <f>0*Unit.Mtoe</f>
        <v>0</v>
      </c>
      <c r="G1184" s="250">
        <f t="shared" si="53"/>
        <v>0</v>
      </c>
      <c r="H1184" s="295">
        <f t="shared" si="54"/>
        <v>0</v>
      </c>
      <c r="I1184" s="242"/>
      <c r="J1184" s="242"/>
      <c r="K1184" s="242"/>
      <c r="L1184" s="242"/>
      <c r="M1184" s="242"/>
      <c r="N1184" s="242"/>
      <c r="O1184" s="242"/>
      <c r="P1184" s="242"/>
      <c r="Q1184" s="242"/>
      <c r="R1184" s="242"/>
      <c r="T1184" s="179" t="s">
        <v>1600</v>
      </c>
      <c r="U1184" s="179"/>
      <c r="V1184" s="326" t="s">
        <v>2018</v>
      </c>
      <c r="W1184" s="179"/>
      <c r="X1184" s="179"/>
    </row>
    <row r="1185" spans="1:24" s="65" customFormat="1" ht="15" customHeight="1" outlineLevel="2">
      <c r="A1185" s="219"/>
      <c r="B1185" s="242"/>
      <c r="C1185" s="242"/>
      <c r="D1185" s="242" t="s">
        <v>1939</v>
      </c>
      <c r="E1185" s="251" t="s">
        <v>1640</v>
      </c>
      <c r="F1185" s="250">
        <f>0*Unit.Mtoe</f>
        <v>0</v>
      </c>
      <c r="G1185" s="250">
        <f t="shared" si="53"/>
        <v>0</v>
      </c>
      <c r="H1185" s="295">
        <f t="shared" si="54"/>
        <v>0</v>
      </c>
      <c r="I1185" s="242"/>
      <c r="J1185" s="242"/>
      <c r="K1185" s="242"/>
      <c r="L1185" s="242"/>
      <c r="M1185" s="242"/>
      <c r="N1185" s="242"/>
      <c r="O1185" s="242"/>
      <c r="P1185" s="242"/>
      <c r="Q1185" s="242"/>
      <c r="R1185" s="242"/>
      <c r="T1185" s="179" t="s">
        <v>1600</v>
      </c>
      <c r="U1185" s="179"/>
      <c r="V1185" s="326" t="s">
        <v>2018</v>
      </c>
      <c r="W1185" s="179"/>
      <c r="X1185" s="179"/>
    </row>
    <row r="1186" spans="1:24" s="65" customFormat="1" ht="15" customHeight="1" outlineLevel="2">
      <c r="A1186" s="219"/>
      <c r="B1186" s="242"/>
      <c r="C1186" s="242"/>
      <c r="D1186" s="242" t="s">
        <v>1940</v>
      </c>
      <c r="E1186" s="242" t="s">
        <v>1641</v>
      </c>
      <c r="F1186" s="250">
        <f>0.477619184736064*Unit.Mtoe</f>
        <v>1.999696002652953E-2</v>
      </c>
      <c r="G1186" s="405">
        <f>F1186*105%</f>
        <v>2.0996808027856008E-2</v>
      </c>
      <c r="H1186" s="295">
        <f t="shared" si="54"/>
        <v>0.4346999999999997</v>
      </c>
      <c r="I1186" s="242"/>
      <c r="J1186" s="242"/>
      <c r="K1186" s="242"/>
      <c r="L1186" s="242"/>
      <c r="M1186" s="242"/>
      <c r="N1186" s="242"/>
      <c r="O1186" s="242"/>
      <c r="P1186" s="242"/>
      <c r="Q1186" s="242"/>
      <c r="R1186" s="242"/>
      <c r="T1186" s="179" t="s">
        <v>2019</v>
      </c>
      <c r="U1186" s="179"/>
      <c r="V1186" s="325" t="s">
        <v>2017</v>
      </c>
      <c r="W1186" s="179"/>
      <c r="X1186" s="179"/>
    </row>
    <row r="1187" spans="1:24" s="65" customFormat="1" ht="15" customHeight="1" outlineLevel="2">
      <c r="A1187" s="219"/>
      <c r="B1187" s="242"/>
      <c r="C1187" s="242"/>
      <c r="D1187" s="242" t="s">
        <v>1940</v>
      </c>
      <c r="E1187" s="251" t="s">
        <v>1817</v>
      </c>
      <c r="F1187" s="250">
        <f>0*Unit.Mtoe</f>
        <v>0</v>
      </c>
      <c r="G1187" s="250">
        <f t="shared" si="53"/>
        <v>0</v>
      </c>
      <c r="H1187" s="295">
        <f t="shared" si="54"/>
        <v>0</v>
      </c>
      <c r="I1187" s="242"/>
      <c r="J1187" s="242"/>
      <c r="K1187" s="242"/>
      <c r="L1187" s="242"/>
      <c r="M1187" s="242"/>
      <c r="N1187" s="242"/>
      <c r="O1187" s="242"/>
      <c r="P1187" s="242"/>
      <c r="Q1187" s="242"/>
      <c r="R1187" s="242"/>
      <c r="T1187" s="179" t="s">
        <v>1600</v>
      </c>
      <c r="U1187" s="179"/>
      <c r="V1187" s="326" t="s">
        <v>2018</v>
      </c>
      <c r="W1187" s="179"/>
      <c r="X1187" s="179"/>
    </row>
    <row r="1188" spans="1:24" s="65" customFormat="1" ht="15" customHeight="1" outlineLevel="2">
      <c r="A1188" s="219"/>
      <c r="B1188" s="242"/>
      <c r="C1188" s="242"/>
      <c r="D1188" s="242" t="s">
        <v>1940</v>
      </c>
      <c r="E1188" s="251" t="s">
        <v>1818</v>
      </c>
      <c r="F1188" s="250">
        <f>0.0043403208057696*Unit.Mtoe</f>
        <v>1.8172055149596162E-4</v>
      </c>
      <c r="G1188" s="250">
        <f t="shared" si="53"/>
        <v>1.8172055149596162E-4</v>
      </c>
      <c r="H1188" s="295">
        <f t="shared" si="54"/>
        <v>3.7621872634399926E-3</v>
      </c>
      <c r="I1188" s="242"/>
      <c r="J1188" s="242"/>
      <c r="K1188" s="242"/>
      <c r="L1188" s="242"/>
      <c r="M1188" s="242"/>
      <c r="N1188" s="242"/>
      <c r="O1188" s="242"/>
      <c r="P1188" s="242"/>
      <c r="Q1188" s="242"/>
      <c r="R1188" s="242"/>
      <c r="T1188" s="179" t="s">
        <v>1600</v>
      </c>
      <c r="U1188" s="179"/>
      <c r="V1188" s="326" t="s">
        <v>2018</v>
      </c>
      <c r="W1188" s="179"/>
      <c r="X1188" s="179"/>
    </row>
    <row r="1189" spans="1:24" s="65" customFormat="1" ht="15" customHeight="1" outlineLevel="2">
      <c r="A1189" s="219"/>
      <c r="B1189" s="242"/>
      <c r="C1189" s="242"/>
      <c r="D1189" s="242" t="s">
        <v>1940</v>
      </c>
      <c r="E1189" s="251" t="s">
        <v>1819</v>
      </c>
      <c r="F1189" s="250">
        <f>5.81449442287382*Unit.Mtoe</f>
        <v>0.24344125249688112</v>
      </c>
      <c r="G1189" s="405">
        <f>F1189+(F1186-G1186)</f>
        <v>0.24244140449555462</v>
      </c>
      <c r="H1189" s="295">
        <f t="shared" si="54"/>
        <v>5.0192999999999932</v>
      </c>
      <c r="I1189" s="242"/>
      <c r="J1189" s="242"/>
      <c r="K1189" s="242"/>
      <c r="L1189" s="242"/>
      <c r="M1189" s="242"/>
      <c r="N1189" s="242"/>
      <c r="O1189" s="242"/>
      <c r="P1189" s="242"/>
      <c r="Q1189" s="242"/>
      <c r="R1189" s="242"/>
      <c r="T1189" s="179" t="s">
        <v>2019</v>
      </c>
      <c r="U1189" s="179"/>
      <c r="V1189" s="325" t="s">
        <v>2017</v>
      </c>
      <c r="W1189" s="179"/>
      <c r="X1189" s="179"/>
    </row>
    <row r="1190" spans="1:24" s="65" customFormat="1" ht="15" customHeight="1" outlineLevel="2">
      <c r="A1190" s="219"/>
      <c r="B1190" s="242"/>
      <c r="C1190" s="242"/>
      <c r="D1190" s="242" t="s">
        <v>1940</v>
      </c>
      <c r="E1190" s="251" t="s">
        <v>1820</v>
      </c>
      <c r="F1190" s="250">
        <f>0*Unit.Mtoe</f>
        <v>0</v>
      </c>
      <c r="G1190" s="250">
        <f t="shared" si="53"/>
        <v>0</v>
      </c>
      <c r="H1190" s="295">
        <f t="shared" si="54"/>
        <v>0</v>
      </c>
      <c r="I1190" s="242"/>
      <c r="J1190" s="242"/>
      <c r="K1190" s="242"/>
      <c r="L1190" s="242"/>
      <c r="M1190" s="242"/>
      <c r="N1190" s="242"/>
      <c r="O1190" s="242"/>
      <c r="P1190" s="242"/>
      <c r="Q1190" s="242"/>
      <c r="R1190" s="242"/>
      <c r="T1190" s="179" t="s">
        <v>1600</v>
      </c>
      <c r="U1190" s="179"/>
      <c r="V1190" s="326" t="s">
        <v>2018</v>
      </c>
      <c r="W1190" s="179"/>
      <c r="X1190" s="179"/>
    </row>
    <row r="1191" spans="1:24" s="65" customFormat="1" ht="15" customHeight="1" outlineLevel="2">
      <c r="A1191" s="219"/>
      <c r="B1191" s="242"/>
      <c r="C1191" s="242"/>
      <c r="D1191" s="242" t="s">
        <v>1940</v>
      </c>
      <c r="E1191" s="251" t="s">
        <v>1642</v>
      </c>
      <c r="F1191" s="250">
        <f>0*Unit.Mtoe</f>
        <v>0</v>
      </c>
      <c r="G1191" s="250">
        <f t="shared" si="53"/>
        <v>0</v>
      </c>
      <c r="H1191" s="295">
        <f t="shared" si="54"/>
        <v>0</v>
      </c>
      <c r="I1191" s="242"/>
      <c r="J1191" s="242"/>
      <c r="K1191" s="242"/>
      <c r="L1191" s="242"/>
      <c r="M1191" s="242"/>
      <c r="N1191" s="242"/>
      <c r="O1191" s="242"/>
      <c r="P1191" s="242"/>
      <c r="Q1191" s="242"/>
      <c r="R1191" s="242"/>
      <c r="T1191" s="179" t="s">
        <v>1600</v>
      </c>
      <c r="U1191" s="179"/>
      <c r="V1191" s="326" t="s">
        <v>2018</v>
      </c>
      <c r="W1191" s="179"/>
      <c r="X1191" s="179"/>
    </row>
    <row r="1192" spans="1:24" s="65" customFormat="1" ht="15" customHeight="1" outlineLevel="2">
      <c r="A1192" s="219"/>
      <c r="B1192" s="242"/>
      <c r="C1192" s="242" t="s">
        <v>1435</v>
      </c>
      <c r="D1192" s="242" t="s">
        <v>1941</v>
      </c>
      <c r="E1192" s="242" t="s">
        <v>1821</v>
      </c>
      <c r="F1192" s="250">
        <f>0*Unit.Mtoe</f>
        <v>0</v>
      </c>
      <c r="G1192" s="405">
        <f>F1192*105%</f>
        <v>0</v>
      </c>
      <c r="H1192" s="295">
        <f t="shared" si="54"/>
        <v>0</v>
      </c>
      <c r="I1192" s="242"/>
      <c r="J1192" s="242"/>
      <c r="K1192" s="242"/>
      <c r="L1192" s="242"/>
      <c r="M1192" s="242"/>
      <c r="N1192" s="242"/>
      <c r="O1192" s="242"/>
      <c r="P1192" s="242"/>
      <c r="Q1192" s="242"/>
      <c r="R1192" s="242"/>
      <c r="T1192" s="179" t="s">
        <v>2019</v>
      </c>
      <c r="U1192" s="179"/>
      <c r="V1192" s="325" t="s">
        <v>2017</v>
      </c>
      <c r="W1192" s="179"/>
      <c r="X1192" s="179"/>
    </row>
    <row r="1193" spans="1:24" s="65" customFormat="1" ht="15" customHeight="1" outlineLevel="2">
      <c r="A1193" s="219"/>
      <c r="B1193" s="242"/>
      <c r="C1193" s="242"/>
      <c r="D1193" s="242" t="s">
        <v>1941</v>
      </c>
      <c r="E1193" s="251" t="s">
        <v>1822</v>
      </c>
      <c r="F1193" s="250">
        <f>5.88667860574834*Unit.Mtoe</f>
        <v>0.24646345986547152</v>
      </c>
      <c r="G1193" s="250">
        <f t="shared" si="53"/>
        <v>0.24646345986547152</v>
      </c>
      <c r="H1193" s="295">
        <f t="shared" si="54"/>
        <v>0.77129929559324573</v>
      </c>
      <c r="I1193" s="242"/>
      <c r="J1193" s="242"/>
      <c r="K1193" s="242"/>
      <c r="L1193" s="242"/>
      <c r="M1193" s="242"/>
      <c r="N1193" s="242"/>
      <c r="O1193" s="242"/>
      <c r="P1193" s="242"/>
      <c r="Q1193" s="242"/>
      <c r="R1193" s="242"/>
      <c r="T1193" s="179" t="s">
        <v>1600</v>
      </c>
      <c r="U1193" s="179"/>
      <c r="V1193" s="326" t="s">
        <v>2018</v>
      </c>
      <c r="W1193" s="179"/>
      <c r="X1193" s="179"/>
    </row>
    <row r="1194" spans="1:24" s="65" customFormat="1" ht="15" customHeight="1" outlineLevel="2">
      <c r="A1194" s="219"/>
      <c r="B1194" s="242"/>
      <c r="C1194" s="242"/>
      <c r="D1194" s="242" t="s">
        <v>1941</v>
      </c>
      <c r="E1194" s="251" t="s">
        <v>1823</v>
      </c>
      <c r="F1194" s="250">
        <f>458.843969002*Unit.Mtoe</f>
        <v>19.210879294175736</v>
      </c>
      <c r="G1194" s="250">
        <f t="shared" si="53"/>
        <v>19.210879294175736</v>
      </c>
      <c r="H1194" s="295">
        <f t="shared" si="54"/>
        <v>60.119815227021654</v>
      </c>
      <c r="I1194" s="242"/>
      <c r="J1194" s="242"/>
      <c r="K1194" s="242"/>
      <c r="L1194" s="242"/>
      <c r="M1194" s="242"/>
      <c r="N1194" s="242"/>
      <c r="O1194" s="242"/>
      <c r="P1194" s="242"/>
      <c r="Q1194" s="242"/>
      <c r="R1194" s="242"/>
      <c r="T1194" s="179" t="s">
        <v>1600</v>
      </c>
      <c r="U1194" s="179"/>
      <c r="V1194" s="326" t="s">
        <v>2018</v>
      </c>
      <c r="W1194" s="179"/>
      <c r="X1194" s="179"/>
    </row>
    <row r="1195" spans="1:24" s="65" customFormat="1" ht="15" customHeight="1" outlineLevel="2">
      <c r="A1195" s="219"/>
      <c r="B1195" s="242"/>
      <c r="C1195" s="242"/>
      <c r="D1195" s="242" t="s">
        <v>1941</v>
      </c>
      <c r="E1195" s="251" t="s">
        <v>1824</v>
      </c>
      <c r="F1195" s="250">
        <f>0.0812849826009649*Unit.Mtoe</f>
        <v>3.4032396515371985E-3</v>
      </c>
      <c r="G1195" s="405">
        <f>F1195+(F1192-G1192)</f>
        <v>3.4032396515371985E-3</v>
      </c>
      <c r="H1195" s="295">
        <f t="shared" si="54"/>
        <v>1.0650326613926529E-2</v>
      </c>
      <c r="I1195" s="242"/>
      <c r="J1195" s="242"/>
      <c r="K1195" s="242"/>
      <c r="L1195" s="242"/>
      <c r="M1195" s="242"/>
      <c r="N1195" s="242"/>
      <c r="O1195" s="242"/>
      <c r="P1195" s="242"/>
      <c r="Q1195" s="242"/>
      <c r="R1195" s="242"/>
      <c r="T1195" s="179" t="s">
        <v>2019</v>
      </c>
      <c r="U1195" s="179"/>
      <c r="V1195" s="325" t="s">
        <v>2017</v>
      </c>
      <c r="W1195" s="179"/>
      <c r="X1195" s="179"/>
    </row>
    <row r="1196" spans="1:24" s="65" customFormat="1" ht="15" customHeight="1" outlineLevel="2">
      <c r="A1196" s="219"/>
      <c r="B1196" s="242"/>
      <c r="C1196" s="242"/>
      <c r="D1196" s="242" t="s">
        <v>1941</v>
      </c>
      <c r="E1196" s="251" t="s">
        <v>1825</v>
      </c>
      <c r="F1196" s="250">
        <f>0*Unit.Mtoe</f>
        <v>0</v>
      </c>
      <c r="G1196" s="250">
        <f t="shared" si="53"/>
        <v>0</v>
      </c>
      <c r="H1196" s="295">
        <f t="shared" si="54"/>
        <v>0</v>
      </c>
      <c r="I1196" s="242"/>
      <c r="J1196" s="242"/>
      <c r="K1196" s="242"/>
      <c r="L1196" s="242"/>
      <c r="M1196" s="242"/>
      <c r="N1196" s="242"/>
      <c r="O1196" s="242"/>
      <c r="P1196" s="242"/>
      <c r="Q1196" s="242"/>
      <c r="R1196" s="242"/>
      <c r="T1196" s="179" t="s">
        <v>1600</v>
      </c>
      <c r="U1196" s="179"/>
      <c r="V1196" s="326" t="s">
        <v>2018</v>
      </c>
      <c r="W1196" s="179"/>
      <c r="X1196" s="179"/>
    </row>
    <row r="1197" spans="1:24" s="65" customFormat="1" ht="15" customHeight="1" outlineLevel="2">
      <c r="A1197" s="219"/>
      <c r="B1197" s="242"/>
      <c r="C1197" s="242"/>
      <c r="D1197" s="242" t="s">
        <v>1941</v>
      </c>
      <c r="E1197" s="251" t="s">
        <v>1826</v>
      </c>
      <c r="F1197" s="250">
        <f>0*Unit.Mtoe</f>
        <v>0</v>
      </c>
      <c r="G1197" s="250">
        <f t="shared" si="53"/>
        <v>0</v>
      </c>
      <c r="H1197" s="295">
        <f t="shared" si="54"/>
        <v>0</v>
      </c>
      <c r="I1197" s="242"/>
      <c r="J1197" s="242"/>
      <c r="K1197" s="242"/>
      <c r="L1197" s="242"/>
      <c r="M1197" s="242"/>
      <c r="N1197" s="242"/>
      <c r="O1197" s="242"/>
      <c r="P1197" s="242"/>
      <c r="Q1197" s="242"/>
      <c r="R1197" s="242"/>
      <c r="T1197" s="179" t="s">
        <v>1600</v>
      </c>
      <c r="U1197" s="179"/>
      <c r="V1197" s="326" t="s">
        <v>2018</v>
      </c>
      <c r="W1197" s="179"/>
      <c r="X1197" s="179"/>
    </row>
    <row r="1198" spans="1:24" s="65" customFormat="1" ht="15" customHeight="1" outlineLevel="2">
      <c r="A1198" s="219"/>
      <c r="B1198" s="242"/>
      <c r="C1198" s="242"/>
      <c r="D1198" s="242" t="s">
        <v>1622</v>
      </c>
      <c r="E1198" s="242" t="s">
        <v>1827</v>
      </c>
      <c r="F1198" s="250">
        <f>0*Unit.Mtoe</f>
        <v>0</v>
      </c>
      <c r="G1198" s="405">
        <f>F1198*105%</f>
        <v>0</v>
      </c>
      <c r="H1198" s="295">
        <f t="shared" si="54"/>
        <v>0</v>
      </c>
      <c r="I1198" s="242"/>
      <c r="J1198" s="242"/>
      <c r="K1198" s="242"/>
      <c r="L1198" s="242"/>
      <c r="M1198" s="242"/>
      <c r="N1198" s="242"/>
      <c r="O1198" s="242"/>
      <c r="P1198" s="242"/>
      <c r="Q1198" s="242"/>
      <c r="R1198" s="242"/>
      <c r="T1198" s="179" t="s">
        <v>2019</v>
      </c>
      <c r="U1198" s="179"/>
      <c r="V1198" s="325" t="s">
        <v>2017</v>
      </c>
      <c r="W1198" s="179"/>
      <c r="X1198" s="179"/>
    </row>
    <row r="1199" spans="1:24" s="65" customFormat="1" ht="15" customHeight="1" outlineLevel="2">
      <c r="A1199" s="219"/>
      <c r="B1199" s="242"/>
      <c r="C1199" s="242"/>
      <c r="D1199" s="242" t="s">
        <v>1622</v>
      </c>
      <c r="E1199" s="251" t="s">
        <v>1828</v>
      </c>
      <c r="F1199" s="250">
        <f>34.4777057988679*Unit.Mtoe</f>
        <v>1.4435125863870013</v>
      </c>
      <c r="G1199" s="250">
        <f t="shared" si="53"/>
        <v>1.4435125863870013</v>
      </c>
      <c r="H1199" s="295">
        <f t="shared" si="54"/>
        <v>8.8088783376746278</v>
      </c>
      <c r="I1199" s="242"/>
      <c r="J1199" s="242"/>
      <c r="K1199" s="242"/>
      <c r="L1199" s="242"/>
      <c r="M1199" s="242"/>
      <c r="N1199" s="242"/>
      <c r="O1199" s="242"/>
      <c r="P1199" s="242"/>
      <c r="Q1199" s="242"/>
      <c r="R1199" s="242"/>
      <c r="T1199" s="179" t="s">
        <v>1600</v>
      </c>
      <c r="U1199" s="179"/>
      <c r="V1199" s="326" t="s">
        <v>2018</v>
      </c>
      <c r="W1199" s="179"/>
      <c r="X1199" s="179"/>
    </row>
    <row r="1200" spans="1:24" s="65" customFormat="1" ht="15" customHeight="1" outlineLevel="2">
      <c r="A1200" s="219"/>
      <c r="B1200" s="242"/>
      <c r="C1200" s="242"/>
      <c r="D1200" s="242" t="s">
        <v>1622</v>
      </c>
      <c r="E1200" s="251" t="s">
        <v>1829</v>
      </c>
      <c r="F1200" s="250">
        <f>0*Unit.Mtoe</f>
        <v>0</v>
      </c>
      <c r="G1200" s="250">
        <f t="shared" si="53"/>
        <v>0</v>
      </c>
      <c r="H1200" s="295">
        <f t="shared" si="54"/>
        <v>0</v>
      </c>
      <c r="I1200" s="242"/>
      <c r="J1200" s="242"/>
      <c r="K1200" s="242"/>
      <c r="L1200" s="242"/>
      <c r="M1200" s="242"/>
      <c r="N1200" s="242"/>
      <c r="O1200" s="242"/>
      <c r="P1200" s="242"/>
      <c r="Q1200" s="242"/>
      <c r="R1200" s="242"/>
      <c r="T1200" s="179" t="s">
        <v>1600</v>
      </c>
      <c r="U1200" s="179"/>
      <c r="V1200" s="326" t="s">
        <v>2018</v>
      </c>
      <c r="W1200" s="179"/>
      <c r="X1200" s="179"/>
    </row>
    <row r="1201" spans="1:24" s="65" customFormat="1" ht="15" customHeight="1" outlineLevel="2">
      <c r="A1201" s="219"/>
      <c r="B1201" s="242"/>
      <c r="C1201" s="242"/>
      <c r="D1201" s="242" t="s">
        <v>1622</v>
      </c>
      <c r="E1201" s="251" t="s">
        <v>1830</v>
      </c>
      <c r="F1201" s="250">
        <f>107.811134618642*Unit.Mtoe</f>
        <v>4.5138365842133039</v>
      </c>
      <c r="G1201" s="405">
        <f>F1201+(F1198-G1198)</f>
        <v>4.5138365842133039</v>
      </c>
      <c r="H1201" s="295">
        <f t="shared" si="54"/>
        <v>27.545196128840526</v>
      </c>
      <c r="I1201" s="242"/>
      <c r="J1201" s="242"/>
      <c r="K1201" s="242"/>
      <c r="L1201" s="242"/>
      <c r="M1201" s="242"/>
      <c r="N1201" s="242"/>
      <c r="O1201" s="242"/>
      <c r="P1201" s="242"/>
      <c r="Q1201" s="242"/>
      <c r="R1201" s="242"/>
      <c r="T1201" s="179" t="s">
        <v>2019</v>
      </c>
      <c r="U1201" s="179"/>
      <c r="V1201" s="325" t="s">
        <v>2017</v>
      </c>
      <c r="W1201" s="179"/>
      <c r="X1201" s="179"/>
    </row>
    <row r="1202" spans="1:24" s="65" customFormat="1" ht="15" customHeight="1" outlineLevel="2">
      <c r="A1202" s="219"/>
      <c r="B1202" s="242"/>
      <c r="C1202" s="242"/>
      <c r="D1202" s="242" t="s">
        <v>1622</v>
      </c>
      <c r="E1202" s="251" t="s">
        <v>1831</v>
      </c>
      <c r="F1202" s="250">
        <f>0*Unit.Mtoe</f>
        <v>0</v>
      </c>
      <c r="G1202" s="250">
        <f t="shared" si="53"/>
        <v>0</v>
      </c>
      <c r="H1202" s="295">
        <f t="shared" si="54"/>
        <v>0</v>
      </c>
      <c r="I1202" s="242"/>
      <c r="J1202" s="242"/>
      <c r="K1202" s="242"/>
      <c r="L1202" s="242"/>
      <c r="M1202" s="242"/>
      <c r="N1202" s="242"/>
      <c r="O1202" s="242"/>
      <c r="P1202" s="242"/>
      <c r="Q1202" s="242"/>
      <c r="R1202" s="242"/>
      <c r="T1202" s="179" t="s">
        <v>1600</v>
      </c>
      <c r="U1202" s="179"/>
      <c r="V1202" s="326" t="s">
        <v>2018</v>
      </c>
      <c r="W1202" s="179"/>
      <c r="X1202" s="179"/>
    </row>
    <row r="1203" spans="1:24" s="65" customFormat="1" ht="15" customHeight="1" outlineLevel="2">
      <c r="A1203" s="219"/>
      <c r="B1203" s="242"/>
      <c r="C1203" s="242"/>
      <c r="D1203" s="242" t="s">
        <v>1622</v>
      </c>
      <c r="E1203" s="251" t="s">
        <v>1832</v>
      </c>
      <c r="F1203" s="250">
        <f>0*Unit.Mtoe</f>
        <v>0</v>
      </c>
      <c r="G1203" s="250">
        <f t="shared" si="53"/>
        <v>0</v>
      </c>
      <c r="H1203" s="295">
        <f t="shared" si="54"/>
        <v>0</v>
      </c>
      <c r="I1203" s="242"/>
      <c r="J1203" s="242"/>
      <c r="K1203" s="242"/>
      <c r="L1203" s="242"/>
      <c r="M1203" s="242"/>
      <c r="N1203" s="242"/>
      <c r="O1203" s="242"/>
      <c r="P1203" s="242"/>
      <c r="Q1203" s="242"/>
      <c r="R1203" s="242"/>
      <c r="T1203" s="179" t="s">
        <v>1600</v>
      </c>
      <c r="U1203" s="179"/>
      <c r="V1203" s="326" t="s">
        <v>2018</v>
      </c>
      <c r="W1203" s="179"/>
      <c r="X1203" s="179"/>
    </row>
    <row r="1204" spans="1:24" s="65" customFormat="1" ht="15" customHeight="1" outlineLevel="2">
      <c r="A1204" s="219"/>
      <c r="B1204" s="242"/>
      <c r="C1204" s="242"/>
      <c r="D1204" s="242" t="s">
        <v>1623</v>
      </c>
      <c r="E1204" s="242" t="s">
        <v>1833</v>
      </c>
      <c r="F1204" s="250">
        <f>0*Unit.Mtoe</f>
        <v>0</v>
      </c>
      <c r="G1204" s="405">
        <f>F1204*105%</f>
        <v>0</v>
      </c>
      <c r="H1204" s="295">
        <f t="shared" si="54"/>
        <v>0</v>
      </c>
      <c r="I1204" s="242"/>
      <c r="J1204" s="242"/>
      <c r="K1204" s="242"/>
      <c r="L1204" s="242"/>
      <c r="M1204" s="242"/>
      <c r="N1204" s="242"/>
      <c r="O1204" s="242"/>
      <c r="P1204" s="242"/>
      <c r="Q1204" s="242"/>
      <c r="R1204" s="242"/>
      <c r="T1204" s="179" t="s">
        <v>2019</v>
      </c>
      <c r="U1204" s="179"/>
      <c r="V1204" s="325" t="s">
        <v>2017</v>
      </c>
      <c r="W1204" s="179"/>
      <c r="X1204" s="179"/>
    </row>
    <row r="1205" spans="1:24" s="65" customFormat="1" ht="15" customHeight="1" outlineLevel="2">
      <c r="A1205" s="219"/>
      <c r="B1205" s="242"/>
      <c r="C1205" s="242"/>
      <c r="D1205" s="242" t="s">
        <v>1623</v>
      </c>
      <c r="E1205" s="251" t="s">
        <v>1834</v>
      </c>
      <c r="F1205" s="250">
        <f>17.3407315993838*Unit.Mtoe</f>
        <v>0.726021750603001</v>
      </c>
      <c r="G1205" s="250">
        <f t="shared" si="53"/>
        <v>0.726021750603001</v>
      </c>
      <c r="H1205" s="295">
        <f t="shared" si="54"/>
        <v>12.513400679035435</v>
      </c>
      <c r="I1205" s="242"/>
      <c r="J1205" s="242"/>
      <c r="K1205" s="242"/>
      <c r="L1205" s="242"/>
      <c r="M1205" s="242"/>
      <c r="N1205" s="242"/>
      <c r="O1205" s="242"/>
      <c r="P1205" s="242"/>
      <c r="Q1205" s="242"/>
      <c r="R1205" s="242"/>
      <c r="T1205" s="179" t="s">
        <v>1600</v>
      </c>
      <c r="U1205" s="179"/>
      <c r="V1205" s="326" t="s">
        <v>2018</v>
      </c>
      <c r="W1205" s="179"/>
      <c r="X1205" s="179"/>
    </row>
    <row r="1206" spans="1:24" s="65" customFormat="1" ht="15" customHeight="1" outlineLevel="2">
      <c r="A1206" s="219"/>
      <c r="B1206" s="242"/>
      <c r="C1206" s="242"/>
      <c r="D1206" s="242" t="s">
        <v>1623</v>
      </c>
      <c r="E1206" s="251" t="s">
        <v>1835</v>
      </c>
      <c r="F1206" s="250">
        <f>0*Unit.Mtoe</f>
        <v>0</v>
      </c>
      <c r="G1206" s="250">
        <f t="shared" si="53"/>
        <v>0</v>
      </c>
      <c r="H1206" s="295">
        <f t="shared" si="54"/>
        <v>0</v>
      </c>
      <c r="I1206" s="242"/>
      <c r="J1206" s="242"/>
      <c r="K1206" s="242"/>
      <c r="L1206" s="242"/>
      <c r="M1206" s="242"/>
      <c r="N1206" s="242"/>
      <c r="O1206" s="242"/>
      <c r="P1206" s="242"/>
      <c r="Q1206" s="242"/>
      <c r="R1206" s="242"/>
      <c r="T1206" s="179" t="s">
        <v>1600</v>
      </c>
      <c r="U1206" s="179"/>
      <c r="V1206" s="326" t="s">
        <v>2018</v>
      </c>
      <c r="W1206" s="179"/>
      <c r="X1206" s="179"/>
    </row>
    <row r="1207" spans="1:24" s="65" customFormat="1" ht="15" customHeight="1" outlineLevel="2">
      <c r="A1207" s="219"/>
      <c r="B1207" s="242"/>
      <c r="C1207" s="242"/>
      <c r="D1207" s="242" t="s">
        <v>1623</v>
      </c>
      <c r="E1207" s="251" t="s">
        <v>1836</v>
      </c>
      <c r="F1207" s="250">
        <f>22.3987190278753*Unit.Mtoe</f>
        <v>0.937789568259083</v>
      </c>
      <c r="G1207" s="405">
        <f>F1207+(F1204-G1204)</f>
        <v>0.937789568259083</v>
      </c>
      <c r="H1207" s="295">
        <f t="shared" si="54"/>
        <v>16.163340300065453</v>
      </c>
      <c r="I1207" s="242"/>
      <c r="J1207" s="242"/>
      <c r="K1207" s="242"/>
      <c r="L1207" s="242"/>
      <c r="M1207" s="242"/>
      <c r="N1207" s="242"/>
      <c r="O1207" s="242"/>
      <c r="P1207" s="242"/>
      <c r="Q1207" s="242"/>
      <c r="R1207" s="242"/>
      <c r="T1207" s="179" t="s">
        <v>2019</v>
      </c>
      <c r="U1207" s="179"/>
      <c r="V1207" s="325" t="s">
        <v>2017</v>
      </c>
      <c r="W1207" s="179"/>
      <c r="X1207" s="179"/>
    </row>
    <row r="1208" spans="1:24" s="65" customFormat="1" ht="15" customHeight="1" outlineLevel="2">
      <c r="A1208" s="219"/>
      <c r="B1208" s="242"/>
      <c r="C1208" s="242"/>
      <c r="D1208" s="242" t="s">
        <v>1623</v>
      </c>
      <c r="E1208" s="251" t="s">
        <v>1837</v>
      </c>
      <c r="F1208" s="250">
        <f>0*Unit.Mtoe</f>
        <v>0</v>
      </c>
      <c r="G1208" s="250">
        <f t="shared" si="53"/>
        <v>0</v>
      </c>
      <c r="H1208" s="295">
        <f t="shared" si="54"/>
        <v>0</v>
      </c>
      <c r="I1208" s="242"/>
      <c r="J1208" s="242"/>
      <c r="K1208" s="242"/>
      <c r="L1208" s="242"/>
      <c r="M1208" s="242"/>
      <c r="N1208" s="242"/>
      <c r="O1208" s="242"/>
      <c r="P1208" s="242"/>
      <c r="Q1208" s="242"/>
      <c r="R1208" s="242"/>
      <c r="T1208" s="179" t="s">
        <v>1600</v>
      </c>
      <c r="U1208" s="179"/>
      <c r="V1208" s="326" t="s">
        <v>2018</v>
      </c>
      <c r="W1208" s="179"/>
      <c r="X1208" s="179"/>
    </row>
    <row r="1209" spans="1:24" s="65" customFormat="1" ht="15" customHeight="1" outlineLevel="2">
      <c r="A1209" s="219"/>
      <c r="B1209" s="242"/>
      <c r="C1209" s="242"/>
      <c r="D1209" s="242" t="s">
        <v>1623</v>
      </c>
      <c r="E1209" s="251" t="s">
        <v>1838</v>
      </c>
      <c r="F1209" s="250">
        <f>0*Unit.Mtoe</f>
        <v>0</v>
      </c>
      <c r="G1209" s="250">
        <f t="shared" si="53"/>
        <v>0</v>
      </c>
      <c r="H1209" s="295">
        <f t="shared" si="54"/>
        <v>0</v>
      </c>
      <c r="I1209" s="242"/>
      <c r="J1209" s="242"/>
      <c r="K1209" s="242"/>
      <c r="L1209" s="242"/>
      <c r="M1209" s="242"/>
      <c r="N1209" s="242"/>
      <c r="O1209" s="242"/>
      <c r="P1209" s="242"/>
      <c r="Q1209" s="242"/>
      <c r="R1209" s="242"/>
      <c r="T1209" s="179" t="s">
        <v>1600</v>
      </c>
      <c r="U1209" s="179"/>
      <c r="V1209" s="326" t="s">
        <v>2018</v>
      </c>
      <c r="W1209" s="179"/>
      <c r="X1209" s="179"/>
    </row>
    <row r="1210" spans="1:24" s="65" customFormat="1" ht="15" customHeight="1" outlineLevel="2">
      <c r="A1210" s="219"/>
      <c r="B1210" s="242"/>
      <c r="C1210" s="242"/>
      <c r="D1210" s="242" t="s">
        <v>1942</v>
      </c>
      <c r="E1210" s="242" t="s">
        <v>1839</v>
      </c>
      <c r="F1210" s="250">
        <f>99.975086004*Unit.Mtoe</f>
        <v>4.1857569008154725</v>
      </c>
      <c r="G1210" s="405">
        <f>F1210*105%</f>
        <v>4.3950447458562465</v>
      </c>
      <c r="H1210" s="295">
        <f t="shared" si="54"/>
        <v>43.950447458562465</v>
      </c>
      <c r="I1210" s="242"/>
      <c r="J1210" s="242"/>
      <c r="K1210" s="242"/>
      <c r="L1210" s="242"/>
      <c r="M1210" s="242"/>
      <c r="N1210" s="242"/>
      <c r="O1210" s="242"/>
      <c r="P1210" s="242"/>
      <c r="Q1210" s="242"/>
      <c r="R1210" s="242"/>
      <c r="T1210" s="179" t="s">
        <v>2019</v>
      </c>
      <c r="U1210" s="179"/>
      <c r="V1210" s="325" t="s">
        <v>2017</v>
      </c>
      <c r="W1210" s="179"/>
      <c r="X1210" s="179"/>
    </row>
    <row r="1211" spans="1:24" s="65" customFormat="1" ht="15" customHeight="1" outlineLevel="2">
      <c r="A1211" s="219"/>
      <c r="B1211" s="242"/>
      <c r="C1211" s="242"/>
      <c r="D1211" s="242" t="s">
        <v>1942</v>
      </c>
      <c r="E1211" s="251" t="s">
        <v>1840</v>
      </c>
      <c r="F1211" s="250">
        <f>8.93641101099996*Unit.Mtoe</f>
        <v>0.37414965620854634</v>
      </c>
      <c r="G1211" s="250">
        <f t="shared" si="53"/>
        <v>0.37414965620854634</v>
      </c>
      <c r="H1211" s="295">
        <f t="shared" si="54"/>
        <v>3.7414965620854632</v>
      </c>
      <c r="I1211" s="242"/>
      <c r="J1211" s="242"/>
      <c r="K1211" s="242"/>
      <c r="L1211" s="242"/>
      <c r="M1211" s="242"/>
      <c r="N1211" s="242"/>
      <c r="O1211" s="242"/>
      <c r="P1211" s="242"/>
      <c r="Q1211" s="242"/>
      <c r="R1211" s="242"/>
      <c r="T1211" s="179" t="s">
        <v>1600</v>
      </c>
      <c r="U1211" s="179"/>
      <c r="V1211" s="326" t="s">
        <v>2018</v>
      </c>
      <c r="W1211" s="179"/>
      <c r="X1211" s="179"/>
    </row>
    <row r="1212" spans="1:24" s="65" customFormat="1" ht="15" customHeight="1" outlineLevel="2">
      <c r="A1212" s="219"/>
      <c r="B1212" s="242"/>
      <c r="C1212" s="242"/>
      <c r="D1212" s="242" t="s">
        <v>1942</v>
      </c>
      <c r="E1212" s="251" t="s">
        <v>1841</v>
      </c>
      <c r="F1212" s="250">
        <f>-5.6843418860808E-14*Unit.Mtoe</f>
        <v>-2.3799202608643097E-15</v>
      </c>
      <c r="G1212" s="250">
        <f t="shared" si="53"/>
        <v>-2.3799202608643097E-15</v>
      </c>
      <c r="H1212" s="295">
        <f t="shared" si="54"/>
        <v>-2.3799202608643096E-14</v>
      </c>
      <c r="I1212" s="242"/>
      <c r="J1212" s="242"/>
      <c r="K1212" s="242"/>
      <c r="L1212" s="242"/>
      <c r="M1212" s="242"/>
      <c r="N1212" s="242"/>
      <c r="O1212" s="242"/>
      <c r="P1212" s="242"/>
      <c r="Q1212" s="242"/>
      <c r="R1212" s="242"/>
      <c r="T1212" s="179" t="s">
        <v>1600</v>
      </c>
      <c r="U1212" s="179"/>
      <c r="V1212" s="326" t="s">
        <v>2018</v>
      </c>
      <c r="W1212" s="179"/>
      <c r="X1212" s="179"/>
    </row>
    <row r="1213" spans="1:24" s="65" customFormat="1" ht="15" customHeight="1" outlineLevel="2">
      <c r="A1213" s="219"/>
      <c r="B1213" s="242"/>
      <c r="C1213" s="242"/>
      <c r="D1213" s="242" t="s">
        <v>1942</v>
      </c>
      <c r="E1213" s="251" t="s">
        <v>1842</v>
      </c>
      <c r="F1213" s="250">
        <f>144.115211373882*Unit.Mtoe</f>
        <v>6.033815669801692</v>
      </c>
      <c r="G1213" s="405">
        <f>F1213+(F1210-G1210)</f>
        <v>5.824527824760918</v>
      </c>
      <c r="H1213" s="295">
        <f t="shared" si="54"/>
        <v>58.245278247609178</v>
      </c>
      <c r="I1213" s="242"/>
      <c r="J1213" s="242"/>
      <c r="K1213" s="242"/>
      <c r="L1213" s="242"/>
      <c r="M1213" s="242"/>
      <c r="N1213" s="242"/>
      <c r="O1213" s="242"/>
      <c r="P1213" s="242"/>
      <c r="Q1213" s="242"/>
      <c r="R1213" s="242"/>
      <c r="T1213" s="179" t="s">
        <v>2019</v>
      </c>
      <c r="U1213" s="179"/>
      <c r="V1213" s="325" t="s">
        <v>2017</v>
      </c>
      <c r="W1213" s="179"/>
      <c r="X1213" s="179"/>
    </row>
    <row r="1214" spans="1:24" s="65" customFormat="1" ht="15" customHeight="1" outlineLevel="2">
      <c r="A1214" s="219"/>
      <c r="B1214" s="242"/>
      <c r="C1214" s="242"/>
      <c r="D1214" s="242" t="s">
        <v>1942</v>
      </c>
      <c r="E1214" s="251" t="s">
        <v>1843</v>
      </c>
      <c r="F1214" s="250">
        <f>3.896501022*Unit.Mtoe</f>
        <v>0.16313870478909601</v>
      </c>
      <c r="G1214" s="250">
        <f t="shared" si="53"/>
        <v>0.16313870478909601</v>
      </c>
      <c r="H1214" s="295">
        <f t="shared" si="54"/>
        <v>1.63138704789096</v>
      </c>
      <c r="I1214" s="242"/>
      <c r="J1214" s="242"/>
      <c r="K1214" s="242"/>
      <c r="L1214" s="242"/>
      <c r="M1214" s="242"/>
      <c r="N1214" s="242"/>
      <c r="O1214" s="242"/>
      <c r="P1214" s="242"/>
      <c r="Q1214" s="242"/>
      <c r="R1214" s="242"/>
      <c r="T1214" s="179" t="s">
        <v>1600</v>
      </c>
      <c r="U1214" s="179"/>
      <c r="V1214" s="326" t="s">
        <v>2018</v>
      </c>
      <c r="W1214" s="179"/>
      <c r="X1214" s="179"/>
    </row>
    <row r="1215" spans="1:24" s="65" customFormat="1" ht="15" customHeight="1" outlineLevel="2">
      <c r="A1215" s="219"/>
      <c r="B1215" s="242"/>
      <c r="C1215" s="242"/>
      <c r="D1215" s="242" t="s">
        <v>1942</v>
      </c>
      <c r="E1215" s="251" t="s">
        <v>1844</v>
      </c>
      <c r="F1215" s="250">
        <f>47.0559480219999*Unit.Mtoe</f>
        <v>1.9701384317850921</v>
      </c>
      <c r="G1215" s="250">
        <f t="shared" si="53"/>
        <v>1.9701384317850921</v>
      </c>
      <c r="H1215" s="295">
        <f t="shared" si="54"/>
        <v>19.70138431785092</v>
      </c>
      <c r="I1215" s="242"/>
      <c r="J1215" s="242"/>
      <c r="K1215" s="242"/>
      <c r="L1215" s="242"/>
      <c r="M1215" s="242"/>
      <c r="N1215" s="242"/>
      <c r="O1215" s="242"/>
      <c r="P1215" s="242"/>
      <c r="Q1215" s="242"/>
      <c r="R1215" s="242"/>
      <c r="T1215" s="179" t="s">
        <v>1600</v>
      </c>
      <c r="U1215" s="179"/>
      <c r="V1215" s="326" t="s">
        <v>2018</v>
      </c>
      <c r="W1215" s="179"/>
      <c r="X1215" s="179"/>
    </row>
    <row r="1216" spans="1:24" s="65" customFormat="1" ht="15" customHeight="1" outlineLevel="2">
      <c r="A1216" s="219"/>
      <c r="B1216" s="242"/>
      <c r="C1216" s="242" t="s">
        <v>1447</v>
      </c>
      <c r="D1216" s="242" t="s">
        <v>1896</v>
      </c>
      <c r="E1216" s="242" t="s">
        <v>1845</v>
      </c>
      <c r="F1216" s="250">
        <f>15.7553044777829*Unit.Mtoe</f>
        <v>0.65964308787581449</v>
      </c>
      <c r="G1216" s="405">
        <f>F1216*105%</f>
        <v>0.6926252422696052</v>
      </c>
      <c r="H1216" s="295">
        <f t="shared" si="54"/>
        <v>3.7078974237744098</v>
      </c>
      <c r="I1216" s="242"/>
      <c r="J1216" s="242"/>
      <c r="K1216" s="242"/>
      <c r="L1216" s="242"/>
      <c r="M1216" s="242"/>
      <c r="N1216" s="242"/>
      <c r="O1216" s="242"/>
      <c r="P1216" s="242"/>
      <c r="Q1216" s="242"/>
      <c r="R1216" s="242"/>
      <c r="T1216" s="179" t="s">
        <v>1600</v>
      </c>
      <c r="U1216" s="179"/>
      <c r="V1216" s="326" t="s">
        <v>2018</v>
      </c>
      <c r="W1216" s="179"/>
      <c r="X1216" s="179"/>
    </row>
    <row r="1217" spans="1:24" s="65" customFormat="1" ht="15" customHeight="1" outlineLevel="2">
      <c r="A1217" s="219"/>
      <c r="B1217" s="242"/>
      <c r="C1217" s="242"/>
      <c r="D1217" s="242" t="s">
        <v>1896</v>
      </c>
      <c r="E1217" s="251" t="s">
        <v>1846</v>
      </c>
      <c r="F1217" s="250">
        <f>14.2764287873616*Unit.Mtoe</f>
        <v>0.59772552046925542</v>
      </c>
      <c r="G1217" s="250">
        <f t="shared" si="53"/>
        <v>0.59772552046925542</v>
      </c>
      <c r="H1217" s="295">
        <f t="shared" si="54"/>
        <v>3.1998616022277035</v>
      </c>
      <c r="I1217" s="242"/>
      <c r="J1217" s="242"/>
      <c r="K1217" s="242"/>
      <c r="L1217" s="242"/>
      <c r="M1217" s="242"/>
      <c r="N1217" s="242"/>
      <c r="O1217" s="242"/>
      <c r="P1217" s="242"/>
      <c r="Q1217" s="242"/>
      <c r="R1217" s="242"/>
      <c r="T1217" s="179" t="s">
        <v>1600</v>
      </c>
      <c r="U1217" s="179"/>
      <c r="V1217" s="326" t="s">
        <v>2018</v>
      </c>
      <c r="W1217" s="179"/>
      <c r="X1217" s="179"/>
    </row>
    <row r="1218" spans="1:24" s="65" customFormat="1" ht="15" customHeight="1" outlineLevel="2">
      <c r="A1218" s="219"/>
      <c r="B1218" s="242"/>
      <c r="C1218" s="242"/>
      <c r="D1218" s="242" t="s">
        <v>1896</v>
      </c>
      <c r="E1218" s="251" t="s">
        <v>1847</v>
      </c>
      <c r="F1218" s="250">
        <f>4.46407824942035*Unit.Mtoe</f>
        <v>0.18690202814673121</v>
      </c>
      <c r="G1218" s="250">
        <f t="shared" si="53"/>
        <v>0.18690202814673121</v>
      </c>
      <c r="H1218" s="295">
        <f t="shared" si="54"/>
        <v>1.0005606298618273</v>
      </c>
      <c r="I1218" s="242"/>
      <c r="J1218" s="242"/>
      <c r="K1218" s="242"/>
      <c r="L1218" s="242"/>
      <c r="M1218" s="242"/>
      <c r="N1218" s="242"/>
      <c r="O1218" s="242"/>
      <c r="P1218" s="242"/>
      <c r="Q1218" s="242"/>
      <c r="R1218" s="242"/>
      <c r="T1218" s="179" t="s">
        <v>1600</v>
      </c>
      <c r="U1218" s="179"/>
      <c r="V1218" s="326" t="s">
        <v>2018</v>
      </c>
      <c r="W1218" s="179"/>
      <c r="X1218" s="179"/>
    </row>
    <row r="1219" spans="1:24" s="65" customFormat="1" ht="15" customHeight="1" outlineLevel="2">
      <c r="A1219" s="285"/>
      <c r="B1219" s="242"/>
      <c r="C1219" s="242"/>
      <c r="D1219" s="242" t="s">
        <v>1896</v>
      </c>
      <c r="E1219" s="251" t="s">
        <v>1848</v>
      </c>
      <c r="F1219" s="250">
        <f>11.3401025978373*Unit.Mtoe</f>
        <v>0.47478741556625209</v>
      </c>
      <c r="G1219" s="405">
        <f>F1219+(F1216-G1216)</f>
        <v>0.44180526117246138</v>
      </c>
      <c r="H1219" s="295">
        <f t="shared" si="54"/>
        <v>2.3651586597441545</v>
      </c>
      <c r="I1219" s="242"/>
      <c r="J1219" s="242"/>
      <c r="K1219" s="242"/>
      <c r="L1219" s="242"/>
      <c r="M1219" s="242"/>
      <c r="N1219" s="242"/>
      <c r="O1219" s="242"/>
      <c r="P1219" s="242"/>
      <c r="Q1219" s="242"/>
      <c r="R1219" s="242"/>
      <c r="T1219" s="179" t="s">
        <v>1600</v>
      </c>
      <c r="U1219" s="179"/>
      <c r="V1219" s="326" t="s">
        <v>2018</v>
      </c>
      <c r="W1219" s="179"/>
      <c r="X1219" s="179"/>
    </row>
    <row r="1220" spans="1:24" s="65" customFormat="1" ht="15" customHeight="1" outlineLevel="2">
      <c r="A1220" s="219"/>
      <c r="B1220" s="242"/>
      <c r="C1220" s="242"/>
      <c r="D1220" s="242" t="s">
        <v>1896</v>
      </c>
      <c r="E1220" s="251" t="s">
        <v>1849</v>
      </c>
      <c r="F1220" s="250">
        <f>26.3090446100746*Unit.Mtoe</f>
        <v>1.1015070797346034</v>
      </c>
      <c r="G1220" s="250">
        <f t="shared" si="53"/>
        <v>1.1015070797346034</v>
      </c>
      <c r="H1220" s="295">
        <f t="shared" si="54"/>
        <v>5.8968039481694197</v>
      </c>
      <c r="I1220" s="242"/>
      <c r="J1220" s="242"/>
      <c r="K1220" s="242"/>
      <c r="L1220" s="242"/>
      <c r="M1220" s="242"/>
      <c r="N1220" s="242"/>
      <c r="O1220" s="242"/>
      <c r="P1220" s="242"/>
      <c r="Q1220" s="242"/>
      <c r="R1220" s="242"/>
      <c r="T1220" s="179" t="s">
        <v>1600</v>
      </c>
      <c r="U1220" s="179"/>
      <c r="V1220" s="326" t="s">
        <v>2018</v>
      </c>
      <c r="W1220" s="179"/>
      <c r="X1220" s="179"/>
    </row>
    <row r="1221" spans="1:24" s="65" customFormat="1" ht="15" customHeight="1" outlineLevel="2">
      <c r="A1221" s="219"/>
      <c r="B1221" s="242"/>
      <c r="C1221" s="242"/>
      <c r="D1221" s="242" t="s">
        <v>1896</v>
      </c>
      <c r="E1221" s="251" t="s">
        <v>1850</v>
      </c>
      <c r="F1221" s="250">
        <f>0*Unit.Mtoe</f>
        <v>0</v>
      </c>
      <c r="G1221" s="250">
        <f t="shared" si="53"/>
        <v>0</v>
      </c>
      <c r="H1221" s="295">
        <f t="shared" si="54"/>
        <v>0</v>
      </c>
      <c r="I1221" s="242"/>
      <c r="J1221" s="242"/>
      <c r="K1221" s="242"/>
      <c r="L1221" s="242"/>
      <c r="M1221" s="242"/>
      <c r="N1221" s="242"/>
      <c r="O1221" s="242"/>
      <c r="P1221" s="242"/>
      <c r="Q1221" s="242"/>
      <c r="R1221" s="242"/>
      <c r="T1221" s="179" t="s">
        <v>1600</v>
      </c>
      <c r="U1221" s="179"/>
      <c r="V1221" s="326" t="s">
        <v>2018</v>
      </c>
      <c r="W1221" s="179"/>
      <c r="X1221" s="179"/>
    </row>
    <row r="1222" spans="1:24" s="65" customFormat="1" ht="15" customHeight="1" outlineLevel="2">
      <c r="A1222" s="219"/>
      <c r="B1222" s="242"/>
      <c r="C1222" s="242"/>
      <c r="D1222" s="242" t="s">
        <v>1943</v>
      </c>
      <c r="E1222" s="251" t="s">
        <v>1631</v>
      </c>
      <c r="F1222" s="250">
        <f>22.0261878878594*Unit.Mtoe</f>
        <v>0.92219243448889743</v>
      </c>
      <c r="G1222" s="405">
        <f>F1222*105%</f>
        <v>0.96830205621334231</v>
      </c>
      <c r="H1222" s="295">
        <f t="shared" si="54"/>
        <v>2.4021274170998383</v>
      </c>
      <c r="I1222" s="242"/>
      <c r="J1222" s="242"/>
      <c r="K1222" s="242"/>
      <c r="L1222" s="242"/>
      <c r="M1222" s="242"/>
      <c r="N1222" s="242"/>
      <c r="O1222" s="242"/>
      <c r="P1222" s="242"/>
      <c r="Q1222" s="242"/>
      <c r="R1222" s="242"/>
      <c r="T1222" s="179" t="s">
        <v>1600</v>
      </c>
      <c r="U1222" s="179"/>
      <c r="V1222" s="326" t="s">
        <v>2018</v>
      </c>
      <c r="W1222" s="179"/>
      <c r="X1222" s="179"/>
    </row>
    <row r="1223" spans="1:24" s="65" customFormat="1" ht="15" customHeight="1" outlineLevel="2">
      <c r="A1223" s="219"/>
      <c r="B1223" s="242"/>
      <c r="C1223" s="242"/>
      <c r="D1223" s="242" t="s">
        <v>1943</v>
      </c>
      <c r="E1223" s="251" t="s">
        <v>1851</v>
      </c>
      <c r="F1223" s="250">
        <f>18.4900141306935*Unit.Mtoe</f>
        <v>0.77413991162387541</v>
      </c>
      <c r="G1223" s="250">
        <f t="shared" si="53"/>
        <v>0.77413991162387541</v>
      </c>
      <c r="H1223" s="295">
        <f t="shared" si="54"/>
        <v>1.9204572524146764</v>
      </c>
      <c r="I1223" s="242"/>
      <c r="J1223" s="242"/>
      <c r="K1223" s="242"/>
      <c r="L1223" s="242"/>
      <c r="M1223" s="242"/>
      <c r="N1223" s="242"/>
      <c r="O1223" s="242"/>
      <c r="P1223" s="242"/>
      <c r="Q1223" s="242"/>
      <c r="R1223" s="242"/>
      <c r="T1223" s="179" t="s">
        <v>1600</v>
      </c>
      <c r="U1223" s="179"/>
      <c r="V1223" s="326" t="s">
        <v>2018</v>
      </c>
      <c r="W1223" s="179"/>
      <c r="X1223" s="179"/>
    </row>
    <row r="1224" spans="1:24" s="65" customFormat="1" ht="15" customHeight="1" outlineLevel="2">
      <c r="A1224" s="219"/>
      <c r="B1224" s="242"/>
      <c r="C1224" s="242"/>
      <c r="D1224" s="242" t="s">
        <v>1943</v>
      </c>
      <c r="E1224" s="251" t="s">
        <v>1852</v>
      </c>
      <c r="F1224" s="250">
        <f>4.29199339977027*Unit.Mtoe</f>
        <v>0.17969717966158166</v>
      </c>
      <c r="G1224" s="250">
        <f t="shared" si="53"/>
        <v>0.17969717966158166</v>
      </c>
      <c r="H1224" s="295">
        <f t="shared" si="54"/>
        <v>0.44578602231687892</v>
      </c>
      <c r="I1224" s="242"/>
      <c r="J1224" s="242"/>
      <c r="K1224" s="242"/>
      <c r="L1224" s="242"/>
      <c r="M1224" s="242"/>
      <c r="N1224" s="242"/>
      <c r="O1224" s="242"/>
      <c r="P1224" s="242"/>
      <c r="Q1224" s="242"/>
      <c r="R1224" s="242"/>
      <c r="T1224" s="179" t="s">
        <v>1600</v>
      </c>
      <c r="U1224" s="179"/>
      <c r="V1224" s="326" t="s">
        <v>2018</v>
      </c>
      <c r="W1224" s="179"/>
      <c r="X1224" s="179"/>
    </row>
    <row r="1225" spans="1:24" s="65" customFormat="1" ht="15" customHeight="1" outlineLevel="2">
      <c r="A1225" s="219"/>
      <c r="B1225" s="242"/>
      <c r="C1225" s="242"/>
      <c r="D1225" s="242" t="s">
        <v>1943</v>
      </c>
      <c r="E1225" s="251" t="s">
        <v>1853</v>
      </c>
      <c r="F1225" s="250">
        <f>11.9418756070107*Unit.Mtoe</f>
        <v>0.49998244791432406</v>
      </c>
      <c r="G1225" s="405">
        <f>F1225+(F1222-G1222)</f>
        <v>0.45387282618987917</v>
      </c>
      <c r="H1225" s="295">
        <f t="shared" si="54"/>
        <v>1.1259506810621553</v>
      </c>
      <c r="I1225" s="242"/>
      <c r="J1225" s="242"/>
      <c r="K1225" s="242"/>
      <c r="L1225" s="242"/>
      <c r="M1225" s="242"/>
      <c r="N1225" s="242"/>
      <c r="O1225" s="242"/>
      <c r="P1225" s="242"/>
      <c r="Q1225" s="242"/>
      <c r="R1225" s="242"/>
      <c r="T1225" s="179" t="s">
        <v>1600</v>
      </c>
      <c r="U1225" s="179"/>
      <c r="V1225" s="326" t="s">
        <v>2018</v>
      </c>
      <c r="W1225" s="179"/>
      <c r="X1225" s="179"/>
    </row>
    <row r="1226" spans="1:24" s="65" customFormat="1" ht="15" customHeight="1" outlineLevel="2">
      <c r="A1226" s="219"/>
      <c r="B1226" s="242"/>
      <c r="C1226" s="242"/>
      <c r="D1226" s="242" t="s">
        <v>1943</v>
      </c>
      <c r="E1226" s="251" t="s">
        <v>1854</v>
      </c>
      <c r="F1226" s="250">
        <f>16.3356185324018*Unit.Mtoe</f>
        <v>0.68393967671459854</v>
      </c>
      <c r="G1226" s="250">
        <f t="shared" si="53"/>
        <v>0.68393967671459854</v>
      </c>
      <c r="H1226" s="295">
        <f t="shared" si="54"/>
        <v>1.6966918933368047</v>
      </c>
      <c r="I1226" s="242"/>
      <c r="J1226" s="242"/>
      <c r="K1226" s="242"/>
      <c r="L1226" s="242"/>
      <c r="M1226" s="242"/>
      <c r="N1226" s="242"/>
      <c r="O1226" s="242"/>
      <c r="P1226" s="242"/>
      <c r="Q1226" s="242"/>
      <c r="R1226" s="242"/>
      <c r="T1226" s="179" t="s">
        <v>1600</v>
      </c>
      <c r="U1226" s="179"/>
      <c r="V1226" s="326" t="s">
        <v>2018</v>
      </c>
      <c r="W1226" s="179"/>
      <c r="X1226" s="179"/>
    </row>
    <row r="1227" spans="1:24" s="65" customFormat="1" ht="15" customHeight="1" outlineLevel="2">
      <c r="A1227" s="219"/>
      <c r="B1227" s="242"/>
      <c r="C1227" s="242"/>
      <c r="D1227" s="242" t="s">
        <v>1943</v>
      </c>
      <c r="E1227" s="251" t="s">
        <v>1855</v>
      </c>
      <c r="F1227" s="250">
        <f>0*Unit.Mtoe</f>
        <v>0</v>
      </c>
      <c r="G1227" s="250">
        <f t="shared" ref="G1227:G1245" si="55">F1227</f>
        <v>0</v>
      </c>
      <c r="H1227" s="295">
        <f t="shared" ref="H1227:H1246" si="56">G1227/VLOOKUP(D1227,$D$1143:$E$1157,2,0)</f>
        <v>0</v>
      </c>
      <c r="I1227" s="242"/>
      <c r="J1227" s="242"/>
      <c r="K1227" s="242"/>
      <c r="L1227" s="242"/>
      <c r="M1227" s="242"/>
      <c r="N1227" s="242"/>
      <c r="O1227" s="242"/>
      <c r="P1227" s="242"/>
      <c r="Q1227" s="242"/>
      <c r="R1227" s="242"/>
      <c r="T1227" s="179" t="s">
        <v>1600</v>
      </c>
      <c r="U1227" s="179"/>
      <c r="V1227" s="326" t="s">
        <v>2018</v>
      </c>
      <c r="W1227" s="179"/>
      <c r="X1227" s="179"/>
    </row>
    <row r="1228" spans="1:24" s="65" customFormat="1" ht="15" customHeight="1" outlineLevel="2">
      <c r="A1228" s="219"/>
      <c r="B1228" s="242"/>
      <c r="C1228" s="242"/>
      <c r="D1228" s="242" t="s">
        <v>1944</v>
      </c>
      <c r="E1228" s="242" t="s">
        <v>1632</v>
      </c>
      <c r="F1228" s="250">
        <f>5.69178844602867*Unit.Mtoe</f>
        <v>0.23830379865832838</v>
      </c>
      <c r="G1228" s="250">
        <f t="shared" si="55"/>
        <v>0.23830379865832838</v>
      </c>
      <c r="H1228" s="295">
        <f t="shared" si="56"/>
        <v>1.145418256572043</v>
      </c>
      <c r="I1228" s="242"/>
      <c r="J1228" s="242"/>
      <c r="K1228" s="242"/>
      <c r="L1228" s="242"/>
      <c r="M1228" s="242"/>
      <c r="N1228" s="242"/>
      <c r="O1228" s="242"/>
      <c r="P1228" s="242"/>
      <c r="Q1228" s="242"/>
      <c r="R1228" s="242"/>
      <c r="T1228" s="179" t="s">
        <v>1600</v>
      </c>
      <c r="U1228" s="179"/>
      <c r="V1228" s="326" t="s">
        <v>2018</v>
      </c>
      <c r="W1228" s="179"/>
      <c r="X1228" s="179"/>
    </row>
    <row r="1229" spans="1:24" s="65" customFormat="1" ht="15" customHeight="1" outlineLevel="2">
      <c r="A1229" s="219"/>
      <c r="B1229" s="242"/>
      <c r="C1229" s="242"/>
      <c r="D1229" s="242" t="s">
        <v>1944</v>
      </c>
      <c r="E1229" s="251" t="s">
        <v>1856</v>
      </c>
      <c r="F1229" s="250">
        <f>3.49660015634256*Unit.Mtoe</f>
        <v>0.14639565534575033</v>
      </c>
      <c r="G1229" s="250">
        <f t="shared" si="55"/>
        <v>0.14639565534575033</v>
      </c>
      <c r="H1229" s="295">
        <f t="shared" si="56"/>
        <v>0.70365750466391364</v>
      </c>
      <c r="I1229" s="242"/>
      <c r="J1229" s="242"/>
      <c r="K1229" s="242"/>
      <c r="L1229" s="242"/>
      <c r="M1229" s="242"/>
      <c r="N1229" s="242"/>
      <c r="O1229" s="242"/>
      <c r="P1229" s="242"/>
      <c r="Q1229" s="242"/>
      <c r="R1229" s="242"/>
      <c r="T1229" s="179" t="s">
        <v>1600</v>
      </c>
      <c r="U1229" s="179"/>
      <c r="V1229" s="326" t="s">
        <v>2018</v>
      </c>
      <c r="W1229" s="179"/>
      <c r="X1229" s="179"/>
    </row>
    <row r="1230" spans="1:24" s="65" customFormat="1" ht="15" customHeight="1" outlineLevel="2">
      <c r="A1230" s="219"/>
      <c r="B1230" s="242"/>
      <c r="C1230" s="242"/>
      <c r="D1230" s="242" t="s">
        <v>1944</v>
      </c>
      <c r="E1230" s="251" t="s">
        <v>1857</v>
      </c>
      <c r="F1230" s="250">
        <f>0.924337379599452*Unit.Mtoe</f>
        <v>3.8700157409069853E-2</v>
      </c>
      <c r="G1230" s="250">
        <f t="shared" si="55"/>
        <v>3.8700157409069853E-2</v>
      </c>
      <c r="H1230" s="295">
        <f t="shared" si="56"/>
        <v>0.18601410081639599</v>
      </c>
      <c r="I1230" s="242"/>
      <c r="J1230" s="242"/>
      <c r="K1230" s="242"/>
      <c r="L1230" s="242"/>
      <c r="M1230" s="242"/>
      <c r="N1230" s="242"/>
      <c r="O1230" s="242"/>
      <c r="P1230" s="242"/>
      <c r="Q1230" s="242"/>
      <c r="R1230" s="242"/>
      <c r="T1230" s="179" t="s">
        <v>1600</v>
      </c>
      <c r="U1230" s="179"/>
      <c r="V1230" s="326" t="s">
        <v>2018</v>
      </c>
      <c r="W1230" s="179"/>
      <c r="X1230" s="179"/>
    </row>
    <row r="1231" spans="1:24" s="65" customFormat="1" ht="15" customHeight="1" outlineLevel="2">
      <c r="A1231" s="219"/>
      <c r="B1231" s="242"/>
      <c r="C1231" s="242"/>
      <c r="D1231" s="242" t="s">
        <v>1944</v>
      </c>
      <c r="E1231" s="251" t="s">
        <v>1858</v>
      </c>
      <c r="F1231" s="250">
        <f>2.56638748831577*Unit.Mtoe</f>
        <v>0.10744951136080466</v>
      </c>
      <c r="G1231" s="250">
        <f t="shared" si="55"/>
        <v>0.10744951136080466</v>
      </c>
      <c r="H1231" s="295">
        <f t="shared" si="56"/>
        <v>0.51646105796605823</v>
      </c>
      <c r="I1231" s="242"/>
      <c r="J1231" s="242"/>
      <c r="K1231" s="242"/>
      <c r="L1231" s="242"/>
      <c r="M1231" s="242"/>
      <c r="N1231" s="242"/>
      <c r="O1231" s="242"/>
      <c r="P1231" s="242"/>
      <c r="Q1231" s="242"/>
      <c r="R1231" s="242"/>
      <c r="T1231" s="179" t="s">
        <v>1600</v>
      </c>
      <c r="U1231" s="179"/>
      <c r="V1231" s="326" t="s">
        <v>2018</v>
      </c>
      <c r="W1231" s="179"/>
      <c r="X1231" s="179"/>
    </row>
    <row r="1232" spans="1:24" s="65" customFormat="1" ht="15" customHeight="1" outlineLevel="2">
      <c r="A1232" s="219"/>
      <c r="B1232" s="242"/>
      <c r="C1232" s="242"/>
      <c r="D1232" s="242" t="s">
        <v>1944</v>
      </c>
      <c r="E1232" s="251" t="s">
        <v>1859</v>
      </c>
      <c r="F1232" s="250">
        <f>0*Unit.Mtoe</f>
        <v>0</v>
      </c>
      <c r="G1232" s="250">
        <f t="shared" si="55"/>
        <v>0</v>
      </c>
      <c r="H1232" s="295">
        <f t="shared" si="56"/>
        <v>0</v>
      </c>
      <c r="I1232" s="242"/>
      <c r="J1232" s="242"/>
      <c r="K1232" s="242"/>
      <c r="L1232" s="242"/>
      <c r="M1232" s="242"/>
      <c r="N1232" s="242"/>
      <c r="O1232" s="242"/>
      <c r="P1232" s="242"/>
      <c r="Q1232" s="242"/>
      <c r="R1232" s="242"/>
      <c r="T1232" s="179" t="s">
        <v>1600</v>
      </c>
      <c r="U1232" s="179"/>
      <c r="V1232" s="326" t="s">
        <v>2018</v>
      </c>
      <c r="W1232" s="179"/>
      <c r="X1232" s="179"/>
    </row>
    <row r="1233" spans="1:24" s="65" customFormat="1" ht="15" customHeight="1" outlineLevel="2">
      <c r="A1233" s="219"/>
      <c r="B1233" s="242"/>
      <c r="C1233" s="242"/>
      <c r="D1233" s="242" t="s">
        <v>1944</v>
      </c>
      <c r="E1233" s="251" t="s">
        <v>1860</v>
      </c>
      <c r="F1233" s="250">
        <f>0*Unit.Mtoe</f>
        <v>0</v>
      </c>
      <c r="G1233" s="250">
        <f t="shared" si="55"/>
        <v>0</v>
      </c>
      <c r="H1233" s="295">
        <f t="shared" si="56"/>
        <v>0</v>
      </c>
      <c r="I1233" s="242"/>
      <c r="J1233" s="242"/>
      <c r="K1233" s="242"/>
      <c r="L1233" s="242"/>
      <c r="M1233" s="242"/>
      <c r="N1233" s="242"/>
      <c r="O1233" s="242"/>
      <c r="P1233" s="242"/>
      <c r="Q1233" s="242"/>
      <c r="R1233" s="242"/>
      <c r="T1233" s="179" t="s">
        <v>1600</v>
      </c>
      <c r="U1233" s="179"/>
      <c r="V1233" s="326" t="s">
        <v>2018</v>
      </c>
      <c r="W1233" s="179"/>
      <c r="X1233" s="179"/>
    </row>
    <row r="1234" spans="1:24" s="65" customFormat="1" ht="15" customHeight="1" outlineLevel="2">
      <c r="A1234" s="219"/>
      <c r="B1234" s="242"/>
      <c r="C1234" s="242" t="s">
        <v>1426</v>
      </c>
      <c r="D1234" s="242" t="s">
        <v>1426</v>
      </c>
      <c r="E1234" s="251" t="s">
        <v>1633</v>
      </c>
      <c r="F1234" s="250">
        <f>30.7609529836648*Unit.Mtoe</f>
        <v>1.2878995795200781</v>
      </c>
      <c r="G1234" s="250">
        <f t="shared" si="55"/>
        <v>1.2878995795200781</v>
      </c>
      <c r="H1234" s="295">
        <f t="shared" si="56"/>
        <v>0.35475769511808347</v>
      </c>
      <c r="I1234" s="242"/>
      <c r="J1234" s="242"/>
      <c r="K1234" s="242"/>
      <c r="L1234" s="242"/>
      <c r="M1234" s="242"/>
      <c r="N1234" s="242"/>
      <c r="O1234" s="242"/>
      <c r="P1234" s="242"/>
      <c r="Q1234" s="242"/>
      <c r="R1234" s="242"/>
      <c r="T1234" s="179" t="s">
        <v>1600</v>
      </c>
      <c r="U1234" s="179"/>
      <c r="V1234" s="326" t="s">
        <v>2018</v>
      </c>
      <c r="W1234" s="179"/>
      <c r="X1234" s="179"/>
    </row>
    <row r="1235" spans="1:24" s="65" customFormat="1" ht="15" customHeight="1" outlineLevel="2">
      <c r="A1235" s="219"/>
      <c r="B1235" s="242"/>
      <c r="C1235" s="242"/>
      <c r="D1235" s="242" t="s">
        <v>1426</v>
      </c>
      <c r="E1235" s="251" t="s">
        <v>1861</v>
      </c>
      <c r="F1235" s="250">
        <f>163.394251529651*Unit.Mtoe</f>
        <v>6.8409905230434287</v>
      </c>
      <c r="G1235" s="250">
        <f t="shared" si="55"/>
        <v>6.8409905230434287</v>
      </c>
      <c r="H1235" s="295">
        <f t="shared" si="56"/>
        <v>1.8843814136377737</v>
      </c>
      <c r="I1235" s="242"/>
      <c r="J1235" s="242"/>
      <c r="K1235" s="242"/>
      <c r="L1235" s="242"/>
      <c r="M1235" s="242"/>
      <c r="N1235" s="242"/>
      <c r="O1235" s="242"/>
      <c r="P1235" s="242"/>
      <c r="Q1235" s="242"/>
      <c r="R1235" s="242"/>
      <c r="T1235" s="179" t="s">
        <v>1600</v>
      </c>
      <c r="U1235" s="179"/>
      <c r="V1235" s="326" t="s">
        <v>2018</v>
      </c>
      <c r="W1235" s="179"/>
      <c r="X1235" s="179"/>
    </row>
    <row r="1236" spans="1:24" s="65" customFormat="1" ht="15" customHeight="1" outlineLevel="2">
      <c r="A1236" s="219"/>
      <c r="B1236" s="242"/>
      <c r="C1236" s="242"/>
      <c r="D1236" s="242" t="s">
        <v>1426</v>
      </c>
      <c r="E1236" s="251" t="s">
        <v>1862</v>
      </c>
      <c r="F1236" s="250">
        <f>26.9512377040355*Unit.Mtoe</f>
        <v>1.1283944201925584</v>
      </c>
      <c r="G1236" s="250">
        <f t="shared" si="55"/>
        <v>1.1283944201925584</v>
      </c>
      <c r="H1236" s="295">
        <f t="shared" si="56"/>
        <v>0.31082128611361776</v>
      </c>
      <c r="I1236" s="242"/>
      <c r="J1236" s="242"/>
      <c r="K1236" s="242"/>
      <c r="L1236" s="242"/>
      <c r="M1236" s="242"/>
      <c r="N1236" s="242"/>
      <c r="O1236" s="242"/>
      <c r="P1236" s="242"/>
      <c r="Q1236" s="242"/>
      <c r="R1236" s="242"/>
      <c r="T1236" s="179" t="s">
        <v>1600</v>
      </c>
      <c r="U1236" s="179"/>
      <c r="V1236" s="326" t="s">
        <v>2018</v>
      </c>
      <c r="W1236" s="179"/>
      <c r="X1236" s="179"/>
    </row>
    <row r="1237" spans="1:24" s="65" customFormat="1" ht="15" customHeight="1" outlineLevel="2">
      <c r="A1237" s="219"/>
      <c r="B1237" s="242"/>
      <c r="C1237" s="242"/>
      <c r="D1237" s="242" t="s">
        <v>1426</v>
      </c>
      <c r="E1237" s="251" t="s">
        <v>1863</v>
      </c>
      <c r="F1237" s="250">
        <f>19.7870750971875*Unit.Mtoe</f>
        <v>0.82844526016904629</v>
      </c>
      <c r="G1237" s="250">
        <f t="shared" si="55"/>
        <v>0.82844526016904629</v>
      </c>
      <c r="H1237" s="295">
        <f t="shared" si="56"/>
        <v>0.22819894943873617</v>
      </c>
      <c r="I1237" s="242"/>
      <c r="J1237" s="242"/>
      <c r="K1237" s="242"/>
      <c r="L1237" s="242"/>
      <c r="M1237" s="242"/>
      <c r="N1237" s="242"/>
      <c r="O1237" s="242"/>
      <c r="P1237" s="242"/>
      <c r="Q1237" s="242"/>
      <c r="R1237" s="242"/>
      <c r="T1237" s="179" t="s">
        <v>1600</v>
      </c>
      <c r="U1237" s="179"/>
      <c r="V1237" s="326" t="s">
        <v>2018</v>
      </c>
      <c r="W1237" s="179"/>
      <c r="X1237" s="179"/>
    </row>
    <row r="1238" spans="1:24" s="65" customFormat="1" ht="15" customHeight="1" outlineLevel="2">
      <c r="A1238" s="219"/>
      <c r="B1238" s="242"/>
      <c r="C1238" s="242"/>
      <c r="D1238" s="242" t="s">
        <v>1426</v>
      </c>
      <c r="E1238" s="251" t="s">
        <v>1864</v>
      </c>
      <c r="F1238" s="250">
        <f>11.751063208685*Unit.Mtoe</f>
        <v>0.49199351442122363</v>
      </c>
      <c r="G1238" s="250">
        <f t="shared" si="55"/>
        <v>0.49199351442122363</v>
      </c>
      <c r="H1238" s="295">
        <f t="shared" si="56"/>
        <v>0.13552181238707969</v>
      </c>
      <c r="I1238" s="242"/>
      <c r="J1238" s="242"/>
      <c r="K1238" s="242"/>
      <c r="L1238" s="242"/>
      <c r="M1238" s="242"/>
      <c r="N1238" s="242"/>
      <c r="O1238" s="242"/>
      <c r="P1238" s="242"/>
      <c r="Q1238" s="242"/>
      <c r="R1238" s="242"/>
      <c r="T1238" s="179" t="s">
        <v>1600</v>
      </c>
      <c r="U1238" s="179"/>
      <c r="V1238" s="326" t="s">
        <v>2018</v>
      </c>
      <c r="W1238" s="179"/>
      <c r="X1238" s="179"/>
    </row>
    <row r="1239" spans="1:24" s="65" customFormat="1" ht="15" customHeight="1" outlineLevel="2">
      <c r="A1239" s="219"/>
      <c r="B1239" s="242"/>
      <c r="C1239" s="242"/>
      <c r="D1239" s="242" t="s">
        <v>1426</v>
      </c>
      <c r="E1239" s="251" t="s">
        <v>1638</v>
      </c>
      <c r="F1239" s="250">
        <f>0*Unit.Mtoe</f>
        <v>0</v>
      </c>
      <c r="G1239" s="250">
        <f t="shared" si="55"/>
        <v>0</v>
      </c>
      <c r="H1239" s="295">
        <f t="shared" si="56"/>
        <v>0</v>
      </c>
      <c r="I1239" s="242"/>
      <c r="J1239" s="242"/>
      <c r="K1239" s="242"/>
      <c r="L1239" s="242"/>
      <c r="M1239" s="242"/>
      <c r="N1239" s="242"/>
      <c r="O1239" s="242"/>
      <c r="P1239" s="242"/>
      <c r="Q1239" s="242"/>
      <c r="R1239" s="242"/>
      <c r="T1239" s="179" t="s">
        <v>1600</v>
      </c>
      <c r="U1239" s="179"/>
      <c r="V1239" s="326" t="s">
        <v>2018</v>
      </c>
      <c r="W1239" s="179"/>
      <c r="X1239" s="179"/>
    </row>
    <row r="1240" spans="1:24" s="65" customFormat="1" ht="15" customHeight="1" outlineLevel="2">
      <c r="A1240" s="219"/>
      <c r="B1240" s="242"/>
      <c r="C1240" s="242" t="s">
        <v>1457</v>
      </c>
      <c r="D1240" s="242" t="s">
        <v>1457</v>
      </c>
      <c r="E1240" s="251" t="s">
        <v>1634</v>
      </c>
      <c r="F1240" s="250">
        <f>347.019271663164*Unit.Mtoe</f>
        <v>14.52900286599335</v>
      </c>
      <c r="G1240" s="405">
        <f>F1240*105%</f>
        <v>15.255453009293019</v>
      </c>
      <c r="H1240" s="295">
        <f t="shared" si="56"/>
        <v>15.255453009293019</v>
      </c>
      <c r="I1240" s="242"/>
      <c r="J1240" s="242"/>
      <c r="K1240" s="242"/>
      <c r="L1240" s="242"/>
      <c r="M1240" s="242"/>
      <c r="N1240" s="242"/>
      <c r="O1240" s="242"/>
      <c r="P1240" s="242"/>
      <c r="Q1240" s="242"/>
      <c r="R1240" s="242"/>
      <c r="T1240" s="179" t="s">
        <v>1600</v>
      </c>
      <c r="U1240" s="179"/>
      <c r="V1240" s="326" t="s">
        <v>2018</v>
      </c>
      <c r="W1240" s="179"/>
      <c r="X1240" s="179"/>
    </row>
    <row r="1241" spans="1:24" s="65" customFormat="1" ht="15" customHeight="1" outlineLevel="2">
      <c r="A1241" s="219"/>
      <c r="B1241" s="242"/>
      <c r="C1241" s="242"/>
      <c r="D1241" s="242" t="s">
        <v>1457</v>
      </c>
      <c r="E1241" s="251" t="s">
        <v>1865</v>
      </c>
      <c r="F1241" s="250">
        <f>171.213241680213*Unit.Mtoe</f>
        <v>7.1683560026671582</v>
      </c>
      <c r="G1241" s="250">
        <f t="shared" si="55"/>
        <v>7.1683560026671582</v>
      </c>
      <c r="H1241" s="295">
        <f t="shared" si="56"/>
        <v>7.1683560026671582</v>
      </c>
      <c r="I1241" s="242"/>
      <c r="J1241" s="242"/>
      <c r="K1241" s="242"/>
      <c r="L1241" s="242"/>
      <c r="M1241" s="242"/>
      <c r="N1241" s="242"/>
      <c r="O1241" s="242"/>
      <c r="P1241" s="242"/>
      <c r="Q1241" s="242"/>
      <c r="R1241" s="242"/>
      <c r="T1241" s="179" t="s">
        <v>1600</v>
      </c>
      <c r="U1241" s="179"/>
      <c r="V1241" s="326" t="s">
        <v>2018</v>
      </c>
      <c r="W1241" s="179"/>
      <c r="X1241" s="179"/>
    </row>
    <row r="1242" spans="1:24" s="65" customFormat="1" ht="15" customHeight="1" outlineLevel="2">
      <c r="A1242" s="219"/>
      <c r="B1242" s="242"/>
      <c r="C1242" s="242"/>
      <c r="D1242" s="242" t="s">
        <v>1457</v>
      </c>
      <c r="E1242" s="251" t="s">
        <v>1866</v>
      </c>
      <c r="F1242" s="250">
        <f>213.026926840261*Unit.Mtoe</f>
        <v>8.9190113729480487</v>
      </c>
      <c r="G1242" s="250">
        <f t="shared" si="55"/>
        <v>8.9190113729480487</v>
      </c>
      <c r="H1242" s="295">
        <f t="shared" si="56"/>
        <v>8.9190113729480487</v>
      </c>
      <c r="I1242" s="242"/>
      <c r="J1242" s="242"/>
      <c r="K1242" s="242"/>
      <c r="L1242" s="242"/>
      <c r="M1242" s="242"/>
      <c r="N1242" s="242"/>
      <c r="O1242" s="242"/>
      <c r="P1242" s="242"/>
      <c r="Q1242" s="242"/>
      <c r="R1242" s="242"/>
      <c r="T1242" s="179" t="s">
        <v>1600</v>
      </c>
      <c r="U1242" s="179"/>
      <c r="V1242" s="326" t="s">
        <v>2018</v>
      </c>
      <c r="W1242" s="179"/>
      <c r="X1242" s="179"/>
    </row>
    <row r="1243" spans="1:24" s="65" customFormat="1" ht="15" customHeight="1" outlineLevel="2">
      <c r="A1243" s="219"/>
      <c r="B1243" s="242"/>
      <c r="C1243" s="242"/>
      <c r="D1243" s="242" t="s">
        <v>1457</v>
      </c>
      <c r="E1243" s="251" t="s">
        <v>1867</v>
      </c>
      <c r="F1243" s="250">
        <f>284.967017639627*Unit.Mtoe</f>
        <v>11.930999094535903</v>
      </c>
      <c r="G1243" s="405">
        <f>F1243+(F1240-G1240)</f>
        <v>11.204548951236234</v>
      </c>
      <c r="H1243" s="295">
        <f t="shared" si="56"/>
        <v>11.204548951236234</v>
      </c>
      <c r="I1243" s="242"/>
      <c r="J1243" s="242"/>
      <c r="K1243" s="242"/>
      <c r="L1243" s="242"/>
      <c r="M1243" s="242"/>
      <c r="N1243" s="242"/>
      <c r="O1243" s="242"/>
      <c r="P1243" s="242"/>
      <c r="Q1243" s="242"/>
      <c r="R1243" s="242"/>
      <c r="T1243" s="179" t="s">
        <v>1600</v>
      </c>
      <c r="U1243" s="179"/>
      <c r="V1243" s="326" t="s">
        <v>2018</v>
      </c>
      <c r="W1243" s="179"/>
      <c r="X1243" s="179"/>
    </row>
    <row r="1244" spans="1:24" s="65" customFormat="1" ht="15" customHeight="1" outlineLevel="2">
      <c r="A1244" s="219"/>
      <c r="B1244" s="242"/>
      <c r="C1244" s="242"/>
      <c r="D1244" s="242" t="s">
        <v>1457</v>
      </c>
      <c r="E1244" s="251" t="s">
        <v>1868</v>
      </c>
      <c r="F1244" s="250">
        <f>129.756543648839*Unit.Mtoe</f>
        <v>5.4326469694895918</v>
      </c>
      <c r="G1244" s="250">
        <f t="shared" si="55"/>
        <v>5.4326469694895918</v>
      </c>
      <c r="H1244" s="295">
        <f t="shared" si="56"/>
        <v>5.4326469694895918</v>
      </c>
      <c r="I1244" s="242"/>
      <c r="J1244" s="242"/>
      <c r="K1244" s="242"/>
      <c r="L1244" s="242"/>
      <c r="M1244" s="242"/>
      <c r="N1244" s="242"/>
      <c r="O1244" s="242"/>
      <c r="P1244" s="242"/>
      <c r="Q1244" s="242"/>
      <c r="R1244" s="242"/>
      <c r="T1244" s="179" t="s">
        <v>1600</v>
      </c>
      <c r="U1244" s="179"/>
      <c r="V1244" s="326" t="s">
        <v>2018</v>
      </c>
      <c r="W1244" s="179"/>
      <c r="X1244" s="179"/>
    </row>
    <row r="1245" spans="1:24" s="65" customFormat="1" ht="15" customHeight="1" outlineLevel="2">
      <c r="A1245" s="219"/>
      <c r="B1245" s="242"/>
      <c r="C1245" s="242"/>
      <c r="D1245" s="242" t="s">
        <v>1457</v>
      </c>
      <c r="E1245" s="251" t="s">
        <v>1869</v>
      </c>
      <c r="F1245" s="249">
        <f>60.5845840000001*Unit.Mtoe</f>
        <v>2.5365553629120043</v>
      </c>
      <c r="G1245" s="250">
        <f t="shared" si="55"/>
        <v>2.5365553629120043</v>
      </c>
      <c r="H1245" s="295">
        <f t="shared" si="56"/>
        <v>2.5365553629120043</v>
      </c>
      <c r="I1245" s="242"/>
      <c r="J1245" s="242"/>
      <c r="K1245" s="242"/>
      <c r="L1245" s="242"/>
      <c r="M1245" s="242"/>
      <c r="N1245" s="242"/>
      <c r="O1245" s="242"/>
      <c r="P1245" s="242"/>
      <c r="Q1245" s="242"/>
      <c r="R1245" s="242"/>
      <c r="T1245" s="179" t="s">
        <v>1600</v>
      </c>
      <c r="U1245" s="179"/>
      <c r="V1245" s="326" t="s">
        <v>2018</v>
      </c>
      <c r="W1245" s="179"/>
      <c r="X1245" s="179"/>
    </row>
    <row r="1246" spans="1:24" s="65" customFormat="1" ht="15" customHeight="1" outlineLevel="2" thickBot="1">
      <c r="A1246" s="219"/>
      <c r="B1246" s="242"/>
      <c r="C1246" s="296" t="s">
        <v>375</v>
      </c>
      <c r="D1246" s="296" t="s">
        <v>375</v>
      </c>
      <c r="E1246" s="296"/>
      <c r="F1246" s="297">
        <f>SUM(F1162:F1245)</f>
        <v>142.97457688351503</v>
      </c>
      <c r="G1246" s="297">
        <f>SUM(G1162:G1245)</f>
        <v>142.97457688351503</v>
      </c>
      <c r="H1246" s="298">
        <f t="shared" si="56"/>
        <v>18.375101724841262</v>
      </c>
      <c r="I1246" s="242"/>
      <c r="J1246" s="242"/>
      <c r="K1246" s="242"/>
      <c r="L1246" s="242"/>
      <c r="M1246" s="242"/>
      <c r="N1246" s="242"/>
      <c r="O1246" s="242"/>
      <c r="P1246" s="242"/>
      <c r="Q1246" s="242"/>
      <c r="R1246" s="242"/>
      <c r="T1246" s="179" t="s">
        <v>1600</v>
      </c>
      <c r="U1246" s="179"/>
      <c r="V1246" s="326" t="s">
        <v>2018</v>
      </c>
      <c r="W1246" s="179"/>
      <c r="X1246" s="179"/>
    </row>
    <row r="1247" spans="1:24" s="65" customFormat="1" ht="15" customHeight="1" outlineLevel="2">
      <c r="A1247" s="219"/>
      <c r="B1247" s="242"/>
      <c r="C1247" s="242"/>
      <c r="D1247" s="242"/>
      <c r="E1247" s="242"/>
      <c r="F1247" s="242"/>
      <c r="G1247" s="250"/>
      <c r="H1247" s="242"/>
      <c r="I1247" s="242"/>
      <c r="J1247" s="242"/>
      <c r="K1247" s="242"/>
      <c r="L1247" s="242"/>
      <c r="M1247" s="242"/>
      <c r="N1247" s="242"/>
      <c r="O1247" s="242"/>
      <c r="P1247" s="242"/>
      <c r="Q1247" s="242"/>
      <c r="R1247" s="242"/>
      <c r="T1247" s="179"/>
      <c r="U1247" s="179"/>
      <c r="V1247" s="262"/>
      <c r="W1247" s="179"/>
      <c r="X1247" s="179"/>
    </row>
    <row r="1248" spans="1:24" s="65" customFormat="1" ht="15" customHeight="1" outlineLevel="2">
      <c r="A1248" s="219"/>
      <c r="B1248" s="242"/>
      <c r="C1248" s="242"/>
      <c r="D1248" s="242"/>
      <c r="E1248" s="248" t="s">
        <v>1945</v>
      </c>
      <c r="F1248" s="242"/>
      <c r="G1248" s="250"/>
      <c r="H1248" s="242"/>
      <c r="I1248" s="248" t="s">
        <v>1946</v>
      </c>
      <c r="J1248" s="242"/>
      <c r="K1248" s="242"/>
      <c r="L1248" s="242"/>
      <c r="M1248" s="242"/>
      <c r="N1248" s="242"/>
      <c r="O1248" s="242"/>
      <c r="P1248" s="242"/>
      <c r="Q1248" s="242"/>
      <c r="R1248" s="242"/>
      <c r="T1248" s="179"/>
      <c r="U1248" s="179"/>
      <c r="V1248" s="262"/>
      <c r="W1248" s="179"/>
      <c r="X1248" s="179"/>
    </row>
    <row r="1249" spans="1:24" s="65" customFormat="1" ht="15" customHeight="1" outlineLevel="2">
      <c r="A1249" s="219"/>
      <c r="B1249" s="242"/>
      <c r="C1249" s="248" t="s">
        <v>1947</v>
      </c>
      <c r="D1249" s="242"/>
      <c r="E1249" s="242" t="s">
        <v>242</v>
      </c>
      <c r="F1249" s="242" t="s">
        <v>243</v>
      </c>
      <c r="G1249" s="250" t="s">
        <v>244</v>
      </c>
      <c r="H1249" s="242"/>
      <c r="I1249" s="242" t="s">
        <v>242</v>
      </c>
      <c r="J1249" s="242" t="s">
        <v>243</v>
      </c>
      <c r="K1249" s="250" t="s">
        <v>244</v>
      </c>
      <c r="L1249" s="242"/>
      <c r="M1249" s="242"/>
      <c r="N1249" s="242"/>
      <c r="O1249" s="242"/>
      <c r="P1249" s="242"/>
      <c r="Q1249" s="242"/>
      <c r="R1249" s="242"/>
      <c r="T1249" s="179"/>
      <c r="U1249" s="179"/>
      <c r="V1249" s="262"/>
      <c r="W1249" s="179"/>
      <c r="X1249" s="179"/>
    </row>
    <row r="1250" spans="1:24" s="65" customFormat="1" ht="15" customHeight="1" outlineLevel="2">
      <c r="A1250" s="219"/>
      <c r="B1250" s="242"/>
      <c r="C1250" s="248"/>
      <c r="D1250" s="242"/>
      <c r="E1250" s="246" t="str">
        <f>Preferences.weight&amp;"CO2/"&amp;Preferences.energy</f>
        <v>GtCO2/EJ</v>
      </c>
      <c r="F1250" s="246" t="str">
        <f>Preferences.weight&amp;"CO2/"&amp;Preferences.energy</f>
        <v>GtCO2/EJ</v>
      </c>
      <c r="G1250" s="246" t="str">
        <f>Preferences.weight&amp;"CO2/"&amp;Preferences.energy</f>
        <v>GtCO2/EJ</v>
      </c>
      <c r="H1250" s="242"/>
      <c r="I1250" s="246" t="str">
        <f>Preferences.weight&amp;"CO2/"&amp;Preferences.energy</f>
        <v>GtCO2/EJ</v>
      </c>
      <c r="J1250" s="246" t="str">
        <f>Preferences.weight&amp;"CO2/"&amp;Preferences.energy</f>
        <v>GtCO2/EJ</v>
      </c>
      <c r="K1250" s="246" t="str">
        <f>Preferences.weight&amp;"CO2/"&amp;Preferences.energy</f>
        <v>GtCO2/EJ</v>
      </c>
      <c r="L1250" s="299"/>
      <c r="M1250" s="242"/>
      <c r="N1250" s="242"/>
      <c r="O1250" s="242"/>
      <c r="P1250" s="242"/>
      <c r="Q1250" s="242"/>
      <c r="R1250" s="242"/>
      <c r="T1250" s="179"/>
      <c r="U1250" s="179"/>
      <c r="V1250" s="262"/>
      <c r="W1250" s="179"/>
      <c r="X1250" s="179"/>
    </row>
    <row r="1251" spans="1:24" s="65" customFormat="1" ht="15" customHeight="1" outlineLevel="2">
      <c r="A1251" s="219"/>
      <c r="B1251" s="242"/>
      <c r="C1251" s="251" t="s">
        <v>24</v>
      </c>
      <c r="D1251" s="251" t="s">
        <v>1349</v>
      </c>
      <c r="E1251" s="358">
        <f>IFERROR(INDEX(EF[#Data],MATCH($D1251,EF[Vector],0),3),0)</f>
        <v>0</v>
      </c>
      <c r="F1251" s="358">
        <f>IFERROR(INDEX(EF[#Data],MATCH($D1251,EF[Vector],0),4),0)</f>
        <v>0</v>
      </c>
      <c r="G1251" s="358">
        <f>IFERROR(INDEX(EF[#Data],MATCH($D1251,EF[Vector],0),5),0)</f>
        <v>0</v>
      </c>
      <c r="H1251" s="242"/>
      <c r="I1251" s="358">
        <f>IFERROR(INDEX(EF[#Data],MATCH($D1251,EF[Vector],0),3),0)</f>
        <v>0</v>
      </c>
      <c r="J1251" s="358">
        <f>IFERROR(INDEX(EF[#Data],MATCH($D1251,EF[Vector],0),4),0)</f>
        <v>0</v>
      </c>
      <c r="K1251" s="358">
        <f>IFERROR(INDEX(EF[#Data],MATCH($D1251,EF[Vector],0),5),0)</f>
        <v>0</v>
      </c>
      <c r="L1251" s="242"/>
      <c r="M1251" s="242"/>
      <c r="N1251" s="242"/>
      <c r="O1251" s="242"/>
      <c r="P1251" s="242"/>
      <c r="Q1251" s="242"/>
      <c r="R1251" s="242"/>
      <c r="T1251" s="179"/>
      <c r="U1251" s="179"/>
      <c r="V1251" s="262"/>
      <c r="W1251" s="179"/>
      <c r="X1251" s="179"/>
    </row>
    <row r="1252" spans="1:24" s="65" customFormat="1" ht="15" customHeight="1" outlineLevel="2">
      <c r="A1252" s="219"/>
      <c r="B1252" s="242"/>
      <c r="C1252" s="251" t="s">
        <v>888</v>
      </c>
      <c r="D1252" s="251" t="s">
        <v>626</v>
      </c>
      <c r="E1252" s="358">
        <f>IFERROR(INDEX(EF[#Data],MATCH($D1252,EF[Vector],0),3),0)</f>
        <v>9.4600000000000004E-2</v>
      </c>
      <c r="F1252" s="358">
        <f>IFERROR(INDEX(EF[#Data],MATCH($D1252,EF[Vector],0),4),0)</f>
        <v>1.3233362562541911E-5</v>
      </c>
      <c r="G1252" s="358">
        <f>IFERROR(INDEX(EF[#Data],MATCH($D1252,EF[Vector],0),5),0)</f>
        <v>2.7032753907257441E-6</v>
      </c>
      <c r="H1252" s="242"/>
      <c r="I1252" s="358">
        <f>IFERROR(INDEX(EF[#Data],MATCH($D1252,EF[Vector],0),3),0)</f>
        <v>9.4600000000000004E-2</v>
      </c>
      <c r="J1252" s="358">
        <f>IFERROR(INDEX(EF[#Data],MATCH($D1252,EF[Vector],0),4),0)</f>
        <v>1.3233362562541911E-5</v>
      </c>
      <c r="K1252" s="358">
        <f>IFERROR(INDEX(EF[#Data],MATCH($D1252,EF[Vector],0),5),0)</f>
        <v>2.7032753907257441E-6</v>
      </c>
      <c r="L1252" s="242"/>
      <c r="M1252" s="242"/>
      <c r="N1252" s="242"/>
      <c r="O1252" s="242"/>
      <c r="P1252" s="242"/>
      <c r="Q1252" s="242"/>
      <c r="R1252" s="242"/>
      <c r="T1252" s="179"/>
      <c r="U1252" s="179"/>
      <c r="V1252" s="262"/>
      <c r="W1252" s="179"/>
      <c r="X1252" s="179"/>
    </row>
    <row r="1253" spans="1:24" s="65" customFormat="1" ht="15" customHeight="1" outlineLevel="2">
      <c r="A1253" s="219"/>
      <c r="B1253" s="242"/>
      <c r="C1253" s="251" t="s">
        <v>316</v>
      </c>
      <c r="D1253" s="251" t="s">
        <v>627</v>
      </c>
      <c r="E1253" s="358">
        <f>IFERROR(INDEX(EF[#Data],MATCH($D1253,EF[Vector],0),3),0)</f>
        <v>6.9300000000000014E-2</v>
      </c>
      <c r="F1253" s="358">
        <f>IFERROR(INDEX(EF[#Data],MATCH($D1253,EF[Vector],0),4),0)</f>
        <v>4.1084869724211502E-6</v>
      </c>
      <c r="G1253" s="358">
        <f>IFERROR(INDEX(EF[#Data],MATCH($D1253,EF[Vector],0),5),0)</f>
        <v>4.0220935547767802E-6</v>
      </c>
      <c r="H1253" s="242"/>
      <c r="I1253" s="358">
        <f>IFERROR(INDEX(EF[#Data],MATCH($D1253,EF[Vector],0),3),0)</f>
        <v>6.9300000000000014E-2</v>
      </c>
      <c r="J1253" s="358">
        <f>IFERROR(INDEX(EF[#Data],MATCH($D1253,EF[Vector],0),4),0)</f>
        <v>4.1084869724211502E-6</v>
      </c>
      <c r="K1253" s="358">
        <f>IFERROR(INDEX(EF[#Data],MATCH($D1253,EF[Vector],0),5),0)</f>
        <v>4.0220935547767802E-6</v>
      </c>
      <c r="L1253" s="242"/>
      <c r="M1253" s="242"/>
      <c r="N1253" s="242"/>
      <c r="O1253" s="242"/>
      <c r="P1253" s="242"/>
      <c r="Q1253" s="242"/>
      <c r="R1253" s="242"/>
      <c r="T1253" s="179"/>
      <c r="U1253" s="179"/>
      <c r="V1253" s="262"/>
      <c r="W1253" s="179"/>
      <c r="X1253" s="179"/>
    </row>
    <row r="1254" spans="1:24" s="65" customFormat="1" ht="15" customHeight="1" outlineLevel="2">
      <c r="A1254" s="219"/>
      <c r="B1254" s="242"/>
      <c r="C1254" s="251" t="s">
        <v>1948</v>
      </c>
      <c r="D1254" s="251" t="s">
        <v>628</v>
      </c>
      <c r="E1254" s="358">
        <f>IFERROR(INDEX(EF[#Data],MATCH($D1254,EF[Vector],0),3),0)</f>
        <v>5.6100000000000011E-2</v>
      </c>
      <c r="F1254" s="358">
        <f>IFERROR(INDEX(EF[#Data],MATCH($D1254,EF[Vector],0),4),0)</f>
        <v>5.3548403922386828E-6</v>
      </c>
      <c r="G1254" s="358">
        <f>IFERROR(INDEX(EF[#Data],MATCH($D1254,EF[Vector],0),5),0)</f>
        <v>3.9015230544544137E-7</v>
      </c>
      <c r="H1254" s="242"/>
      <c r="I1254" s="358">
        <f>IFERROR(INDEX(EF[#Data],MATCH($D1254,EF[Vector],0),3),0)</f>
        <v>5.6100000000000011E-2</v>
      </c>
      <c r="J1254" s="358">
        <f>IFERROR(INDEX(EF[#Data],MATCH($D1254,EF[Vector],0),4),0)</f>
        <v>5.3548403922386828E-6</v>
      </c>
      <c r="K1254" s="358">
        <f>IFERROR(INDEX(EF[#Data],MATCH($D1254,EF[Vector],0),5),0)</f>
        <v>3.9015230544544137E-7</v>
      </c>
      <c r="L1254" s="242"/>
      <c r="M1254" s="242"/>
      <c r="N1254" s="242"/>
      <c r="O1254" s="242"/>
      <c r="P1254" s="242"/>
      <c r="Q1254" s="242"/>
      <c r="R1254" s="242"/>
      <c r="T1254" s="179"/>
      <c r="U1254" s="179"/>
      <c r="V1254" s="262"/>
      <c r="W1254" s="179"/>
      <c r="X1254" s="179"/>
    </row>
    <row r="1255" spans="1:24" s="65" customFormat="1" ht="15" customHeight="1" outlineLevel="2">
      <c r="A1255" s="219"/>
      <c r="B1255" s="242"/>
      <c r="C1255" s="251" t="s">
        <v>1949</v>
      </c>
      <c r="D1255" s="251" t="s">
        <v>370</v>
      </c>
      <c r="E1255" s="358">
        <f>IFERROR(INDEX(EF[#Data],MATCH($D1255,EF[Vector],0),3),0)</f>
        <v>9.4600000000000004E-2</v>
      </c>
      <c r="F1255" s="358">
        <f>IFERROR(INDEX(EF[#Data],MATCH($D1255,EF[Vector],0),4),0)</f>
        <v>1.3233362562541911E-5</v>
      </c>
      <c r="G1255" s="358">
        <f>IFERROR(INDEX(EF[#Data],MATCH($D1255,EF[Vector],0),5),0)</f>
        <v>2.7032753907257441E-6</v>
      </c>
      <c r="H1255" s="250"/>
      <c r="I1255" s="358"/>
      <c r="J1255" s="358"/>
      <c r="K1255" s="358"/>
      <c r="L1255" s="242"/>
      <c r="M1255" s="242"/>
      <c r="N1255" s="242"/>
      <c r="O1255" s="242"/>
      <c r="P1255" s="242"/>
      <c r="Q1255" s="242"/>
      <c r="R1255" s="242"/>
      <c r="T1255" s="179"/>
      <c r="U1255" s="179"/>
      <c r="V1255" s="262"/>
      <c r="W1255" s="179"/>
      <c r="X1255" s="179"/>
    </row>
    <row r="1256" spans="1:24" s="65" customFormat="1" ht="15" customHeight="1" outlineLevel="2">
      <c r="A1256" s="219"/>
      <c r="B1256" s="242"/>
      <c r="C1256" s="251" t="s">
        <v>323</v>
      </c>
      <c r="D1256" s="251" t="s">
        <v>1351</v>
      </c>
      <c r="E1256" s="358">
        <f>IFERROR(INDEX(EF[#Data],MATCH($D1256,EF[Vector],0),3),0)</f>
        <v>0</v>
      </c>
      <c r="F1256" s="358">
        <f>IFERROR(INDEX(EF[#Data],MATCH($D1256,EF[Vector],0),4),0)</f>
        <v>0</v>
      </c>
      <c r="G1256" s="358">
        <f>IFERROR(INDEX(EF[#Data],MATCH($D1256,EF[Vector],0),5),0)</f>
        <v>0</v>
      </c>
      <c r="H1256" s="250"/>
      <c r="I1256" s="358">
        <f>IFERROR(INDEX(EF[#Data],MATCH($D1256,EF[Vector],0),3),0)</f>
        <v>0</v>
      </c>
      <c r="J1256" s="358">
        <f>IFERROR(INDEX(EF[#Data],MATCH($D1256,EF[Vector],0),4),0)</f>
        <v>0</v>
      </c>
      <c r="K1256" s="358">
        <f>IFERROR(INDEX(EF[#Data],MATCH($D1256,EF[Vector],0),5),0)</f>
        <v>0</v>
      </c>
      <c r="L1256" s="242"/>
      <c r="M1256" s="242"/>
      <c r="N1256" s="242"/>
      <c r="O1256" s="242"/>
      <c r="P1256" s="242"/>
      <c r="Q1256" s="242"/>
      <c r="R1256" s="242"/>
      <c r="T1256" s="179"/>
      <c r="U1256" s="179"/>
      <c r="V1256" s="262"/>
      <c r="W1256" s="179"/>
      <c r="X1256" s="179"/>
    </row>
    <row r="1257" spans="1:24" s="65" customFormat="1" ht="15" customHeight="1" outlineLevel="2">
      <c r="A1257" s="219"/>
      <c r="B1257" s="242"/>
      <c r="C1257" s="242"/>
      <c r="D1257" s="242"/>
      <c r="E1257" s="242"/>
      <c r="F1257" s="242"/>
      <c r="G1257" s="250"/>
      <c r="H1257" s="250"/>
      <c r="I1257" s="242"/>
      <c r="J1257" s="242"/>
      <c r="K1257" s="242"/>
      <c r="L1257" s="242"/>
      <c r="M1257" s="242"/>
      <c r="N1257" s="242"/>
      <c r="O1257" s="242"/>
      <c r="P1257" s="242"/>
      <c r="Q1257" s="242"/>
      <c r="R1257" s="242"/>
      <c r="T1257" s="179"/>
      <c r="U1257" s="179"/>
      <c r="V1257" s="262"/>
      <c r="W1257" s="179"/>
      <c r="X1257" s="179"/>
    </row>
    <row r="1258" spans="1:24" s="65" customFormat="1" ht="15" customHeight="1" outlineLevel="2">
      <c r="A1258" s="219"/>
      <c r="B1258" s="242"/>
      <c r="C1258" s="242"/>
      <c r="D1258" s="242"/>
      <c r="E1258" s="242"/>
      <c r="F1258" s="242"/>
      <c r="G1258" s="250"/>
      <c r="H1258" s="250"/>
      <c r="I1258" s="250"/>
      <c r="J1258" s="242"/>
      <c r="K1258" s="242"/>
      <c r="L1258" s="242"/>
      <c r="M1258" s="242"/>
      <c r="N1258" s="242"/>
      <c r="O1258" s="242"/>
      <c r="P1258" s="242"/>
      <c r="Q1258" s="242"/>
      <c r="R1258" s="242"/>
      <c r="T1258" s="179"/>
      <c r="U1258" s="179"/>
      <c r="V1258" s="262"/>
      <c r="W1258" s="179"/>
      <c r="X1258" s="179"/>
    </row>
    <row r="1259" spans="1:24" s="65" customFormat="1" ht="15" customHeight="1" outlineLevel="2">
      <c r="A1259" s="219"/>
      <c r="B1259" s="242"/>
      <c r="C1259" s="242"/>
      <c r="D1259" s="242"/>
      <c r="E1259" s="242"/>
      <c r="F1259" s="242"/>
      <c r="G1259" s="250"/>
      <c r="H1259" s="250"/>
      <c r="I1259" s="250"/>
      <c r="J1259" s="242"/>
      <c r="K1259" s="242"/>
      <c r="L1259" s="242"/>
      <c r="M1259" s="242"/>
      <c r="N1259" s="242"/>
      <c r="O1259" s="242"/>
      <c r="P1259" s="242"/>
      <c r="Q1259" s="242"/>
      <c r="R1259" s="242"/>
      <c r="T1259" s="179"/>
      <c r="U1259" s="179"/>
      <c r="V1259" s="262"/>
      <c r="W1259" s="179"/>
      <c r="X1259" s="179"/>
    </row>
    <row r="1260" spans="1:24" s="65" customFormat="1" ht="15" customHeight="1" outlineLevel="2">
      <c r="A1260" s="219"/>
      <c r="B1260" s="242"/>
      <c r="C1260" s="248" t="s">
        <v>1651</v>
      </c>
      <c r="D1260" s="242"/>
      <c r="E1260" s="242"/>
      <c r="F1260" s="242"/>
      <c r="G1260" s="250"/>
      <c r="H1260" s="250"/>
      <c r="I1260" s="250"/>
      <c r="J1260" s="242"/>
      <c r="K1260" s="242"/>
      <c r="L1260" s="242"/>
      <c r="M1260" s="242"/>
      <c r="N1260" s="242"/>
      <c r="O1260" s="242"/>
      <c r="P1260" s="242"/>
      <c r="Q1260" s="242"/>
      <c r="R1260" s="242"/>
      <c r="T1260" s="179"/>
      <c r="U1260" s="179"/>
      <c r="V1260" s="262"/>
      <c r="W1260" s="179"/>
      <c r="X1260" s="179"/>
    </row>
    <row r="1261" spans="1:24" s="65" customFormat="1" ht="15" customHeight="1" outlineLevel="2" thickBot="1">
      <c r="A1261" s="219"/>
      <c r="B1261" s="242"/>
      <c r="C1261" s="242"/>
      <c r="D1261" s="242"/>
      <c r="E1261" s="242" t="str">
        <f>Preferences.weight&amp;"CO2"</f>
        <v>GtCO2</v>
      </c>
      <c r="F1261" s="242" t="str">
        <f>Preferences.weight&amp;"CH4"</f>
        <v>GtCH4</v>
      </c>
      <c r="G1261" s="242" t="str">
        <f>Preferences.weight&amp;"N2O"</f>
        <v>GtN2O</v>
      </c>
      <c r="H1261" s="250"/>
      <c r="I1261" s="242" t="str">
        <f>Preferences.weight&amp;"CO2"</f>
        <v>GtCO2</v>
      </c>
      <c r="J1261" s="242" t="str">
        <f>Preferences.weight&amp;"CH4"</f>
        <v>GtCH4</v>
      </c>
      <c r="K1261" s="242" t="str">
        <f>Preferences.weight&amp;"N2O"</f>
        <v>GtN2O</v>
      </c>
      <c r="L1261" s="242"/>
      <c r="M1261" s="242" t="str">
        <f>Preferences.weight&amp;"CO2 / "&amp;Preferences.weight</f>
        <v>GtCO2 / Gt</v>
      </c>
      <c r="N1261" s="242" t="str">
        <f>Preferences.weight&amp;"CH4 / "&amp;Preferences.weight</f>
        <v>GtCH4 / Gt</v>
      </c>
      <c r="O1261" s="242" t="str">
        <f>Preferences.weight&amp;"N2O / "&amp;Preferences.weight</f>
        <v>GtN2O / Gt</v>
      </c>
      <c r="P1261" s="301" t="s">
        <v>1950</v>
      </c>
      <c r="Q1261" s="242"/>
      <c r="R1261" s="242"/>
      <c r="T1261" s="179"/>
      <c r="U1261" s="179"/>
      <c r="V1261" s="262"/>
      <c r="W1261" s="179"/>
      <c r="X1261" s="179"/>
    </row>
    <row r="1262" spans="1:24" s="65" customFormat="1" ht="15" customHeight="1" outlineLevel="2">
      <c r="A1262" s="219"/>
      <c r="B1262" s="242"/>
      <c r="C1262" s="42" t="s">
        <v>355</v>
      </c>
      <c r="D1262" s="42" t="s">
        <v>630</v>
      </c>
      <c r="E1262" s="42" t="s">
        <v>1951</v>
      </c>
      <c r="F1262" s="42" t="s">
        <v>1951</v>
      </c>
      <c r="G1262" s="42" t="s">
        <v>1951</v>
      </c>
      <c r="H1262" s="250"/>
      <c r="I1262" s="42" t="s">
        <v>1952</v>
      </c>
      <c r="J1262" s="42" t="s">
        <v>1952</v>
      </c>
      <c r="K1262" s="42" t="s">
        <v>1952</v>
      </c>
      <c r="L1262" s="242"/>
      <c r="M1262" s="42" t="s">
        <v>1953</v>
      </c>
      <c r="N1262" s="42" t="s">
        <v>1953</v>
      </c>
      <c r="O1262" s="42" t="s">
        <v>1953</v>
      </c>
      <c r="P1262" s="242"/>
      <c r="Q1262" s="242"/>
      <c r="R1262" s="242"/>
      <c r="T1262" s="179"/>
      <c r="U1262" s="179"/>
      <c r="V1262" s="262"/>
      <c r="W1262" s="179"/>
      <c r="X1262" s="179"/>
    </row>
    <row r="1263" spans="1:24" s="65" customFormat="1" ht="15" customHeight="1" outlineLevel="2">
      <c r="A1263" s="219"/>
      <c r="B1263" s="242"/>
      <c r="C1263" s="242" t="s">
        <v>1619</v>
      </c>
      <c r="D1263" s="242" t="s">
        <v>1628</v>
      </c>
      <c r="E1263" s="250">
        <f>2990.5249707661/2*unit.Mt*95%</f>
        <v>1.4204993611138974</v>
      </c>
      <c r="F1263" s="250">
        <f>2990.5249707661/2*unit.Mt*5%</f>
        <v>7.4763124269152506E-2</v>
      </c>
      <c r="G1263" s="250">
        <f>2990.5249707661/2*unit.Mt*5%</f>
        <v>7.4763124269152506E-2</v>
      </c>
      <c r="H1263" s="250"/>
      <c r="I1263" s="250">
        <f t="shared" ref="I1263:I1277" ca="1" si="57">E1263-I1515</f>
        <v>0.10759419963159322</v>
      </c>
      <c r="J1263" s="250">
        <f t="shared" ref="J1263:J1277" ca="1" si="58">F1263-I1534</f>
        <v>7.4585468538401589E-2</v>
      </c>
      <c r="K1263" s="250">
        <f t="shared" ref="K1263:K1277" ca="1" si="59">G1263-I1553</f>
        <v>7.4725646566424261E-2</v>
      </c>
      <c r="L1263" s="242"/>
      <c r="M1263" s="295">
        <f t="shared" ref="M1263:O1263" ca="1" si="60">I1263/I1337</f>
        <v>0.10030998914952237</v>
      </c>
      <c r="N1263" s="295">
        <f t="shared" ca="1" si="60"/>
        <v>6.991054915141226E-2</v>
      </c>
      <c r="O1263" s="295">
        <f t="shared" ca="1" si="60"/>
        <v>7.0548600439671469E-2</v>
      </c>
      <c r="P1263" s="242"/>
      <c r="Q1263" s="242"/>
      <c r="R1263" s="242"/>
      <c r="T1263" s="179"/>
      <c r="U1263" s="179"/>
      <c r="V1263" s="302" t="s">
        <v>2012</v>
      </c>
      <c r="W1263" s="179"/>
      <c r="X1263" s="179"/>
    </row>
    <row r="1264" spans="1:24" s="65" customFormat="1" ht="15" customHeight="1" outlineLevel="2">
      <c r="A1264" s="219"/>
      <c r="B1264" s="242"/>
      <c r="C1264" s="242"/>
      <c r="D1264" s="242" t="s">
        <v>1629</v>
      </c>
      <c r="E1264" s="250">
        <f>2990.5249707661/2*unit.Mt*95%</f>
        <v>1.4204993611138974</v>
      </c>
      <c r="F1264" s="250">
        <f>2990.5249707661/2*unit.Mt*5%</f>
        <v>7.4763124269152506E-2</v>
      </c>
      <c r="G1264" s="250">
        <f>2990.5249707661/2*unit.Mt*5%</f>
        <v>7.4763124269152506E-2</v>
      </c>
      <c r="H1264" s="250"/>
      <c r="I1264" s="250">
        <f t="shared" ca="1" si="57"/>
        <v>0.36408790824556814</v>
      </c>
      <c r="J1264" s="250">
        <f t="shared" ca="1" si="58"/>
        <v>7.4618468517147041E-2</v>
      </c>
      <c r="K1264" s="250">
        <f t="shared" ca="1" si="59"/>
        <v>7.4734456010000061E-2</v>
      </c>
      <c r="L1264" s="242"/>
      <c r="M1264" s="295">
        <f t="shared" ref="M1264:O1277" ca="1" si="61">I1264/I1339</f>
        <v>0.81692123829171892</v>
      </c>
      <c r="N1264" s="295">
        <f t="shared" ca="1" si="61"/>
        <v>0.15978180298922864</v>
      </c>
      <c r="O1264" s="295">
        <f t="shared" ca="1" si="61"/>
        <v>0.15124463681852324</v>
      </c>
      <c r="P1264" s="242"/>
      <c r="Q1264" s="242"/>
      <c r="R1264" s="242"/>
      <c r="T1264" s="179"/>
      <c r="U1264" s="179"/>
      <c r="V1264" s="302" t="s">
        <v>2012</v>
      </c>
      <c r="W1264" s="179"/>
      <c r="X1264" s="179"/>
    </row>
    <row r="1265" spans="1:24" s="65" customFormat="1" ht="15" customHeight="1" outlineLevel="2">
      <c r="A1265" s="219"/>
      <c r="B1265" s="242"/>
      <c r="C1265" s="242" t="s">
        <v>1418</v>
      </c>
      <c r="D1265" s="242" t="s">
        <v>1625</v>
      </c>
      <c r="E1265" s="250">
        <f>150.339667494516/3*unit.Mt*95%</f>
        <v>4.7607561373263399E-2</v>
      </c>
      <c r="F1265" s="250">
        <f t="shared" ref="F1265:G1267" si="62">167.576818776351/3*unit.Mt*5%</f>
        <v>2.7929469796058501E-3</v>
      </c>
      <c r="G1265" s="250">
        <f t="shared" si="62"/>
        <v>2.7929469796058501E-3</v>
      </c>
      <c r="H1265" s="250"/>
      <c r="I1265" s="250">
        <f t="shared" ca="1" si="57"/>
        <v>-5.4484793400373238E-2</v>
      </c>
      <c r="J1265" s="250">
        <f t="shared" ca="1" si="58"/>
        <v>2.7815075786199956E-3</v>
      </c>
      <c r="K1265" s="250">
        <f t="shared" ca="1" si="59"/>
        <v>2.7896988048491697E-3</v>
      </c>
      <c r="L1265" s="242"/>
      <c r="M1265" s="295">
        <f t="shared" ca="1" si="61"/>
        <v>-0.5438760438296899</v>
      </c>
      <c r="N1265" s="295">
        <f t="shared" ca="1" si="61"/>
        <v>2.678760405143514E-2</v>
      </c>
      <c r="O1265" s="295">
        <f t="shared" ca="1" si="61"/>
        <v>2.5715808643469208E-2</v>
      </c>
      <c r="P1265" s="242"/>
      <c r="Q1265" s="242"/>
      <c r="R1265" s="242"/>
      <c r="T1265" s="179"/>
      <c r="U1265" s="179"/>
      <c r="V1265" s="302" t="s">
        <v>2012</v>
      </c>
      <c r="W1265" s="179"/>
      <c r="X1265" s="179"/>
    </row>
    <row r="1266" spans="1:24" s="65" customFormat="1" ht="15" customHeight="1" outlineLevel="2">
      <c r="A1266" s="219"/>
      <c r="B1266" s="242"/>
      <c r="C1266" s="242"/>
      <c r="D1266" s="242" t="s">
        <v>1626</v>
      </c>
      <c r="E1266" s="250">
        <f>150.339667494516/3*unit.Mt*95%</f>
        <v>4.7607561373263399E-2</v>
      </c>
      <c r="F1266" s="250">
        <f t="shared" si="62"/>
        <v>2.7929469796058501E-3</v>
      </c>
      <c r="G1266" s="250">
        <f t="shared" si="62"/>
        <v>2.7929469796058501E-3</v>
      </c>
      <c r="H1266" s="250"/>
      <c r="I1266" s="250">
        <f t="shared" ca="1" si="57"/>
        <v>2.5113418631630115E-2</v>
      </c>
      <c r="J1266" s="250">
        <f t="shared" ca="1" si="58"/>
        <v>2.7907635424297217E-3</v>
      </c>
      <c r="K1266" s="250">
        <f t="shared" ca="1" si="59"/>
        <v>2.7919145979592628E-3</v>
      </c>
      <c r="L1266" s="242"/>
      <c r="M1266" s="295">
        <f t="shared" ca="1" si="61"/>
        <v>0.56612770196201156</v>
      </c>
      <c r="N1266" s="295">
        <f t="shared" ca="1" si="61"/>
        <v>6.0696075758509341E-2</v>
      </c>
      <c r="O1266" s="295">
        <f t="shared" ca="1" si="61"/>
        <v>5.812044721785728E-2</v>
      </c>
      <c r="P1266" s="242"/>
      <c r="Q1266" s="242"/>
      <c r="R1266" s="242"/>
      <c r="T1266" s="179"/>
      <c r="U1266" s="179"/>
      <c r="V1266" s="302" t="s">
        <v>2012</v>
      </c>
      <c r="W1266" s="179"/>
      <c r="X1266" s="179"/>
    </row>
    <row r="1267" spans="1:24" s="65" customFormat="1" ht="15" customHeight="1" outlineLevel="2">
      <c r="A1267" s="219"/>
      <c r="B1267" s="242"/>
      <c r="C1267" s="242"/>
      <c r="D1267" s="242" t="s">
        <v>1627</v>
      </c>
      <c r="E1267" s="250">
        <f>150.339667494516/3*unit.Mt*95%</f>
        <v>4.7607561373263399E-2</v>
      </c>
      <c r="F1267" s="250">
        <f t="shared" si="62"/>
        <v>2.7929469796058501E-3</v>
      </c>
      <c r="G1267" s="250">
        <f t="shared" si="62"/>
        <v>2.7929469796058501E-3</v>
      </c>
      <c r="H1267" s="250"/>
      <c r="I1267" s="250">
        <f t="shared" ca="1" si="57"/>
        <v>3.399400534684411E-2</v>
      </c>
      <c r="J1267" s="250">
        <f t="shared" ca="1" si="58"/>
        <v>2.791647997983788E-3</v>
      </c>
      <c r="K1267" s="250">
        <f t="shared" ca="1" si="59"/>
        <v>2.7928516596358918E-3</v>
      </c>
      <c r="L1267" s="242"/>
      <c r="M1267" s="295">
        <f t="shared" ca="1" si="61"/>
        <v>0.70378288474460216</v>
      </c>
      <c r="N1267" s="295">
        <f t="shared" ca="1" si="61"/>
        <v>5.8607565391460899E-2</v>
      </c>
      <c r="O1267" s="295">
        <f t="shared" ca="1" si="61"/>
        <v>5.9722931127485106E-2</v>
      </c>
      <c r="P1267" s="242"/>
      <c r="Q1267" s="242"/>
      <c r="R1267" s="242"/>
      <c r="T1267" s="179"/>
      <c r="U1267" s="179"/>
      <c r="V1267" s="302" t="s">
        <v>2012</v>
      </c>
      <c r="W1267" s="179"/>
      <c r="X1267" s="179"/>
    </row>
    <row r="1268" spans="1:24" s="65" customFormat="1" ht="15" customHeight="1" outlineLevel="2">
      <c r="A1268" s="219"/>
      <c r="B1268" s="242"/>
      <c r="C1268" s="242" t="s">
        <v>1435</v>
      </c>
      <c r="D1268" s="242" t="s">
        <v>1621</v>
      </c>
      <c r="E1268" s="250">
        <f>1273.43486742238/4*unit.Mt*95%</f>
        <v>0.30244078101281524</v>
      </c>
      <c r="F1268" s="250">
        <f t="shared" ref="F1268:G1271" si="63">1273.43486742238/4*unit.Mt*5%</f>
        <v>1.5917935842779753E-2</v>
      </c>
      <c r="G1268" s="250">
        <f t="shared" si="63"/>
        <v>1.5917935842779753E-2</v>
      </c>
      <c r="H1268" s="250"/>
      <c r="I1268" s="250">
        <f t="shared" ca="1" si="57"/>
        <v>-1.0523795191212884</v>
      </c>
      <c r="J1268" s="250">
        <f t="shared" ca="1" si="58"/>
        <v>1.583572843134291E-2</v>
      </c>
      <c r="K1268" s="250">
        <f t="shared" ca="1" si="59"/>
        <v>1.5840000302601492E-2</v>
      </c>
      <c r="L1268" s="242"/>
      <c r="M1268" s="295">
        <f t="shared" ca="1" si="61"/>
        <v>-3.293387109951563</v>
      </c>
      <c r="N1268" s="295">
        <f t="shared" ca="1" si="61"/>
        <v>4.9054270827539291E-2</v>
      </c>
      <c r="O1268" s="295">
        <f t="shared" ca="1" si="61"/>
        <v>4.8452622785747169E-2</v>
      </c>
      <c r="P1268" s="242"/>
      <c r="Q1268" s="242"/>
      <c r="R1268" s="242"/>
      <c r="T1268" s="179"/>
      <c r="U1268" s="179"/>
      <c r="V1268" s="302" t="s">
        <v>2012</v>
      </c>
      <c r="W1268" s="179"/>
      <c r="X1268" s="179"/>
    </row>
    <row r="1269" spans="1:24" s="65" customFormat="1" ht="15" customHeight="1" outlineLevel="2">
      <c r="A1269" s="219"/>
      <c r="B1269" s="242"/>
      <c r="C1269" s="242"/>
      <c r="D1269" s="242" t="s">
        <v>1622</v>
      </c>
      <c r="E1269" s="250">
        <f>1273.43486742238/4*unit.Mt*95%</f>
        <v>0.30244078101281524</v>
      </c>
      <c r="F1269" s="250">
        <f t="shared" si="63"/>
        <v>1.5917935842779753E-2</v>
      </c>
      <c r="G1269" s="250">
        <f t="shared" si="63"/>
        <v>1.5917935842779753E-2</v>
      </c>
      <c r="H1269" s="250"/>
      <c r="I1269" s="250">
        <f t="shared" ca="1" si="57"/>
        <v>-8.7341742033761549E-2</v>
      </c>
      <c r="J1269" s="250">
        <f t="shared" ca="1" si="58"/>
        <v>1.5874662442895392E-2</v>
      </c>
      <c r="K1269" s="250">
        <f t="shared" ca="1" si="59"/>
        <v>1.5912272546979037E-2</v>
      </c>
      <c r="L1269" s="242"/>
      <c r="M1269" s="295">
        <f t="shared" ca="1" si="61"/>
        <v>-0.53299346790018109</v>
      </c>
      <c r="N1269" s="295">
        <f t="shared" ca="1" si="61"/>
        <v>9.5889912282722242E-2</v>
      </c>
      <c r="O1269" s="295">
        <f t="shared" ca="1" si="61"/>
        <v>9.4912618920537373E-2</v>
      </c>
      <c r="P1269" s="242"/>
      <c r="Q1269" s="242"/>
      <c r="R1269" s="242"/>
      <c r="T1269" s="179"/>
      <c r="U1269" s="179"/>
      <c r="V1269" s="302" t="s">
        <v>2012</v>
      </c>
      <c r="W1269" s="179"/>
      <c r="X1269" s="179"/>
    </row>
    <row r="1270" spans="1:24" s="65" customFormat="1" ht="15" customHeight="1" outlineLevel="2">
      <c r="A1270" s="219"/>
      <c r="B1270" s="242"/>
      <c r="C1270" s="242"/>
      <c r="D1270" s="242" t="s">
        <v>1623</v>
      </c>
      <c r="E1270" s="250">
        <f>1273.43486742238/4*unit.Mt*95%</f>
        <v>0.30244078101281524</v>
      </c>
      <c r="F1270" s="250">
        <f t="shared" si="63"/>
        <v>1.5917935842779753E-2</v>
      </c>
      <c r="G1270" s="250">
        <f t="shared" si="63"/>
        <v>1.5917935842779753E-2</v>
      </c>
      <c r="H1270" s="250"/>
      <c r="I1270" s="250">
        <f t="shared" ca="1" si="57"/>
        <v>0.18114912862643678</v>
      </c>
      <c r="J1270" s="250">
        <f t="shared" ca="1" si="58"/>
        <v>1.5903306420266199E-2</v>
      </c>
      <c r="K1270" s="250">
        <f t="shared" ca="1" si="59"/>
        <v>1.5915607325286137E-2</v>
      </c>
      <c r="L1270" s="242"/>
      <c r="M1270" s="295">
        <f t="shared" ca="1" si="61"/>
        <v>3.1222089796594057</v>
      </c>
      <c r="N1270" s="295">
        <f t="shared" ca="1" si="61"/>
        <v>0.27131982684484707</v>
      </c>
      <c r="O1270" s="295">
        <f t="shared" ca="1" si="61"/>
        <v>0.26812705990636193</v>
      </c>
      <c r="P1270" s="242"/>
      <c r="Q1270" s="242"/>
      <c r="R1270" s="242"/>
      <c r="T1270" s="179"/>
      <c r="U1270" s="179"/>
      <c r="V1270" s="302" t="s">
        <v>2012</v>
      </c>
      <c r="W1270" s="179"/>
      <c r="X1270" s="179"/>
    </row>
    <row r="1271" spans="1:24" s="65" customFormat="1" ht="15" customHeight="1" outlineLevel="2">
      <c r="A1271" s="219"/>
      <c r="B1271" s="242"/>
      <c r="C1271" s="242"/>
      <c r="D1271" s="242" t="s">
        <v>1624</v>
      </c>
      <c r="E1271" s="250">
        <f>1273.43486742238/4*unit.Mt*95%</f>
        <v>0.30244078101281524</v>
      </c>
      <c r="F1271" s="250">
        <f t="shared" si="63"/>
        <v>1.5917935842779753E-2</v>
      </c>
      <c r="G1271" s="250">
        <f t="shared" si="63"/>
        <v>1.5917935842779753E-2</v>
      </c>
      <c r="H1271" s="250"/>
      <c r="I1271" s="250">
        <f t="shared" ca="1" si="57"/>
        <v>-5.970978743360067E-2</v>
      </c>
      <c r="J1271" s="250">
        <f t="shared" ca="1" si="58"/>
        <v>1.5881795167864747E-2</v>
      </c>
      <c r="K1271" s="250">
        <f t="shared" ca="1" si="59"/>
        <v>1.5914651960262715E-2</v>
      </c>
      <c r="L1271" s="242"/>
      <c r="M1271" s="295">
        <f t="shared" ca="1" si="61"/>
        <v>-0.5970978743360067</v>
      </c>
      <c r="N1271" s="295">
        <f t="shared" ca="1" si="61"/>
        <v>0.15720558668698606</v>
      </c>
      <c r="O1271" s="295">
        <f t="shared" ca="1" si="61"/>
        <v>0.15555674848377091</v>
      </c>
      <c r="P1271" s="242"/>
      <c r="Q1271" s="242"/>
      <c r="R1271" s="242"/>
      <c r="T1271" s="179"/>
      <c r="U1271" s="179"/>
      <c r="V1271" s="302" t="s">
        <v>2012</v>
      </c>
      <c r="W1271" s="179"/>
      <c r="X1271" s="179"/>
    </row>
    <row r="1272" spans="1:24" s="65" customFormat="1" ht="15" customHeight="1" outlineLevel="2">
      <c r="A1272" s="219"/>
      <c r="B1272" s="242"/>
      <c r="C1272" s="242" t="s">
        <v>1447</v>
      </c>
      <c r="D1272" s="121" t="s">
        <v>1954</v>
      </c>
      <c r="E1272" s="250">
        <f>237.351648563918/3*unit.Mt*95%</f>
        <v>7.5161355378574018E-2</v>
      </c>
      <c r="F1272" s="250">
        <f t="shared" ref="F1272:G1274" si="64">237.351648563918/3*unit.Mt*5%</f>
        <v>3.9558608093986326E-3</v>
      </c>
      <c r="G1272" s="250">
        <f t="shared" si="64"/>
        <v>3.9558608093986326E-3</v>
      </c>
      <c r="H1272" s="250"/>
      <c r="I1272" s="250">
        <f t="shared" ca="1" si="57"/>
        <v>-1.9121064560161119E-2</v>
      </c>
      <c r="J1272" s="250">
        <f t="shared" ca="1" si="58"/>
        <v>3.9448172096675895E-3</v>
      </c>
      <c r="K1272" s="250">
        <f t="shared" ca="1" si="59"/>
        <v>3.9533208839247509E-3</v>
      </c>
      <c r="L1272" s="242"/>
      <c r="M1272" s="295">
        <f t="shared" ca="1" si="61"/>
        <v>-0.10236263666932323</v>
      </c>
      <c r="N1272" s="295">
        <f t="shared" ca="1" si="61"/>
        <v>2.0903772272782294E-2</v>
      </c>
      <c r="O1272" s="295">
        <f t="shared" ca="1" si="61"/>
        <v>2.0686316931039065E-2</v>
      </c>
      <c r="P1272" s="242"/>
      <c r="Q1272" s="242"/>
      <c r="R1272" s="242"/>
      <c r="T1272" s="179"/>
      <c r="U1272" s="179"/>
      <c r="V1272" s="302" t="s">
        <v>2012</v>
      </c>
      <c r="W1272" s="179"/>
      <c r="X1272" s="179"/>
    </row>
    <row r="1273" spans="1:24" s="65" customFormat="1" ht="15" customHeight="1" outlineLevel="2">
      <c r="A1273" s="219"/>
      <c r="B1273" s="242"/>
      <c r="C1273" s="242"/>
      <c r="D1273" s="121" t="s">
        <v>1955</v>
      </c>
      <c r="E1273" s="250">
        <f>237.351648563918/3*unit.Mt*95%</f>
        <v>7.5161355378574018E-2</v>
      </c>
      <c r="F1273" s="250">
        <f t="shared" si="64"/>
        <v>3.9558608093986326E-3</v>
      </c>
      <c r="G1273" s="250">
        <f t="shared" si="64"/>
        <v>3.9558608093986326E-3</v>
      </c>
      <c r="H1273" s="250"/>
      <c r="I1273" s="250">
        <f t="shared" ca="1" si="57"/>
        <v>-0.59766925510883684</v>
      </c>
      <c r="J1273" s="250">
        <f t="shared" ca="1" si="58"/>
        <v>3.8675626908418097E-3</v>
      </c>
      <c r="K1273" s="250">
        <f t="shared" ca="1" si="59"/>
        <v>3.9386906934830842E-3</v>
      </c>
      <c r="L1273" s="242"/>
      <c r="M1273" s="295">
        <f t="shared" ca="1" si="61"/>
        <v>-1.4826754676830483</v>
      </c>
      <c r="N1273" s="295">
        <f t="shared" ca="1" si="61"/>
        <v>9.4970983029639654E-3</v>
      </c>
      <c r="O1273" s="295">
        <f t="shared" ca="1" si="61"/>
        <v>9.5505586136603697E-3</v>
      </c>
      <c r="P1273" s="242"/>
      <c r="Q1273" s="242"/>
      <c r="R1273" s="242"/>
      <c r="T1273" s="179"/>
      <c r="U1273" s="179"/>
      <c r="V1273" s="302" t="s">
        <v>2012</v>
      </c>
      <c r="W1273" s="179"/>
      <c r="X1273" s="179"/>
    </row>
    <row r="1274" spans="1:24" s="65" customFormat="1" ht="15" customHeight="1" outlineLevel="2">
      <c r="A1274" s="219"/>
      <c r="B1274" s="242"/>
      <c r="C1274" s="242"/>
      <c r="D1274" s="121" t="s">
        <v>1956</v>
      </c>
      <c r="E1274" s="250">
        <f>237.351648563918/3*unit.Mt*95%</f>
        <v>7.5161355378574018E-2</v>
      </c>
      <c r="F1274" s="250">
        <f t="shared" si="64"/>
        <v>3.9558608093986326E-3</v>
      </c>
      <c r="G1274" s="250">
        <f t="shared" si="64"/>
        <v>3.9558608093986326E-3</v>
      </c>
      <c r="H1274" s="250"/>
      <c r="I1274" s="250">
        <f t="shared" ca="1" si="57"/>
        <v>-3.5987560360844426E-2</v>
      </c>
      <c r="J1274" s="250">
        <f t="shared" ca="1" si="58"/>
        <v>3.9424476352097381E-3</v>
      </c>
      <c r="K1274" s="250">
        <f t="shared" ca="1" si="59"/>
        <v>3.9528682576289156E-3</v>
      </c>
      <c r="L1274" s="242"/>
      <c r="M1274" s="295">
        <f t="shared" ca="1" si="61"/>
        <v>-0.17297587734176467</v>
      </c>
      <c r="N1274" s="295">
        <f t="shared" ca="1" si="61"/>
        <v>1.8757176046928597E-2</v>
      </c>
      <c r="O1274" s="295">
        <f t="shared" ca="1" si="61"/>
        <v>1.8571081133721589E-2</v>
      </c>
      <c r="P1274" s="242"/>
      <c r="Q1274" s="242"/>
      <c r="R1274" s="242"/>
      <c r="T1274" s="179"/>
      <c r="U1274" s="179"/>
      <c r="V1274" s="302" t="s">
        <v>2012</v>
      </c>
      <c r="W1274" s="179"/>
      <c r="X1274" s="179"/>
    </row>
    <row r="1275" spans="1:24" s="65" customFormat="1" ht="15" customHeight="1" outlineLevel="2">
      <c r="A1275" s="219"/>
      <c r="B1275" s="242"/>
      <c r="C1275" s="242" t="s">
        <v>1426</v>
      </c>
      <c r="D1275" s="242" t="s">
        <v>1426</v>
      </c>
      <c r="E1275" s="250">
        <f>2132.56349263094*unit.Mt*95%</f>
        <v>2.0259353179993926</v>
      </c>
      <c r="F1275" s="250">
        <f>2132.56349263094*unit.Mt*5%</f>
        <v>0.106628174631547</v>
      </c>
      <c r="G1275" s="250">
        <f>2132.56349263094*unit.Mt*5%</f>
        <v>0.106628174631547</v>
      </c>
      <c r="H1275" s="250"/>
      <c r="I1275" s="250">
        <f t="shared" ca="1" si="57"/>
        <v>1.2541041021046564</v>
      </c>
      <c r="J1275" s="250">
        <f t="shared" ca="1" si="58"/>
        <v>0.10652857313775163</v>
      </c>
      <c r="K1275" s="250">
        <f t="shared" ca="1" si="59"/>
        <v>0.10660481982246497</v>
      </c>
      <c r="L1275" s="242"/>
      <c r="M1275" s="295">
        <f t="shared" ca="1" si="61"/>
        <v>0.3454485798237234</v>
      </c>
      <c r="N1275" s="295">
        <f t="shared" ca="1" si="61"/>
        <v>3.0288469124250293E-2</v>
      </c>
      <c r="O1275" s="295">
        <f t="shared" ca="1" si="61"/>
        <v>3.1621299966105854E-2</v>
      </c>
      <c r="P1275" s="242"/>
      <c r="Q1275" s="242"/>
      <c r="R1275" s="242"/>
      <c r="T1275" s="179"/>
      <c r="U1275" s="179"/>
      <c r="V1275" s="263" t="s">
        <v>2013</v>
      </c>
      <c r="W1275" s="179"/>
      <c r="X1275" s="179"/>
    </row>
    <row r="1276" spans="1:24" s="65" customFormat="1" ht="15" customHeight="1" outlineLevel="2">
      <c r="A1276" s="219"/>
      <c r="B1276" s="242"/>
      <c r="C1276" s="242" t="s">
        <v>1457</v>
      </c>
      <c r="D1276" s="242" t="s">
        <v>1457</v>
      </c>
      <c r="E1276" s="250">
        <f>E1277-SUM(E1263:E1275)</f>
        <v>1.9819034766607988</v>
      </c>
      <c r="F1276" s="250">
        <f>F1277-SUM(F1263:F1275)</f>
        <v>0.10344885173384499</v>
      </c>
      <c r="G1276" s="250">
        <f>G1277-SUM(G1263:G1275)</f>
        <v>0.10344885173384499</v>
      </c>
      <c r="H1276" s="250"/>
      <c r="I1276" s="250">
        <f t="shared" ca="1" si="57"/>
        <v>5.7114314498832863E-2</v>
      </c>
      <c r="J1276" s="250">
        <f t="shared" ca="1" si="58"/>
        <v>0.10325734806655079</v>
      </c>
      <c r="K1276" s="250">
        <f t="shared" ca="1" si="59"/>
        <v>0.1033892291147081</v>
      </c>
      <c r="L1276" s="242"/>
      <c r="M1276" s="295">
        <f t="shared" ca="1" si="61"/>
        <v>5.7114314498832863E-2</v>
      </c>
      <c r="N1276" s="295">
        <f t="shared" ca="1" si="61"/>
        <v>0.1044634283309155</v>
      </c>
      <c r="O1276" s="295">
        <f t="shared" ca="1" si="61"/>
        <v>0.10621451857493569</v>
      </c>
      <c r="P1276" s="242"/>
      <c r="Q1276" s="242"/>
      <c r="R1276" s="242"/>
      <c r="T1276" s="179"/>
      <c r="U1276" s="179"/>
      <c r="V1276" s="263" t="s">
        <v>2013</v>
      </c>
      <c r="W1276" s="179"/>
      <c r="X1276" s="179"/>
    </row>
    <row r="1277" spans="1:24" s="65" customFormat="1" ht="15" customHeight="1" outlineLevel="2" thickBot="1">
      <c r="A1277" s="219"/>
      <c r="B1277" s="242"/>
      <c r="C1277" s="162" t="s">
        <v>375</v>
      </c>
      <c r="D1277" s="162"/>
      <c r="E1277" s="330">
        <f>8870.42883283659*unit.Mt*95%</f>
        <v>8.4269073911947601</v>
      </c>
      <c r="F1277" s="330">
        <f>8870.42883283659*unit.Mt*5%</f>
        <v>0.44352144164182949</v>
      </c>
      <c r="G1277" s="330">
        <f>8870.42883283659*unit.Mt*5%</f>
        <v>0.44352144164182949</v>
      </c>
      <c r="H1277" s="250"/>
      <c r="I1277" s="331">
        <f t="shared" ca="1" si="57"/>
        <v>0.11646335506669558</v>
      </c>
      <c r="J1277" s="331">
        <f t="shared" ca="1" si="58"/>
        <v>0.44260409737697298</v>
      </c>
      <c r="K1277" s="331">
        <f t="shared" ca="1" si="59"/>
        <v>0.44325602854620788</v>
      </c>
      <c r="L1277" s="242"/>
      <c r="M1277" s="332">
        <f t="shared" ca="1" si="61"/>
        <v>1.4967877808866475E-2</v>
      </c>
      <c r="N1277" s="333">
        <f t="shared" ca="1" si="61"/>
        <v>5.7547925108541377E-2</v>
      </c>
      <c r="O1277" s="333">
        <f t="shared" ca="1" si="61"/>
        <v>5.852402279878554E-2</v>
      </c>
      <c r="P1277" s="242"/>
      <c r="Q1277" s="242"/>
      <c r="R1277" s="242"/>
      <c r="T1277" s="179"/>
      <c r="U1277" s="179"/>
      <c r="V1277" s="263" t="s">
        <v>2013</v>
      </c>
      <c r="W1277" s="179"/>
      <c r="X1277" s="179"/>
    </row>
    <row r="1278" spans="1:24" s="65" customFormat="1" ht="15" customHeight="1" outlineLevel="2">
      <c r="A1278" s="219"/>
      <c r="B1278" s="242"/>
      <c r="C1278" s="242"/>
      <c r="D1278" s="242"/>
      <c r="E1278" s="242"/>
      <c r="F1278" s="242"/>
      <c r="G1278" s="250"/>
      <c r="H1278" s="250"/>
      <c r="I1278" s="121"/>
      <c r="J1278" s="242"/>
      <c r="K1278" s="242"/>
      <c r="L1278" s="242"/>
      <c r="M1278" s="242"/>
      <c r="N1278" s="242"/>
      <c r="O1278" s="242"/>
      <c r="P1278" s="242"/>
      <c r="Q1278" s="242"/>
      <c r="R1278" s="242"/>
      <c r="T1278" s="179"/>
      <c r="U1278" s="179"/>
      <c r="V1278" s="179"/>
      <c r="W1278" s="179"/>
      <c r="X1278" s="179"/>
    </row>
    <row r="1279" spans="1:24" s="65" customFormat="1" ht="15" customHeight="1" outlineLevel="1">
      <c r="A1279" s="219"/>
      <c r="B1279" s="242"/>
      <c r="C1279" s="244" t="s">
        <v>1652</v>
      </c>
      <c r="D1279" s="242"/>
      <c r="E1279" s="242"/>
      <c r="F1279" s="242"/>
      <c r="G1279" s="242"/>
      <c r="H1279" s="242"/>
      <c r="I1279" s="242"/>
      <c r="J1279" s="242"/>
      <c r="K1279" s="242"/>
      <c r="L1279" s="242"/>
      <c r="M1279" s="242"/>
      <c r="N1279" s="242"/>
      <c r="O1279" s="242"/>
      <c r="P1279" s="242"/>
      <c r="Q1279" s="242" t="s">
        <v>511</v>
      </c>
      <c r="R1279" s="242"/>
      <c r="T1279" s="179"/>
      <c r="U1279" s="179"/>
      <c r="W1279" s="179"/>
      <c r="X1279" s="179"/>
    </row>
    <row r="1280" spans="1:24" s="65" customFormat="1" ht="15" customHeight="1" outlineLevel="2">
      <c r="A1280" s="219"/>
      <c r="B1280" s="242"/>
      <c r="C1280" s="248"/>
      <c r="D1280" s="242"/>
      <c r="E1280" s="242"/>
      <c r="F1280" s="242"/>
      <c r="G1280" s="242"/>
      <c r="H1280" s="242"/>
      <c r="I1280" s="242"/>
      <c r="J1280" s="242"/>
      <c r="K1280" s="242"/>
      <c r="L1280" s="242"/>
      <c r="M1280" s="242"/>
      <c r="N1280" s="242"/>
      <c r="O1280" s="242"/>
      <c r="P1280" s="242"/>
      <c r="Q1280" s="242"/>
      <c r="R1280" s="121"/>
      <c r="T1280" s="179"/>
      <c r="U1280" s="179"/>
      <c r="W1280" s="179"/>
      <c r="X1280" s="179"/>
    </row>
    <row r="1281" spans="1:24" s="65" customFormat="1" ht="15" customHeight="1" outlineLevel="2">
      <c r="A1281" s="219"/>
      <c r="B1281" s="242"/>
      <c r="C1281" s="242" t="s">
        <v>454</v>
      </c>
      <c r="D1281" s="242" t="s">
        <v>241</v>
      </c>
      <c r="E1281" s="242" t="s">
        <v>207</v>
      </c>
      <c r="F1281" s="242" t="s">
        <v>274</v>
      </c>
      <c r="G1281" s="242" t="s">
        <v>509</v>
      </c>
      <c r="H1281" s="242" t="s">
        <v>510</v>
      </c>
      <c r="I1281" s="242" t="s">
        <v>1107</v>
      </c>
      <c r="J1281" s="242" t="s">
        <v>210</v>
      </c>
      <c r="K1281" s="242" t="s">
        <v>211</v>
      </c>
      <c r="L1281" s="242" t="s">
        <v>212</v>
      </c>
      <c r="M1281" s="242" t="s">
        <v>213</v>
      </c>
      <c r="N1281" s="242" t="s">
        <v>214</v>
      </c>
      <c r="O1281" s="242" t="s">
        <v>215</v>
      </c>
      <c r="P1281" s="242" t="s">
        <v>216</v>
      </c>
      <c r="Q1281" s="242" t="s">
        <v>217</v>
      </c>
      <c r="R1281" s="121"/>
      <c r="S1281" s="179"/>
      <c r="T1281" s="179" t="str">
        <f>$T$6</f>
        <v>Source</v>
      </c>
      <c r="U1281" s="179" t="str">
        <f>$U$6</f>
        <v>Link</v>
      </c>
      <c r="V1281" s="179" t="str">
        <f>$V$6</f>
        <v>Risk (Green, Amber/Green, Amber, Red/Amber, Red)</v>
      </c>
      <c r="W1281" s="179" t="s">
        <v>869</v>
      </c>
      <c r="X1281" s="179" t="str">
        <f>$X$6</f>
        <v>Comment author</v>
      </c>
    </row>
    <row r="1282" spans="1:24" s="65" customFormat="1" ht="15" customHeight="1" outlineLevel="2">
      <c r="A1282" s="219"/>
      <c r="B1282" s="242"/>
      <c r="C1282" s="242"/>
      <c r="D1282" s="242" t="s">
        <v>1902</v>
      </c>
      <c r="E1282" s="242">
        <f ca="1">INDEX(G.30.Levers[],MATCH(G.30.assumptions.productDemand[[#This Row],[..]],G.30.Levers[Lever code],0),4)</f>
        <v>1</v>
      </c>
      <c r="F1282" s="242" t="s">
        <v>1619</v>
      </c>
      <c r="G1282" s="242" t="s">
        <v>1583</v>
      </c>
      <c r="H1282" s="242" t="s">
        <v>1870</v>
      </c>
      <c r="I1282" s="406">
        <f t="array" aca="1" ref="I1282"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2" s="406">
        <f t="array" aca="1" ref="J1282"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2" s="406">
        <f t="array" aca="1" ref="K1282"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2" s="406">
        <f t="array" aca="1" ref="L1282"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2" s="406">
        <f t="array" aca="1" ref="M1282"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2" s="406">
        <f t="array" aca="1" ref="N1282"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2" s="406">
        <f t="array" aca="1" ref="O1282"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2" s="406">
        <f t="array" aca="1" ref="P1282"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2" s="406">
        <f t="array" aca="1" ref="Q1282"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2" s="121"/>
      <c r="S1282" s="179"/>
      <c r="T1282" s="179"/>
      <c r="U1282" s="179"/>
      <c r="V1282" s="179"/>
      <c r="W1282" s="179"/>
    </row>
    <row r="1283" spans="1:24" s="65" customFormat="1" ht="15" customHeight="1" outlineLevel="2">
      <c r="A1283" s="219"/>
      <c r="B1283" s="242"/>
      <c r="C1283" s="242"/>
      <c r="D1283" s="242" t="s">
        <v>1903</v>
      </c>
      <c r="E1283" s="242">
        <f ca="1">INDEX(G.30.Levers[],MATCH(G.30.assumptions.productDemand[[#This Row],[..]],G.30.Levers[Lever code],0),4)</f>
        <v>1</v>
      </c>
      <c r="F1283" s="242" t="s">
        <v>1619</v>
      </c>
      <c r="G1283" s="242" t="s">
        <v>1583</v>
      </c>
      <c r="H1283" s="242" t="s">
        <v>1870</v>
      </c>
      <c r="I1283" s="406">
        <f t="array" aca="1" ref="I1283"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3" s="406">
        <f t="array" aca="1" ref="J1283"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3" s="406">
        <f t="array" aca="1" ref="K1283"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3" s="406">
        <f t="array" aca="1" ref="L1283"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3" s="406">
        <f t="array" aca="1" ref="M1283"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3" s="406">
        <f t="array" aca="1" ref="N1283"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3" s="406">
        <f t="array" aca="1" ref="O1283"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3" s="406">
        <f t="array" aca="1" ref="P1283"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3" s="406">
        <f t="array" aca="1" ref="Q1283"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3" s="121"/>
      <c r="S1283" s="179"/>
      <c r="T1283" s="179"/>
      <c r="U1283" s="179"/>
      <c r="V1283" s="179"/>
      <c r="W1283" s="179"/>
    </row>
    <row r="1284" spans="1:24" s="65" customFormat="1" ht="15" customHeight="1" outlineLevel="2">
      <c r="A1284" s="219"/>
      <c r="B1284" s="242"/>
      <c r="C1284" s="242"/>
      <c r="D1284" s="242" t="s">
        <v>1905</v>
      </c>
      <c r="E1284" s="242">
        <f ca="1">INDEX(G.30.Levers[],MATCH(G.30.assumptions.productDemand[[#This Row],[..]],G.30.Levers[Lever code],0),4)</f>
        <v>1</v>
      </c>
      <c r="F1284" s="242" t="s">
        <v>1619</v>
      </c>
      <c r="G1284" s="242" t="s">
        <v>1580</v>
      </c>
      <c r="H1284" s="242" t="s">
        <v>1870</v>
      </c>
      <c r="I1284" s="406">
        <f t="array" aca="1" ref="I1284"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4" s="406">
        <f t="array" aca="1" ref="J1284"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4" s="406">
        <f t="array" aca="1" ref="K1284"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4" s="406">
        <f t="array" aca="1" ref="L1284"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4" s="406">
        <f t="array" aca="1" ref="M1284"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4" s="406">
        <f t="array" aca="1" ref="N1284"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4" s="406">
        <f t="array" aca="1" ref="O1284"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4" s="406">
        <f t="array" aca="1" ref="P1284"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4" s="406">
        <f t="array" aca="1" ref="Q1284"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4" s="121"/>
      <c r="S1284" s="179"/>
      <c r="T1284" s="179"/>
      <c r="U1284" s="179"/>
      <c r="V1284" s="179"/>
      <c r="W1284" s="179"/>
    </row>
    <row r="1285" spans="1:24" s="65" customFormat="1" ht="15" customHeight="1" outlineLevel="2">
      <c r="A1285" s="219"/>
      <c r="B1285" s="242"/>
      <c r="C1285" s="242"/>
      <c r="D1285" s="242" t="s">
        <v>1906</v>
      </c>
      <c r="E1285" s="242">
        <f ca="1">INDEX(G.30.Levers[],MATCH(G.30.assumptions.productDemand[[#This Row],[..]],G.30.Levers[Lever code],0),4)</f>
        <v>1</v>
      </c>
      <c r="F1285" s="242" t="s">
        <v>1619</v>
      </c>
      <c r="G1285" s="242" t="s">
        <v>1580</v>
      </c>
      <c r="H1285" s="242" t="s">
        <v>1870</v>
      </c>
      <c r="I1285" s="406">
        <f t="array" aca="1" ref="I1285"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5" s="406">
        <f t="array" aca="1" ref="J1285"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5" s="406">
        <f t="array" aca="1" ref="K1285"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5" s="406">
        <f t="array" aca="1" ref="L1285"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5" s="406">
        <f t="array" aca="1" ref="M1285"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5" s="406">
        <f t="array" aca="1" ref="N1285"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5" s="406">
        <f t="array" aca="1" ref="O1285"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5" s="406">
        <f t="array" aca="1" ref="P1285"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5" s="406">
        <f t="array" aca="1" ref="Q1285"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5" s="121"/>
      <c r="S1285" s="179"/>
      <c r="T1285" s="179"/>
      <c r="U1285" s="179"/>
      <c r="V1285" s="179"/>
      <c r="W1285" s="179"/>
    </row>
    <row r="1286" spans="1:24" s="65" customFormat="1" ht="15" customHeight="1" outlineLevel="2">
      <c r="A1286" s="219"/>
      <c r="B1286" s="242"/>
      <c r="C1286" s="242"/>
      <c r="D1286" s="242" t="s">
        <v>1908</v>
      </c>
      <c r="E1286" s="242">
        <f ca="1">INDEX(G.30.Levers[],MATCH(G.30.assumptions.productDemand[[#This Row],[..]],G.30.Levers[Lever code],0),4)</f>
        <v>1</v>
      </c>
      <c r="F1286" s="242" t="s">
        <v>1619</v>
      </c>
      <c r="G1286" s="242" t="s">
        <v>1588</v>
      </c>
      <c r="H1286" s="242" t="s">
        <v>1870</v>
      </c>
      <c r="I1286" s="406">
        <f t="array" aca="1" ref="I1286"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6" s="406">
        <f t="array" aca="1" ref="J1286"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6" s="406">
        <f t="array" aca="1" ref="K1286"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6" s="406">
        <f t="array" aca="1" ref="L1286"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6" s="406">
        <f t="array" aca="1" ref="M1286"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6" s="406">
        <f t="array" aca="1" ref="N1286"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6" s="406">
        <f t="array" aca="1" ref="O1286"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6" s="406">
        <f t="array" aca="1" ref="P1286"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6" s="406">
        <f t="array" aca="1" ref="Q1286"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6" s="121"/>
      <c r="S1286" s="179"/>
      <c r="T1286" s="179"/>
      <c r="U1286" s="179"/>
      <c r="V1286" s="179"/>
      <c r="W1286" s="179"/>
    </row>
    <row r="1287" spans="1:24" s="65" customFormat="1" ht="15" customHeight="1" outlineLevel="2">
      <c r="A1287" s="219"/>
      <c r="B1287" s="242"/>
      <c r="C1287" s="242"/>
      <c r="D1287" s="242" t="s">
        <v>1909</v>
      </c>
      <c r="E1287" s="242">
        <f ca="1">INDEX(G.30.Levers[],MATCH(G.30.assumptions.productDemand[[#This Row],[..]],G.30.Levers[Lever code],0),4)</f>
        <v>1</v>
      </c>
      <c r="F1287" s="242" t="s">
        <v>1619</v>
      </c>
      <c r="G1287" s="242" t="s">
        <v>1588</v>
      </c>
      <c r="H1287" s="242" t="s">
        <v>1870</v>
      </c>
      <c r="I1287" s="406">
        <f t="array" aca="1" ref="I1287"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7" s="406">
        <f t="array" aca="1" ref="J1287"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7" s="406">
        <f t="array" aca="1" ref="K1287"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7" s="406">
        <f t="array" aca="1" ref="L1287"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7" s="406">
        <f t="array" aca="1" ref="M1287"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7" s="406">
        <f t="array" aca="1" ref="N1287"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7" s="406">
        <f t="array" aca="1" ref="O1287"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7" s="406">
        <f t="array" aca="1" ref="P1287"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7" s="406">
        <f t="array" aca="1" ref="Q1287"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7" s="121"/>
      <c r="S1287" s="179"/>
      <c r="T1287" s="179"/>
      <c r="U1287" s="179"/>
      <c r="V1287" s="179"/>
      <c r="W1287" s="179"/>
    </row>
    <row r="1288" spans="1:24" s="65" customFormat="1" ht="15" customHeight="1" outlineLevel="2">
      <c r="A1288" s="219"/>
      <c r="B1288" s="242"/>
      <c r="C1288" s="242"/>
      <c r="D1288" s="242" t="s">
        <v>1907</v>
      </c>
      <c r="E1288" s="242">
        <f ca="1">INDEX(G.30.Levers[],MATCH(G.30.assumptions.productDemand[[#This Row],[..]],G.30.Levers[Lever code],0),4)</f>
        <v>1</v>
      </c>
      <c r="F1288" s="242" t="s">
        <v>1619</v>
      </c>
      <c r="G1288" s="242" t="s">
        <v>1588</v>
      </c>
      <c r="H1288" s="242" t="s">
        <v>1870</v>
      </c>
      <c r="I1288" s="406">
        <f t="array" aca="1" ref="I1288"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8" s="406">
        <f t="array" aca="1" ref="J1288"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8" s="406">
        <f t="array" aca="1" ref="K1288"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8" s="406">
        <f t="array" aca="1" ref="L1288"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8" s="406">
        <f t="array" aca="1" ref="M1288"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8" s="406">
        <f t="array" aca="1" ref="N1288"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8" s="406">
        <f t="array" aca="1" ref="O1288"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8" s="406">
        <f t="array" aca="1" ref="P1288"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8" s="406">
        <f t="array" aca="1" ref="Q1288"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8" s="121"/>
      <c r="S1288" s="179"/>
      <c r="T1288" s="179"/>
      <c r="U1288" s="179"/>
      <c r="V1288" s="179"/>
      <c r="W1288" s="179"/>
    </row>
    <row r="1289" spans="1:24" s="65" customFormat="1" ht="15" customHeight="1" outlineLevel="2">
      <c r="A1289" s="219"/>
      <c r="B1289" s="242"/>
      <c r="C1289" s="242"/>
      <c r="D1289" s="242" t="s">
        <v>1911</v>
      </c>
      <c r="E1289" s="242">
        <f ca="1">INDEX(G.30.Levers[],MATCH(G.30.assumptions.productDemand[[#This Row],[..]],G.30.Levers[Lever code],0),4)</f>
        <v>1</v>
      </c>
      <c r="F1289" s="242" t="s">
        <v>1619</v>
      </c>
      <c r="G1289" s="242" t="s">
        <v>51</v>
      </c>
      <c r="H1289" s="242" t="s">
        <v>1870</v>
      </c>
      <c r="I1289" s="406">
        <f t="array" aca="1" ref="I1289"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89" s="406">
        <f t="array" aca="1" ref="J1289"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89" s="406">
        <f t="array" aca="1" ref="K1289"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89" s="406">
        <f t="array" aca="1" ref="L1289"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89" s="406">
        <f t="array" aca="1" ref="M1289"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89" s="406">
        <f t="array" aca="1" ref="N1289"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89" s="406">
        <f t="array" aca="1" ref="O1289"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89" s="406">
        <f t="array" aca="1" ref="P1289"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89" s="406">
        <f t="array" aca="1" ref="Q1289"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89" s="121"/>
      <c r="S1289" s="179"/>
      <c r="T1289" s="179"/>
      <c r="U1289" s="179"/>
      <c r="V1289" s="179"/>
      <c r="W1289" s="179"/>
    </row>
    <row r="1290" spans="1:24" s="65" customFormat="1" ht="15" customHeight="1" outlineLevel="2">
      <c r="A1290" s="219"/>
      <c r="B1290" s="242"/>
      <c r="C1290" s="242"/>
      <c r="D1290" s="242" t="s">
        <v>1912</v>
      </c>
      <c r="E1290" s="242">
        <f ca="1">INDEX(G.30.Levers[],MATCH(G.30.assumptions.productDemand[[#This Row],[..]],G.30.Levers[Lever code],0),4)</f>
        <v>1</v>
      </c>
      <c r="F1290" s="242" t="s">
        <v>1619</v>
      </c>
      <c r="G1290" s="242" t="s">
        <v>51</v>
      </c>
      <c r="H1290" s="242" t="s">
        <v>1870</v>
      </c>
      <c r="I1290" s="406">
        <f t="array" aca="1" ref="I1290"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0" s="406">
        <f t="array" aca="1" ref="J1290"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0" s="406">
        <f t="array" aca="1" ref="K1290"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0" s="406">
        <f t="array" aca="1" ref="L1290"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0" s="406">
        <f t="array" aca="1" ref="M1290"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0" s="406">
        <f t="array" aca="1" ref="N1290"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0" s="406">
        <f t="array" aca="1" ref="O1290"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0" s="406">
        <f t="array" aca="1" ref="P1290"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0" s="406">
        <f t="array" aca="1" ref="Q1290"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0" s="121"/>
      <c r="S1290" s="179"/>
      <c r="T1290" s="179"/>
      <c r="U1290" s="179"/>
      <c r="V1290" s="179"/>
      <c r="W1290" s="179"/>
    </row>
    <row r="1291" spans="1:24" s="65" customFormat="1" ht="15" customHeight="1" outlineLevel="2">
      <c r="A1291" s="219"/>
      <c r="B1291" s="242"/>
      <c r="C1291" s="242"/>
      <c r="D1291" s="242" t="s">
        <v>1913</v>
      </c>
      <c r="E1291" s="242">
        <f ca="1">INDEX(G.30.Levers[],MATCH(G.30.assumptions.productDemand[[#This Row],[..]],G.30.Levers[Lever code],0),4)</f>
        <v>1</v>
      </c>
      <c r="F1291" s="242" t="s">
        <v>1619</v>
      </c>
      <c r="G1291" s="242" t="s">
        <v>1894</v>
      </c>
      <c r="H1291" s="242" t="s">
        <v>1870</v>
      </c>
      <c r="I1291" s="406">
        <f t="array" aca="1" ref="I1291"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1" s="406">
        <f t="array" aca="1" ref="J1291"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1" s="406">
        <f t="array" aca="1" ref="K1291"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1" s="406">
        <f t="array" aca="1" ref="L1291"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1" s="406">
        <f t="array" aca="1" ref="M1291"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1" s="406">
        <f t="array" aca="1" ref="N1291"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1" s="406">
        <f t="array" aca="1" ref="O1291"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1" s="406">
        <f t="array" aca="1" ref="P1291"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1" s="406">
        <f t="array" aca="1" ref="Q1291"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1" s="121"/>
      <c r="S1291" s="179"/>
      <c r="T1291" s="179"/>
      <c r="U1291" s="179"/>
      <c r="V1291" s="179"/>
      <c r="W1291" s="179"/>
    </row>
    <row r="1292" spans="1:24" s="65" customFormat="1" ht="15" customHeight="1" outlineLevel="2">
      <c r="A1292" s="219"/>
      <c r="B1292" s="242"/>
      <c r="C1292" s="242"/>
      <c r="D1292" s="242" t="s">
        <v>1902</v>
      </c>
      <c r="E1292" s="242">
        <f ca="1">INDEX(G.30.Levers[],MATCH(G.30.assumptions.productDemand[[#This Row],[..]],G.30.Levers[Lever code],0),4)</f>
        <v>1</v>
      </c>
      <c r="F1292" s="242" t="s">
        <v>1418</v>
      </c>
      <c r="G1292" s="121" t="s">
        <v>56</v>
      </c>
      <c r="H1292" s="242" t="s">
        <v>1870</v>
      </c>
      <c r="I1292" s="406">
        <f t="array" aca="1" ref="I1292"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2" s="406">
        <f t="array" aca="1" ref="J1292"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2" s="406">
        <f t="array" aca="1" ref="K1292"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2" s="406">
        <f t="array" aca="1" ref="L1292"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2" s="406">
        <f t="array" aca="1" ref="M1292"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2" s="406">
        <f t="array" aca="1" ref="N1292"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2" s="406">
        <f t="array" aca="1" ref="O1292"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2" s="406">
        <f t="array" aca="1" ref="P1292"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2" s="406">
        <f t="array" aca="1" ref="Q1292"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2" s="121"/>
      <c r="S1292" s="179"/>
      <c r="T1292" s="179"/>
      <c r="U1292" s="179"/>
      <c r="V1292" s="179"/>
      <c r="W1292" s="179"/>
    </row>
    <row r="1293" spans="1:24" s="65" customFormat="1" ht="15" customHeight="1" outlineLevel="2">
      <c r="A1293" s="219"/>
      <c r="B1293" s="242"/>
      <c r="C1293" s="242"/>
      <c r="D1293" s="242" t="s">
        <v>1904</v>
      </c>
      <c r="E1293" s="242">
        <f ca="1">INDEX(G.30.Levers[],MATCH(G.30.assumptions.productDemand[[#This Row],[..]],G.30.Levers[Lever code],0),4)</f>
        <v>1</v>
      </c>
      <c r="F1293" s="242" t="s">
        <v>1418</v>
      </c>
      <c r="G1293" s="121" t="s">
        <v>1597</v>
      </c>
      <c r="H1293" s="242" t="s">
        <v>1870</v>
      </c>
      <c r="I1293" s="406">
        <f t="array" aca="1" ref="I1293"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3" s="406">
        <f t="array" aca="1" ref="J1293"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3" s="406">
        <f t="array" aca="1" ref="K1293"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3" s="406">
        <f t="array" aca="1" ref="L1293"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3" s="406">
        <f t="array" aca="1" ref="M1293"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3" s="406">
        <f t="array" aca="1" ref="N1293"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3" s="406">
        <f t="array" aca="1" ref="O1293"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3" s="406">
        <f t="array" aca="1" ref="P1293"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3" s="406">
        <f t="array" aca="1" ref="Q1293"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3" s="121"/>
      <c r="S1293" s="179"/>
      <c r="T1293" s="179"/>
      <c r="U1293" s="179"/>
      <c r="V1293" s="179"/>
      <c r="W1293" s="179"/>
    </row>
    <row r="1294" spans="1:24" s="65" customFormat="1" ht="15" customHeight="1" outlineLevel="2">
      <c r="A1294" s="219"/>
      <c r="B1294" s="242"/>
      <c r="C1294" s="242"/>
      <c r="D1294" s="242" t="s">
        <v>1904</v>
      </c>
      <c r="E1294" s="242">
        <f ca="1">INDEX(G.30.Levers[],MATCH(G.30.assumptions.productDemand[[#This Row],[..]],G.30.Levers[Lever code],0),4)</f>
        <v>1</v>
      </c>
      <c r="F1294" s="242" t="s">
        <v>1418</v>
      </c>
      <c r="G1294" s="121" t="s">
        <v>1581</v>
      </c>
      <c r="H1294" s="242" t="s">
        <v>1870</v>
      </c>
      <c r="I1294" s="406">
        <f t="array" aca="1" ref="I1294"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4" s="406">
        <f t="array" aca="1" ref="J1294"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4" s="406">
        <f t="array" aca="1" ref="K1294"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4" s="406">
        <f t="array" aca="1" ref="L1294"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4" s="406">
        <f t="array" aca="1" ref="M1294"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4" s="406">
        <f t="array" aca="1" ref="N1294"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4" s="406">
        <f t="array" aca="1" ref="O1294"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4" s="406">
        <f t="array" aca="1" ref="P1294"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4" s="406">
        <f t="array" aca="1" ref="Q1294"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4" s="121"/>
      <c r="S1294" s="179"/>
      <c r="T1294" s="179"/>
      <c r="U1294" s="179"/>
      <c r="V1294" s="179"/>
      <c r="W1294" s="179"/>
    </row>
    <row r="1295" spans="1:24" s="65" customFormat="1" ht="15" customHeight="1" outlineLevel="2">
      <c r="A1295" s="219"/>
      <c r="B1295" s="242"/>
      <c r="C1295" s="242"/>
      <c r="D1295" s="121" t="s">
        <v>1906</v>
      </c>
      <c r="E1295" s="242">
        <f ca="1">INDEX(G.30.Levers[],MATCH(G.30.assumptions.productDemand[[#This Row],[..]],G.30.Levers[Lever code],0),4)</f>
        <v>1</v>
      </c>
      <c r="F1295" s="242" t="s">
        <v>1418</v>
      </c>
      <c r="G1295" s="121" t="s">
        <v>1488</v>
      </c>
      <c r="H1295" s="242" t="s">
        <v>1870</v>
      </c>
      <c r="I1295" s="406">
        <f t="array" aca="1" ref="I1295"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5" s="406">
        <f t="array" aca="1" ref="J1295"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5" s="406">
        <f t="array" aca="1" ref="K1295"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5" s="406">
        <f t="array" aca="1" ref="L1295"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5" s="406">
        <f t="array" aca="1" ref="M1295"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5" s="406">
        <f t="array" aca="1" ref="N1295"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5" s="406">
        <f t="array" aca="1" ref="O1295"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5" s="406">
        <f t="array" aca="1" ref="P1295"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5" s="406">
        <f t="array" aca="1" ref="Q1295"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5" s="121"/>
      <c r="S1295" s="179"/>
      <c r="T1295" s="179"/>
      <c r="U1295" s="179"/>
      <c r="V1295" s="179"/>
      <c r="W1295" s="179"/>
    </row>
    <row r="1296" spans="1:24" s="65" customFormat="1" ht="15" customHeight="1" outlineLevel="2">
      <c r="A1296" s="219"/>
      <c r="B1296" s="242"/>
      <c r="C1296" s="242"/>
      <c r="D1296" s="121" t="s">
        <v>1910</v>
      </c>
      <c r="E1296" s="242">
        <f ca="1">INDEX(G.30.Levers[],MATCH(G.30.assumptions.productDemand[[#This Row],[..]],G.30.Levers[Lever code],0),4)</f>
        <v>1</v>
      </c>
      <c r="F1296" s="242" t="s">
        <v>1418</v>
      </c>
      <c r="G1296" s="121" t="s">
        <v>1482</v>
      </c>
      <c r="H1296" s="242" t="s">
        <v>1870</v>
      </c>
      <c r="I1296" s="406">
        <f t="array" aca="1" ref="I1296"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6" s="406">
        <f t="array" aca="1" ref="J1296"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6" s="406">
        <f t="array" aca="1" ref="K1296"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6" s="406">
        <f t="array" aca="1" ref="L1296"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6" s="406">
        <f t="array" aca="1" ref="M1296"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6" s="406">
        <f t="array" aca="1" ref="N1296"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6" s="406">
        <f t="array" aca="1" ref="O1296"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6" s="406">
        <f t="array" aca="1" ref="P1296"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6" s="406">
        <f t="array" aca="1" ref="Q1296"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6" s="121"/>
      <c r="S1296" s="179"/>
      <c r="T1296" s="179"/>
      <c r="U1296" s="179"/>
      <c r="V1296" s="179"/>
      <c r="W1296" s="179"/>
    </row>
    <row r="1297" spans="1:24" s="65" customFormat="1" ht="15" customHeight="1" outlineLevel="2">
      <c r="A1297" s="219"/>
      <c r="B1297" s="242"/>
      <c r="C1297" s="242"/>
      <c r="D1297" s="242" t="s">
        <v>1911</v>
      </c>
      <c r="E1297" s="242">
        <f ca="1">INDEX(G.30.Levers[],MATCH(G.30.assumptions.productDemand[[#This Row],[..]],G.30.Levers[Lever code],0),4)</f>
        <v>1</v>
      </c>
      <c r="F1297" s="242" t="s">
        <v>1418</v>
      </c>
      <c r="G1297" s="121" t="s">
        <v>1575</v>
      </c>
      <c r="H1297" s="242" t="s">
        <v>1870</v>
      </c>
      <c r="I1297" s="406">
        <f t="array" aca="1" ref="I1297"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7" s="406">
        <f t="array" aca="1" ref="J1297"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7" s="406">
        <f t="array" aca="1" ref="K1297"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7" s="406">
        <f t="array" aca="1" ref="L1297"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7" s="406">
        <f t="array" aca="1" ref="M1297"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7" s="406">
        <f t="array" aca="1" ref="N1297"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7" s="406">
        <f t="array" aca="1" ref="O1297"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7" s="406">
        <f t="array" aca="1" ref="P1297"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7" s="406">
        <f t="array" aca="1" ref="Q1297"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7" s="121"/>
      <c r="S1297" s="179"/>
      <c r="T1297" s="179"/>
      <c r="U1297" s="179"/>
      <c r="V1297" s="179"/>
      <c r="W1297" s="179"/>
    </row>
    <row r="1298" spans="1:24" s="65" customFormat="1" ht="15" customHeight="1" outlineLevel="2">
      <c r="A1298" s="219"/>
      <c r="B1298" s="242"/>
      <c r="C1298" s="242"/>
      <c r="D1298" s="242" t="s">
        <v>1912</v>
      </c>
      <c r="E1298" s="242">
        <f ca="1">INDEX(G.30.Levers[],MATCH(G.30.assumptions.productDemand[[#This Row],[..]],G.30.Levers[Lever code],0),4)</f>
        <v>1</v>
      </c>
      <c r="F1298" s="242" t="s">
        <v>1418</v>
      </c>
      <c r="G1298" s="121" t="s">
        <v>1577</v>
      </c>
      <c r="H1298" s="242" t="s">
        <v>1870</v>
      </c>
      <c r="I1298" s="406">
        <f t="array" aca="1" ref="I1298"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8" s="406">
        <f t="array" aca="1" ref="J1298"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8" s="406">
        <f t="array" aca="1" ref="K1298"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8" s="406">
        <f t="array" aca="1" ref="L1298"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8" s="406">
        <f t="array" aca="1" ref="M1298"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8" s="406">
        <f t="array" aca="1" ref="N1298"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8" s="406">
        <f t="array" aca="1" ref="O1298"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8" s="406">
        <f t="array" aca="1" ref="P1298"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8" s="406">
        <f t="array" aca="1" ref="Q1298"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8" s="121"/>
      <c r="S1298" s="179"/>
      <c r="T1298" s="179"/>
      <c r="U1298" s="179"/>
      <c r="V1298" s="179"/>
      <c r="W1298" s="179"/>
    </row>
    <row r="1299" spans="1:24" s="65" customFormat="1" ht="15" customHeight="1" outlineLevel="2">
      <c r="A1299" s="219"/>
      <c r="B1299" s="242"/>
      <c r="C1299" s="242"/>
      <c r="D1299" s="242" t="s">
        <v>1908</v>
      </c>
      <c r="E1299" s="242">
        <f ca="1">INDEX(G.30.Levers[],MATCH(G.30.assumptions.productDemand[[#This Row],[..]],G.30.Levers[Lever code],0),4)</f>
        <v>1</v>
      </c>
      <c r="F1299" s="242" t="s">
        <v>1418</v>
      </c>
      <c r="G1299" s="121" t="s">
        <v>1590</v>
      </c>
      <c r="H1299" s="242" t="s">
        <v>1870</v>
      </c>
      <c r="I1299" s="406">
        <f t="array" aca="1" ref="I1299"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299" s="406">
        <f t="array" aca="1" ref="J1299"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299" s="406">
        <f t="array" aca="1" ref="K1299"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299" s="406">
        <f t="array" aca="1" ref="L1299"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299" s="406">
        <f t="array" aca="1" ref="M1299"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299" s="406">
        <f t="array" aca="1" ref="N1299"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299" s="406">
        <f t="array" aca="1" ref="O1299"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299" s="406">
        <f t="array" aca="1" ref="P1299"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299" s="406">
        <f t="array" aca="1" ref="Q1299"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299" s="121"/>
      <c r="S1299" s="179"/>
      <c r="T1299" s="179"/>
      <c r="U1299" s="179"/>
      <c r="V1299" s="179"/>
      <c r="W1299" s="179"/>
    </row>
    <row r="1300" spans="1:24" s="65" customFormat="1" ht="15" customHeight="1" outlineLevel="2">
      <c r="A1300" s="219"/>
      <c r="B1300" s="242"/>
      <c r="C1300" s="242"/>
      <c r="D1300" s="242" t="s">
        <v>1909</v>
      </c>
      <c r="E1300" s="242">
        <f ca="1">INDEX(G.30.Levers[],MATCH(G.30.assumptions.productDemand[[#This Row],[..]],G.30.Levers[Lever code],0),4)</f>
        <v>1</v>
      </c>
      <c r="F1300" s="242" t="s">
        <v>1418</v>
      </c>
      <c r="G1300" s="121" t="s">
        <v>1591</v>
      </c>
      <c r="H1300" s="242" t="s">
        <v>1870</v>
      </c>
      <c r="I1300" s="406">
        <f t="array" aca="1" ref="I1300"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0" s="406">
        <f t="array" aca="1" ref="J1300"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0" s="406">
        <f t="array" aca="1" ref="K1300"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0" s="406">
        <f t="array" aca="1" ref="L1300"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0" s="406">
        <f t="array" aca="1" ref="M1300"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0" s="406">
        <f t="array" aca="1" ref="N1300"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0" s="406">
        <f t="array" aca="1" ref="O1300"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0" s="406">
        <f t="array" aca="1" ref="P1300"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0" s="406">
        <f t="array" aca="1" ref="Q1300"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0" s="121"/>
      <c r="S1300" s="179"/>
      <c r="T1300" s="179"/>
      <c r="U1300" s="179"/>
      <c r="V1300" s="179"/>
      <c r="W1300" s="179"/>
    </row>
    <row r="1301" spans="1:24" s="65" customFormat="1" ht="15" customHeight="1" outlineLevel="2">
      <c r="A1301" s="219"/>
      <c r="B1301" s="242"/>
      <c r="C1301" s="242"/>
      <c r="D1301" s="242" t="s">
        <v>1907</v>
      </c>
      <c r="E1301" s="242">
        <f ca="1">INDEX(G.30.Levers[],MATCH(G.30.assumptions.productDemand[[#This Row],[..]],G.30.Levers[Lever code],0),4)</f>
        <v>1</v>
      </c>
      <c r="F1301" s="242" t="s">
        <v>1418</v>
      </c>
      <c r="G1301" s="121" t="s">
        <v>1589</v>
      </c>
      <c r="H1301" s="242" t="s">
        <v>1870</v>
      </c>
      <c r="I1301" s="406">
        <f t="array" aca="1" ref="I1301"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1" s="406">
        <f t="array" aca="1" ref="J1301"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1" s="406">
        <f t="array" aca="1" ref="K1301"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1" s="406">
        <f t="array" aca="1" ref="L1301"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1" s="406">
        <f t="array" aca="1" ref="M1301"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1" s="406">
        <f t="array" aca="1" ref="N1301"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1" s="406">
        <f t="array" aca="1" ref="O1301"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1" s="406">
        <f t="array" aca="1" ref="P1301"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1" s="406">
        <f t="array" aca="1" ref="Q1301"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1" s="121"/>
      <c r="S1301" s="179"/>
      <c r="T1301" s="179"/>
      <c r="U1301" s="179"/>
      <c r="V1301" s="179"/>
      <c r="W1301" s="179"/>
    </row>
    <row r="1302" spans="1:24" s="65" customFormat="1" ht="15" customHeight="1" outlineLevel="2">
      <c r="A1302" s="219"/>
      <c r="B1302" s="242"/>
      <c r="C1302" s="242"/>
      <c r="D1302" s="242" t="s">
        <v>1913</v>
      </c>
      <c r="E1302" s="242">
        <f ca="1">INDEX(G.30.Levers[],MATCH(G.30.assumptions.productDemand[[#This Row],[..]],G.30.Levers[Lever code],0),4)</f>
        <v>1</v>
      </c>
      <c r="F1302" s="242" t="s">
        <v>1418</v>
      </c>
      <c r="G1302" s="121" t="s">
        <v>299</v>
      </c>
      <c r="H1302" s="242" t="s">
        <v>1870</v>
      </c>
      <c r="I1302" s="406">
        <f t="array" aca="1" ref="I1302"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2" s="406">
        <f t="array" aca="1" ref="J1302"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2" s="406">
        <f t="array" aca="1" ref="K1302"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2" s="406">
        <f t="array" aca="1" ref="L1302"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2" s="406">
        <f t="array" aca="1" ref="M1302"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2" s="406">
        <f t="array" aca="1" ref="N1302"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2" s="406">
        <f t="array" aca="1" ref="O1302"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2" s="406">
        <f t="array" aca="1" ref="P1302"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2" s="406">
        <f t="array" aca="1" ref="Q1302"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2" s="121"/>
      <c r="S1302" s="179"/>
      <c r="T1302" s="179"/>
      <c r="U1302" s="179"/>
      <c r="V1302" s="179"/>
      <c r="W1302" s="179"/>
    </row>
    <row r="1303" spans="1:24" s="65" customFormat="1" ht="15" customHeight="1" outlineLevel="2">
      <c r="A1303" s="219"/>
      <c r="B1303" s="242"/>
      <c r="C1303" s="242"/>
      <c r="D1303" s="242" t="s">
        <v>1913</v>
      </c>
      <c r="E1303" s="242">
        <f ca="1">INDEX(G.30.Levers[],MATCH(G.30.assumptions.productDemand[[#This Row],[..]],G.30.Levers[Lever code],0),4)</f>
        <v>1</v>
      </c>
      <c r="F1303" s="242" t="s">
        <v>1435</v>
      </c>
      <c r="G1303" s="303"/>
      <c r="H1303" s="242" t="s">
        <v>1870</v>
      </c>
      <c r="I1303" s="406">
        <f t="array" aca="1" ref="I1303"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3" s="406">
        <f t="array" aca="1" ref="J1303"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3" s="406">
        <f t="array" aca="1" ref="K1303"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3" s="406">
        <f t="array" aca="1" ref="L1303"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3" s="406">
        <f t="array" aca="1" ref="M1303"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3" s="406">
        <f t="array" aca="1" ref="N1303"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3" s="406">
        <f t="array" aca="1" ref="O1303"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3" s="406">
        <f t="array" aca="1" ref="P1303"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3" s="406">
        <f t="array" aca="1" ref="Q1303"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3" s="121"/>
      <c r="S1303" s="179"/>
      <c r="T1303" s="179"/>
      <c r="U1303" s="179"/>
      <c r="V1303" s="179"/>
      <c r="W1303" s="179"/>
    </row>
    <row r="1304" spans="1:24" s="65" customFormat="1" ht="15" customHeight="1" outlineLevel="2">
      <c r="A1304" s="219"/>
      <c r="B1304" s="242"/>
      <c r="C1304" s="242"/>
      <c r="D1304" s="242" t="s">
        <v>1913</v>
      </c>
      <c r="E1304" s="242">
        <f ca="1">INDEX(G.30.Levers[],MATCH(G.30.assumptions.productDemand[[#This Row],[..]],G.30.Levers[Lever code],0),4)</f>
        <v>1</v>
      </c>
      <c r="F1304" s="242" t="s">
        <v>1447</v>
      </c>
      <c r="G1304" s="303"/>
      <c r="H1304" s="242" t="s">
        <v>1870</v>
      </c>
      <c r="I1304" s="406">
        <f t="array" aca="1" ref="I1304"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4" s="406">
        <f t="array" aca="1" ref="J1304"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4" s="406">
        <f t="array" aca="1" ref="K1304"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4" s="406">
        <f t="array" aca="1" ref="L1304"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4" s="406">
        <f t="array" aca="1" ref="M1304"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4" s="406">
        <f t="array" aca="1" ref="N1304"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4" s="406">
        <f t="array" aca="1" ref="O1304"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4" s="406">
        <f t="array" aca="1" ref="P1304"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4" s="406">
        <f t="array" aca="1" ref="Q1304"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4" s="121"/>
      <c r="S1304" s="179"/>
      <c r="T1304" s="179"/>
      <c r="U1304" s="179"/>
      <c r="V1304" s="179"/>
      <c r="W1304" s="179"/>
    </row>
    <row r="1305" spans="1:24" s="65" customFormat="1" ht="15" customHeight="1" outlineLevel="2">
      <c r="A1305" s="219"/>
      <c r="B1305" s="242"/>
      <c r="C1305" s="242"/>
      <c r="D1305" s="242" t="s">
        <v>1913</v>
      </c>
      <c r="E1305" s="242">
        <f ca="1">INDEX(G.30.Levers[],MATCH(G.30.assumptions.productDemand[[#This Row],[..]],G.30.Levers[Lever code],0),4)</f>
        <v>1</v>
      </c>
      <c r="F1305" s="242" t="s">
        <v>1426</v>
      </c>
      <c r="G1305" s="303"/>
      <c r="H1305" s="242" t="s">
        <v>1870</v>
      </c>
      <c r="I1305" s="406">
        <f t="array" aca="1" ref="I1305"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5" s="406">
        <f t="array" aca="1" ref="J1305"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5" s="406">
        <f t="array" aca="1" ref="K1305"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5" s="406">
        <f t="array" aca="1" ref="L1305"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5" s="406">
        <f t="array" aca="1" ref="M1305"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5" s="406">
        <f t="array" aca="1" ref="N1305"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5" s="406">
        <f t="array" aca="1" ref="O1305"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5" s="406">
        <f t="array" aca="1" ref="P1305"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5" s="406">
        <f t="array" aca="1" ref="Q1305"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5" s="121"/>
      <c r="S1305" s="179"/>
      <c r="T1305" s="179"/>
      <c r="U1305" s="179"/>
      <c r="V1305" s="179"/>
      <c r="W1305" s="179"/>
    </row>
    <row r="1306" spans="1:24" s="65" customFormat="1" ht="15" customHeight="1" outlineLevel="2">
      <c r="A1306" s="219"/>
      <c r="B1306" s="242"/>
      <c r="C1306" s="242"/>
      <c r="D1306" s="242" t="s">
        <v>1913</v>
      </c>
      <c r="E1306" s="242">
        <f ca="1">INDEX(G.30.Levers[],MATCH(G.30.assumptions.productDemand[[#This Row],[..]],G.30.Levers[Lever code],0),4)</f>
        <v>1</v>
      </c>
      <c r="F1306" s="242" t="s">
        <v>1457</v>
      </c>
      <c r="G1306" s="303"/>
      <c r="H1306" s="242" t="s">
        <v>1870</v>
      </c>
      <c r="I1306" s="406">
        <f t="array" aca="1" ref="I1306"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1</v>
      </c>
      <c r="J1306" s="406">
        <f t="array" aca="1" ref="J1306"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1.0102564102564102</v>
      </c>
      <c r="K1306" s="406">
        <f t="array" aca="1" ref="K1306"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1.023076923076923</v>
      </c>
      <c r="L1306" s="406">
        <f t="array" aca="1" ref="L1306"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1.035897435897436</v>
      </c>
      <c r="M1306" s="406">
        <f t="array" aca="1" ref="M1306"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1.0487179487179488</v>
      </c>
      <c r="N1306" s="406">
        <f t="array" aca="1" ref="N1306"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1.0615384615384615</v>
      </c>
      <c r="O1306" s="406">
        <f t="array" aca="1" ref="O1306"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1.0743589743589745</v>
      </c>
      <c r="P1306" s="406">
        <f t="array" aca="1" ref="P1306"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1.0871794871794873</v>
      </c>
      <c r="Q1306" s="406">
        <f t="array" aca="1" ref="Q1306"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1.1000000000000001</v>
      </c>
      <c r="R1306" s="121"/>
      <c r="S1306" s="179"/>
      <c r="T1306" s="179"/>
      <c r="U1306" s="179"/>
      <c r="V1306" s="179"/>
      <c r="W1306" s="179"/>
    </row>
    <row r="1307" spans="1:24" s="65" customFormat="1" ht="15" customHeight="1" outlineLevel="2">
      <c r="A1307" s="219"/>
      <c r="B1307" s="242"/>
      <c r="C1307" s="242"/>
      <c r="D1307" s="242" t="s">
        <v>2163</v>
      </c>
      <c r="E1307" s="242">
        <f ca="1">INDEX(G.30.Levers[],MATCH(G.30.assumptions.productDemand[[#This Row],[..]],G.30.Levers[Lever code],0),4)</f>
        <v>1</v>
      </c>
      <c r="F1307" s="242"/>
      <c r="G1307" s="242"/>
      <c r="H1307" s="242" t="s">
        <v>1871</v>
      </c>
      <c r="I1307" s="406">
        <f t="array" aca="1" ref="I1307"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0</v>
      </c>
      <c r="J1307" s="406">
        <f t="array" aca="1" ref="J1307"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0</v>
      </c>
      <c r="K1307" s="406">
        <f t="array" aca="1" ref="K1307"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0</v>
      </c>
      <c r="L1307" s="406">
        <f t="array" aca="1" ref="L1307"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0</v>
      </c>
      <c r="M1307" s="406">
        <f t="array" aca="1" ref="M1307"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0</v>
      </c>
      <c r="N1307" s="406">
        <f t="array" aca="1" ref="N1307"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0</v>
      </c>
      <c r="O1307" s="406">
        <f t="array" aca="1" ref="O1307"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0</v>
      </c>
      <c r="P1307" s="406">
        <f t="array" aca="1" ref="P1307"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0</v>
      </c>
      <c r="Q1307" s="406">
        <f t="array" aca="1" ref="Q1307"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0</v>
      </c>
      <c r="R1307" s="121"/>
      <c r="S1307" s="179"/>
      <c r="T1307" s="179"/>
      <c r="V1307" s="179"/>
      <c r="W1307" s="179"/>
    </row>
    <row r="1308" spans="1:24" s="65" customFormat="1" ht="15" customHeight="1" outlineLevel="2">
      <c r="A1308" s="219"/>
      <c r="B1308" s="242"/>
      <c r="C1308" s="242"/>
      <c r="D1308" s="242" t="s">
        <v>1914</v>
      </c>
      <c r="E1308" s="242">
        <f ca="1">INDEX(G.30.Levers[],MATCH(G.30.assumptions.productDemand[[#This Row],[..]],G.30.Levers[Lever code],0),4)</f>
        <v>1</v>
      </c>
      <c r="F1308" s="242"/>
      <c r="G1308" s="242"/>
      <c r="H1308" s="242" t="s">
        <v>1872</v>
      </c>
      <c r="I1308" s="406">
        <f t="array" aca="1" ref="I1308" ca="1">(SUMIFS(INDIRECT("G.30.levels.productDemand["&amp;I$1281&amp;"]"),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+(SUMIFS(INDIRECT("G.30.levels.productDemand["&amp;I$1281&amp;"]"),
               G.30.levels.productDemand[[Description]:[Description]],G.30.assumptions.productDemand[[#This Row],[Description]:[Description]],
               G.30.levels.productDemand[[Level]:[Level]],ROUNDUP(G.30.assumptions.productDemand[[#This Row],[Level]:[Level]],0))*MOD(G.30.assumptions.productDemand[[#This Row],[Level]:[Level]],1))</f>
        <v>0</v>
      </c>
      <c r="J1308" s="406">
        <f t="array" aca="1" ref="J1308" ca="1">(SUMIFS(INDIRECT("G.30.levels.productDemand["&amp;J$1281&amp;"]"),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+(SUMIFS(INDIRECT("G.30.levels.productDemand["&amp;J$1281&amp;"]"),
               G.30.levels.productDemand[[Description]:[Description]],G.30.assumptions.productDemand[[#This Row],[Description]:[Description]],
               G.30.levels.productDemand[[Level]:[Level]],ROUNDUP(G.30.assumptions.productDemand[[#This Row],[Level]:[Level]],0))*MOD(G.30.assumptions.productDemand[[#This Row],[Level]:[Level]],1))</f>
        <v>0</v>
      </c>
      <c r="K1308" s="406">
        <f t="array" aca="1" ref="K1308" ca="1">(SUMIFS(INDIRECT("G.30.levels.productDemand["&amp;K$1281&amp;"]"),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+(SUMIFS(INDIRECT("G.30.levels.productDemand["&amp;K$1281&amp;"]"),
               G.30.levels.productDemand[[Description]:[Description]],G.30.assumptions.productDemand[[#This Row],[Description]:[Description]],
               G.30.levels.productDemand[[Level]:[Level]],ROUNDUP(G.30.assumptions.productDemand[[#This Row],[Level]:[Level]],0))*MOD(G.30.assumptions.productDemand[[#This Row],[Level]:[Level]],1))</f>
        <v>0</v>
      </c>
      <c r="L1308" s="406">
        <f t="array" aca="1" ref="L1308" ca="1">(SUMIFS(INDIRECT("G.30.levels.productDemand["&amp;L$1281&amp;"]"),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+(SUMIFS(INDIRECT("G.30.levels.productDemand["&amp;L$1281&amp;"]"),
               G.30.levels.productDemand[[Description]:[Description]],G.30.assumptions.productDemand[[#This Row],[Description]:[Description]],
               G.30.levels.productDemand[[Level]:[Level]],ROUNDUP(G.30.assumptions.productDemand[[#This Row],[Level]:[Level]],0))*MOD(G.30.assumptions.productDemand[[#This Row],[Level]:[Level]],1))</f>
        <v>0</v>
      </c>
      <c r="M1308" s="406">
        <f t="array" aca="1" ref="M1308" ca="1">(SUMIFS(INDIRECT("G.30.levels.productDemand["&amp;M$1281&amp;"]"),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+(SUMIFS(INDIRECT("G.30.levels.productDemand["&amp;M$1281&amp;"]"),
               G.30.levels.productDemand[[Description]:[Description]],G.30.assumptions.productDemand[[#This Row],[Description]:[Description]],
               G.30.levels.productDemand[[Level]:[Level]],ROUNDUP(G.30.assumptions.productDemand[[#This Row],[Level]:[Level]],0))*MOD(G.30.assumptions.productDemand[[#This Row],[Level]:[Level]],1))</f>
        <v>0</v>
      </c>
      <c r="N1308" s="406">
        <f t="array" aca="1" ref="N1308" ca="1">(SUMIFS(INDIRECT("G.30.levels.productDemand["&amp;N$1281&amp;"]"),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+(SUMIFS(INDIRECT("G.30.levels.productDemand["&amp;N$1281&amp;"]"),
               G.30.levels.productDemand[[Description]:[Description]],G.30.assumptions.productDemand[[#This Row],[Description]:[Description]],
               G.30.levels.productDemand[[Level]:[Level]],ROUNDUP(G.30.assumptions.productDemand[[#This Row],[Level]:[Level]],0))*MOD(G.30.assumptions.productDemand[[#This Row],[Level]:[Level]],1))</f>
        <v>0</v>
      </c>
      <c r="O1308" s="406">
        <f t="array" aca="1" ref="O1308" ca="1">(SUMIFS(INDIRECT("G.30.levels.productDemand["&amp;O$1281&amp;"]"),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+(SUMIFS(INDIRECT("G.30.levels.productDemand["&amp;O$1281&amp;"]"),
               G.30.levels.productDemand[[Description]:[Description]],G.30.assumptions.productDemand[[#This Row],[Description]:[Description]],
               G.30.levels.productDemand[[Level]:[Level]],ROUNDUP(G.30.assumptions.productDemand[[#This Row],[Level]:[Level]],0))*MOD(G.30.assumptions.productDemand[[#This Row],[Level]:[Level]],1))</f>
        <v>0</v>
      </c>
      <c r="P1308" s="406">
        <f t="array" aca="1" ref="P1308" ca="1">(SUMIFS(INDIRECT("G.30.levels.productDemand["&amp;P$1281&amp;"]"),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+(SUMIFS(INDIRECT("G.30.levels.productDemand["&amp;P$1281&amp;"]"),
               G.30.levels.productDemand[[Description]:[Description]],G.30.assumptions.productDemand[[#This Row],[Description]:[Description]],
               G.30.levels.productDemand[[Level]:[Level]],ROUNDUP(G.30.assumptions.productDemand[[#This Row],[Level]:[Level]],0))*MOD(G.30.assumptions.productDemand[[#This Row],[Level]:[Level]],1))</f>
        <v>0</v>
      </c>
      <c r="Q1308" s="406">
        <f t="array" aca="1" ref="Q1308" ca="1">(SUMIFS(INDIRECT("G.30.levels.productDemand["&amp;Q$1281&amp;"]"),
               G.30.levels.productDemand[[Description]:[Description]],G.30.assumptions.productDemand[[#This Row],[Description]:[Description]],
               G.30.levels.productDemand[[Level]:[Level]],ROUNDDOWN(G.30.assumptions.productDemand[[#This Row],[Level]:[Level]],0))*(1-MOD(G.30.assumptions.productDemand[[#This Row],[Level]:[Level]],1)))
+(SUMIFS(INDIRECT("G.30.levels.productDemand["&amp;Q$1281&amp;"]"),
               G.30.levels.productDemand[[Description]:[Description]],G.30.assumptions.productDemand[[#This Row],[Description]:[Description]],
               G.30.levels.productDemand[[Level]:[Level]],ROUNDUP(G.30.assumptions.productDemand[[#This Row],[Level]:[Level]],0))*MOD(G.30.assumptions.productDemand[[#This Row],[Level]:[Level]],1))</f>
        <v>0</v>
      </c>
      <c r="R1308" s="121"/>
      <c r="S1308" s="179"/>
      <c r="T1308" s="179"/>
      <c r="V1308" s="179"/>
      <c r="W1308" s="179"/>
    </row>
    <row r="1309" spans="1:24" s="65" customFormat="1" ht="15" customHeight="1" outlineLevel="2">
      <c r="A1309" s="219"/>
      <c r="B1309" s="242"/>
      <c r="C1309" s="242"/>
      <c r="D1309" s="242"/>
      <c r="E1309" s="242"/>
      <c r="F1309" s="242"/>
      <c r="G1309" s="242"/>
      <c r="H1309" s="242"/>
      <c r="I1309" s="407"/>
      <c r="J1309" s="265"/>
      <c r="K1309" s="265"/>
      <c r="L1309" s="265"/>
      <c r="M1309" s="265"/>
      <c r="N1309" s="265"/>
      <c r="O1309" s="265"/>
      <c r="P1309" s="265"/>
      <c r="Q1309" s="265"/>
      <c r="R1309" s="121"/>
      <c r="T1309" s="179"/>
      <c r="U1309" s="179"/>
      <c r="W1309" s="179"/>
      <c r="X1309" s="179"/>
    </row>
    <row r="1310" spans="1:24" s="65" customFormat="1" ht="15" customHeight="1" outlineLevel="2">
      <c r="B1310" s="242"/>
      <c r="C1310" s="248"/>
      <c r="D1310" s="242"/>
      <c r="E1310" s="242"/>
      <c r="F1310" s="242"/>
      <c r="G1310" s="242"/>
      <c r="H1310" s="242"/>
      <c r="I1310" s="242"/>
      <c r="J1310" s="242"/>
      <c r="K1310" s="242"/>
      <c r="L1310" s="242"/>
      <c r="M1310" s="242"/>
      <c r="N1310" s="242"/>
      <c r="O1310" s="242"/>
      <c r="P1310" s="242"/>
      <c r="Q1310" s="242"/>
      <c r="R1310" s="121"/>
      <c r="T1310" s="179"/>
      <c r="U1310" s="179"/>
      <c r="W1310" s="179"/>
      <c r="X1310" s="179"/>
    </row>
    <row r="1311" spans="1:24" s="65" customFormat="1" ht="15" customHeight="1" outlineLevel="1">
      <c r="A1311" s="219"/>
      <c r="B1311" s="242"/>
      <c r="C1311" s="244" t="s">
        <v>1780</v>
      </c>
      <c r="D1311" s="242"/>
      <c r="E1311" s="242"/>
      <c r="F1311" s="242"/>
      <c r="G1311" s="242"/>
      <c r="H1311" s="242"/>
      <c r="I1311" s="242"/>
      <c r="J1311" s="242"/>
      <c r="K1311" s="242"/>
      <c r="L1311" s="242"/>
      <c r="M1311" s="242"/>
      <c r="N1311" s="242"/>
      <c r="O1311" s="242"/>
      <c r="P1311" s="242"/>
      <c r="Q1311" s="242" t="s">
        <v>511</v>
      </c>
      <c r="R1311" s="121"/>
      <c r="T1311" s="179"/>
      <c r="U1311" s="179"/>
      <c r="W1311" s="179"/>
      <c r="X1311" s="179"/>
    </row>
    <row r="1312" spans="1:24" s="65" customFormat="1" ht="15" customHeight="1" outlineLevel="2">
      <c r="A1312" s="219"/>
      <c r="B1312" s="242"/>
      <c r="C1312" s="244"/>
      <c r="D1312" s="242"/>
      <c r="E1312" s="242"/>
      <c r="F1312" s="242"/>
      <c r="G1312" s="242"/>
      <c r="H1312" s="242"/>
      <c r="I1312" s="242"/>
      <c r="J1312" s="242"/>
      <c r="K1312" s="242"/>
      <c r="L1312" s="242"/>
      <c r="M1312" s="242"/>
      <c r="N1312" s="242"/>
      <c r="O1312" s="242"/>
      <c r="P1312" s="242"/>
      <c r="Q1312" s="242"/>
      <c r="R1312" s="121"/>
      <c r="T1312" s="179"/>
      <c r="U1312" s="179"/>
      <c r="W1312" s="179"/>
      <c r="X1312" s="179"/>
    </row>
    <row r="1313" spans="1:24" s="65" customFormat="1" ht="15" customHeight="1" outlineLevel="2">
      <c r="A1313" s="219"/>
      <c r="B1313" s="242"/>
      <c r="C1313" s="244" t="s">
        <v>454</v>
      </c>
      <c r="D1313" s="242" t="s">
        <v>241</v>
      </c>
      <c r="E1313" s="242" t="s">
        <v>207</v>
      </c>
      <c r="F1313" s="242" t="s">
        <v>274</v>
      </c>
      <c r="G1313" s="242" t="s">
        <v>509</v>
      </c>
      <c r="H1313" s="242" t="s">
        <v>510</v>
      </c>
      <c r="I1313" s="183" t="s">
        <v>1107</v>
      </c>
      <c r="J1313" s="242" t="s">
        <v>210</v>
      </c>
      <c r="K1313" s="242" t="s">
        <v>211</v>
      </c>
      <c r="L1313" s="242" t="s">
        <v>212</v>
      </c>
      <c r="M1313" s="242" t="s">
        <v>213</v>
      </c>
      <c r="N1313" s="242" t="s">
        <v>214</v>
      </c>
      <c r="O1313" s="242" t="s">
        <v>215</v>
      </c>
      <c r="P1313" s="242" t="s">
        <v>216</v>
      </c>
      <c r="Q1313" s="242" t="s">
        <v>217</v>
      </c>
      <c r="R1313" s="121"/>
      <c r="S1313" s="179"/>
      <c r="T1313" s="179" t="str">
        <f>$T$6</f>
        <v>Source</v>
      </c>
      <c r="U1313" s="179" t="str">
        <f>$U$6</f>
        <v>Link</v>
      </c>
      <c r="V1313" s="179" t="str">
        <f>$V$6</f>
        <v>Risk (Green, Amber/Green, Amber, Red/Amber, Red)</v>
      </c>
      <c r="W1313" s="179" t="s">
        <v>869</v>
      </c>
      <c r="X1313" s="179" t="str">
        <f>$X$6</f>
        <v>Comment author</v>
      </c>
    </row>
    <row r="1314" spans="1:24" s="65" customFormat="1" ht="15" customHeight="1" outlineLevel="2">
      <c r="A1314" s="219"/>
      <c r="B1314" s="242"/>
      <c r="C1314" s="242"/>
      <c r="D1314" s="242" t="s">
        <v>1616</v>
      </c>
      <c r="E1314" s="242">
        <f ca="1">INDEX(G.30.Levers[],MATCH(G.30.assumptions.materialsProductionEfficiency[[#This Row],[Description]],G.30.Levers[Lever code],0),4)</f>
        <v>1</v>
      </c>
      <c r="F1314" s="242" t="s">
        <v>1396</v>
      </c>
      <c r="G1314" s="242"/>
      <c r="H1314" s="242"/>
      <c r="I1314" s="406">
        <f t="array" aca="1" ref="I1314"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14" s="406">
        <f t="array" aca="1" ref="J1314"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14" s="406">
        <f t="array" aca="1" ref="K1314"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14" s="406">
        <f t="array" aca="1" ref="L1314"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14" s="406">
        <f t="array" aca="1" ref="M1314"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14" s="406">
        <f t="array" aca="1" ref="N1314"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14" s="406">
        <f t="array" aca="1" ref="O1314"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14" s="406">
        <f t="array" aca="1" ref="P1314"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14" s="406">
        <f t="array" aca="1" ref="Q1314"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14" s="242"/>
      <c r="S1314" s="179"/>
      <c r="T1314" s="179"/>
      <c r="V1314" s="179"/>
      <c r="W1314" s="179"/>
    </row>
    <row r="1315" spans="1:24" s="65" customFormat="1" ht="15" customHeight="1" outlineLevel="2">
      <c r="A1315" s="219"/>
      <c r="B1315" s="242"/>
      <c r="C1315" s="242"/>
      <c r="D1315" s="242" t="s">
        <v>1617</v>
      </c>
      <c r="E1315" s="242">
        <f ca="1">INDEX(G.30.Levers[],MATCH(G.30.assumptions.materialsProductionEfficiency[[#This Row],[Description]],G.30.Levers[Lever code],0),4)</f>
        <v>1</v>
      </c>
      <c r="F1315" s="242" t="s">
        <v>1396</v>
      </c>
      <c r="G1315" s="242"/>
      <c r="H1315" s="242"/>
      <c r="I1315" s="406">
        <f t="array" aca="1" ref="I1315"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15" s="406">
        <f t="array" aca="1" ref="J1315"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15" s="406">
        <f t="array" aca="1" ref="K1315"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15" s="406">
        <f t="array" aca="1" ref="L1315"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15" s="406">
        <f t="array" aca="1" ref="M1315"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15" s="406">
        <f t="array" aca="1" ref="N1315"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15" s="406">
        <f t="array" aca="1" ref="O1315"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15" s="406">
        <f t="array" aca="1" ref="P1315"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15" s="406">
        <f t="array" aca="1" ref="Q1315"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15" s="242"/>
      <c r="S1315" s="179"/>
      <c r="T1315" s="179"/>
      <c r="V1315" s="179"/>
      <c r="W1315" s="179"/>
    </row>
    <row r="1316" spans="1:24" s="65" customFormat="1" ht="15" customHeight="1" outlineLevel="2">
      <c r="A1316" s="219"/>
      <c r="B1316" s="242"/>
      <c r="C1316" s="242"/>
      <c r="D1316" s="242" t="s">
        <v>1618</v>
      </c>
      <c r="E1316" s="242">
        <f ca="1">INDEX(G.30.Levers[],MATCH(G.30.assumptions.materialsProductionEfficiency[[#This Row],[Description]],G.30.Levers[Lever code],0),4)</f>
        <v>1</v>
      </c>
      <c r="F1316" s="242" t="s">
        <v>1396</v>
      </c>
      <c r="G1316" s="242"/>
      <c r="H1316" s="242"/>
      <c r="I1316" s="406">
        <f t="array" aca="1" ref="I1316"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0.29354080221300138</v>
      </c>
      <c r="J1316" s="406">
        <f t="array" aca="1" ref="J1316"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0.30445969429371922</v>
      </c>
      <c r="K1316" s="406">
        <f t="array" aca="1" ref="K1316"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0.31810830939461643</v>
      </c>
      <c r="L1316" s="406">
        <f t="array" aca="1" ref="L1316"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0.33175692449551369</v>
      </c>
      <c r="M1316" s="406">
        <f t="array" aca="1" ref="M1316"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0.34540553959641096</v>
      </c>
      <c r="N1316" s="406">
        <f t="array" aca="1" ref="N1316"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0.35905415469730823</v>
      </c>
      <c r="O1316" s="406">
        <f t="array" aca="1" ref="O1316"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0.37270276979820549</v>
      </c>
      <c r="P1316" s="406">
        <f t="array" aca="1" ref="P1316"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0.38635138489910276</v>
      </c>
      <c r="Q1316" s="406">
        <f t="array" aca="1" ref="Q1316"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v>
      </c>
      <c r="R1316" s="242"/>
      <c r="S1316" s="179"/>
      <c r="T1316" s="179"/>
      <c r="V1316" s="179"/>
      <c r="W1316" s="179"/>
    </row>
    <row r="1317" spans="1:24" s="65" customFormat="1" ht="15" customHeight="1" outlineLevel="2">
      <c r="A1317" s="219"/>
      <c r="B1317" s="242"/>
      <c r="C1317" s="242"/>
      <c r="D1317" s="242" t="s">
        <v>1873</v>
      </c>
      <c r="E1317" s="242">
        <f ca="1">INDEX(G.30.Levers[],MATCH(G.30.assumptions.materialsProductionEfficiency[[#This Row],[Description]],G.30.Levers[Lever code],0),4)</f>
        <v>1</v>
      </c>
      <c r="F1317" s="242" t="s">
        <v>1418</v>
      </c>
      <c r="G1317" s="242"/>
      <c r="H1317" s="242"/>
      <c r="I1317" s="406">
        <f t="array" aca="1" ref="I1317"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17" s="406">
        <f t="array" aca="1" ref="J1317"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17" s="406">
        <f t="array" aca="1" ref="K1317"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17" s="406">
        <f t="array" aca="1" ref="L1317"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17" s="406">
        <f t="array" aca="1" ref="M1317"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17" s="406">
        <f t="array" aca="1" ref="N1317"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17" s="406">
        <f t="array" aca="1" ref="O1317"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17" s="406">
        <f t="array" aca="1" ref="P1317"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17" s="406">
        <f t="array" aca="1" ref="Q1317"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17" s="242"/>
      <c r="T1317" s="179"/>
      <c r="U1317" s="179"/>
      <c r="W1317" s="179"/>
      <c r="X1317" s="179"/>
    </row>
    <row r="1318" spans="1:24" s="65" customFormat="1" ht="15" customHeight="1" outlineLevel="2">
      <c r="A1318" s="219"/>
      <c r="B1318" s="242"/>
      <c r="C1318" s="242"/>
      <c r="D1318" s="242" t="s">
        <v>1878</v>
      </c>
      <c r="E1318" s="242">
        <f ca="1">INDEX(G.30.Levers[],MATCH(G.30.assumptions.materialsProductionEfficiency[[#This Row],[Description]],G.30.Levers[Lever code],0),4)</f>
        <v>1</v>
      </c>
      <c r="F1318" s="242" t="s">
        <v>1418</v>
      </c>
      <c r="G1318" s="242"/>
      <c r="H1318" s="242"/>
      <c r="I1318" s="406">
        <f t="array" aca="1" ref="I1318"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18" s="406">
        <f t="array" aca="1" ref="J1318"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18" s="406">
        <f t="array" aca="1" ref="K1318"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18" s="406">
        <f t="array" aca="1" ref="L1318"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18" s="406">
        <f t="array" aca="1" ref="M1318"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18" s="406">
        <f t="array" aca="1" ref="N1318"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18" s="406">
        <f t="array" aca="1" ref="O1318"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18" s="406">
        <f t="array" aca="1" ref="P1318"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18" s="406">
        <f t="array" aca="1" ref="Q1318"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18" s="242"/>
      <c r="T1318" s="179"/>
      <c r="U1318" s="179"/>
      <c r="W1318" s="179"/>
      <c r="X1318" s="179"/>
    </row>
    <row r="1319" spans="1:24" s="65" customFormat="1" ht="15" customHeight="1" outlineLevel="2">
      <c r="A1319" s="219"/>
      <c r="B1319" s="242"/>
      <c r="C1319" s="242"/>
      <c r="D1319" s="242" t="s">
        <v>1883</v>
      </c>
      <c r="E1319" s="242">
        <f ca="1">INDEX(G.30.Levers[],MATCH(G.30.assumptions.materialsProductionEfficiency[[#This Row],[Description]],G.30.Levers[Lever code],0),4)</f>
        <v>1</v>
      </c>
      <c r="F1319" s="242" t="s">
        <v>1418</v>
      </c>
      <c r="G1319" s="242"/>
      <c r="H1319" s="242"/>
      <c r="I1319" s="406">
        <f t="array" aca="1" ref="I1319"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0.52127006898921802</v>
      </c>
      <c r="J1319" s="406">
        <f t="array" aca="1" ref="J1319"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0.50883211319545207</v>
      </c>
      <c r="K1319" s="406">
        <f t="array" aca="1" ref="K1319"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0.49328466845324465</v>
      </c>
      <c r="L1319" s="406">
        <f t="array" aca="1" ref="L1319"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0.47773722371103722</v>
      </c>
      <c r="M1319" s="406">
        <f t="array" aca="1" ref="M1319"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0.46218977896882973</v>
      </c>
      <c r="N1319" s="406">
        <f t="array" aca="1" ref="N1319"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0.44664233422662236</v>
      </c>
      <c r="O1319" s="406">
        <f t="array" aca="1" ref="O1319"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0.43109488948441488</v>
      </c>
      <c r="P1319" s="406">
        <f t="array" aca="1" ref="P1319"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0.41554744474220745</v>
      </c>
      <c r="Q1319" s="406">
        <f t="array" aca="1" ref="Q1319"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v>
      </c>
      <c r="R1319" s="242"/>
      <c r="T1319" s="179"/>
      <c r="U1319" s="179"/>
      <c r="W1319" s="179"/>
      <c r="X1319" s="179"/>
    </row>
    <row r="1320" spans="1:24" s="65" customFormat="1" ht="15" customHeight="1" outlineLevel="2">
      <c r="A1320" s="219"/>
      <c r="B1320" s="242"/>
      <c r="C1320" s="242"/>
      <c r="D1320" s="242" t="s">
        <v>1874</v>
      </c>
      <c r="E1320" s="242">
        <f ca="1">INDEX(G.30.Levers[],MATCH(G.30.assumptions.materialsProductionEfficiency[[#This Row],[Description]],G.30.Levers[Lever code],0),4)</f>
        <v>1</v>
      </c>
      <c r="F1320" s="242" t="s">
        <v>1435</v>
      </c>
      <c r="G1320" s="242"/>
      <c r="H1320" s="242"/>
      <c r="I1320" s="406">
        <f t="array" aca="1" ref="I1320"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0" s="406">
        <f t="array" aca="1" ref="J1320"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0" s="406">
        <f t="array" aca="1" ref="K1320"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0" s="406">
        <f t="array" aca="1" ref="L1320"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0" s="406">
        <f t="array" aca="1" ref="M1320"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0" s="406">
        <f t="array" aca="1" ref="N1320"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0" s="406">
        <f t="array" aca="1" ref="O1320"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0" s="406">
        <f t="array" aca="1" ref="P1320"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0" s="406">
        <f t="array" aca="1" ref="Q1320"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0" s="242"/>
      <c r="T1320" s="179"/>
      <c r="U1320" s="179"/>
      <c r="W1320" s="179"/>
      <c r="X1320" s="179"/>
    </row>
    <row r="1321" spans="1:24" s="65" customFormat="1" ht="15" customHeight="1" outlineLevel="2">
      <c r="A1321" s="219"/>
      <c r="B1321" s="242"/>
      <c r="C1321" s="242"/>
      <c r="D1321" s="242" t="s">
        <v>1879</v>
      </c>
      <c r="E1321" s="242">
        <f ca="1">INDEX(G.30.Levers[],MATCH(G.30.assumptions.materialsProductionEfficiency[[#This Row],[Description]],G.30.Levers[Lever code],0),4)</f>
        <v>1</v>
      </c>
      <c r="F1321" s="242" t="s">
        <v>1435</v>
      </c>
      <c r="G1321" s="242"/>
      <c r="H1321" s="242"/>
      <c r="I1321" s="406">
        <f t="array" aca="1" ref="I1321"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1" s="406">
        <f t="array" aca="1" ref="J1321"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1" s="406">
        <f t="array" aca="1" ref="K1321"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1" s="406">
        <f t="array" aca="1" ref="L1321"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1" s="406">
        <f t="array" aca="1" ref="M1321"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1" s="406">
        <f t="array" aca="1" ref="N1321"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1" s="406">
        <f t="array" aca="1" ref="O1321"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1" s="406">
        <f t="array" aca="1" ref="P1321"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1" s="406">
        <f t="array" aca="1" ref="Q1321"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1" s="242"/>
      <c r="T1321" s="179"/>
      <c r="U1321" s="179"/>
      <c r="W1321" s="179"/>
      <c r="X1321" s="179"/>
    </row>
    <row r="1322" spans="1:24" s="65" customFormat="1" ht="15" customHeight="1" outlineLevel="2">
      <c r="A1322" s="219"/>
      <c r="B1322" s="242"/>
      <c r="C1322" s="242"/>
      <c r="D1322" s="242" t="s">
        <v>1884</v>
      </c>
      <c r="E1322" s="242">
        <f ca="1">INDEX(G.30.Levers[],MATCH(G.30.assumptions.materialsProductionEfficiency[[#This Row],[Description]],G.30.Levers[Lever code],0),4)</f>
        <v>1</v>
      </c>
      <c r="F1322" s="242" t="s">
        <v>1435</v>
      </c>
      <c r="G1322" s="242"/>
      <c r="H1322" s="242"/>
      <c r="I1322" s="406">
        <f t="array" aca="1" ref="I1322"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v>
      </c>
      <c r="J1322" s="406">
        <f t="array" aca="1" ref="J1322"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4.1025641025641026E-2</v>
      </c>
      <c r="K1322" s="406">
        <f t="array" aca="1" ref="K1322"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9.2307692307692313E-2</v>
      </c>
      <c r="L1322" s="406">
        <f t="array" aca="1" ref="L1322"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0.14358974358974358</v>
      </c>
      <c r="M1322" s="406">
        <f t="array" aca="1" ref="M1322"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0.19487179487179487</v>
      </c>
      <c r="N1322" s="406">
        <f t="array" aca="1" ref="N1322"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0.24615384615384617</v>
      </c>
      <c r="O1322" s="406">
        <f t="array" aca="1" ref="O1322"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0.29743589743589743</v>
      </c>
      <c r="P1322" s="406">
        <f t="array" aca="1" ref="P1322"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0.3487179487179487</v>
      </c>
      <c r="Q1322" s="406">
        <f t="array" aca="1" ref="Q1322"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v>
      </c>
      <c r="R1322" s="242"/>
      <c r="T1322" s="179"/>
      <c r="U1322" s="179"/>
      <c r="W1322" s="179"/>
      <c r="X1322" s="179"/>
    </row>
    <row r="1323" spans="1:24" s="65" customFormat="1" ht="15" customHeight="1" outlineLevel="2">
      <c r="A1323" s="219"/>
      <c r="B1323" s="242"/>
      <c r="C1323" s="242"/>
      <c r="D1323" s="242" t="s">
        <v>1957</v>
      </c>
      <c r="E1323" s="242">
        <f ca="1">INDEX(G.30.Levers[],MATCH(G.30.assumptions.materialsProductionEfficiency[[#This Row],[Description]],G.30.Levers[Lever code],0),4)</f>
        <v>1</v>
      </c>
      <c r="F1323" s="242" t="s">
        <v>1447</v>
      </c>
      <c r="G1323" s="242"/>
      <c r="H1323" s="242"/>
      <c r="I1323" s="406">
        <f t="array" aca="1" ref="I1323"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3" s="406">
        <f t="array" aca="1" ref="J1323"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3" s="406">
        <f t="array" aca="1" ref="K1323"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3" s="406">
        <f t="array" aca="1" ref="L1323"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3" s="406">
        <f t="array" aca="1" ref="M1323"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3" s="406">
        <f t="array" aca="1" ref="N1323"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3" s="406">
        <f t="array" aca="1" ref="O1323"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3" s="406">
        <f t="array" aca="1" ref="P1323"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3" s="406">
        <f t="array" aca="1" ref="Q1323"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3" s="242"/>
      <c r="T1323" s="179"/>
      <c r="U1323" s="179"/>
      <c r="W1323" s="179"/>
      <c r="X1323" s="179"/>
    </row>
    <row r="1324" spans="1:24" s="65" customFormat="1" ht="15" customHeight="1" outlineLevel="2">
      <c r="A1324" s="219"/>
      <c r="B1324" s="242"/>
      <c r="C1324" s="242"/>
      <c r="D1324" s="242" t="s">
        <v>1958</v>
      </c>
      <c r="E1324" s="242">
        <f ca="1">INDEX(G.30.Levers[],MATCH(G.30.assumptions.materialsProductionEfficiency[[#This Row],[Description]],G.30.Levers[Lever code],0),4)</f>
        <v>1</v>
      </c>
      <c r="F1324" s="242" t="s">
        <v>1447</v>
      </c>
      <c r="G1324" s="242"/>
      <c r="H1324" s="242"/>
      <c r="I1324" s="406">
        <f t="array" aca="1" ref="I1324"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4" s="406">
        <f t="array" aca="1" ref="J1324"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4" s="406">
        <f t="array" aca="1" ref="K1324"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4" s="406">
        <f t="array" aca="1" ref="L1324"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4" s="406">
        <f t="array" aca="1" ref="M1324"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4" s="406">
        <f t="array" aca="1" ref="N1324"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4" s="406">
        <f t="array" aca="1" ref="O1324"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4" s="406">
        <f t="array" aca="1" ref="P1324"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4" s="406">
        <f t="array" aca="1" ref="Q1324"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4" s="242"/>
      <c r="T1324" s="179"/>
      <c r="U1324" s="179"/>
      <c r="W1324" s="179"/>
      <c r="X1324" s="179"/>
    </row>
    <row r="1325" spans="1:24" s="65" customFormat="1" ht="15" customHeight="1" outlineLevel="2">
      <c r="A1325" s="219"/>
      <c r="B1325" s="242"/>
      <c r="C1325" s="242"/>
      <c r="D1325" s="242" t="s">
        <v>1959</v>
      </c>
      <c r="E1325" s="242">
        <f ca="1">INDEX(G.30.Levers[],MATCH(G.30.assumptions.materialsProductionEfficiency[[#This Row],[Description]],G.30.Levers[Lever code],0),4)</f>
        <v>1</v>
      </c>
      <c r="F1325" s="242" t="s">
        <v>1447</v>
      </c>
      <c r="G1325" s="242"/>
      <c r="H1325" s="242"/>
      <c r="I1325" s="406">
        <f t="array" aca="1" ref="I1325"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0.34042230654178207</v>
      </c>
      <c r="J1325" s="406">
        <f t="array" aca="1" ref="J1325"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0.34653283920416339</v>
      </c>
      <c r="K1325" s="406">
        <f t="array" aca="1" ref="K1325"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0.35417100503214005</v>
      </c>
      <c r="L1325" s="406">
        <f t="array" aca="1" ref="L1325"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0.36180917086011671</v>
      </c>
      <c r="M1325" s="406">
        <f t="array" aca="1" ref="M1325"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0.36944733668809338</v>
      </c>
      <c r="N1325" s="406">
        <f t="array" aca="1" ref="N1325"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0.37708550251607004</v>
      </c>
      <c r="O1325" s="406">
        <f t="array" aca="1" ref="O1325"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0.3847236683440467</v>
      </c>
      <c r="P1325" s="406">
        <f t="array" aca="1" ref="P1325"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0.39236183417202336</v>
      </c>
      <c r="Q1325" s="406">
        <f t="array" aca="1" ref="Q1325"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v>
      </c>
      <c r="R1325" s="242"/>
      <c r="T1325" s="179"/>
      <c r="U1325" s="179"/>
      <c r="W1325" s="179"/>
      <c r="X1325" s="179"/>
    </row>
    <row r="1326" spans="1:24" s="65" customFormat="1" ht="15" customHeight="1" outlineLevel="2">
      <c r="A1326" s="219"/>
      <c r="B1326" s="242"/>
      <c r="C1326" s="242"/>
      <c r="D1326" s="242" t="s">
        <v>1876</v>
      </c>
      <c r="E1326" s="242">
        <f ca="1">INDEX(G.30.Levers[],MATCH(G.30.assumptions.materialsProductionEfficiency[[#This Row],[Description]],G.30.Levers[Lever code],0),4)</f>
        <v>1</v>
      </c>
      <c r="F1326" s="242" t="s">
        <v>1426</v>
      </c>
      <c r="G1326" s="242"/>
      <c r="H1326" s="242"/>
      <c r="I1326" s="406">
        <f t="array" aca="1" ref="I1326"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6" s="406">
        <f t="array" aca="1" ref="J1326"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6" s="406">
        <f t="array" aca="1" ref="K1326"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6" s="406">
        <f t="array" aca="1" ref="L1326"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6" s="406">
        <f t="array" aca="1" ref="M1326"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6" s="406">
        <f t="array" aca="1" ref="N1326"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6" s="406">
        <f t="array" aca="1" ref="O1326"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6" s="406">
        <f t="array" aca="1" ref="P1326"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6" s="406">
        <f t="array" aca="1" ref="Q1326"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6" s="242"/>
      <c r="T1326" s="179"/>
      <c r="U1326" s="179"/>
      <c r="W1326" s="179"/>
      <c r="X1326" s="179"/>
    </row>
    <row r="1327" spans="1:24" s="65" customFormat="1" ht="15" customHeight="1" outlineLevel="2">
      <c r="A1327" s="219"/>
      <c r="B1327" s="242"/>
      <c r="C1327" s="242"/>
      <c r="D1327" s="242" t="s">
        <v>1881</v>
      </c>
      <c r="E1327" s="242">
        <f ca="1">INDEX(G.30.Levers[],MATCH(G.30.assumptions.materialsProductionEfficiency[[#This Row],[Description]],G.30.Levers[Lever code],0),4)</f>
        <v>1</v>
      </c>
      <c r="F1327" s="242" t="s">
        <v>1426</v>
      </c>
      <c r="G1327" s="242"/>
      <c r="H1327" s="242"/>
      <c r="I1327" s="406">
        <f t="array" aca="1" ref="I1327"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7" s="406">
        <f t="array" aca="1" ref="J1327"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7" s="406">
        <f t="array" aca="1" ref="K1327"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7" s="406">
        <f t="array" aca="1" ref="L1327"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7" s="406">
        <f t="array" aca="1" ref="M1327"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7" s="406">
        <f t="array" aca="1" ref="N1327"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7" s="406">
        <f t="array" aca="1" ref="O1327"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7" s="406">
        <f t="array" aca="1" ref="P1327"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7" s="406">
        <f t="array" aca="1" ref="Q1327"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7" s="242"/>
      <c r="T1327" s="179"/>
      <c r="U1327" s="179"/>
      <c r="W1327" s="179"/>
      <c r="X1327" s="179"/>
    </row>
    <row r="1328" spans="1:24" s="65" customFormat="1" ht="15" customHeight="1" outlineLevel="2">
      <c r="A1328" s="219"/>
      <c r="B1328" s="242"/>
      <c r="C1328" s="242"/>
      <c r="D1328" s="242" t="s">
        <v>1886</v>
      </c>
      <c r="E1328" s="242">
        <f ca="1">INDEX(G.30.Levers[],MATCH(G.30.assumptions.materialsProductionEfficiency[[#This Row],[Description]],G.30.Levers[Lever code],0),4)</f>
        <v>1</v>
      </c>
      <c r="F1328" s="242" t="s">
        <v>1426</v>
      </c>
      <c r="G1328" s="242"/>
      <c r="H1328" s="242"/>
      <c r="I1328" s="406">
        <f t="array" aca="1" ref="I1328"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v>
      </c>
      <c r="J1328" s="406">
        <f t="array" aca="1" ref="J1328"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4.1025641025641026E-2</v>
      </c>
      <c r="K1328" s="406">
        <f t="array" aca="1" ref="K1328"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9.2307692307692313E-2</v>
      </c>
      <c r="L1328" s="406">
        <f t="array" aca="1" ref="L1328"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0.14358974358974358</v>
      </c>
      <c r="M1328" s="406">
        <f t="array" aca="1" ref="M1328"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0.19487179487179487</v>
      </c>
      <c r="N1328" s="406">
        <f t="array" aca="1" ref="N1328"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0.24615384615384617</v>
      </c>
      <c r="O1328" s="406">
        <f t="array" aca="1" ref="O1328"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0.29743589743589743</v>
      </c>
      <c r="P1328" s="406">
        <f t="array" aca="1" ref="P1328"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0.3487179487179487</v>
      </c>
      <c r="Q1328" s="406">
        <f t="array" aca="1" ref="Q1328"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v>
      </c>
      <c r="R1328" s="242"/>
      <c r="T1328" s="179"/>
      <c r="U1328" s="179"/>
      <c r="W1328" s="179"/>
      <c r="X1328" s="179"/>
    </row>
    <row r="1329" spans="1:24" s="65" customFormat="1" ht="15" customHeight="1" outlineLevel="2">
      <c r="A1329" s="219"/>
      <c r="B1329" s="242"/>
      <c r="C1329" s="242"/>
      <c r="D1329" s="242" t="s">
        <v>1960</v>
      </c>
      <c r="E1329" s="242">
        <f ca="1">INDEX(G.30.Levers[],MATCH(G.30.assumptions.materialsProductionEfficiency[[#This Row],[Description]],G.30.Levers[Lever code],0),4)</f>
        <v>1</v>
      </c>
      <c r="F1329" s="242" t="s">
        <v>1457</v>
      </c>
      <c r="G1329" s="242"/>
      <c r="H1329" s="242"/>
      <c r="I1329" s="406">
        <f t="array" aca="1" ref="I1329"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29" s="406">
        <f t="array" aca="1" ref="J1329"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29" s="406">
        <f t="array" aca="1" ref="K1329"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29" s="406">
        <f t="array" aca="1" ref="L1329"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29" s="406">
        <f t="array" aca="1" ref="M1329"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29" s="406">
        <f t="array" aca="1" ref="N1329"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29" s="406">
        <f t="array" aca="1" ref="O1329"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29" s="406">
        <f t="array" aca="1" ref="P1329"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29" s="406">
        <f t="array" aca="1" ref="Q1329"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29" s="242"/>
      <c r="T1329" s="179"/>
      <c r="U1329" s="179"/>
      <c r="W1329" s="179"/>
      <c r="X1329" s="179"/>
    </row>
    <row r="1330" spans="1:24" s="65" customFormat="1" ht="15" customHeight="1" outlineLevel="2">
      <c r="A1330" s="219"/>
      <c r="B1330" s="256"/>
      <c r="C1330" s="248"/>
      <c r="D1330" s="242" t="s">
        <v>1882</v>
      </c>
      <c r="E1330" s="242">
        <f ca="1">INDEX(G.30.Levers[],MATCH(G.30.assumptions.materialsProductionEfficiency[[#This Row],[Description]],G.30.Levers[Lever code],0),4)</f>
        <v>1</v>
      </c>
      <c r="F1330" s="242" t="s">
        <v>1457</v>
      </c>
      <c r="G1330" s="242"/>
      <c r="H1330" s="242"/>
      <c r="I1330" s="406">
        <f t="array" aca="1" ref="I1330"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J1330" s="406">
        <f t="array" aca="1" ref="J1330"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K1330" s="406">
        <f t="array" aca="1" ref="K1330"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L1330" s="406">
        <f t="array" aca="1" ref="L1330"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M1330" s="406">
        <f t="array" aca="1" ref="M1330"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N1330" s="406">
        <f t="array" aca="1" ref="N1330"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O1330" s="406">
        <f t="array" aca="1" ref="O1330"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P1330" s="406">
        <f t="array" aca="1" ref="P1330"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Q1330" s="406">
        <f t="array" aca="1" ref="Q1330"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1</v>
      </c>
      <c r="R1330" s="242"/>
      <c r="T1330" s="179"/>
      <c r="U1330" s="179"/>
      <c r="W1330" s="179"/>
      <c r="X1330" s="179"/>
    </row>
    <row r="1331" spans="1:24" s="65" customFormat="1" ht="15" customHeight="1" outlineLevel="2">
      <c r="A1331" s="219"/>
      <c r="B1331" s="256"/>
      <c r="C1331" s="248"/>
      <c r="D1331" s="242" t="s">
        <v>1887</v>
      </c>
      <c r="E1331" s="242">
        <f ca="1">INDEX(G.30.Levers[],MATCH(G.30.assumptions.materialsProductionEfficiency[[#This Row],[Description]],G.30.Levers[Lever code],0),4)</f>
        <v>1</v>
      </c>
      <c r="F1331" s="242" t="s">
        <v>1457</v>
      </c>
      <c r="G1331" s="242"/>
      <c r="H1331" s="242"/>
      <c r="I1331" s="406">
        <f t="array" aca="1" ref="I1331" ca="1">(SUMIFS(INDIRECT("G.30.levels.materialsProductionEfficiency["&amp;I$1313&amp;"]"),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+(SUMIFS(INDIRECT("G.30.levels.materialsProductionEfficiency["&amp;I$1313&amp;"]"),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v>
      </c>
      <c r="J1331" s="406">
        <f t="array" aca="1" ref="J1331" ca="1">(SUMIFS(INDIRECT("G.30.levels.materialsProductionEfficiency["&amp;J$1313&amp;"]"),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+(SUMIFS(INDIRECT("G.30.levels.materialsProductionEfficiency["&amp;J$1313&amp;"]"),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4.1025641025641026E-2</v>
      </c>
      <c r="K1331" s="406">
        <f t="array" aca="1" ref="K1331" ca="1">(SUMIFS(INDIRECT("G.30.levels.materialsProductionEfficiency["&amp;K$1313&amp;"]"),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+(SUMIFS(INDIRECT("G.30.levels.materialsProductionEfficiency["&amp;K$1313&amp;"]"),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9.2307692307692313E-2</v>
      </c>
      <c r="L1331" s="406">
        <f t="array" aca="1" ref="L1331" ca="1">(SUMIFS(INDIRECT("G.30.levels.materialsProductionEfficiency["&amp;L$1313&amp;"]"),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+(SUMIFS(INDIRECT("G.30.levels.materialsProductionEfficiency["&amp;L$1313&amp;"]"),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0.14358974358974358</v>
      </c>
      <c r="M1331" s="406">
        <f t="array" aca="1" ref="M1331" ca="1">(SUMIFS(INDIRECT("G.30.levels.materialsProductionEfficiency["&amp;M$1313&amp;"]"),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+(SUMIFS(INDIRECT("G.30.levels.materialsProductionEfficiency["&amp;M$1313&amp;"]"),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0.19487179487179487</v>
      </c>
      <c r="N1331" s="406">
        <f t="array" aca="1" ref="N1331" ca="1">(SUMIFS(INDIRECT("G.30.levels.materialsProductionEfficiency["&amp;N$1313&amp;"]"),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+(SUMIFS(INDIRECT("G.30.levels.materialsProductionEfficiency["&amp;N$1313&amp;"]"),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0.24615384615384617</v>
      </c>
      <c r="O1331" s="406">
        <f t="array" aca="1" ref="O1331" ca="1">(SUMIFS(INDIRECT("G.30.levels.materialsProductionEfficiency["&amp;O$1313&amp;"]"),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+(SUMIFS(INDIRECT("G.30.levels.materialsProductionEfficiency["&amp;O$1313&amp;"]"),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0.29743589743589743</v>
      </c>
      <c r="P1331" s="406">
        <f t="array" aca="1" ref="P1331" ca="1">(SUMIFS(INDIRECT("G.30.levels.materialsProductionEfficiency["&amp;P$1313&amp;"]"),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+(SUMIFS(INDIRECT("G.30.levels.materialsProductionEfficiency["&amp;P$1313&amp;"]"),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0.3487179487179487</v>
      </c>
      <c r="Q1331" s="406">
        <f t="array" aca="1" ref="Q1331" ca="1">(SUMIFS(INDIRECT("G.30.levels.materialsProductionEfficiency["&amp;Q$1313&amp;"]"),
              G.30.levels.materialsProductionEfficiency[[Description]:[Description]],G.30.assumptions.materialsProductionEfficiency[[#This Row],[Description]:[Description]],
              G.30.levels.materialsProductionEfficiency[[Level]:[Level]],ROUNDDOWN(G.30.assumptions.materialsProductionEfficiency[[#This Row],[Level]:[Level]],0))*(1-MOD(G.30.assumptions.materialsProductionEfficiency[[#This Row],[Level]:[Level]],1)))
+(SUMIFS(INDIRECT("G.30.levels.materialsProductionEfficiency["&amp;Q$1313&amp;"]"),
              G.30.levels.materialsProductionEfficiency[[Description]:[Description]],G.30.assumptions.materialsProductionEfficiency[[#This Row],[Description]:[Description]],
              G.30.levels.materialsProductionEfficiency[[Level]:[Level]],ROUNDUP(G.30.assumptions.materialsProductionEfficiency[[#This Row],[Level]:[Level]],0))*MOD(G.30.assumptions.materialsProductionEfficiency[[#This Row],[Level]:[Level]],1))</f>
        <v>0.4</v>
      </c>
      <c r="R1331" s="242"/>
      <c r="T1331" s="179"/>
      <c r="U1331" s="179"/>
      <c r="W1331" s="179"/>
      <c r="X1331" s="179"/>
    </row>
    <row r="1332" spans="1:24" s="65" customFormat="1" ht="15" customHeight="1" outlineLevel="2">
      <c r="A1332" s="219"/>
      <c r="B1332" s="256"/>
      <c r="C1332" s="248"/>
      <c r="D1332" s="242"/>
      <c r="E1332" s="242"/>
      <c r="F1332" s="242"/>
      <c r="G1332" s="242"/>
      <c r="H1332" s="242"/>
      <c r="I1332" s="242"/>
      <c r="J1332" s="242"/>
      <c r="K1332" s="242"/>
      <c r="L1332" s="242"/>
      <c r="M1332" s="242"/>
      <c r="N1332" s="242"/>
      <c r="O1332" s="242"/>
      <c r="P1332" s="242"/>
      <c r="Q1332" s="242"/>
      <c r="R1332" s="242"/>
      <c r="T1332" s="179"/>
      <c r="U1332" s="179"/>
      <c r="W1332" s="179"/>
      <c r="X1332" s="179"/>
    </row>
    <row r="1333" spans="1:24" s="65" customFormat="1" ht="15" customHeight="1" outlineLevel="2">
      <c r="A1333" s="219"/>
      <c r="B1333" s="256"/>
      <c r="C1333" s="248"/>
      <c r="D1333" s="242"/>
      <c r="E1333" s="242"/>
      <c r="F1333" s="242"/>
      <c r="G1333" s="242"/>
      <c r="H1333" s="242"/>
      <c r="I1333" s="242"/>
      <c r="J1333" s="242"/>
      <c r="K1333" s="242"/>
      <c r="L1333" s="242"/>
      <c r="M1333" s="242"/>
      <c r="N1333" s="242"/>
      <c r="O1333" s="242"/>
      <c r="P1333" s="242"/>
      <c r="Q1333" s="242"/>
      <c r="R1333" s="242"/>
      <c r="T1333" s="179"/>
      <c r="U1333" s="179"/>
      <c r="W1333" s="179"/>
      <c r="X1333" s="179"/>
    </row>
    <row r="1334" spans="1:24" s="65" customFormat="1" ht="15" customHeight="1" outlineLevel="2">
      <c r="A1334" s="219"/>
      <c r="B1334" s="242"/>
      <c r="C1334" s="248" t="s">
        <v>2008</v>
      </c>
      <c r="D1334" s="242"/>
      <c r="E1334" s="242"/>
      <c r="F1334" s="242"/>
      <c r="G1334" s="242"/>
      <c r="H1334" s="242"/>
      <c r="I1334" s="242"/>
      <c r="J1334" s="242"/>
      <c r="K1334" s="242"/>
      <c r="L1334" s="242"/>
      <c r="M1334" s="242"/>
      <c r="N1334" s="242"/>
      <c r="O1334" s="242"/>
      <c r="P1334" s="242"/>
      <c r="Q1334" s="304" t="str">
        <f>Preferences.weight</f>
        <v>Gt</v>
      </c>
      <c r="R1334" s="242"/>
      <c r="T1334" s="179"/>
      <c r="U1334" s="179"/>
      <c r="W1334" s="179"/>
      <c r="X1334" s="179"/>
    </row>
    <row r="1335" spans="1:24" s="65" customFormat="1" ht="15" customHeight="1" outlineLevel="2">
      <c r="A1335" s="219"/>
      <c r="B1335" s="242"/>
      <c r="C1335" s="242"/>
      <c r="D1335" s="242"/>
      <c r="E1335" s="242"/>
      <c r="F1335" s="242"/>
      <c r="G1335" s="242"/>
      <c r="H1335" s="242"/>
      <c r="I1335" s="242"/>
      <c r="J1335" s="242"/>
      <c r="K1335" s="242"/>
      <c r="L1335" s="242"/>
      <c r="M1335" s="242"/>
      <c r="N1335" s="242"/>
      <c r="O1335" s="242"/>
      <c r="P1335" s="242"/>
      <c r="Q1335" s="248"/>
      <c r="R1335" s="242"/>
      <c r="S1335" s="179"/>
      <c r="T1335" s="179"/>
      <c r="V1335" s="179"/>
      <c r="W1335" s="179"/>
    </row>
    <row r="1336" spans="1:24" s="65" customFormat="1" ht="15" customHeight="1" outlineLevel="2">
      <c r="A1336" s="219"/>
      <c r="B1336" s="242"/>
      <c r="C1336" s="258" t="s">
        <v>454</v>
      </c>
      <c r="D1336" s="258" t="s">
        <v>241</v>
      </c>
      <c r="E1336" s="258" t="s">
        <v>394</v>
      </c>
      <c r="F1336" s="258" t="s">
        <v>274</v>
      </c>
      <c r="G1336" s="258" t="s">
        <v>509</v>
      </c>
      <c r="H1336" s="258" t="s">
        <v>510</v>
      </c>
      <c r="I1336" s="258" t="s">
        <v>1107</v>
      </c>
      <c r="J1336" s="258" t="s">
        <v>210</v>
      </c>
      <c r="K1336" s="258" t="s">
        <v>211</v>
      </c>
      <c r="L1336" s="258" t="s">
        <v>212</v>
      </c>
      <c r="M1336" s="258" t="s">
        <v>213</v>
      </c>
      <c r="N1336" s="258" t="s">
        <v>214</v>
      </c>
      <c r="O1336" s="258" t="s">
        <v>215</v>
      </c>
      <c r="P1336" s="258" t="s">
        <v>216</v>
      </c>
      <c r="Q1336" s="258" t="s">
        <v>217</v>
      </c>
      <c r="R1336" s="242"/>
      <c r="S1336" s="179"/>
      <c r="T1336" s="179" t="str">
        <f>$T$6</f>
        <v>Source</v>
      </c>
      <c r="U1336" s="179" t="str">
        <f>$U$6</f>
        <v>Link</v>
      </c>
      <c r="V1336" s="179" t="str">
        <f>$V$6</f>
        <v>Risk (Green, Amber/Green, Amber, Red/Amber, Red)</v>
      </c>
      <c r="W1336" s="179" t="s">
        <v>869</v>
      </c>
      <c r="X1336" s="179" t="str">
        <f>$X$6</f>
        <v>Comment author</v>
      </c>
    </row>
    <row r="1337" spans="1:24" s="65" customFormat="1" ht="15" customHeight="1" outlineLevel="2">
      <c r="A1337" s="285"/>
      <c r="B1337" s="242"/>
      <c r="C1337" s="121"/>
      <c r="D1337" s="121" t="s">
        <v>1377</v>
      </c>
      <c r="E1337" s="121"/>
      <c r="F1337" s="121" t="s">
        <v>1396</v>
      </c>
      <c r="G1337" s="121"/>
      <c r="H1337" s="121"/>
      <c r="I1337" s="305">
        <f t="shared" ref="I1337:Q1337" ca="1" si="65">SUMPRODUCT($L1096:$L1105,I1282:I1291)*I1314*I1315*(1-I1316)</f>
        <v>1.0726169999999999</v>
      </c>
      <c r="J1337" s="305">
        <f t="shared" ca="1" si="65"/>
        <v>1.066870013806706</v>
      </c>
      <c r="K1337" s="305">
        <f t="shared" ca="1" si="65"/>
        <v>1.0592080650887572</v>
      </c>
      <c r="L1337" s="305">
        <f t="shared" ca="1" si="65"/>
        <v>1.051014765285996</v>
      </c>
      <c r="M1337" s="305">
        <f t="shared" ca="1" si="65"/>
        <v>1.042290114398422</v>
      </c>
      <c r="N1337" s="305">
        <f t="shared" ca="1" si="65"/>
        <v>1.0330341124260354</v>
      </c>
      <c r="O1337" s="305">
        <f t="shared" ca="1" si="65"/>
        <v>1.0232467593688364</v>
      </c>
      <c r="P1337" s="305">
        <f t="shared" ca="1" si="65"/>
        <v>1.0129280552268247</v>
      </c>
      <c r="Q1337" s="305">
        <f t="shared" ca="1" si="65"/>
        <v>1.002078</v>
      </c>
      <c r="R1337" s="242"/>
      <c r="S1337" s="179"/>
      <c r="T1337" s="179"/>
      <c r="V1337" s="179"/>
      <c r="W1337" s="179"/>
    </row>
    <row r="1338" spans="1:24" s="65" customFormat="1" ht="15" customHeight="1" outlineLevel="2">
      <c r="A1338" s="285"/>
      <c r="B1338" s="242"/>
      <c r="C1338" s="121"/>
      <c r="D1338" s="121" t="s">
        <v>2185</v>
      </c>
      <c r="E1338" s="121"/>
      <c r="F1338" s="121" t="s">
        <v>1396</v>
      </c>
      <c r="G1338" s="121"/>
      <c r="H1338" s="121"/>
      <c r="I1338" s="305">
        <f ca="1">SUMPRODUCT($L1096:$L1105,I1282:I1291)*I1314*I1315*(1-I1316)*0</f>
        <v>0</v>
      </c>
      <c r="J1338" s="305">
        <f t="shared" ref="J1338:Q1338" ca="1" si="66">SUMPRODUCT($L1096:$L1105,J1282:J1291)*J1314*J1315*(1-J1316)*0</f>
        <v>0</v>
      </c>
      <c r="K1338" s="305">
        <f t="shared" ca="1" si="66"/>
        <v>0</v>
      </c>
      <c r="L1338" s="305">
        <f t="shared" ca="1" si="66"/>
        <v>0</v>
      </c>
      <c r="M1338" s="305">
        <f t="shared" ca="1" si="66"/>
        <v>0</v>
      </c>
      <c r="N1338" s="305">
        <f t="shared" ca="1" si="66"/>
        <v>0</v>
      </c>
      <c r="O1338" s="305">
        <f t="shared" ca="1" si="66"/>
        <v>0</v>
      </c>
      <c r="P1338" s="305">
        <f t="shared" ca="1" si="66"/>
        <v>0</v>
      </c>
      <c r="Q1338" s="305">
        <f t="shared" ca="1" si="66"/>
        <v>0</v>
      </c>
      <c r="R1338" s="242"/>
      <c r="S1338" s="179"/>
      <c r="T1338" s="179"/>
      <c r="V1338" s="179"/>
      <c r="W1338" s="179"/>
    </row>
    <row r="1339" spans="1:24" s="65" customFormat="1" ht="15" customHeight="1" outlineLevel="2">
      <c r="A1339" s="285"/>
      <c r="B1339" s="242"/>
      <c r="C1339" s="121"/>
      <c r="D1339" s="121" t="s">
        <v>1380</v>
      </c>
      <c r="E1339" s="121"/>
      <c r="F1339" s="121" t="s">
        <v>1396</v>
      </c>
      <c r="G1339" s="121"/>
      <c r="H1339" s="121"/>
      <c r="I1339" s="305">
        <f t="shared" ref="I1339:Q1339" ca="1" si="67">SUMPRODUCT($L1096:$L1105,I1282:I1291)*I1314*I1315*I1316</f>
        <v>0.445683</v>
      </c>
      <c r="J1339" s="305">
        <f t="shared" ca="1" si="67"/>
        <v>0.46700229388560155</v>
      </c>
      <c r="K1339" s="305">
        <f t="shared" ca="1" si="67"/>
        <v>0.49412962721893477</v>
      </c>
      <c r="L1339" s="305">
        <f t="shared" ca="1" si="67"/>
        <v>0.52178831163708084</v>
      </c>
      <c r="M1339" s="305">
        <f t="shared" ca="1" si="67"/>
        <v>0.54997834714003935</v>
      </c>
      <c r="N1339" s="305">
        <f t="shared" ca="1" si="67"/>
        <v>0.57869973372781069</v>
      </c>
      <c r="O1339" s="305">
        <f t="shared" ca="1" si="67"/>
        <v>0.60795247140039455</v>
      </c>
      <c r="P1339" s="305">
        <f t="shared" ca="1" si="67"/>
        <v>0.63773656015779101</v>
      </c>
      <c r="Q1339" s="305">
        <f t="shared" ca="1" si="67"/>
        <v>0.66805200000000009</v>
      </c>
      <c r="R1339" s="242"/>
      <c r="S1339" s="179"/>
      <c r="T1339" s="179"/>
      <c r="V1339" s="179"/>
      <c r="W1339" s="179"/>
    </row>
    <row r="1340" spans="1:24" s="65" customFormat="1" ht="15" customHeight="1" outlineLevel="2">
      <c r="A1340" s="285"/>
      <c r="B1340" s="242"/>
      <c r="C1340" s="121"/>
      <c r="D1340" s="121" t="s">
        <v>1625</v>
      </c>
      <c r="E1340" s="121"/>
      <c r="F1340" s="121" t="s">
        <v>1418</v>
      </c>
      <c r="G1340" s="121"/>
      <c r="H1340" s="121"/>
      <c r="I1340" s="305">
        <f t="shared" ref="I1340:Q1340" ca="1" si="68">I1341*$E1145/$E1146</f>
        <v>0.10017869700000002</v>
      </c>
      <c r="J1340" s="305">
        <f t="shared" ca="1" si="68"/>
        <v>0.10383562386838315</v>
      </c>
      <c r="K1340" s="305">
        <f t="shared" ca="1" si="68"/>
        <v>0.10848186201438555</v>
      </c>
      <c r="L1340" s="305">
        <f t="shared" ca="1" si="68"/>
        <v>0.11321152189430282</v>
      </c>
      <c r="M1340" s="305">
        <f t="shared" ca="1" si="68"/>
        <v>0.1180246035081351</v>
      </c>
      <c r="N1340" s="305">
        <f t="shared" ca="1" si="68"/>
        <v>0.12292110685588221</v>
      </c>
      <c r="O1340" s="305">
        <f t="shared" ca="1" si="68"/>
        <v>0.12790103193754435</v>
      </c>
      <c r="P1340" s="305">
        <f t="shared" ca="1" si="68"/>
        <v>0.13296437875312137</v>
      </c>
      <c r="Q1340" s="305">
        <f t="shared" ca="1" si="68"/>
        <v>0.13811114730261331</v>
      </c>
      <c r="R1340" s="242"/>
      <c r="S1340" s="179"/>
      <c r="T1340" s="179"/>
      <c r="V1340" s="179"/>
      <c r="W1340" s="179"/>
    </row>
    <row r="1341" spans="1:24" s="65" customFormat="1" ht="15" customHeight="1" outlineLevel="2">
      <c r="A1341" s="219"/>
      <c r="B1341" s="242"/>
      <c r="C1341" s="121"/>
      <c r="D1341" s="121" t="s">
        <v>1939</v>
      </c>
      <c r="E1341" s="121"/>
      <c r="F1341" s="121" t="s">
        <v>1418</v>
      </c>
      <c r="G1341" s="121"/>
      <c r="H1341" s="121"/>
      <c r="I1341" s="305">
        <f t="shared" ref="I1341:Q1341" ca="1" si="69">SUMPRODUCT($L1108:$L1118,I1292:I1302)*I1317*I1318*(1-I1319)</f>
        <v>4.4359989000000009E-2</v>
      </c>
      <c r="J1341" s="305">
        <f t="shared" ca="1" si="69"/>
        <v>4.5979307682646485E-2</v>
      </c>
      <c r="K1341" s="305">
        <f t="shared" ca="1" si="69"/>
        <v>4.8036701911362063E-2</v>
      </c>
      <c r="L1341" s="305">
        <f t="shared" ca="1" si="69"/>
        <v>5.0131036001641475E-2</v>
      </c>
      <c r="M1341" s="305">
        <f t="shared" ca="1" si="69"/>
        <v>5.226230995348477E-2</v>
      </c>
      <c r="N1341" s="305">
        <f t="shared" ca="1" si="69"/>
        <v>5.4430523766891878E-2</v>
      </c>
      <c r="O1341" s="305">
        <f t="shared" ca="1" si="69"/>
        <v>5.6635677441862882E-2</v>
      </c>
      <c r="P1341" s="305">
        <f t="shared" ca="1" si="69"/>
        <v>5.8877770978397713E-2</v>
      </c>
      <c r="Q1341" s="305">
        <f t="shared" ca="1" si="69"/>
        <v>6.1156804376496392E-2</v>
      </c>
      <c r="R1341" s="249"/>
      <c r="T1341" s="179"/>
      <c r="U1341" s="179"/>
      <c r="W1341" s="179"/>
      <c r="X1341" s="179"/>
    </row>
    <row r="1342" spans="1:24" s="65" customFormat="1" ht="15" customHeight="1" outlineLevel="2">
      <c r="A1342" s="219"/>
      <c r="B1342" s="242"/>
      <c r="C1342" s="121"/>
      <c r="D1342" s="121" t="s">
        <v>1940</v>
      </c>
      <c r="E1342" s="121"/>
      <c r="F1342" s="121" t="s">
        <v>1418</v>
      </c>
      <c r="G1342" s="121"/>
      <c r="H1342" s="121"/>
      <c r="I1342" s="305">
        <f t="shared" ref="I1342:Q1342" ca="1" si="70">SUMPRODUCT($L1108:$L1118,I1292:I1302)*I1317*I1318*I1319</f>
        <v>4.8301835812873305E-2</v>
      </c>
      <c r="J1342" s="305">
        <f t="shared" ca="1" si="70"/>
        <v>4.7632894820615258E-2</v>
      </c>
      <c r="K1342" s="305">
        <f t="shared" ca="1" si="70"/>
        <v>4.6763472704885255E-2</v>
      </c>
      <c r="L1342" s="305">
        <f t="shared" ca="1" si="70"/>
        <v>4.5857110727591389E-2</v>
      </c>
      <c r="M1342" s="305">
        <f t="shared" ca="1" si="70"/>
        <v>4.4913808888733669E-2</v>
      </c>
      <c r="N1342" s="305">
        <f t="shared" ca="1" si="70"/>
        <v>4.3933567188312095E-2</v>
      </c>
      <c r="O1342" s="305">
        <f t="shared" ca="1" si="70"/>
        <v>4.2916385626326679E-2</v>
      </c>
      <c r="P1342" s="305">
        <f t="shared" ca="1" si="70"/>
        <v>4.1862264202777395E-2</v>
      </c>
      <c r="Q1342" s="305">
        <f t="shared" ca="1" si="70"/>
        <v>4.0771202917664263E-2</v>
      </c>
      <c r="R1342" s="249"/>
      <c r="T1342" s="179"/>
      <c r="U1342" s="179"/>
      <c r="W1342" s="179"/>
      <c r="X1342" s="179"/>
    </row>
    <row r="1343" spans="1:24" s="65" customFormat="1" ht="15" customHeight="1" outlineLevel="2">
      <c r="A1343" s="219"/>
      <c r="B1343" s="242"/>
      <c r="C1343" s="121"/>
      <c r="D1343" s="121" t="s">
        <v>1961</v>
      </c>
      <c r="E1343" s="121"/>
      <c r="F1343" s="121" t="s">
        <v>1435</v>
      </c>
      <c r="G1343" s="121"/>
      <c r="H1343" s="121"/>
      <c r="I1343" s="408">
        <f t="shared" ref="I1343:Q1343" ca="1" si="71">SUM($L1121*I$1303)*$I$1320*$I$1321*(1-$I$1322)</f>
        <v>0.31954321918044004</v>
      </c>
      <c r="J1343" s="305">
        <f t="shared" ca="1" si="71"/>
        <v>0.32282058553100862</v>
      </c>
      <c r="K1343" s="305">
        <f t="shared" ca="1" si="71"/>
        <v>0.32691729346921938</v>
      </c>
      <c r="L1343" s="305">
        <f t="shared" ca="1" si="71"/>
        <v>0.3310140014074302</v>
      </c>
      <c r="M1343" s="305">
        <f t="shared" ca="1" si="71"/>
        <v>0.33511070934564097</v>
      </c>
      <c r="N1343" s="305">
        <f t="shared" ca="1" si="71"/>
        <v>0.33920741728385173</v>
      </c>
      <c r="O1343" s="305">
        <f t="shared" ca="1" si="71"/>
        <v>0.34330412522206255</v>
      </c>
      <c r="P1343" s="305">
        <f t="shared" ca="1" si="71"/>
        <v>0.34740083316027331</v>
      </c>
      <c r="Q1343" s="305">
        <f t="shared" ca="1" si="71"/>
        <v>0.35149754109848408</v>
      </c>
      <c r="R1343" s="249"/>
      <c r="T1343" s="179"/>
      <c r="U1343" s="179"/>
      <c r="W1343" s="179"/>
      <c r="X1343" s="179"/>
    </row>
    <row r="1344" spans="1:24" s="65" customFormat="1" ht="15" customHeight="1" outlineLevel="2">
      <c r="A1344" s="219"/>
      <c r="B1344" s="242"/>
      <c r="C1344" s="121"/>
      <c r="D1344" s="121" t="s">
        <v>1962</v>
      </c>
      <c r="E1344" s="121"/>
      <c r="F1344" s="121" t="s">
        <v>1435</v>
      </c>
      <c r="G1344" s="121"/>
      <c r="H1344" s="121"/>
      <c r="I1344" s="408">
        <f t="shared" ref="I1344:Q1344" ca="1" si="72">SUM($L1122*I$1303)*$I$1320*$I$1321*(1-$I$1322)</f>
        <v>0.163870192214286</v>
      </c>
      <c r="J1344" s="305">
        <f t="shared" ca="1" si="72"/>
        <v>0.16555091213443252</v>
      </c>
      <c r="K1344" s="305">
        <f t="shared" ca="1" si="72"/>
        <v>0.16765181203461565</v>
      </c>
      <c r="L1344" s="305">
        <f t="shared" ca="1" si="72"/>
        <v>0.16975271193479885</v>
      </c>
      <c r="M1344" s="305">
        <f t="shared" ca="1" si="72"/>
        <v>0.17185361183498199</v>
      </c>
      <c r="N1344" s="305">
        <f t="shared" ca="1" si="72"/>
        <v>0.17395451173516513</v>
      </c>
      <c r="O1344" s="305">
        <f t="shared" ca="1" si="72"/>
        <v>0.17605541163534832</v>
      </c>
      <c r="P1344" s="305">
        <f t="shared" ca="1" si="72"/>
        <v>0.17815631153553146</v>
      </c>
      <c r="Q1344" s="305">
        <f t="shared" ca="1" si="72"/>
        <v>0.18025721143571463</v>
      </c>
      <c r="R1344" s="249"/>
      <c r="T1344" s="179"/>
      <c r="U1344" s="179"/>
      <c r="W1344" s="179"/>
      <c r="X1344" s="179"/>
    </row>
    <row r="1345" spans="1:24" s="65" customFormat="1" ht="15" customHeight="1" outlineLevel="2">
      <c r="A1345" s="219"/>
      <c r="B1345" s="242"/>
      <c r="C1345" s="121"/>
      <c r="D1345" s="121" t="s">
        <v>1963</v>
      </c>
      <c r="E1345" s="121"/>
      <c r="F1345" s="121" t="s">
        <v>1435</v>
      </c>
      <c r="G1345" s="121"/>
      <c r="H1345" s="121"/>
      <c r="I1345" s="408">
        <f t="shared" ref="I1345:Q1346" ca="1" si="73">SUM($L1123*I$1303)*$I$1320*$I$1321*(1-$I$1322)</f>
        <v>5.8019539949628197E-2</v>
      </c>
      <c r="J1345" s="305">
        <f t="shared" ca="1" si="73"/>
        <v>5.8614612154239763E-2</v>
      </c>
      <c r="K1345" s="305">
        <f t="shared" ca="1" si="73"/>
        <v>5.9358452410004231E-2</v>
      </c>
      <c r="L1345" s="305">
        <f t="shared" ca="1" si="73"/>
        <v>6.0102292665768706E-2</v>
      </c>
      <c r="M1345" s="305">
        <f t="shared" ca="1" si="73"/>
        <v>6.0846132921533166E-2</v>
      </c>
      <c r="N1345" s="305">
        <f t="shared" ca="1" si="73"/>
        <v>6.1589973177297627E-2</v>
      </c>
      <c r="O1345" s="305">
        <f t="shared" ca="1" si="73"/>
        <v>6.2333813433062102E-2</v>
      </c>
      <c r="P1345" s="305">
        <f t="shared" ca="1" si="73"/>
        <v>6.3077653688826563E-2</v>
      </c>
      <c r="Q1345" s="305">
        <f t="shared" ca="1" si="73"/>
        <v>6.3821493944591023E-2</v>
      </c>
      <c r="R1345" s="249"/>
      <c r="T1345" s="179"/>
      <c r="U1345" s="179"/>
      <c r="W1345" s="179"/>
      <c r="X1345" s="179"/>
    </row>
    <row r="1346" spans="1:24" s="65" customFormat="1" ht="15" customHeight="1" outlineLevel="2">
      <c r="A1346" s="219"/>
      <c r="B1346" s="242"/>
      <c r="C1346" s="121"/>
      <c r="D1346" s="121" t="s">
        <v>1964</v>
      </c>
      <c r="E1346" s="121"/>
      <c r="F1346" s="121" t="s">
        <v>1435</v>
      </c>
      <c r="G1346" s="121"/>
      <c r="H1346" s="121"/>
      <c r="I1346" s="408">
        <f t="shared" ca="1" si="73"/>
        <v>0.1</v>
      </c>
      <c r="J1346" s="305">
        <f t="shared" ca="1" si="73"/>
        <v>0.10102564102564103</v>
      </c>
      <c r="K1346" s="305">
        <f t="shared" ca="1" si="73"/>
        <v>0.10230769230769231</v>
      </c>
      <c r="L1346" s="305">
        <f t="shared" ca="1" si="73"/>
        <v>0.1035897435897436</v>
      </c>
      <c r="M1346" s="305">
        <f t="shared" ca="1" si="73"/>
        <v>0.10487179487179488</v>
      </c>
      <c r="N1346" s="305">
        <f t="shared" ca="1" si="73"/>
        <v>0.10615384615384615</v>
      </c>
      <c r="O1346" s="305">
        <f t="shared" ca="1" si="73"/>
        <v>0.10743589743589746</v>
      </c>
      <c r="P1346" s="305">
        <f t="shared" ca="1" si="73"/>
        <v>0.10871794871794874</v>
      </c>
      <c r="Q1346" s="305">
        <f t="shared" ca="1" si="73"/>
        <v>0.11000000000000001</v>
      </c>
      <c r="R1346" s="249"/>
      <c r="T1346" s="179"/>
      <c r="U1346" s="179"/>
      <c r="W1346" s="179"/>
      <c r="X1346" s="179"/>
    </row>
    <row r="1347" spans="1:24" s="65" customFormat="1" ht="15" customHeight="1" outlineLevel="2">
      <c r="A1347" s="219"/>
      <c r="B1347" s="242"/>
      <c r="C1347" s="121"/>
      <c r="D1347" s="121" t="s">
        <v>1954</v>
      </c>
      <c r="E1347" s="121"/>
      <c r="F1347" s="121" t="s">
        <v>1447</v>
      </c>
      <c r="G1347" s="121"/>
      <c r="H1347" s="121"/>
      <c r="I1347" s="305">
        <f t="shared" ref="I1347:Q1347" ca="1" si="74">I1348*$E1152/$E1153</f>
        <v>0.186797304</v>
      </c>
      <c r="J1347" s="305">
        <f t="shared" ca="1" si="74"/>
        <v>0.18871317378461538</v>
      </c>
      <c r="K1347" s="305">
        <f t="shared" ca="1" si="74"/>
        <v>0.1911080110153846</v>
      </c>
      <c r="L1347" s="305">
        <f t="shared" ca="1" si="74"/>
        <v>0.19350284824615391</v>
      </c>
      <c r="M1347" s="305">
        <f t="shared" ca="1" si="74"/>
        <v>0.1958976854769231</v>
      </c>
      <c r="N1347" s="305">
        <f t="shared" ca="1" si="74"/>
        <v>0.19829252270769232</v>
      </c>
      <c r="O1347" s="305">
        <f t="shared" ca="1" si="74"/>
        <v>0.2006873599384616</v>
      </c>
      <c r="P1347" s="305">
        <f t="shared" ca="1" si="74"/>
        <v>0.20308219716923082</v>
      </c>
      <c r="Q1347" s="305">
        <f t="shared" ca="1" si="74"/>
        <v>0.20547703440000001</v>
      </c>
      <c r="R1347" s="249"/>
      <c r="T1347" s="179"/>
      <c r="U1347" s="179"/>
      <c r="W1347" s="179"/>
      <c r="X1347" s="179"/>
    </row>
    <row r="1348" spans="1:24" s="65" customFormat="1" ht="15" customHeight="1" outlineLevel="2">
      <c r="A1348" s="219"/>
      <c r="B1348" s="242"/>
      <c r="C1348" s="121"/>
      <c r="D1348" s="121" t="s">
        <v>1955</v>
      </c>
      <c r="E1348" s="121"/>
      <c r="F1348" s="121" t="s">
        <v>1447</v>
      </c>
      <c r="G1348" s="121"/>
      <c r="H1348" s="121"/>
      <c r="I1348" s="305">
        <f ca="1">SUM($L$1127*I$1304)*$I$1323*$I$1324*(1-$I$1325)</f>
        <v>0.40310187100000006</v>
      </c>
      <c r="J1348" s="305">
        <f t="shared" ref="J1348:Q1348" ca="1" si="75">SUM($L$1127*J$1304)*$I$1323*$I$1324*(1-$I$1325)</f>
        <v>0.40723624916410261</v>
      </c>
      <c r="K1348" s="305">
        <f t="shared" ca="1" si="75"/>
        <v>0.41240422186923081</v>
      </c>
      <c r="L1348" s="305">
        <f t="shared" ca="1" si="75"/>
        <v>0.41757219457435912</v>
      </c>
      <c r="M1348" s="305">
        <f t="shared" ca="1" si="75"/>
        <v>0.42274016727948727</v>
      </c>
      <c r="N1348" s="305">
        <f t="shared" ca="1" si="75"/>
        <v>0.42790813998461547</v>
      </c>
      <c r="O1348" s="305">
        <f t="shared" ca="1" si="75"/>
        <v>0.43307611268974372</v>
      </c>
      <c r="P1348" s="305">
        <f t="shared" ca="1" si="75"/>
        <v>0.43824408539487192</v>
      </c>
      <c r="Q1348" s="305">
        <f t="shared" ca="1" si="75"/>
        <v>0.44341205810000006</v>
      </c>
      <c r="R1348" s="249"/>
      <c r="T1348" s="179"/>
      <c r="U1348" s="179"/>
      <c r="W1348" s="179"/>
      <c r="X1348" s="179"/>
    </row>
    <row r="1349" spans="1:24" s="65" customFormat="1" ht="15" customHeight="1" outlineLevel="2">
      <c r="A1349" s="219"/>
      <c r="B1349" s="242"/>
      <c r="C1349" s="121"/>
      <c r="D1349" s="121" t="s">
        <v>1956</v>
      </c>
      <c r="E1349" s="121"/>
      <c r="F1349" s="121" t="s">
        <v>1447</v>
      </c>
      <c r="G1349" s="121"/>
      <c r="H1349" s="121"/>
      <c r="I1349" s="305">
        <f ca="1">SUM($L$1127*I$1304)*$I$1323*$I$1324*($I$1325)</f>
        <v>0.20804958999999998</v>
      </c>
      <c r="J1349" s="305">
        <f t="shared" ref="J1349:Q1349" ca="1" si="76">SUM($L$1127*J$1304)*$I$1323*$I$1324*($I$1325)</f>
        <v>0.21018343194871791</v>
      </c>
      <c r="K1349" s="305">
        <f t="shared" ca="1" si="76"/>
        <v>0.21285073438461538</v>
      </c>
      <c r="L1349" s="305">
        <f t="shared" ca="1" si="76"/>
        <v>0.21551803682051285</v>
      </c>
      <c r="M1349" s="305">
        <f t="shared" ca="1" si="76"/>
        <v>0.21818533925641026</v>
      </c>
      <c r="N1349" s="305">
        <f t="shared" ca="1" si="76"/>
        <v>0.2208526416923077</v>
      </c>
      <c r="O1349" s="305">
        <f t="shared" ca="1" si="76"/>
        <v>0.22351994412820514</v>
      </c>
      <c r="P1349" s="305">
        <f t="shared" ca="1" si="76"/>
        <v>0.22618724656410258</v>
      </c>
      <c r="Q1349" s="305">
        <f t="shared" ca="1" si="76"/>
        <v>0.22885454899999999</v>
      </c>
      <c r="R1349" s="249"/>
      <c r="T1349" s="179"/>
      <c r="U1349" s="179"/>
      <c r="W1349" s="179"/>
      <c r="X1349" s="179"/>
    </row>
    <row r="1350" spans="1:24" s="65" customFormat="1" ht="15" customHeight="1" outlineLevel="2">
      <c r="A1350" s="219"/>
      <c r="B1350" s="242"/>
      <c r="C1350" s="121"/>
      <c r="D1350" s="121" t="s">
        <v>1426</v>
      </c>
      <c r="E1350" s="121"/>
      <c r="F1350" s="121" t="s">
        <v>1426</v>
      </c>
      <c r="G1350" s="121"/>
      <c r="H1350" s="121"/>
      <c r="I1350" s="305">
        <f t="shared" ref="I1350:Q1350" ca="1" si="77">I1305*SUM($L1131)*I1326*I1327*(1-I1328)</f>
        <v>3.6303640407050004</v>
      </c>
      <c r="J1350" s="305">
        <f t="shared" ca="1" si="77"/>
        <v>3.5171329624071404</v>
      </c>
      <c r="K1350" s="305">
        <f t="shared" ca="1" si="77"/>
        <v>3.371297825729247</v>
      </c>
      <c r="L1350" s="305">
        <f t="shared" ca="1" si="77"/>
        <v>3.2206890348229456</v>
      </c>
      <c r="M1350" s="305">
        <f t="shared" ca="1" si="77"/>
        <v>3.0653065896882343</v>
      </c>
      <c r="N1350" s="305">
        <f t="shared" ca="1" si="77"/>
        <v>2.9051504903251142</v>
      </c>
      <c r="O1350" s="305">
        <f t="shared" ca="1" si="77"/>
        <v>2.7402207367335851</v>
      </c>
      <c r="P1350" s="305">
        <f t="shared" ca="1" si="77"/>
        <v>2.5705173289136476</v>
      </c>
      <c r="Q1350" s="305">
        <f t="shared" ca="1" si="77"/>
        <v>2.3960402668653003</v>
      </c>
      <c r="R1350" s="249"/>
      <c r="T1350" s="179"/>
      <c r="U1350" s="179"/>
      <c r="W1350" s="179"/>
      <c r="X1350" s="179"/>
    </row>
    <row r="1351" spans="1:24" s="65" customFormat="1" ht="15" customHeight="1" outlineLevel="2" thickBot="1">
      <c r="A1351" s="219"/>
      <c r="B1351" s="242"/>
      <c r="C1351" s="162"/>
      <c r="D1351" s="162" t="s">
        <v>1457</v>
      </c>
      <c r="E1351" s="162"/>
      <c r="F1351" s="162" t="s">
        <v>1457</v>
      </c>
      <c r="G1351" s="162"/>
      <c r="H1351" s="162"/>
      <c r="I1351" s="306">
        <f t="shared" ref="I1351:Q1351" ca="1" si="78">$E1156*SUM(I1337:I1350)/SUM($I$1337:$I$1350)</f>
        <v>1</v>
      </c>
      <c r="J1351" s="306">
        <f t="shared" ca="1" si="78"/>
        <v>0.98845452151403523</v>
      </c>
      <c r="K1351" s="306">
        <f t="shared" ca="1" si="78"/>
        <v>0.97340015754781861</v>
      </c>
      <c r="L1351" s="306">
        <f t="shared" ca="1" si="78"/>
        <v>0.95765410929409023</v>
      </c>
      <c r="M1351" s="306">
        <f t="shared" ca="1" si="78"/>
        <v>0.94121637675284986</v>
      </c>
      <c r="N1351" s="306">
        <f t="shared" ca="1" si="78"/>
        <v>0.9240869599240974</v>
      </c>
      <c r="O1351" s="306">
        <f t="shared" ca="1" si="78"/>
        <v>0.90626585880783339</v>
      </c>
      <c r="P1351" s="306">
        <f t="shared" ca="1" si="78"/>
        <v>0.88775307340405729</v>
      </c>
      <c r="Q1351" s="306">
        <f t="shared" ca="1" si="78"/>
        <v>0.86854860371276921</v>
      </c>
      <c r="R1351" s="249"/>
      <c r="T1351" s="179"/>
      <c r="U1351" s="179"/>
      <c r="W1351" s="179"/>
      <c r="X1351" s="179"/>
    </row>
    <row r="1352" spans="1:24" s="65" customFormat="1" ht="15" customHeight="1" outlineLevel="2">
      <c r="A1352" s="219"/>
      <c r="B1352" s="242"/>
      <c r="C1352" s="409" t="s">
        <v>375</v>
      </c>
      <c r="D1352" s="409"/>
      <c r="E1352" s="409"/>
      <c r="F1352" s="409"/>
      <c r="G1352" s="409"/>
      <c r="H1352" s="409"/>
      <c r="I1352" s="410">
        <f ca="1">SUBTOTAL(109,G.30.assumptions.MaterialDemandAfterMaterialsProductionEfficiency[2011])</f>
        <v>7.7808862788622282</v>
      </c>
      <c r="J1352" s="410">
        <f ca="1">SUBTOTAL(109,G.30.assumptions.MaterialDemandAfterMaterialsProductionEfficiency[2015])</f>
        <v>7.691052223727886</v>
      </c>
      <c r="K1352" s="410">
        <f ca="1">SUBTOTAL(109,G.30.assumptions.MaterialDemandAfterMaterialsProductionEfficiency[2020])</f>
        <v>7.5739159297061533</v>
      </c>
      <c r="L1352" s="410">
        <f ca="1">SUBTOTAL(109,G.30.assumptions.MaterialDemandAfterMaterialsProductionEfficiency[2025])</f>
        <v>7.451397718902415</v>
      </c>
      <c r="M1352" s="410">
        <f ca="1">SUBTOTAL(109,G.30.assumptions.MaterialDemandAfterMaterialsProductionEfficiency[2030])</f>
        <v>7.3234975913166709</v>
      </c>
      <c r="N1352" s="410">
        <f ca="1">SUBTOTAL(109,G.30.assumptions.MaterialDemandAfterMaterialsProductionEfficiency[2035])</f>
        <v>7.1902155469489193</v>
      </c>
      <c r="O1352" s="410">
        <f ca="1">SUBTOTAL(109,G.30.assumptions.MaterialDemandAfterMaterialsProductionEfficiency[2040])</f>
        <v>7.0515515857991637</v>
      </c>
      <c r="P1352" s="410">
        <f ca="1">SUBTOTAL(109,G.30.assumptions.MaterialDemandAfterMaterialsProductionEfficiency[2045])</f>
        <v>6.9075057078674016</v>
      </c>
      <c r="Q1352" s="410">
        <f ca="1">SUBTOTAL(109,G.30.assumptions.MaterialDemandAfterMaterialsProductionEfficiency[2050])</f>
        <v>6.7580779131536328</v>
      </c>
      <c r="R1352" s="249"/>
      <c r="T1352" s="179"/>
      <c r="U1352" s="179"/>
      <c r="W1352" s="179"/>
      <c r="X1352" s="179"/>
    </row>
    <row r="1353" spans="1:24" s="65" customFormat="1" ht="15" customHeight="1" outlineLevel="2">
      <c r="A1353" s="219"/>
      <c r="B1353" s="242"/>
      <c r="C1353" s="248"/>
      <c r="D1353" s="242"/>
      <c r="E1353" s="242"/>
      <c r="F1353" s="242"/>
      <c r="G1353" s="242"/>
      <c r="H1353" s="242"/>
      <c r="I1353" s="242"/>
      <c r="J1353" s="249"/>
      <c r="K1353" s="249"/>
      <c r="L1353" s="249"/>
      <c r="M1353" s="249"/>
      <c r="N1353" s="249"/>
      <c r="O1353" s="249"/>
      <c r="P1353" s="249"/>
      <c r="Q1353" s="249"/>
      <c r="R1353" s="242"/>
      <c r="T1353" s="179"/>
      <c r="U1353" s="179"/>
      <c r="W1353" s="179"/>
      <c r="X1353" s="179"/>
    </row>
    <row r="1354" spans="1:24" s="65" customFormat="1" ht="15" customHeight="1" outlineLevel="2">
      <c r="A1354" s="219"/>
      <c r="B1354" s="242"/>
      <c r="C1354" s="248" t="s">
        <v>1653</v>
      </c>
      <c r="D1354" s="242"/>
      <c r="E1354" s="242"/>
      <c r="F1354" s="242"/>
      <c r="G1354" s="242"/>
      <c r="H1354" s="242"/>
      <c r="I1354" s="242"/>
      <c r="J1354" s="242"/>
      <c r="K1354" s="242"/>
      <c r="L1354" s="242"/>
      <c r="M1354" s="242"/>
      <c r="N1354" s="242"/>
      <c r="O1354" s="242"/>
      <c r="P1354" s="242"/>
      <c r="Q1354" s="242" t="s">
        <v>511</v>
      </c>
      <c r="R1354" s="242"/>
      <c r="T1354" s="179"/>
      <c r="U1354" s="179"/>
      <c r="W1354" s="179"/>
      <c r="X1354" s="179"/>
    </row>
    <row r="1355" spans="1:24" s="65" customFormat="1" ht="15" customHeight="1" outlineLevel="2">
      <c r="A1355" s="219"/>
      <c r="B1355" s="242"/>
      <c r="C1355" s="248"/>
      <c r="D1355" s="242"/>
      <c r="E1355" s="242"/>
      <c r="F1355" s="242"/>
      <c r="G1355" s="242"/>
      <c r="H1355" s="242"/>
      <c r="I1355" s="242"/>
      <c r="J1355" s="242"/>
      <c r="K1355" s="242"/>
      <c r="L1355" s="242"/>
      <c r="M1355" s="242"/>
      <c r="N1355" s="242"/>
      <c r="O1355" s="242"/>
      <c r="P1355" s="242"/>
      <c r="Q1355" s="242"/>
      <c r="R1355" s="242"/>
      <c r="S1355" s="179"/>
      <c r="T1355" s="179"/>
      <c r="V1355" s="179"/>
      <c r="W1355" s="179"/>
    </row>
    <row r="1356" spans="1:24" s="65" customFormat="1" ht="15" customHeight="1" outlineLevel="2">
      <c r="A1356" s="285"/>
      <c r="B1356" s="242"/>
      <c r="C1356" s="252" t="s">
        <v>454</v>
      </c>
      <c r="D1356" s="252" t="s">
        <v>241</v>
      </c>
      <c r="E1356" s="252"/>
      <c r="F1356" s="252" t="s">
        <v>274</v>
      </c>
      <c r="G1356" s="252" t="s">
        <v>509</v>
      </c>
      <c r="H1356" s="252" t="s">
        <v>510</v>
      </c>
      <c r="I1356" s="252" t="s">
        <v>1107</v>
      </c>
      <c r="J1356" s="252" t="s">
        <v>210</v>
      </c>
      <c r="K1356" s="252" t="s">
        <v>211</v>
      </c>
      <c r="L1356" s="252" t="s">
        <v>212</v>
      </c>
      <c r="M1356" s="252" t="s">
        <v>213</v>
      </c>
      <c r="N1356" s="252" t="s">
        <v>214</v>
      </c>
      <c r="O1356" s="252" t="s">
        <v>215</v>
      </c>
      <c r="P1356" s="252" t="s">
        <v>216</v>
      </c>
      <c r="Q1356" s="252" t="s">
        <v>217</v>
      </c>
      <c r="R1356" s="242"/>
      <c r="S1356" s="179"/>
      <c r="T1356" s="179" t="str">
        <f>$T$6</f>
        <v>Source</v>
      </c>
      <c r="U1356" s="179" t="str">
        <f>$U$6</f>
        <v>Link</v>
      </c>
      <c r="V1356" s="179" t="str">
        <f>$V$6</f>
        <v>Risk (Green, Amber/Green, Amber, Red/Amber, Red)</v>
      </c>
      <c r="W1356" s="179" t="s">
        <v>869</v>
      </c>
      <c r="X1356" s="179" t="str">
        <f>$X$6</f>
        <v>Comment author</v>
      </c>
    </row>
    <row r="1357" spans="1:24" s="65" customFormat="1" ht="15" customHeight="1" outlineLevel="2">
      <c r="A1357" s="285"/>
      <c r="B1357" s="242"/>
      <c r="C1357" s="121"/>
      <c r="D1357" s="121" t="s">
        <v>1637</v>
      </c>
      <c r="E1357" s="121"/>
      <c r="F1357" s="121"/>
      <c r="G1357" s="121"/>
      <c r="H1357" s="121"/>
      <c r="I1357" s="411">
        <f t="shared" ref="I1357:Q1357" ca="1" si="79">(SUM($E$1143:$E$1144)-SUM(I1337:I1339))/SUM($E$1143:$E$1144)</f>
        <v>0</v>
      </c>
      <c r="J1357" s="287">
        <f t="shared" ca="1" si="79"/>
        <v>-1.0256410256410164E-2</v>
      </c>
      <c r="K1357" s="287">
        <f t="shared" ca="1" si="79"/>
        <v>-2.3076923076922905E-2</v>
      </c>
      <c r="L1357" s="287">
        <f t="shared" ca="1" si="79"/>
        <v>-3.5897435897435791E-2</v>
      </c>
      <c r="M1357" s="287">
        <f t="shared" ca="1" si="79"/>
        <v>-4.8717948717948684E-2</v>
      </c>
      <c r="N1357" s="287">
        <f t="shared" ca="1" si="79"/>
        <v>-6.153846153846157E-2</v>
      </c>
      <c r="O1357" s="287">
        <f t="shared" ca="1" si="79"/>
        <v>-7.4358974358974456E-2</v>
      </c>
      <c r="P1357" s="287">
        <f t="shared" ca="1" si="79"/>
        <v>-8.7179487179487342E-2</v>
      </c>
      <c r="Q1357" s="287">
        <f t="shared" ca="1" si="79"/>
        <v>-0.10000000000000009</v>
      </c>
      <c r="R1357" s="242"/>
      <c r="S1357" s="179"/>
      <c r="T1357" s="179"/>
      <c r="V1357" s="179"/>
      <c r="W1357" s="179"/>
    </row>
    <row r="1358" spans="1:24" s="65" customFormat="1" ht="15" customHeight="1" outlineLevel="2">
      <c r="A1358" s="285"/>
      <c r="B1358" s="242"/>
      <c r="C1358" s="121"/>
      <c r="D1358" s="121" t="s">
        <v>1418</v>
      </c>
      <c r="E1358" s="121"/>
      <c r="F1358" s="121"/>
      <c r="G1358" s="121"/>
      <c r="H1358" s="121"/>
      <c r="I1358" s="411">
        <f ca="1">(SUM($E$1145:$E$1147)-SUM(I1340:I1342))/SUM($E$1145:$E$1147)</f>
        <v>-1.4393020385291269E-16</v>
      </c>
      <c r="J1358" s="287">
        <f t="shared" ref="J1358:Q1358" ca="1" si="80">(SUM($E$1146:$E$1147)-SUM(J1341:J1342))/SUM($E$1146:$E$1147)</f>
        <v>-1.0256410256410246E-2</v>
      </c>
      <c r="K1358" s="287">
        <f t="shared" ca="1" si="80"/>
        <v>-2.3076923076923276E-2</v>
      </c>
      <c r="L1358" s="287">
        <f t="shared" ca="1" si="80"/>
        <v>-3.5897435897436013E-2</v>
      </c>
      <c r="M1358" s="287">
        <f t="shared" ca="1" si="80"/>
        <v>-4.8717948717949044E-2</v>
      </c>
      <c r="N1358" s="287">
        <f t="shared" ca="1" si="80"/>
        <v>-6.1538461538461625E-2</v>
      </c>
      <c r="O1358" s="287">
        <f t="shared" ca="1" si="80"/>
        <v>-7.4358974358974803E-2</v>
      </c>
      <c r="P1358" s="287">
        <f t="shared" ca="1" si="80"/>
        <v>-8.7179487179487536E-2</v>
      </c>
      <c r="Q1358" s="287">
        <f t="shared" ca="1" si="80"/>
        <v>-0.10000000000000027</v>
      </c>
      <c r="R1358" s="242"/>
      <c r="S1358" s="179"/>
      <c r="T1358" s="179"/>
      <c r="V1358" s="179"/>
      <c r="W1358" s="179"/>
    </row>
    <row r="1359" spans="1:24" s="65" customFormat="1" ht="15" customHeight="1" outlineLevel="2">
      <c r="A1359" s="285"/>
      <c r="B1359" s="242"/>
      <c r="C1359" s="121"/>
      <c r="D1359" s="121" t="s">
        <v>1435</v>
      </c>
      <c r="E1359" s="121"/>
      <c r="F1359" s="121"/>
      <c r="G1359" s="121"/>
      <c r="H1359" s="121"/>
      <c r="I1359" s="411">
        <f t="shared" ref="I1359:Q1359" ca="1" si="81">(SUM($E$1148:$E$1151)-SUM(I1343:I1346))/SUM($E$1148:$E$1151)</f>
        <v>0</v>
      </c>
      <c r="J1359" s="287">
        <f t="shared" ca="1" si="81"/>
        <v>-1.0256410256410258E-2</v>
      </c>
      <c r="K1359" s="287">
        <f t="shared" ca="1" si="81"/>
        <v>-2.3076923076923123E-2</v>
      </c>
      <c r="L1359" s="287">
        <f t="shared" ca="1" si="81"/>
        <v>-3.5897435897436158E-2</v>
      </c>
      <c r="M1359" s="287">
        <f t="shared" ca="1" si="81"/>
        <v>-4.871794871794885E-2</v>
      </c>
      <c r="N1359" s="287">
        <f t="shared" ca="1" si="81"/>
        <v>-6.1538461538461542E-2</v>
      </c>
      <c r="O1359" s="287">
        <f t="shared" ca="1" si="81"/>
        <v>-7.4358974358974581E-2</v>
      </c>
      <c r="P1359" s="287">
        <f t="shared" ca="1" si="81"/>
        <v>-8.7179487179487272E-2</v>
      </c>
      <c r="Q1359" s="287">
        <f t="shared" ca="1" si="81"/>
        <v>-0.10000000000000014</v>
      </c>
      <c r="R1359" s="242"/>
      <c r="S1359" s="179"/>
      <c r="T1359" s="179"/>
      <c r="V1359" s="179"/>
      <c r="W1359" s="179"/>
    </row>
    <row r="1360" spans="1:24" s="65" customFormat="1" ht="15" customHeight="1" outlineLevel="2">
      <c r="A1360" s="285"/>
      <c r="B1360" s="242"/>
      <c r="C1360" s="121"/>
      <c r="D1360" s="121" t="s">
        <v>1447</v>
      </c>
      <c r="E1360" s="121"/>
      <c r="F1360" s="121"/>
      <c r="G1360" s="121"/>
      <c r="H1360" s="121"/>
      <c r="I1360" s="411">
        <f t="shared" ref="I1360:Q1360" ca="1" si="82">(SUM($E$1152:$E$1154)-SUM(I1347:I1349))/SUM($E$1152:$E$1154)</f>
        <v>0</v>
      </c>
      <c r="J1360" s="287">
        <f t="shared" ca="1" si="82"/>
        <v>-1.025641025641027E-2</v>
      </c>
      <c r="K1360" s="287">
        <f t="shared" ca="1" si="82"/>
        <v>-2.307692307692304E-2</v>
      </c>
      <c r="L1360" s="287">
        <f t="shared" ca="1" si="82"/>
        <v>-3.5897435897436228E-2</v>
      </c>
      <c r="M1360" s="287">
        <f t="shared" ca="1" si="82"/>
        <v>-4.8717948717948857E-2</v>
      </c>
      <c r="N1360" s="287">
        <f t="shared" ca="1" si="82"/>
        <v>-6.1538461538461625E-2</v>
      </c>
      <c r="O1360" s="287">
        <f t="shared" ca="1" si="82"/>
        <v>-7.4358974358974678E-2</v>
      </c>
      <c r="P1360" s="287">
        <f t="shared" ca="1" si="82"/>
        <v>-8.7179487179487439E-2</v>
      </c>
      <c r="Q1360" s="287">
        <f t="shared" ca="1" si="82"/>
        <v>-0.10000000000000007</v>
      </c>
      <c r="R1360" s="242"/>
      <c r="S1360" s="179"/>
      <c r="T1360" s="179"/>
      <c r="V1360" s="179"/>
      <c r="W1360" s="179"/>
    </row>
    <row r="1361" spans="1:24" s="65" customFormat="1" ht="15" customHeight="1" outlineLevel="2">
      <c r="A1361" s="285"/>
      <c r="B1361" s="242"/>
      <c r="C1361" s="121"/>
      <c r="D1361" s="121" t="s">
        <v>1426</v>
      </c>
      <c r="E1361" s="121"/>
      <c r="F1361" s="121"/>
      <c r="G1361" s="121"/>
      <c r="H1361" s="121"/>
      <c r="I1361" s="411">
        <f t="shared" ref="I1361:Q1361" ca="1" si="83">(SUM($E$1155)-SUM(I1350))/SUM($E$1155)</f>
        <v>0</v>
      </c>
      <c r="J1361" s="287">
        <f t="shared" ca="1" si="83"/>
        <v>3.1190006574621947E-2</v>
      </c>
      <c r="K1361" s="287">
        <f t="shared" ca="1" si="83"/>
        <v>7.1360946745562176E-2</v>
      </c>
      <c r="L1361" s="287">
        <f t="shared" ca="1" si="83"/>
        <v>0.11284681130834961</v>
      </c>
      <c r="M1361" s="287">
        <f t="shared" ca="1" si="83"/>
        <v>0.15564760026298477</v>
      </c>
      <c r="N1361" s="287">
        <f t="shared" ca="1" si="83"/>
        <v>0.19976331360946739</v>
      </c>
      <c r="O1361" s="287">
        <f t="shared" ca="1" si="83"/>
        <v>0.24519395134779745</v>
      </c>
      <c r="P1361" s="287">
        <f t="shared" ca="1" si="83"/>
        <v>0.29193951347797487</v>
      </c>
      <c r="Q1361" s="287">
        <f t="shared" ca="1" si="83"/>
        <v>0.34</v>
      </c>
      <c r="R1361" s="242"/>
      <c r="S1361" s="179"/>
      <c r="T1361" s="179"/>
      <c r="V1361" s="179"/>
      <c r="W1361" s="179"/>
    </row>
    <row r="1362" spans="1:24" s="65" customFormat="1" ht="15" customHeight="1" outlineLevel="2" thickBot="1">
      <c r="A1362" s="285"/>
      <c r="B1362" s="242"/>
      <c r="C1362" s="162"/>
      <c r="D1362" s="162" t="s">
        <v>1457</v>
      </c>
      <c r="E1362" s="162"/>
      <c r="F1362" s="162"/>
      <c r="G1362" s="162"/>
      <c r="H1362" s="162"/>
      <c r="I1362" s="412">
        <f t="shared" ref="I1362:Q1362" ca="1" si="84">(SUM($E$1156)-SUM(I1351))/SUM($E$1156)</f>
        <v>0</v>
      </c>
      <c r="J1362" s="288">
        <f t="shared" ca="1" si="84"/>
        <v>1.1545478485964766E-2</v>
      </c>
      <c r="K1362" s="288">
        <f t="shared" ca="1" si="84"/>
        <v>2.6599842452181388E-2</v>
      </c>
      <c r="L1362" s="288">
        <f t="shared" ca="1" si="84"/>
        <v>4.2345890705909772E-2</v>
      </c>
      <c r="M1362" s="288">
        <f t="shared" ca="1" si="84"/>
        <v>5.8783623247150141E-2</v>
      </c>
      <c r="N1362" s="288">
        <f t="shared" ca="1" si="84"/>
        <v>7.5913040075902605E-2</v>
      </c>
      <c r="O1362" s="288">
        <f t="shared" ca="1" si="84"/>
        <v>9.3734141192166609E-2</v>
      </c>
      <c r="P1362" s="288">
        <f t="shared" ca="1" si="84"/>
        <v>0.11224692659594271</v>
      </c>
      <c r="Q1362" s="288">
        <f t="shared" ca="1" si="84"/>
        <v>0.13145139628723079</v>
      </c>
      <c r="R1362" s="242"/>
      <c r="S1362" s="179"/>
      <c r="T1362" s="179"/>
      <c r="V1362" s="179"/>
      <c r="W1362" s="179"/>
    </row>
    <row r="1363" spans="1:24" s="65" customFormat="1" ht="15" customHeight="1" outlineLevel="2">
      <c r="A1363" s="219"/>
      <c r="B1363" s="242"/>
      <c r="C1363" s="121"/>
      <c r="D1363" s="121"/>
      <c r="E1363" s="121"/>
      <c r="F1363" s="121"/>
      <c r="G1363" s="121"/>
      <c r="H1363" s="121"/>
      <c r="I1363" s="121"/>
      <c r="J1363" s="121"/>
      <c r="K1363" s="121"/>
      <c r="L1363" s="121"/>
      <c r="M1363" s="121"/>
      <c r="N1363" s="121"/>
      <c r="O1363" s="121"/>
      <c r="P1363" s="121"/>
      <c r="Q1363" s="121"/>
      <c r="R1363" s="242"/>
      <c r="T1363" s="179"/>
      <c r="U1363" s="179"/>
      <c r="W1363" s="179"/>
      <c r="X1363" s="179"/>
    </row>
    <row r="1364" spans="1:24" s="65" customFormat="1" ht="15" customHeight="1" outlineLevel="2">
      <c r="A1364" s="219"/>
      <c r="B1364" s="242"/>
      <c r="C1364" s="248" t="s">
        <v>1965</v>
      </c>
      <c r="D1364" s="242"/>
      <c r="E1364" s="242"/>
      <c r="F1364" s="242"/>
      <c r="G1364" s="242"/>
      <c r="H1364" s="242"/>
      <c r="I1364" s="242"/>
      <c r="J1364" s="249"/>
      <c r="K1364" s="249"/>
      <c r="L1364" s="249"/>
      <c r="M1364" s="249"/>
      <c r="N1364" s="249"/>
      <c r="O1364" s="249"/>
      <c r="P1364" s="249"/>
      <c r="Q1364" s="304" t="str">
        <f>Preferences.energy</f>
        <v>EJ</v>
      </c>
      <c r="R1364" s="248"/>
      <c r="T1364" s="179"/>
      <c r="U1364" s="179"/>
      <c r="W1364" s="179"/>
      <c r="X1364" s="179"/>
    </row>
    <row r="1365" spans="1:24" s="65" customFormat="1" ht="15" customHeight="1" outlineLevel="2">
      <c r="A1365" s="219"/>
      <c r="B1365" s="242"/>
      <c r="C1365" s="248"/>
      <c r="D1365" s="242"/>
      <c r="E1365" s="242"/>
      <c r="F1365" s="242"/>
      <c r="G1365" s="242"/>
      <c r="H1365" s="256" t="s">
        <v>2186</v>
      </c>
      <c r="I1365" s="242"/>
      <c r="J1365" s="249"/>
      <c r="K1365" s="249"/>
      <c r="L1365" s="249"/>
      <c r="M1365" s="249"/>
      <c r="N1365" s="249"/>
      <c r="O1365" s="249"/>
      <c r="P1365" s="249"/>
      <c r="Q1365" s="249"/>
      <c r="R1365" s="248"/>
      <c r="S1365" s="179"/>
      <c r="T1365" s="179"/>
      <c r="V1365" s="179"/>
      <c r="W1365" s="179"/>
    </row>
    <row r="1366" spans="1:24" s="65" customFormat="1" ht="15" customHeight="1" outlineLevel="2">
      <c r="A1366" s="285"/>
      <c r="B1366" s="242"/>
      <c r="C1366" s="258" t="s">
        <v>454</v>
      </c>
      <c r="D1366" s="258" t="s">
        <v>241</v>
      </c>
      <c r="E1366" s="258" t="s">
        <v>598</v>
      </c>
      <c r="F1366" s="258" t="s">
        <v>274</v>
      </c>
      <c r="G1366" s="258" t="s">
        <v>509</v>
      </c>
      <c r="H1366" s="242" t="s">
        <v>510</v>
      </c>
      <c r="I1366" s="258" t="s">
        <v>1107</v>
      </c>
      <c r="J1366" s="258" t="s">
        <v>210</v>
      </c>
      <c r="K1366" s="258" t="s">
        <v>211</v>
      </c>
      <c r="L1366" s="258" t="s">
        <v>212</v>
      </c>
      <c r="M1366" s="258" t="s">
        <v>213</v>
      </c>
      <c r="N1366" s="258" t="s">
        <v>214</v>
      </c>
      <c r="O1366" s="258" t="s">
        <v>215</v>
      </c>
      <c r="P1366" s="258" t="s">
        <v>216</v>
      </c>
      <c r="Q1366" s="258" t="s">
        <v>217</v>
      </c>
      <c r="R1366" s="248"/>
      <c r="S1366" s="179"/>
      <c r="T1366" s="179" t="str">
        <f>$T$6</f>
        <v>Source</v>
      </c>
      <c r="U1366" s="179" t="str">
        <f>$U$6</f>
        <v>Link</v>
      </c>
      <c r="V1366" s="179" t="str">
        <f>$V$6</f>
        <v>Risk (Green, Amber/Green, Amber, Red/Amber, Red)</v>
      </c>
      <c r="W1366" s="179" t="s">
        <v>869</v>
      </c>
      <c r="X1366" s="179" t="str">
        <f>$X$6</f>
        <v>Comment author</v>
      </c>
    </row>
    <row r="1367" spans="1:24" s="65" customFormat="1" ht="15" customHeight="1" outlineLevel="2">
      <c r="A1367" s="285"/>
      <c r="B1367" s="242"/>
      <c r="C1367" s="251" t="s">
        <v>1376</v>
      </c>
      <c r="D1367" s="121" t="str">
        <f>INDEX(Regional.Technologies[Description],MATCH($B$2&amp;"."&amp;G.30.assumptions.EnergyDemandAfterProductManufacturingEfficiency[[#This Row],[Technology code]],Regional.Technologies[Code],0))</f>
        <v>Global Electricity use in the Oxygen steel technology</v>
      </c>
      <c r="E1367" s="242"/>
      <c r="F1367" s="121" t="s">
        <v>1396</v>
      </c>
      <c r="G1367" s="242" t="s">
        <v>1377</v>
      </c>
      <c r="H1367" s="251" t="s">
        <v>626</v>
      </c>
      <c r="I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2.3089557437005142</v>
      </c>
      <c r="J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2.296584564817489</v>
      </c>
      <c r="K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2.2800911654957865</v>
      </c>
      <c r="L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2.2624539598208386</v>
      </c>
      <c r="M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2.243672947792644</v>
      </c>
      <c r="N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2.223748129411204</v>
      </c>
      <c r="O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2.2026795046765182</v>
      </c>
      <c r="P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2.1804670735885865</v>
      </c>
      <c r="Q136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2.1571108361474076</v>
      </c>
      <c r="R1367" s="248"/>
      <c r="S1367" s="179"/>
      <c r="T1367" s="179"/>
      <c r="V1367" s="179"/>
      <c r="W1367" s="309">
        <f>LEN(C1367)-LEN(SUBSTITUTE(C1367,".",""))</f>
        <v>2</v>
      </c>
    </row>
    <row r="1368" spans="1:24" s="65" customFormat="1" ht="15" customHeight="1" outlineLevel="2">
      <c r="A1368" s="285"/>
      <c r="B1368" s="242"/>
      <c r="C1368" s="251" t="s">
        <v>1798</v>
      </c>
      <c r="D1368" s="121" t="str">
        <f>INDEX(Regional.Technologies[Description],MATCH($B$2&amp;"."&amp;G.30.assumptions.EnergyDemandAfterProductManufacturingEfficiency[[#This Row],[Technology code]],Regional.Technologies[Code],0))</f>
        <v>Global Coal use in the Oxygen steel technology</v>
      </c>
      <c r="E1368" s="242"/>
      <c r="F1368" s="121" t="s">
        <v>1396</v>
      </c>
      <c r="G1368" s="242" t="s">
        <v>1377</v>
      </c>
      <c r="H1368" s="251" t="s">
        <v>626</v>
      </c>
      <c r="I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12.81129672330511</v>
      </c>
      <c r="J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12.74265493841169</v>
      </c>
      <c r="K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12.651140913830327</v>
      </c>
      <c r="L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12.553280452066089</v>
      </c>
      <c r="M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12.449073553118973</v>
      </c>
      <c r="N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12.338520216988982</v>
      </c>
      <c r="O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12.22162044367612</v>
      </c>
      <c r="P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12.09837423318038</v>
      </c>
      <c r="Q136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11.968781585501759</v>
      </c>
      <c r="R1368" s="248"/>
      <c r="S1368" s="179"/>
      <c r="T1368" s="179"/>
      <c r="V1368" s="179"/>
      <c r="W1368" s="309" t="str">
        <f>SUBSTITUTE(C1367,".","|",W1367)</f>
        <v>Steel.Oxygen|Electricity</v>
      </c>
    </row>
    <row r="1369" spans="1:24" s="65" customFormat="1" ht="15" customHeight="1" outlineLevel="2">
      <c r="A1369" s="285"/>
      <c r="B1369" s="242"/>
      <c r="C1369" s="251" t="s">
        <v>1799</v>
      </c>
      <c r="D1369" s="121" t="str">
        <f>INDEX(Regional.Technologies[Description],MATCH($B$2&amp;"."&amp;G.30.assumptions.EnergyDemandAfterProductManufacturingEfficiency[[#This Row],[Technology code]],Regional.Technologies[Code],0))</f>
        <v>Global Oil use in the Oxygen steel technology</v>
      </c>
      <c r="E1369" s="242"/>
      <c r="F1369" s="121" t="s">
        <v>1396</v>
      </c>
      <c r="G1369" s="242" t="s">
        <v>1377</v>
      </c>
      <c r="H1369" s="251" t="s">
        <v>627</v>
      </c>
      <c r="I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0.6053795859240001</v>
      </c>
      <c r="J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0.60213601611109646</v>
      </c>
      <c r="K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0.59781165117725454</v>
      </c>
      <c r="L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0.5931873943903988</v>
      </c>
      <c r="M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0.58826324575052924</v>
      </c>
      <c r="N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0.58303920525764585</v>
      </c>
      <c r="O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0.57751527291174864</v>
      </c>
      <c r="P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0.57169144871283772</v>
      </c>
      <c r="Q136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0.56556773266091265</v>
      </c>
      <c r="R1369" s="248"/>
      <c r="S1369" s="179"/>
      <c r="T1369" s="179"/>
      <c r="V1369" s="179"/>
      <c r="W1369" s="309" t="str">
        <f>RIGHT(C1367,LEN(C1367)-FIND("|",W1368))</f>
        <v>Electricity</v>
      </c>
    </row>
    <row r="1370" spans="1:24" s="65" customFormat="1" ht="15" customHeight="1" outlineLevel="2">
      <c r="A1370" s="285"/>
      <c r="B1370" s="242"/>
      <c r="C1370" s="251" t="s">
        <v>1800</v>
      </c>
      <c r="D1370" s="121" t="str">
        <f>INDEX(Regional.Technologies[Description],MATCH($B$2&amp;"."&amp;G.30.assumptions.EnergyDemandAfterProductManufacturingEfficiency[[#This Row],[Technology code]],Regional.Technologies[Code],0))</f>
        <v>Global Natural Gas use in the Oxygen steel technology</v>
      </c>
      <c r="E1370" s="242"/>
      <c r="F1370" s="121" t="s">
        <v>1396</v>
      </c>
      <c r="G1370" s="242" t="s">
        <v>1377</v>
      </c>
      <c r="H1370" s="251" t="s">
        <v>628</v>
      </c>
      <c r="I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1.0517591114635876</v>
      </c>
      <c r="J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1.0461238799762511</v>
      </c>
      <c r="K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1.0386109239298065</v>
      </c>
      <c r="L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1.0305769493419461</v>
      </c>
      <c r="M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1.02202195621267</v>
      </c>
      <c r="N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1.0129459445419779</v>
      </c>
      <c r="O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1.0033489143298706</v>
      </c>
      <c r="P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0.99323086557634732</v>
      </c>
      <c r="Q137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0.98259179828140797</v>
      </c>
      <c r="R1370" s="248"/>
      <c r="S1370" s="179"/>
      <c r="T1370" s="179"/>
      <c r="V1370" s="179"/>
      <c r="W1370" s="179"/>
    </row>
    <row r="1371" spans="1:24" s="65" customFormat="1" ht="15" customHeight="1" outlineLevel="2">
      <c r="A1371" s="285"/>
      <c r="B1371" s="242"/>
      <c r="C1371" s="251" t="s">
        <v>1802</v>
      </c>
      <c r="D1371" s="121" t="str">
        <f>INDEX(Regional.Technologies[Description],MATCH($B$2&amp;"."&amp;G.30.assumptions.EnergyDemandAfterProductManufacturingEfficiency[[#This Row],[Technology code]],Regional.Technologies[Code],0))</f>
        <v>Global Solid Hydrocarbons use in the Oxygen steel technology</v>
      </c>
      <c r="E1371" s="242"/>
      <c r="F1371" s="121" t="s">
        <v>1396</v>
      </c>
      <c r="G1371" s="242" t="s">
        <v>1377</v>
      </c>
      <c r="H1371" s="251" t="s">
        <v>370</v>
      </c>
      <c r="I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0.17590630860000006</v>
      </c>
      <c r="J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0.17496381829186816</v>
      </c>
      <c r="K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0.17370727927033774</v>
      </c>
      <c r="L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0.17236360009729013</v>
      </c>
      <c r="M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0.1709327807727252</v>
      </c>
      <c r="N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0.16941482129664301</v>
      </c>
      <c r="O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0.16780972166904359</v>
      </c>
      <c r="P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0.16611748188992692</v>
      </c>
      <c r="Q137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0.16433810195929288</v>
      </c>
      <c r="R1371" s="248"/>
      <c r="S1371" s="179"/>
      <c r="T1371" s="179"/>
      <c r="V1371" s="179"/>
      <c r="W1371" s="179"/>
    </row>
    <row r="1372" spans="1:24" s="65" customFormat="1" ht="15" customHeight="1" outlineLevel="2">
      <c r="A1372" s="285"/>
      <c r="B1372" s="242"/>
      <c r="C1372" s="251" t="s">
        <v>1635</v>
      </c>
      <c r="D1372" s="121" t="str">
        <f>INDEX(Regional.Technologies[Description],MATCH($B$2&amp;"."&amp;G.30.assumptions.EnergyDemandAfterProductManufacturingEfficiency[[#This Row],[Technology code]],Regional.Technologies[Code],0))</f>
        <v>Global Heat use in the Oxygen steel technology</v>
      </c>
      <c r="E1372" s="242"/>
      <c r="F1372" s="121" t="s">
        <v>1396</v>
      </c>
      <c r="G1372" s="242" t="s">
        <v>1377</v>
      </c>
      <c r="H1372" s="251" t="s">
        <v>1351</v>
      </c>
      <c r="I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0.80340865264799999</v>
      </c>
      <c r="J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0.7991040607626011</v>
      </c>
      <c r="K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0.79336512888277322</v>
      </c>
      <c r="L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0.78722820586619091</v>
      </c>
      <c r="M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0.78069329171285384</v>
      </c>
      <c r="N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0.77376038642276201</v>
      </c>
      <c r="O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0.76642948999591576</v>
      </c>
      <c r="P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0.75870060243231485</v>
      </c>
      <c r="Q137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0.75057372373195896</v>
      </c>
      <c r="R1372" s="248"/>
      <c r="S1372" s="179"/>
      <c r="T1372" s="179"/>
      <c r="V1372" s="179"/>
      <c r="W1372" s="179"/>
    </row>
    <row r="1373" spans="1:24" s="65" customFormat="1" ht="15" customHeight="1" outlineLevel="2">
      <c r="A1373" s="285"/>
      <c r="B1373" s="242"/>
      <c r="C1373" s="251" t="s">
        <v>1379</v>
      </c>
      <c r="D1373" s="121" t="str">
        <f>INDEX(Regional.Technologies[Description],MATCH($B$2&amp;"."&amp;G.30.assumptions.EnergyDemandAfterProductManufacturingEfficiency[[#This Row],[Technology code]],Regional.Technologies[Code],0))</f>
        <v>Global Electricity use in the Electric steel technology</v>
      </c>
      <c r="E1373" s="242"/>
      <c r="F1373" s="121" t="s">
        <v>1396</v>
      </c>
      <c r="G1373" s="300" t="s">
        <v>1380</v>
      </c>
      <c r="H1373" s="251" t="s">
        <v>626</v>
      </c>
      <c r="I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1.6352704427314861</v>
      </c>
      <c r="J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1.7134937789391276</v>
      </c>
      <c r="K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1.8130275874759676</v>
      </c>
      <c r="L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1.9145109940986842</v>
      </c>
      <c r="M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2.0179439988072758</v>
      </c>
      <c r="N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2.123326601601744</v>
      </c>
      <c r="O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2.2306588024820879</v>
      </c>
      <c r="P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2.3399406014483071</v>
      </c>
      <c r="Q137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2.4511719985004023</v>
      </c>
      <c r="R1373" s="248"/>
      <c r="S1373" s="179"/>
      <c r="T1373" s="179"/>
      <c r="V1373" s="179"/>
      <c r="W1373" s="179"/>
    </row>
    <row r="1374" spans="1:24" s="65" customFormat="1" ht="15" customHeight="1" outlineLevel="2">
      <c r="A1374" s="285"/>
      <c r="B1374" s="242"/>
      <c r="C1374" s="251" t="s">
        <v>1803</v>
      </c>
      <c r="D1374" s="121" t="str">
        <f>INDEX(Regional.Technologies[Description],MATCH($B$2&amp;"."&amp;G.30.assumptions.EnergyDemandAfterProductManufacturingEfficiency[[#This Row],[Technology code]],Regional.Technologies[Code],0))</f>
        <v>Global Coal use in the Electric steel technology</v>
      </c>
      <c r="E1374" s="242"/>
      <c r="F1374" s="121" t="s">
        <v>1396</v>
      </c>
      <c r="G1374" s="300" t="s">
        <v>1380</v>
      </c>
      <c r="H1374" s="251" t="s">
        <v>626</v>
      </c>
      <c r="I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10.424196405786889</v>
      </c>
      <c r="J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10.922838953732855</v>
      </c>
      <c r="K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11.557327257374491</v>
      </c>
      <c r="L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12.204243470692997</v>
      </c>
      <c r="M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12.863587593688365</v>
      </c>
      <c r="N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13.535359626360606</v>
      </c>
      <c r="O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14.219559568709709</v>
      </c>
      <c r="P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14.916187420735676</v>
      </c>
      <c r="Q137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15.625243182438512</v>
      </c>
      <c r="R1374" s="248"/>
      <c r="S1374" s="179"/>
      <c r="T1374" s="179"/>
      <c r="V1374" s="179"/>
      <c r="W1374" s="179"/>
    </row>
    <row r="1375" spans="1:24" s="65" customFormat="1" ht="15" customHeight="1" outlineLevel="2">
      <c r="A1375" s="285"/>
      <c r="B1375" s="242"/>
      <c r="C1375" s="251" t="s">
        <v>1804</v>
      </c>
      <c r="D1375" s="121" t="str">
        <f>INDEX(Regional.Technologies[Description],MATCH($B$2&amp;"."&amp;G.30.assumptions.EnergyDemandAfterProductManufacturingEfficiency[[#This Row],[Technology code]],Regional.Technologies[Code],0))</f>
        <v>Global Oil use in the Electric steel technology</v>
      </c>
      <c r="E1375" s="242"/>
      <c r="F1375" s="121" t="s">
        <v>1396</v>
      </c>
      <c r="G1375" s="300" t="s">
        <v>1380</v>
      </c>
      <c r="H1375" s="251" t="s">
        <v>627</v>
      </c>
      <c r="I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7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75" s="248"/>
      <c r="S1375" s="179"/>
      <c r="T1375" s="179"/>
      <c r="V1375" s="179"/>
      <c r="W1375" s="179"/>
    </row>
    <row r="1376" spans="1:24" s="65" customFormat="1" ht="15" customHeight="1" outlineLevel="2">
      <c r="A1376" s="285"/>
      <c r="B1376" s="242"/>
      <c r="C1376" s="251" t="s">
        <v>1805</v>
      </c>
      <c r="D1376" s="121" t="str">
        <f>INDEX(Regional.Technologies[Description],MATCH($B$2&amp;"."&amp;G.30.assumptions.EnergyDemandAfterProductManufacturingEfficiency[[#This Row],[Technology code]],Regional.Technologies[Code],0))</f>
        <v>Global Natural Gas use in the Electric steel technology</v>
      </c>
      <c r="E1376" s="242"/>
      <c r="F1376" s="121" t="s">
        <v>1396</v>
      </c>
      <c r="G1376" s="300" t="s">
        <v>1380</v>
      </c>
      <c r="H1376" s="251" t="s">
        <v>628</v>
      </c>
      <c r="I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1.2528070032244127</v>
      </c>
      <c r="J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1.3127351599718791</v>
      </c>
      <c r="K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1.3889896125285235</v>
      </c>
      <c r="L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1.4667376835544035</v>
      </c>
      <c r="M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1.5459793730495184</v>
      </c>
      <c r="N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1.6267146810138688</v>
      </c>
      <c r="O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1.7089436074474544</v>
      </c>
      <c r="P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1.7926661523502749</v>
      </c>
      <c r="Q137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1.8778823157223308</v>
      </c>
      <c r="R1376" s="248"/>
      <c r="S1376" s="179"/>
      <c r="T1376" s="179"/>
      <c r="V1376" s="179"/>
      <c r="W1376" s="179"/>
    </row>
    <row r="1377" spans="1:24" s="65" customFormat="1" ht="15" customHeight="1" outlineLevel="2">
      <c r="A1377" s="285"/>
      <c r="B1377" s="242"/>
      <c r="C1377" s="251" t="s">
        <v>1806</v>
      </c>
      <c r="D1377" s="121" t="str">
        <f>INDEX(Regional.Technologies[Description],MATCH($B$2&amp;"."&amp;G.30.assumptions.EnergyDemandAfterProductManufacturingEfficiency[[#This Row],[Technology code]],Regional.Technologies[Code],0))</f>
        <v>Global Solid Hydrocarbons use in the Electric steel technology</v>
      </c>
      <c r="E1377" s="242"/>
      <c r="F1377" s="121" t="s">
        <v>1396</v>
      </c>
      <c r="G1377" s="300" t="s">
        <v>1380</v>
      </c>
      <c r="H1377" s="251" t="s">
        <v>370</v>
      </c>
      <c r="I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7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77" s="248"/>
      <c r="S1377" s="179"/>
      <c r="T1377" s="179"/>
      <c r="V1377" s="179"/>
      <c r="W1377" s="179"/>
    </row>
    <row r="1378" spans="1:24" s="65" customFormat="1" ht="15" customHeight="1" outlineLevel="2">
      <c r="A1378" s="285"/>
      <c r="B1378" s="242"/>
      <c r="C1378" s="251" t="s">
        <v>1636</v>
      </c>
      <c r="D1378" s="121" t="str">
        <f>INDEX(Regional.Technologies[Description],MATCH($B$2&amp;"."&amp;G.30.assumptions.EnergyDemandAfterProductManufacturingEfficiency[[#This Row],[Technology code]],Regional.Technologies[Code],0))</f>
        <v>Global Heat use in the Electric steel technology</v>
      </c>
      <c r="E1378" s="242"/>
      <c r="F1378" s="121" t="s">
        <v>1396</v>
      </c>
      <c r="G1378" s="300" t="s">
        <v>1380</v>
      </c>
      <c r="H1378" s="251" t="s">
        <v>1351</v>
      </c>
      <c r="I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7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78" s="248"/>
      <c r="S1378" s="179"/>
      <c r="T1378" s="179"/>
      <c r="V1378" s="179"/>
      <c r="W1378" s="179"/>
    </row>
    <row r="1379" spans="1:24" s="65" customFormat="1" ht="15" customHeight="1" outlineLevel="2">
      <c r="A1379" s="285"/>
      <c r="B1379" s="242"/>
      <c r="C1379" s="251" t="s">
        <v>1807</v>
      </c>
      <c r="D1379" s="121" t="str">
        <f>INDEX(Regional.Technologies[Description],MATCH($B$2&amp;"."&amp;G.30.assumptions.EnergyDemandAfterProductManufacturingEfficiency[[#This Row],[Technology code]],Regional.Technologies[Code],0))</f>
        <v>Global Electricity use in the Alumina Aluminium technology</v>
      </c>
      <c r="E1379" s="242"/>
      <c r="F1379" s="121" t="s">
        <v>1418</v>
      </c>
      <c r="G1379" s="300" t="s">
        <v>1625</v>
      </c>
      <c r="H1379" s="251" t="s">
        <v>626</v>
      </c>
      <c r="I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5.7780487765234236E-2</v>
      </c>
      <c r="J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5.9889708832233816E-2</v>
      </c>
      <c r="K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6.2569539119400122E-2</v>
      </c>
      <c r="L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6.529748491036283E-2</v>
      </c>
      <c r="M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6.8073546205122029E-2</v>
      </c>
      <c r="N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7.0897723003677623E-2</v>
      </c>
      <c r="O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7.377001530602971E-2</v>
      </c>
      <c r="P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7.6690423112178219E-2</v>
      </c>
      <c r="Q137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7.9658946422123164E-2</v>
      </c>
      <c r="R1379" s="248"/>
      <c r="S1379" s="179"/>
      <c r="T1379" s="179"/>
      <c r="V1379" s="179"/>
      <c r="W1379" s="179"/>
    </row>
    <row r="1380" spans="1:24" s="65" customFormat="1" ht="15" customHeight="1" outlineLevel="2">
      <c r="A1380" s="285"/>
      <c r="B1380" s="242"/>
      <c r="C1380" s="251" t="s">
        <v>1808</v>
      </c>
      <c r="D1380" s="121" t="str">
        <f>INDEX(Regional.Technologies[Description],MATCH($B$2&amp;"."&amp;G.30.assumptions.EnergyDemandAfterProductManufacturingEfficiency[[#This Row],[Technology code]],Regional.Technologies[Code],0))</f>
        <v>Global Coal use in the Alumina Aluminium technology</v>
      </c>
      <c r="E1380" s="242"/>
      <c r="F1380" s="121" t="s">
        <v>1418</v>
      </c>
      <c r="G1380" s="300" t="s">
        <v>1625</v>
      </c>
      <c r="H1380" s="251" t="s">
        <v>626</v>
      </c>
      <c r="I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0.61777191351520944</v>
      </c>
      <c r="J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0.64032308234371016</v>
      </c>
      <c r="K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0.66897503646229151</v>
      </c>
      <c r="L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0.69814142733971141</v>
      </c>
      <c r="M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0.72782225497597053</v>
      </c>
      <c r="N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0.75801751937106809</v>
      </c>
      <c r="O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0.7887272205250051</v>
      </c>
      <c r="P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0.81995135843778066</v>
      </c>
      <c r="Q138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0.85168993310939511</v>
      </c>
      <c r="R1380" s="248"/>
      <c r="S1380" s="179"/>
      <c r="T1380" s="179"/>
      <c r="V1380" s="179"/>
      <c r="W1380" s="179"/>
    </row>
    <row r="1381" spans="1:24" s="65" customFormat="1" ht="15" customHeight="1" outlineLevel="2">
      <c r="A1381" s="285"/>
      <c r="B1381" s="242"/>
      <c r="C1381" s="251" t="s">
        <v>1809</v>
      </c>
      <c r="D1381" s="121" t="str">
        <f>INDEX(Regional.Technologies[Description],MATCH($B$2&amp;"."&amp;G.30.assumptions.EnergyDemandAfterProductManufacturingEfficiency[[#This Row],[Technology code]],Regional.Technologies[Code],0))</f>
        <v>Global Oil use in the Alumina Aluminium technology</v>
      </c>
      <c r="E1381" s="242"/>
      <c r="F1381" s="121" t="s">
        <v>1418</v>
      </c>
      <c r="G1381" s="300" t="s">
        <v>1625</v>
      </c>
      <c r="H1381" s="251" t="s">
        <v>627</v>
      </c>
      <c r="I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0.36003980562967391</v>
      </c>
      <c r="J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0.37318271203915326</v>
      </c>
      <c r="K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0.38988117916930454</v>
      </c>
      <c r="L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0.40687946198645758</v>
      </c>
      <c r="M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0.42417756049061289</v>
      </c>
      <c r="N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0.44177547468176992</v>
      </c>
      <c r="O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0.45967320455992927</v>
      </c>
      <c r="P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0.47787075012509045</v>
      </c>
      <c r="Q138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0.49636811137725367</v>
      </c>
      <c r="R1381" s="248"/>
      <c r="S1381" s="179"/>
      <c r="T1381" s="179"/>
      <c r="V1381" s="179"/>
      <c r="W1381" s="179"/>
    </row>
    <row r="1382" spans="1:24" s="65" customFormat="1" ht="15" customHeight="1" outlineLevel="2">
      <c r="A1382" s="285"/>
      <c r="B1382" s="242"/>
      <c r="C1382" s="251" t="s">
        <v>1810</v>
      </c>
      <c r="D1382" s="121" t="str">
        <f>INDEX(Regional.Technologies[Description],MATCH($B$2&amp;"."&amp;G.30.assumptions.EnergyDemandAfterProductManufacturingEfficiency[[#This Row],[Technology code]],Regional.Technologies[Code],0))</f>
        <v>Global Natural Gas use in the Alumina Aluminium technology</v>
      </c>
      <c r="E1382" s="242"/>
      <c r="F1382" s="121" t="s">
        <v>1418</v>
      </c>
      <c r="G1382" s="300" t="s">
        <v>1625</v>
      </c>
      <c r="H1382" s="251" t="s">
        <v>628</v>
      </c>
      <c r="I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0.33333998618469551</v>
      </c>
      <c r="J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0.3455082413955341</v>
      </c>
      <c r="K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0.36096838417817828</v>
      </c>
      <c r="L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0.3767061089264841</v>
      </c>
      <c r="M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0.39272141564045204</v>
      </c>
      <c r="N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0.40901430432008162</v>
      </c>
      <c r="O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0.42558477496537334</v>
      </c>
      <c r="P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0.44243282757632679</v>
      </c>
      <c r="Q138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0.4595584621529421</v>
      </c>
      <c r="R1382" s="248"/>
      <c r="S1382" s="179"/>
      <c r="T1382" s="179"/>
      <c r="V1382" s="179"/>
      <c r="W1382" s="179"/>
    </row>
    <row r="1383" spans="1:24" s="65" customFormat="1" ht="15" customHeight="1" outlineLevel="2">
      <c r="A1383" s="285"/>
      <c r="B1383" s="242"/>
      <c r="C1383" s="251" t="s">
        <v>1811</v>
      </c>
      <c r="D1383" s="121" t="str">
        <f>INDEX(Regional.Technologies[Description],MATCH($B$2&amp;"."&amp;G.30.assumptions.EnergyDemandAfterProductManufacturingEfficiency[[#This Row],[Technology code]],Regional.Technologies[Code],0))</f>
        <v>Global Solid Hydrocarbons use in the Alumina Aluminium technology</v>
      </c>
      <c r="E1383" s="242"/>
      <c r="F1383" s="121" t="s">
        <v>1418</v>
      </c>
      <c r="G1383" s="300" t="s">
        <v>1625</v>
      </c>
      <c r="H1383" s="251" t="s">
        <v>370</v>
      </c>
      <c r="I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8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83" s="248"/>
      <c r="S1383" s="179"/>
      <c r="T1383" s="179"/>
      <c r="V1383" s="179"/>
      <c r="W1383" s="179"/>
    </row>
    <row r="1384" spans="1:24" s="65" customFormat="1" ht="15" customHeight="1" outlineLevel="2">
      <c r="A1384" s="285"/>
      <c r="B1384" s="242"/>
      <c r="C1384" s="251" t="s">
        <v>1812</v>
      </c>
      <c r="D1384" s="121" t="str">
        <f>INDEX(Regional.Technologies[Description],MATCH($B$2&amp;"."&amp;G.30.assumptions.EnergyDemandAfterProductManufacturingEfficiency[[#This Row],[Technology code]],Regional.Technologies[Code],0))</f>
        <v>Global Heat use in the Alumina Aluminium technology</v>
      </c>
      <c r="E1384" s="242"/>
      <c r="F1384" s="121" t="s">
        <v>1418</v>
      </c>
      <c r="G1384" s="300" t="s">
        <v>1625</v>
      </c>
      <c r="H1384" s="251" t="s">
        <v>1351</v>
      </c>
      <c r="I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8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84" s="248"/>
      <c r="T1384" s="179"/>
      <c r="U1384" s="179"/>
      <c r="W1384" s="179"/>
      <c r="X1384" s="179"/>
    </row>
    <row r="1385" spans="1:24" s="65" customFormat="1" ht="15" customHeight="1" outlineLevel="2">
      <c r="A1385" s="285"/>
      <c r="B1385" s="242"/>
      <c r="C1385" s="251" t="s">
        <v>1639</v>
      </c>
      <c r="D1385" s="121" t="str">
        <f>INDEX(Regional.Technologies[Description],MATCH($B$2&amp;"."&amp;G.30.assumptions.EnergyDemandAfterProductManufacturingEfficiency[[#This Row],[Technology code]],Regional.Technologies[Code],0))</f>
        <v>Global Electricity use in the Primary Aluminium technology</v>
      </c>
      <c r="E1385" s="242"/>
      <c r="F1385" s="121" t="s">
        <v>1418</v>
      </c>
      <c r="G1385" s="300" t="s">
        <v>1939</v>
      </c>
      <c r="H1385" s="251" t="s">
        <v>626</v>
      </c>
      <c r="I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2.4796561054672224</v>
      </c>
      <c r="J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2.5701735638489516</v>
      </c>
      <c r="K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2.6851787808382439</v>
      </c>
      <c r="L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2.8022488800632344</v>
      </c>
      <c r="M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2.9213838615239256</v>
      </c>
      <c r="N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3.0425837252203145</v>
      </c>
      <c r="O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3.1658484711524051</v>
      </c>
      <c r="P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3.2911780993201933</v>
      </c>
      <c r="Q138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3.418572609723681</v>
      </c>
      <c r="R1385" s="248"/>
      <c r="T1385" s="179"/>
      <c r="U1385" s="179"/>
      <c r="W1385" s="179"/>
      <c r="X1385" s="179"/>
    </row>
    <row r="1386" spans="1:24" s="65" customFormat="1" ht="15" customHeight="1" outlineLevel="2">
      <c r="A1386" s="285"/>
      <c r="B1386" s="242"/>
      <c r="C1386" s="251" t="s">
        <v>1813</v>
      </c>
      <c r="D1386" s="121" t="str">
        <f>INDEX(Regional.Technologies[Description],MATCH($B$2&amp;"."&amp;G.30.assumptions.EnergyDemandAfterProductManufacturingEfficiency[[#This Row],[Technology code]],Regional.Technologies[Code],0))</f>
        <v>Global Coal use in the Primary Aluminium technology</v>
      </c>
      <c r="E1386" s="242"/>
      <c r="F1386" s="121" t="s">
        <v>1418</v>
      </c>
      <c r="G1386" s="300" t="s">
        <v>1939</v>
      </c>
      <c r="H1386" s="251" t="s">
        <v>626</v>
      </c>
      <c r="I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0.11615556705932623</v>
      </c>
      <c r="J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0.1203957141845332</v>
      </c>
      <c r="K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0.12578295161827202</v>
      </c>
      <c r="L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0.13126691519337758</v>
      </c>
      <c r="M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0.13684760490984998</v>
      </c>
      <c r="N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0.14252502076768905</v>
      </c>
      <c r="O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0.148299162766895</v>
      </c>
      <c r="P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0.15417003090746767</v>
      </c>
      <c r="Q138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0.16013762518940708</v>
      </c>
      <c r="R1386" s="248"/>
      <c r="T1386" s="179"/>
      <c r="U1386" s="179"/>
      <c r="W1386" s="179"/>
      <c r="X1386" s="179"/>
    </row>
    <row r="1387" spans="1:24" s="65" customFormat="1" ht="15" customHeight="1" outlineLevel="2">
      <c r="A1387" s="285"/>
      <c r="B1387" s="242"/>
      <c r="C1387" s="251" t="s">
        <v>1814</v>
      </c>
      <c r="D1387" s="121" t="str">
        <f>INDEX(Regional.Technologies[Description],MATCH($B$2&amp;"."&amp;G.30.assumptions.EnergyDemandAfterProductManufacturingEfficiency[[#This Row],[Technology code]],Regional.Technologies[Code],0))</f>
        <v>Global Oil use in the Primary Aluminium technology</v>
      </c>
      <c r="E1387" s="242"/>
      <c r="F1387" s="121" t="s">
        <v>1418</v>
      </c>
      <c r="G1387" s="300" t="s">
        <v>1939</v>
      </c>
      <c r="H1387" s="251" t="s">
        <v>627</v>
      </c>
      <c r="I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0.18032133468483588</v>
      </c>
      <c r="J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0.18690379136973051</v>
      </c>
      <c r="K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0.1952670051950286</v>
      </c>
      <c r="L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0.20378037787497078</v>
      </c>
      <c r="M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0.21244390940955721</v>
      </c>
      <c r="N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0.22125759979878762</v>
      </c>
      <c r="O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0.23022144904266237</v>
      </c>
      <c r="P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0.23933545714118118</v>
      </c>
      <c r="Q138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0.24859962409434408</v>
      </c>
      <c r="R1387" s="248"/>
      <c r="T1387" s="179"/>
      <c r="U1387" s="179"/>
      <c r="W1387" s="179"/>
      <c r="X1387" s="179"/>
    </row>
    <row r="1388" spans="1:24" s="65" customFormat="1" ht="15" customHeight="1" outlineLevel="2">
      <c r="A1388" s="285"/>
      <c r="B1388" s="242"/>
      <c r="C1388" s="251" t="s">
        <v>1815</v>
      </c>
      <c r="D1388" s="121" t="str">
        <f>INDEX(Regional.Technologies[Description],MATCH($B$2&amp;"."&amp;G.30.assumptions.EnergyDemandAfterProductManufacturingEfficiency[[#This Row],[Technology code]],Regional.Technologies[Code],0))</f>
        <v>Global Natural Gas use in the Primary Aluminium technology</v>
      </c>
      <c r="E1388" s="242"/>
      <c r="F1388" s="121" t="s">
        <v>1418</v>
      </c>
      <c r="G1388" s="300" t="s">
        <v>1939</v>
      </c>
      <c r="H1388" s="251" t="s">
        <v>628</v>
      </c>
      <c r="I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-1.7654944667345952E-2</v>
      </c>
      <c r="J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-1.8299421421858288E-2</v>
      </c>
      <c r="K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-1.9118248975374823E-2</v>
      </c>
      <c r="L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-1.9951778318198138E-2</v>
      </c>
      <c r="M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-2.0800009450328245E-2</v>
      </c>
      <c r="N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-2.166294237176512E-2</v>
      </c>
      <c r="O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-2.2540577082508794E-2</v>
      </c>
      <c r="P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-2.3432913582559244E-2</v>
      </c>
      <c r="Q138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-2.4339951871916475E-2</v>
      </c>
      <c r="R1388" s="248"/>
      <c r="T1388" s="179"/>
      <c r="U1388" s="179"/>
      <c r="W1388" s="179"/>
      <c r="X1388" s="179"/>
    </row>
    <row r="1389" spans="1:24" s="65" customFormat="1" ht="15" customHeight="1" outlineLevel="2">
      <c r="A1389" s="285"/>
      <c r="B1389" s="242"/>
      <c r="C1389" s="251" t="s">
        <v>1816</v>
      </c>
      <c r="D1389" s="121" t="str">
        <f>INDEX(Regional.Technologies[Description],MATCH($B$2&amp;"."&amp;G.30.assumptions.EnergyDemandAfterProductManufacturingEfficiency[[#This Row],[Technology code]],Regional.Technologies[Code],0))</f>
        <v>Global Solid Hydrocarbons use in the Primary Aluminium technology</v>
      </c>
      <c r="E1389" s="242"/>
      <c r="F1389" s="121" t="s">
        <v>1418</v>
      </c>
      <c r="G1389" s="300" t="s">
        <v>1939</v>
      </c>
      <c r="H1389" s="251" t="s">
        <v>370</v>
      </c>
      <c r="I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8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89" s="248"/>
      <c r="T1389" s="179"/>
      <c r="U1389" s="179"/>
      <c r="W1389" s="179"/>
      <c r="X1389" s="179"/>
    </row>
    <row r="1390" spans="1:24" s="65" customFormat="1" ht="15" customHeight="1" outlineLevel="2">
      <c r="A1390" s="285"/>
      <c r="B1390" s="242"/>
      <c r="C1390" s="251" t="s">
        <v>1640</v>
      </c>
      <c r="D1390" s="121" t="str">
        <f>INDEX(Regional.Technologies[Description],MATCH($B$2&amp;"."&amp;G.30.assumptions.EnergyDemandAfterProductManufacturingEfficiency[[#This Row],[Technology code]],Regional.Technologies[Code],0))</f>
        <v>Global Heat use in the Primary Aluminium technology</v>
      </c>
      <c r="E1390" s="242"/>
      <c r="F1390" s="121" t="s">
        <v>1418</v>
      </c>
      <c r="G1390" s="300" t="s">
        <v>1939</v>
      </c>
      <c r="H1390" s="251" t="s">
        <v>1351</v>
      </c>
      <c r="I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9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90" s="248"/>
      <c r="T1390" s="179"/>
      <c r="U1390" s="179"/>
      <c r="W1390" s="179"/>
      <c r="X1390" s="179"/>
    </row>
    <row r="1391" spans="1:24" s="65" customFormat="1" ht="15" customHeight="1" outlineLevel="2">
      <c r="A1391" s="285"/>
      <c r="B1391" s="242"/>
      <c r="C1391" s="251" t="s">
        <v>1641</v>
      </c>
      <c r="D1391" s="121" t="str">
        <f>INDEX(Regional.Technologies[Description],MATCH($B$2&amp;"."&amp;G.30.assumptions.EnergyDemandAfterProductManufacturingEfficiency[[#This Row],[Technology code]],Regional.Technologies[Code],0))</f>
        <v>Global Electricity use in the Secondary Aluminium technology</v>
      </c>
      <c r="E1391" s="242"/>
      <c r="F1391" s="121" t="s">
        <v>1418</v>
      </c>
      <c r="G1391" s="300" t="s">
        <v>1940</v>
      </c>
      <c r="H1391" s="251" t="s">
        <v>626</v>
      </c>
      <c r="I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2.0996808027856011E-2</v>
      </c>
      <c r="J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2.0706019378521439E-2</v>
      </c>
      <c r="K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2.0328081584813605E-2</v>
      </c>
      <c r="L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1.9934086033283963E-2</v>
      </c>
      <c r="M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1.9524032723932511E-2</v>
      </c>
      <c r="N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1.9097921656759255E-2</v>
      </c>
      <c r="O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1.8655752831764193E-2</v>
      </c>
      <c r="P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1.819752624894732E-2</v>
      </c>
      <c r="Q139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1.7723241908308644E-2</v>
      </c>
      <c r="R1391" s="248"/>
      <c r="T1391" s="179"/>
      <c r="U1391" s="179"/>
      <c r="W1391" s="179"/>
      <c r="X1391" s="179"/>
    </row>
    <row r="1392" spans="1:24" s="65" customFormat="1" ht="15" customHeight="1" outlineLevel="2">
      <c r="A1392" s="285"/>
      <c r="B1392" s="242"/>
      <c r="C1392" s="251" t="s">
        <v>1817</v>
      </c>
      <c r="D1392" s="121" t="str">
        <f>INDEX(Regional.Technologies[Description],MATCH($B$2&amp;"."&amp;G.30.assumptions.EnergyDemandAfterProductManufacturingEfficiency[[#This Row],[Technology code]],Regional.Technologies[Code],0))</f>
        <v>Global Coal use in the Secondary Aluminium technology</v>
      </c>
      <c r="E1392" s="242"/>
      <c r="F1392" s="121" t="s">
        <v>1418</v>
      </c>
      <c r="G1392" s="300" t="s">
        <v>1940</v>
      </c>
      <c r="H1392" s="251" t="s">
        <v>626</v>
      </c>
      <c r="I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9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92" s="248"/>
      <c r="T1392" s="179"/>
      <c r="U1392" s="179"/>
      <c r="W1392" s="179"/>
      <c r="X1392" s="179"/>
    </row>
    <row r="1393" spans="1:24" s="65" customFormat="1" ht="15" customHeight="1" outlineLevel="2">
      <c r="A1393" s="285"/>
      <c r="B1393" s="242"/>
      <c r="C1393" s="251" t="s">
        <v>1818</v>
      </c>
      <c r="D1393" s="121" t="str">
        <f>INDEX(Regional.Technologies[Description],MATCH($B$2&amp;"."&amp;G.30.assumptions.EnergyDemandAfterProductManufacturingEfficiency[[#This Row],[Technology code]],Regional.Technologies[Code],0))</f>
        <v>Global Oil use in the Secondary Aluminium technology</v>
      </c>
      <c r="E1393" s="242"/>
      <c r="F1393" s="121" t="s">
        <v>1418</v>
      </c>
      <c r="G1393" s="300" t="s">
        <v>1940</v>
      </c>
      <c r="H1393" s="251" t="s">
        <v>627</v>
      </c>
      <c r="I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1.8172055149596165E-4</v>
      </c>
      <c r="J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1.7920387021489552E-4</v>
      </c>
      <c r="K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1.7593294140454306E-4</v>
      </c>
      <c r="L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1.7252303791750177E-4</v>
      </c>
      <c r="M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1.6897415975377175E-4</v>
      </c>
      <c r="N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1.6528630691335294E-4</v>
      </c>
      <c r="O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1.6145947939624541E-4</v>
      </c>
      <c r="P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1.5749367720244904E-4</v>
      </c>
      <c r="Q139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1.5338890033196395E-4</v>
      </c>
      <c r="R1393" s="248"/>
      <c r="T1393" s="179"/>
      <c r="U1393" s="179"/>
      <c r="W1393" s="179"/>
      <c r="X1393" s="179"/>
    </row>
    <row r="1394" spans="1:24" s="65" customFormat="1" ht="15" customHeight="1" outlineLevel="2">
      <c r="A1394" s="285"/>
      <c r="B1394" s="242"/>
      <c r="C1394" s="251" t="s">
        <v>1819</v>
      </c>
      <c r="D1394" s="121" t="str">
        <f>INDEX(Regional.Technologies[Description],MATCH($B$2&amp;"."&amp;G.30.assumptions.EnergyDemandAfterProductManufacturingEfficiency[[#This Row],[Technology code]],Regional.Technologies[Code],0))</f>
        <v>Global Natural Gas use in the Secondary Aluminium technology</v>
      </c>
      <c r="E1394" s="242"/>
      <c r="F1394" s="121" t="s">
        <v>1418</v>
      </c>
      <c r="G1394" s="300" t="s">
        <v>1940</v>
      </c>
      <c r="H1394" s="251" t="s">
        <v>628</v>
      </c>
      <c r="I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0.24244140449555465</v>
      </c>
      <c r="J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0.23908378897311383</v>
      </c>
      <c r="K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0.23471989854763023</v>
      </c>
      <c r="L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0.23017059587499916</v>
      </c>
      <c r="M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0.2254358809552206</v>
      </c>
      <c r="N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0.22051575378829461</v>
      </c>
      <c r="O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0.2154102143742212</v>
      </c>
      <c r="P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0.2101192627130003</v>
      </c>
      <c r="Q139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0.20464289880463196</v>
      </c>
      <c r="R1394" s="248"/>
      <c r="T1394" s="179"/>
      <c r="U1394" s="179"/>
      <c r="W1394" s="179"/>
      <c r="X1394" s="179"/>
    </row>
    <row r="1395" spans="1:24" s="65" customFormat="1" ht="15" customHeight="1" outlineLevel="2">
      <c r="A1395" s="285"/>
      <c r="B1395" s="242"/>
      <c r="C1395" s="251" t="s">
        <v>1820</v>
      </c>
      <c r="D1395" s="121" t="str">
        <f>INDEX(Regional.Technologies[Description],MATCH($B$2&amp;"."&amp;G.30.assumptions.EnergyDemandAfterProductManufacturingEfficiency[[#This Row],[Technology code]],Regional.Technologies[Code],0))</f>
        <v>Global Solid Hydrocarbons use in the Secondary Aluminium technology</v>
      </c>
      <c r="E1395" s="242"/>
      <c r="F1395" s="121" t="s">
        <v>1418</v>
      </c>
      <c r="G1395" s="300" t="s">
        <v>1940</v>
      </c>
      <c r="H1395" s="251" t="s">
        <v>370</v>
      </c>
      <c r="I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9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95" s="248"/>
      <c r="T1395" s="179"/>
      <c r="U1395" s="179"/>
      <c r="W1395" s="179"/>
      <c r="X1395" s="179"/>
    </row>
    <row r="1396" spans="1:24" s="65" customFormat="1" ht="15" customHeight="1" outlineLevel="2">
      <c r="A1396" s="219"/>
      <c r="B1396" s="242"/>
      <c r="C1396" s="251" t="s">
        <v>1642</v>
      </c>
      <c r="D1396" s="121" t="str">
        <f>INDEX(Regional.Technologies[Description],MATCH($B$2&amp;"."&amp;G.30.assumptions.EnergyDemandAfterProductManufacturingEfficiency[[#This Row],[Technology code]],Regional.Technologies[Code],0))</f>
        <v>Global Heat use in the Secondary Aluminium technology</v>
      </c>
      <c r="E1396" s="242"/>
      <c r="F1396" s="121" t="s">
        <v>1418</v>
      </c>
      <c r="G1396" s="300" t="s">
        <v>1940</v>
      </c>
      <c r="H1396" s="251" t="s">
        <v>1351</v>
      </c>
      <c r="I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9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96" s="248"/>
      <c r="T1396" s="279"/>
      <c r="U1396" s="179"/>
      <c r="W1396" s="179"/>
      <c r="X1396" s="179"/>
    </row>
    <row r="1397" spans="1:24" s="65" customFormat="1" ht="15" customHeight="1" outlineLevel="2">
      <c r="A1397" s="219"/>
      <c r="B1397" s="242"/>
      <c r="C1397" s="413" t="s">
        <v>1821</v>
      </c>
      <c r="D1397" s="121" t="str">
        <f>INDEX(Regional.Technologies[Description],MATCH($B$2&amp;"."&amp;G.30.assumptions.EnergyDemandAfterProductManufacturingEfficiency[[#This Row],[Technology code]],Regional.Technologies[Code],0))</f>
        <v>Global Electricity use in the Chemicals: High Value Chemicals  technology</v>
      </c>
      <c r="E1397" s="242"/>
      <c r="F1397" s="121" t="s">
        <v>1601</v>
      </c>
      <c r="G1397" s="300" t="s">
        <v>1961</v>
      </c>
      <c r="H1397" s="251" t="s">
        <v>626</v>
      </c>
      <c r="I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39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397" s="248"/>
      <c r="T1397" s="279"/>
      <c r="U1397" s="179"/>
      <c r="W1397" s="179"/>
      <c r="X1397" s="179"/>
    </row>
    <row r="1398" spans="1:24" s="65" customFormat="1" ht="15" customHeight="1" outlineLevel="2">
      <c r="A1398" s="219"/>
      <c r="B1398" s="242"/>
      <c r="C1398" s="413" t="s">
        <v>1822</v>
      </c>
      <c r="D1398" s="121" t="str">
        <f>INDEX(Regional.Technologies[Description],MATCH($B$2&amp;"."&amp;G.30.assumptions.EnergyDemandAfterProductManufacturingEfficiency[[#This Row],[Technology code]],Regional.Technologies[Code],0))</f>
        <v>Global Coal use in the Chemicals: High Value Chemicals  technology</v>
      </c>
      <c r="E1398" s="242"/>
      <c r="F1398" s="121" t="s">
        <v>1601</v>
      </c>
      <c r="G1398" s="300" t="s">
        <v>1961</v>
      </c>
      <c r="H1398" s="251" t="s">
        <v>626</v>
      </c>
      <c r="I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0.24646345986547152</v>
      </c>
      <c r="J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0.24899129022306607</v>
      </c>
      <c r="K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0.25215107817005933</v>
      </c>
      <c r="L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0.25531086611705256</v>
      </c>
      <c r="M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0.25847065406404579</v>
      </c>
      <c r="N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0.26163044201103902</v>
      </c>
      <c r="O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0.26479022995803225</v>
      </c>
      <c r="P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0.26795001790502548</v>
      </c>
      <c r="Q139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0.27110980585201871</v>
      </c>
      <c r="R1398" s="248"/>
      <c r="T1398" s="279"/>
      <c r="U1398" s="179"/>
      <c r="W1398" s="179"/>
      <c r="X1398" s="179"/>
    </row>
    <row r="1399" spans="1:24" s="65" customFormat="1" ht="15" customHeight="1" outlineLevel="2">
      <c r="A1399" s="219"/>
      <c r="B1399" s="242"/>
      <c r="C1399" s="413" t="s">
        <v>1823</v>
      </c>
      <c r="D1399" s="121" t="str">
        <f>INDEX(Regional.Technologies[Description],MATCH($B$2&amp;"."&amp;G.30.assumptions.EnergyDemandAfterProductManufacturingEfficiency[[#This Row],[Technology code]],Regional.Technologies[Code],0))</f>
        <v>Global Oil use in the Chemicals: High Value Chemicals  technology</v>
      </c>
      <c r="E1399" s="242"/>
      <c r="F1399" s="121" t="s">
        <v>1601</v>
      </c>
      <c r="G1399" s="300" t="s">
        <v>1961</v>
      </c>
      <c r="H1399" s="251" t="s">
        <v>627</v>
      </c>
      <c r="I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19.210879294175736</v>
      </c>
      <c r="J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19.407913953603178</v>
      </c>
      <c r="K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19.654207277887483</v>
      </c>
      <c r="L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19.900500602171789</v>
      </c>
      <c r="M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20.146793926456095</v>
      </c>
      <c r="N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20.393087250740397</v>
      </c>
      <c r="O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20.639380575024706</v>
      </c>
      <c r="P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20.885673899309008</v>
      </c>
      <c r="Q139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21.131967223593314</v>
      </c>
      <c r="R1399" s="248"/>
      <c r="T1399" s="279"/>
      <c r="U1399" s="179"/>
      <c r="W1399" s="179"/>
      <c r="X1399" s="179"/>
    </row>
    <row r="1400" spans="1:24" s="65" customFormat="1" ht="15" customHeight="1" outlineLevel="2">
      <c r="A1400" s="219"/>
      <c r="B1400" s="242"/>
      <c r="C1400" s="413" t="s">
        <v>1824</v>
      </c>
      <c r="D1400" s="121" t="str">
        <f>INDEX(Regional.Technologies[Description],MATCH($B$2&amp;"."&amp;G.30.assumptions.EnergyDemandAfterProductManufacturingEfficiency[[#This Row],[Technology code]],Regional.Technologies[Code],0))</f>
        <v>Global Natural Gas use in the Chemicals: High Value Chemicals  technology</v>
      </c>
      <c r="E1400" s="242"/>
      <c r="F1400" s="121" t="s">
        <v>1601</v>
      </c>
      <c r="G1400" s="300" t="s">
        <v>1961</v>
      </c>
      <c r="H1400" s="251" t="s">
        <v>628</v>
      </c>
      <c r="I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3.4032396515371989E-3</v>
      </c>
      <c r="J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3.4381446736042463E-3</v>
      </c>
      <c r="K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3.4817759511880566E-3</v>
      </c>
      <c r="L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3.5254072287718677E-3</v>
      </c>
      <c r="M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3.5690385063556775E-3</v>
      </c>
      <c r="N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3.6126697839394878E-3</v>
      </c>
      <c r="O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3.6563010615232984E-3</v>
      </c>
      <c r="P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3.6999323391071087E-3</v>
      </c>
      <c r="Q140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3.7435636166909189E-3</v>
      </c>
      <c r="R1400" s="248"/>
      <c r="T1400" s="279"/>
      <c r="U1400" s="179"/>
      <c r="W1400" s="179"/>
      <c r="X1400" s="179"/>
    </row>
    <row r="1401" spans="1:24" s="65" customFormat="1" ht="15" customHeight="1" outlineLevel="2">
      <c r="A1401" s="219"/>
      <c r="B1401" s="242"/>
      <c r="C1401" s="413" t="s">
        <v>1825</v>
      </c>
      <c r="D1401" s="121" t="str">
        <f>INDEX(Regional.Technologies[Description],MATCH($B$2&amp;"."&amp;G.30.assumptions.EnergyDemandAfterProductManufacturingEfficiency[[#This Row],[Technology code]],Regional.Technologies[Code],0))</f>
        <v>Global Solid Hydrocarbons use in the Chemicals: High Value Chemicals  technology</v>
      </c>
      <c r="E1401" s="242"/>
      <c r="F1401" s="121" t="s">
        <v>1601</v>
      </c>
      <c r="G1401" s="300" t="s">
        <v>1961</v>
      </c>
      <c r="H1401" s="251" t="s">
        <v>370</v>
      </c>
      <c r="I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1" s="248"/>
      <c r="T1401" s="279"/>
      <c r="U1401" s="179"/>
      <c r="W1401" s="179"/>
      <c r="X1401" s="179"/>
    </row>
    <row r="1402" spans="1:24" s="65" customFormat="1" ht="15" customHeight="1" outlineLevel="2">
      <c r="A1402" s="219"/>
      <c r="B1402" s="242"/>
      <c r="C1402" s="413" t="s">
        <v>1826</v>
      </c>
      <c r="D1402" s="121" t="str">
        <f>INDEX(Regional.Technologies[Description],MATCH($B$2&amp;"."&amp;G.30.assumptions.EnergyDemandAfterProductManufacturingEfficiency[[#This Row],[Technology code]],Regional.Technologies[Code],0))</f>
        <v>Global Heat use in the Chemicals: High Value Chemicals  technology</v>
      </c>
      <c r="E1402" s="242"/>
      <c r="F1402" s="121" t="s">
        <v>1601</v>
      </c>
      <c r="G1402" s="300" t="s">
        <v>1961</v>
      </c>
      <c r="H1402" s="251" t="s">
        <v>1351</v>
      </c>
      <c r="I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2" s="248"/>
      <c r="T1402" s="279"/>
      <c r="U1402" s="179"/>
      <c r="W1402" s="179"/>
      <c r="X1402" s="179"/>
    </row>
    <row r="1403" spans="1:24" s="65" customFormat="1" ht="15" customHeight="1" outlineLevel="2">
      <c r="A1403" s="219"/>
      <c r="B1403" s="242"/>
      <c r="C1403" s="413" t="s">
        <v>1827</v>
      </c>
      <c r="D1403" s="121" t="str">
        <f>INDEX(Regional.Technologies[Description],MATCH($B$2&amp;"."&amp;G.30.assumptions.EnergyDemandAfterProductManufacturingEfficiency[[#This Row],[Technology code]],Regional.Technologies[Code],0))</f>
        <v>Global Electricity use in the Chemicals: Ammonia technology</v>
      </c>
      <c r="E1403" s="242"/>
      <c r="F1403" s="121" t="s">
        <v>1601</v>
      </c>
      <c r="G1403" s="300" t="s">
        <v>1962</v>
      </c>
      <c r="H1403" s="251" t="s">
        <v>626</v>
      </c>
      <c r="I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3" s="248"/>
      <c r="T1403" s="279"/>
      <c r="U1403" s="179"/>
      <c r="W1403" s="179"/>
      <c r="X1403" s="179"/>
    </row>
    <row r="1404" spans="1:24" s="65" customFormat="1" ht="15" customHeight="1" outlineLevel="2">
      <c r="A1404" s="219"/>
      <c r="B1404" s="242"/>
      <c r="C1404" s="413" t="s">
        <v>1828</v>
      </c>
      <c r="D1404" s="121" t="str">
        <f>INDEX(Regional.Technologies[Description],MATCH($B$2&amp;"."&amp;G.30.assumptions.EnergyDemandAfterProductManufacturingEfficiency[[#This Row],[Technology code]],Regional.Technologies[Code],0))</f>
        <v>Global Coal use in the Chemicals: Ammonia technology</v>
      </c>
      <c r="E1404" s="242"/>
      <c r="F1404" s="121" t="s">
        <v>1601</v>
      </c>
      <c r="G1404" s="300" t="s">
        <v>1962</v>
      </c>
      <c r="H1404" s="251" t="s">
        <v>626</v>
      </c>
      <c r="I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1.4435125863870015</v>
      </c>
      <c r="J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1.4583178436832782</v>
      </c>
      <c r="K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1.4768244153036243</v>
      </c>
      <c r="L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1.4953309869239708</v>
      </c>
      <c r="M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1.5138375585443169</v>
      </c>
      <c r="N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1.532344130164663</v>
      </c>
      <c r="O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1.5508507017850095</v>
      </c>
      <c r="P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1.5693572734053556</v>
      </c>
      <c r="Q140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1.5878638450257019</v>
      </c>
      <c r="R1404" s="248"/>
      <c r="T1404" s="279"/>
      <c r="U1404" s="179"/>
      <c r="W1404" s="179"/>
      <c r="X1404" s="179"/>
    </row>
    <row r="1405" spans="1:24" s="65" customFormat="1" ht="15" customHeight="1" outlineLevel="2">
      <c r="A1405" s="219"/>
      <c r="B1405" s="242"/>
      <c r="C1405" s="413" t="s">
        <v>1829</v>
      </c>
      <c r="D1405" s="121" t="str">
        <f>INDEX(Regional.Technologies[Description],MATCH($B$2&amp;"."&amp;G.30.assumptions.EnergyDemandAfterProductManufacturingEfficiency[[#This Row],[Technology code]],Regional.Technologies[Code],0))</f>
        <v>Global Oil use in the Chemicals: Ammonia technology</v>
      </c>
      <c r="E1405" s="242"/>
      <c r="F1405" s="121" t="s">
        <v>1601</v>
      </c>
      <c r="G1405" s="300" t="s">
        <v>1962</v>
      </c>
      <c r="H1405" s="251" t="s">
        <v>627</v>
      </c>
      <c r="I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5" s="248"/>
      <c r="T1405" s="279"/>
      <c r="U1405" s="179"/>
      <c r="W1405" s="179"/>
      <c r="X1405" s="179"/>
    </row>
    <row r="1406" spans="1:24" s="65" customFormat="1" ht="15" customHeight="1" outlineLevel="2">
      <c r="A1406" s="219"/>
      <c r="B1406" s="242"/>
      <c r="C1406" s="413" t="s">
        <v>1830</v>
      </c>
      <c r="D1406" s="121" t="str">
        <f>INDEX(Regional.Technologies[Description],MATCH($B$2&amp;"."&amp;G.30.assumptions.EnergyDemandAfterProductManufacturingEfficiency[[#This Row],[Technology code]],Regional.Technologies[Code],0))</f>
        <v>Global Natural Gas use in the Chemicals: Ammonia technology</v>
      </c>
      <c r="E1406" s="242"/>
      <c r="F1406" s="121" t="s">
        <v>1601</v>
      </c>
      <c r="G1406" s="300" t="s">
        <v>1962</v>
      </c>
      <c r="H1406" s="251" t="s">
        <v>628</v>
      </c>
      <c r="I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4.5138365842133039</v>
      </c>
      <c r="J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4.5601323440513886</v>
      </c>
      <c r="K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4.6180020438489944</v>
      </c>
      <c r="L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4.675871743646602</v>
      </c>
      <c r="M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4.7337414434442087</v>
      </c>
      <c r="N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4.7916111432418145</v>
      </c>
      <c r="O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4.8494808430394221</v>
      </c>
      <c r="P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4.9073505428370279</v>
      </c>
      <c r="Q140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4.9652202426346346</v>
      </c>
      <c r="R1406" s="248"/>
      <c r="T1406" s="279"/>
      <c r="U1406" s="179"/>
      <c r="W1406" s="179"/>
      <c r="X1406" s="179"/>
    </row>
    <row r="1407" spans="1:24" s="65" customFormat="1" ht="15" customHeight="1" outlineLevel="2">
      <c r="A1407" s="219"/>
      <c r="B1407" s="242"/>
      <c r="C1407" s="413" t="s">
        <v>1831</v>
      </c>
      <c r="D1407" s="121" t="str">
        <f>INDEX(Regional.Technologies[Description],MATCH($B$2&amp;"."&amp;G.30.assumptions.EnergyDemandAfterProductManufacturingEfficiency[[#This Row],[Technology code]],Regional.Technologies[Code],0))</f>
        <v>Global Solid Hydrocarbons use in the Chemicals: Ammonia technology</v>
      </c>
      <c r="E1407" s="242"/>
      <c r="F1407" s="121" t="s">
        <v>1601</v>
      </c>
      <c r="G1407" s="300" t="s">
        <v>1962</v>
      </c>
      <c r="H1407" s="251" t="s">
        <v>370</v>
      </c>
      <c r="I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7" s="248"/>
      <c r="T1407" s="279"/>
      <c r="U1407" s="179"/>
      <c r="W1407" s="179"/>
      <c r="X1407" s="179"/>
    </row>
    <row r="1408" spans="1:24" s="65" customFormat="1" ht="15" customHeight="1" outlineLevel="2">
      <c r="A1408" s="219"/>
      <c r="B1408" s="242"/>
      <c r="C1408" s="413" t="s">
        <v>1832</v>
      </c>
      <c r="D1408" s="121" t="str">
        <f>INDEX(Regional.Technologies[Description],MATCH($B$2&amp;"."&amp;G.30.assumptions.EnergyDemandAfterProductManufacturingEfficiency[[#This Row],[Technology code]],Regional.Technologies[Code],0))</f>
        <v>Global Heat use in the Chemicals: Ammonia technology</v>
      </c>
      <c r="E1408" s="242"/>
      <c r="F1408" s="121" t="s">
        <v>1601</v>
      </c>
      <c r="G1408" s="300" t="s">
        <v>1962</v>
      </c>
      <c r="H1408" s="251" t="s">
        <v>1351</v>
      </c>
      <c r="I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8" s="248"/>
      <c r="T1408" s="279"/>
      <c r="U1408" s="179"/>
      <c r="W1408" s="179"/>
      <c r="X1408" s="179"/>
    </row>
    <row r="1409" spans="1:24" s="65" customFormat="1" ht="15" customHeight="1" outlineLevel="2">
      <c r="A1409" s="219"/>
      <c r="B1409" s="242"/>
      <c r="C1409" s="413" t="s">
        <v>1833</v>
      </c>
      <c r="D1409" s="121" t="str">
        <f>INDEX(Regional.Technologies[Description],MATCH($B$2&amp;"."&amp;G.30.assumptions.EnergyDemandAfterProductManufacturingEfficiency[[#This Row],[Technology code]],Regional.Technologies[Code],0))</f>
        <v>Global Electricity use in the Chemicals: Methanol technology</v>
      </c>
      <c r="E1409" s="242"/>
      <c r="F1409" s="121" t="s">
        <v>1601</v>
      </c>
      <c r="G1409" s="300" t="s">
        <v>1963</v>
      </c>
      <c r="H1409" s="251" t="s">
        <v>626</v>
      </c>
      <c r="I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0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09" s="248"/>
      <c r="T1409" s="279"/>
      <c r="U1409" s="179"/>
      <c r="W1409" s="179"/>
      <c r="X1409" s="179"/>
    </row>
    <row r="1410" spans="1:24" s="65" customFormat="1" ht="15" customHeight="1" outlineLevel="2">
      <c r="A1410" s="219"/>
      <c r="B1410" s="242"/>
      <c r="C1410" s="413" t="s">
        <v>1834</v>
      </c>
      <c r="D1410" s="121" t="str">
        <f>INDEX(Regional.Technologies[Description],MATCH($B$2&amp;"."&amp;G.30.assumptions.EnergyDemandAfterProductManufacturingEfficiency[[#This Row],[Technology code]],Regional.Technologies[Code],0))</f>
        <v>Global Coal use in the Chemicals: Methanol technology</v>
      </c>
      <c r="E1410" s="242"/>
      <c r="F1410" s="121" t="s">
        <v>1601</v>
      </c>
      <c r="G1410" s="300" t="s">
        <v>1963</v>
      </c>
      <c r="H1410" s="251" t="s">
        <v>626</v>
      </c>
      <c r="I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0.726021750603001</v>
      </c>
      <c r="J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0.73346812753226254</v>
      </c>
      <c r="K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0.74277609869383954</v>
      </c>
      <c r="L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0.75208406985541654</v>
      </c>
      <c r="M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0.76139204101699343</v>
      </c>
      <c r="N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0.77070001217857032</v>
      </c>
      <c r="O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0.78000798334014743</v>
      </c>
      <c r="P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0.78931595450172432</v>
      </c>
      <c r="Q141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0.7986239256633012</v>
      </c>
      <c r="R1410" s="248"/>
      <c r="T1410" s="279"/>
      <c r="U1410" s="179"/>
      <c r="W1410" s="179"/>
      <c r="X1410" s="179"/>
    </row>
    <row r="1411" spans="1:24" s="65" customFormat="1" ht="15" customHeight="1" outlineLevel="2">
      <c r="A1411" s="219"/>
      <c r="B1411" s="242"/>
      <c r="C1411" s="413" t="s">
        <v>1835</v>
      </c>
      <c r="D1411" s="121" t="str">
        <f>INDEX(Regional.Technologies[Description],MATCH($B$2&amp;"."&amp;G.30.assumptions.EnergyDemandAfterProductManufacturingEfficiency[[#This Row],[Technology code]],Regional.Technologies[Code],0))</f>
        <v>Global Oil use in the Chemicals: Methanol technology</v>
      </c>
      <c r="E1411" s="242"/>
      <c r="F1411" s="121" t="s">
        <v>1601</v>
      </c>
      <c r="G1411" s="300" t="s">
        <v>1963</v>
      </c>
      <c r="H1411" s="251" t="s">
        <v>627</v>
      </c>
      <c r="I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1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11" s="248"/>
      <c r="T1411" s="279"/>
      <c r="U1411" s="179"/>
      <c r="W1411" s="179"/>
      <c r="X1411" s="179"/>
    </row>
    <row r="1412" spans="1:24" s="65" customFormat="1" ht="15" customHeight="1" outlineLevel="2">
      <c r="A1412" s="219"/>
      <c r="B1412" s="242"/>
      <c r="C1412" s="413" t="s">
        <v>1836</v>
      </c>
      <c r="D1412" s="121" t="str">
        <f>INDEX(Regional.Technologies[Description],MATCH($B$2&amp;"."&amp;G.30.assumptions.EnergyDemandAfterProductManufacturingEfficiency[[#This Row],[Technology code]],Regional.Technologies[Code],0))</f>
        <v>Global Natural Gas use in the Chemicals: Methanol technology</v>
      </c>
      <c r="E1412" s="242"/>
      <c r="F1412" s="121" t="s">
        <v>1601</v>
      </c>
      <c r="G1412" s="300" t="s">
        <v>1963</v>
      </c>
      <c r="H1412" s="251" t="s">
        <v>628</v>
      </c>
      <c r="I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0.937789568259083</v>
      </c>
      <c r="J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0.94740792280532993</v>
      </c>
      <c r="K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0.95943086598813876</v>
      </c>
      <c r="L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0.97145380917094759</v>
      </c>
      <c r="M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0.98347675235375631</v>
      </c>
      <c r="N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0.99549969553656503</v>
      </c>
      <c r="O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1.0075226387193739</v>
      </c>
      <c r="P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1.0195455819021826</v>
      </c>
      <c r="Q141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1.0315685250849913</v>
      </c>
      <c r="R1412" s="248"/>
      <c r="T1412" s="279"/>
      <c r="U1412" s="179"/>
      <c r="W1412" s="179"/>
      <c r="X1412" s="179"/>
    </row>
    <row r="1413" spans="1:24" s="65" customFormat="1" ht="15" customHeight="1" outlineLevel="2">
      <c r="A1413" s="219"/>
      <c r="B1413" s="242"/>
      <c r="C1413" s="413" t="s">
        <v>1837</v>
      </c>
      <c r="D1413" s="121" t="str">
        <f>INDEX(Regional.Technologies[Description],MATCH($B$2&amp;"."&amp;G.30.assumptions.EnergyDemandAfterProductManufacturingEfficiency[[#This Row],[Technology code]],Regional.Technologies[Code],0))</f>
        <v>Global Solid Hydrocarbons use in the Chemicals: Methanol technology</v>
      </c>
      <c r="E1413" s="242"/>
      <c r="F1413" s="121" t="s">
        <v>1601</v>
      </c>
      <c r="G1413" s="300" t="s">
        <v>1963</v>
      </c>
      <c r="H1413" s="251" t="s">
        <v>370</v>
      </c>
      <c r="I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1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13" s="248"/>
      <c r="T1413" s="279"/>
      <c r="U1413" s="179"/>
      <c r="W1413" s="179"/>
      <c r="X1413" s="179"/>
    </row>
    <row r="1414" spans="1:24" s="65" customFormat="1" ht="15" customHeight="1" outlineLevel="2">
      <c r="A1414" s="219"/>
      <c r="B1414" s="242"/>
      <c r="C1414" s="413" t="s">
        <v>1838</v>
      </c>
      <c r="D1414" s="121" t="str">
        <f>INDEX(Regional.Technologies[Description],MATCH($B$2&amp;"."&amp;G.30.assumptions.EnergyDemandAfterProductManufacturingEfficiency[[#This Row],[Technology code]],Regional.Technologies[Code],0))</f>
        <v>Global Heat use in the Chemicals: Methanol technology</v>
      </c>
      <c r="E1414" s="242"/>
      <c r="F1414" s="121" t="s">
        <v>1601</v>
      </c>
      <c r="G1414" s="300" t="s">
        <v>1963</v>
      </c>
      <c r="H1414" s="251" t="s">
        <v>1351</v>
      </c>
      <c r="I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1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14" s="248"/>
      <c r="T1414" s="279"/>
      <c r="U1414" s="179"/>
      <c r="W1414" s="179"/>
      <c r="X1414" s="179"/>
    </row>
    <row r="1415" spans="1:24" s="65" customFormat="1" ht="15" customHeight="1" outlineLevel="2">
      <c r="A1415" s="219"/>
      <c r="B1415" s="242"/>
      <c r="C1415" s="413" t="s">
        <v>1839</v>
      </c>
      <c r="D1415" s="121" t="str">
        <f>INDEX(Regional.Technologies[Description],MATCH($B$2&amp;"."&amp;G.30.assumptions.EnergyDemandAfterProductManufacturingEfficiency[[#This Row],[Technology code]],Regional.Technologies[Code],0))</f>
        <v>Global Electricity use in the Chemicals: Others technology</v>
      </c>
      <c r="E1415" s="242"/>
      <c r="F1415" s="121" t="s">
        <v>1601</v>
      </c>
      <c r="G1415" s="242" t="s">
        <v>1964</v>
      </c>
      <c r="H1415" s="251" t="s">
        <v>626</v>
      </c>
      <c r="I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4.3950447458562465</v>
      </c>
      <c r="J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4.4401221278650285</v>
      </c>
      <c r="K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4.4964688553760057</v>
      </c>
      <c r="L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4.5528155828869838</v>
      </c>
      <c r="M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4.6091623103979611</v>
      </c>
      <c r="N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4.6655090379089383</v>
      </c>
      <c r="O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4.7218557654199174</v>
      </c>
      <c r="P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4.7782024929308946</v>
      </c>
      <c r="Q141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4.8345492204418719</v>
      </c>
      <c r="R1415" s="248"/>
      <c r="T1415" s="279"/>
      <c r="U1415" s="179"/>
      <c r="W1415" s="179"/>
      <c r="X1415" s="179"/>
    </row>
    <row r="1416" spans="1:24" s="65" customFormat="1" ht="15" customHeight="1" outlineLevel="2">
      <c r="A1416" s="219"/>
      <c r="B1416" s="242"/>
      <c r="C1416" s="413" t="s">
        <v>1840</v>
      </c>
      <c r="D1416" s="121" t="str">
        <f>INDEX(Regional.Technologies[Description],MATCH($B$2&amp;"."&amp;G.30.assumptions.EnergyDemandAfterProductManufacturingEfficiency[[#This Row],[Technology code]],Regional.Technologies[Code],0))</f>
        <v>Global Coal use in the Chemicals: Others technology</v>
      </c>
      <c r="E1416" s="242"/>
      <c r="F1416" s="121" t="s">
        <v>1601</v>
      </c>
      <c r="G1416" s="242" t="s">
        <v>1964</v>
      </c>
      <c r="H1416" s="251" t="s">
        <v>626</v>
      </c>
      <c r="I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0.37414965620854634</v>
      </c>
      <c r="J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0.37798708857991603</v>
      </c>
      <c r="K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0.38278387904412814</v>
      </c>
      <c r="L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0.3875806695083403</v>
      </c>
      <c r="M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0.39237745997255247</v>
      </c>
      <c r="N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0.39717425043676458</v>
      </c>
      <c r="O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0.40197104090097679</v>
      </c>
      <c r="P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0.4067678313651889</v>
      </c>
      <c r="Q141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0.41156462182940101</v>
      </c>
      <c r="R1416" s="248"/>
      <c r="T1416" s="279"/>
      <c r="U1416" s="179"/>
      <c r="W1416" s="179"/>
      <c r="X1416" s="179"/>
    </row>
    <row r="1417" spans="1:24" s="65" customFormat="1" ht="15" customHeight="1" outlineLevel="2">
      <c r="A1417" s="219"/>
      <c r="B1417" s="242"/>
      <c r="C1417" s="413" t="s">
        <v>1841</v>
      </c>
      <c r="D1417" s="121" t="str">
        <f>INDEX(Regional.Technologies[Description],MATCH($B$2&amp;"."&amp;G.30.assumptions.EnergyDemandAfterProductManufacturingEfficiency[[#This Row],[Technology code]],Regional.Technologies[Code],0))</f>
        <v>Global Oil use in the Chemicals: Others technology</v>
      </c>
      <c r="E1417" s="242"/>
      <c r="F1417" s="121" t="s">
        <v>1601</v>
      </c>
      <c r="G1417" s="242" t="s">
        <v>1964</v>
      </c>
      <c r="H1417" s="251" t="s">
        <v>627</v>
      </c>
      <c r="I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-2.3799202608643097E-15</v>
      </c>
      <c r="J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-2.4043296994372769E-15</v>
      </c>
      <c r="K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-2.434841497653486E-15</v>
      </c>
      <c r="L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-2.4653532958696954E-15</v>
      </c>
      <c r="M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-2.4958650940859044E-15</v>
      </c>
      <c r="N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-2.5263768923021135E-15</v>
      </c>
      <c r="O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-2.5568886905183229E-15</v>
      </c>
      <c r="P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-2.5874004887345319E-15</v>
      </c>
      <c r="Q141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-2.617912286950741E-15</v>
      </c>
      <c r="R1417" s="248"/>
      <c r="T1417" s="279"/>
      <c r="U1417" s="179"/>
      <c r="W1417" s="179"/>
      <c r="X1417" s="179"/>
    </row>
    <row r="1418" spans="1:24" s="65" customFormat="1" ht="15" customHeight="1" outlineLevel="2">
      <c r="A1418" s="219"/>
      <c r="B1418" s="242"/>
      <c r="C1418" s="413" t="s">
        <v>1842</v>
      </c>
      <c r="D1418" s="121" t="str">
        <f>INDEX(Regional.Technologies[Description],MATCH($B$2&amp;"."&amp;G.30.assumptions.EnergyDemandAfterProductManufacturingEfficiency[[#This Row],[Technology code]],Regional.Technologies[Code],0))</f>
        <v>Global Natural Gas use in the Chemicals: Others technology</v>
      </c>
      <c r="E1418" s="242"/>
      <c r="F1418" s="121" t="s">
        <v>1601</v>
      </c>
      <c r="G1418" s="242" t="s">
        <v>1964</v>
      </c>
      <c r="H1418" s="251" t="s">
        <v>628</v>
      </c>
      <c r="I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5.824527824760918</v>
      </c>
      <c r="J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5.8842665716815432</v>
      </c>
      <c r="K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5.958940005332324</v>
      </c>
      <c r="L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6.0336134389831049</v>
      </c>
      <c r="M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6.1082868726338857</v>
      </c>
      <c r="N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6.1829603062846665</v>
      </c>
      <c r="O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6.2576337399354491</v>
      </c>
      <c r="P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6.33230717358623</v>
      </c>
      <c r="Q141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6.4069806072370108</v>
      </c>
      <c r="R1418" s="248"/>
      <c r="T1418" s="279"/>
      <c r="U1418" s="179"/>
      <c r="W1418" s="179"/>
      <c r="X1418" s="179"/>
    </row>
    <row r="1419" spans="1:24" s="65" customFormat="1" ht="15" customHeight="1" outlineLevel="2">
      <c r="A1419" s="219"/>
      <c r="B1419" s="242"/>
      <c r="C1419" s="413" t="s">
        <v>1843</v>
      </c>
      <c r="D1419" s="121" t="str">
        <f>INDEX(Regional.Technologies[Description],MATCH($B$2&amp;"."&amp;G.30.assumptions.EnergyDemandAfterProductManufacturingEfficiency[[#This Row],[Technology code]],Regional.Technologies[Code],0))</f>
        <v>Global Solid Hydrocarbons use in the Chemicals: Others technology</v>
      </c>
      <c r="E1419" s="242"/>
      <c r="F1419" s="121" t="s">
        <v>1601</v>
      </c>
      <c r="G1419" s="242" t="s">
        <v>1964</v>
      </c>
      <c r="H1419" s="251" t="s">
        <v>370</v>
      </c>
      <c r="I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0.16313870478909601</v>
      </c>
      <c r="J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0.16481192227411237</v>
      </c>
      <c r="K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0.16690344413038283</v>
      </c>
      <c r="L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0.16899496598665331</v>
      </c>
      <c r="M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0.17108648784292377</v>
      </c>
      <c r="N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0.17317800969919422</v>
      </c>
      <c r="O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0.17526953155546471</v>
      </c>
      <c r="P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0.17736105341173516</v>
      </c>
      <c r="Q141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0.17945257526800562</v>
      </c>
      <c r="R1419" s="248"/>
      <c r="T1419" s="279"/>
      <c r="U1419" s="179"/>
      <c r="W1419" s="179"/>
      <c r="X1419" s="179"/>
    </row>
    <row r="1420" spans="1:24" s="65" customFormat="1" ht="15" customHeight="1" outlineLevel="2">
      <c r="A1420" s="219"/>
      <c r="B1420" s="242"/>
      <c r="C1420" s="413" t="s">
        <v>1844</v>
      </c>
      <c r="D1420" s="121" t="str">
        <f>INDEX(Regional.Technologies[Description],MATCH($B$2&amp;"."&amp;G.30.assumptions.EnergyDemandAfterProductManufacturingEfficiency[[#This Row],[Technology code]],Regional.Technologies[Code],0))</f>
        <v>Global Heat use in the Chemicals: Others technology</v>
      </c>
      <c r="E1420" s="242"/>
      <c r="F1420" s="121" t="s">
        <v>1601</v>
      </c>
      <c r="G1420" s="242" t="s">
        <v>1964</v>
      </c>
      <c r="H1420" s="251" t="s">
        <v>1351</v>
      </c>
      <c r="I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1.9701384317850921</v>
      </c>
      <c r="J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1.9903449798034007</v>
      </c>
      <c r="K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2.0156031648262864</v>
      </c>
      <c r="L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2.0408613498491723</v>
      </c>
      <c r="M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2.0661195348720582</v>
      </c>
      <c r="N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2.0913777198949437</v>
      </c>
      <c r="O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2.11663590491783</v>
      </c>
      <c r="P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2.141894089940716</v>
      </c>
      <c r="Q142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2.1671522749636014</v>
      </c>
      <c r="R1420" s="248"/>
      <c r="T1420" s="279"/>
      <c r="U1420" s="179"/>
      <c r="W1420" s="179"/>
      <c r="X1420" s="179"/>
    </row>
    <row r="1421" spans="1:24" s="65" customFormat="1" ht="15" customHeight="1" outlineLevel="2">
      <c r="A1421" s="219"/>
      <c r="B1421" s="242"/>
      <c r="C1421" s="413" t="s">
        <v>1845</v>
      </c>
      <c r="D1421" s="121" t="str">
        <f>INDEX(Regional.Technologies[Description],MATCH($B$2&amp;"."&amp;G.30.assumptions.EnergyDemandAfterProductManufacturingEfficiency[[#This Row],[Technology code]],Regional.Technologies[Code],0))</f>
        <v>Global Electricity use in the Pulp &amp; paper: Pulp technology</v>
      </c>
      <c r="E1421" s="242"/>
      <c r="F1421" s="121" t="s">
        <v>1447</v>
      </c>
      <c r="G1421" s="300" t="s">
        <v>1954</v>
      </c>
      <c r="H1421" s="251" t="s">
        <v>626</v>
      </c>
      <c r="I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0.6926252422696052</v>
      </c>
      <c r="J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0.69972909090826785</v>
      </c>
      <c r="K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0.70860890170659607</v>
      </c>
      <c r="L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0.71748871250492463</v>
      </c>
      <c r="M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0.72636852330325274</v>
      </c>
      <c r="N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0.73524833410158097</v>
      </c>
      <c r="O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0.74412814489990942</v>
      </c>
      <c r="P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0.75300795569823764</v>
      </c>
      <c r="Q142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0.76188776649656575</v>
      </c>
      <c r="R1421" s="248"/>
      <c r="T1421" s="279"/>
      <c r="U1421" s="179"/>
      <c r="W1421" s="179"/>
      <c r="X1421" s="179"/>
    </row>
    <row r="1422" spans="1:24" s="65" customFormat="1" ht="15" customHeight="1" outlineLevel="2">
      <c r="A1422" s="219"/>
      <c r="B1422" s="242"/>
      <c r="C1422" s="413" t="s">
        <v>1846</v>
      </c>
      <c r="D1422" s="121" t="str">
        <f>INDEX(Regional.Technologies[Description],MATCH($B$2&amp;"."&amp;G.30.assumptions.EnergyDemandAfterProductManufacturingEfficiency[[#This Row],[Technology code]],Regional.Technologies[Code],0))</f>
        <v>Global Coal use in the Pulp &amp; paper: Pulp technology</v>
      </c>
      <c r="E1422" s="242"/>
      <c r="F1422" s="121" t="s">
        <v>1447</v>
      </c>
      <c r="G1422" s="300" t="s">
        <v>1954</v>
      </c>
      <c r="H1422" s="251" t="s">
        <v>626</v>
      </c>
      <c r="I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0.59772552046925542</v>
      </c>
      <c r="J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0.60385603862791448</v>
      </c>
      <c r="K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0.61151918632623825</v>
      </c>
      <c r="L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0.61918233402456224</v>
      </c>
      <c r="M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0.6268454817228859</v>
      </c>
      <c r="N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0.63450862942120967</v>
      </c>
      <c r="O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0.64217177711953355</v>
      </c>
      <c r="P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0.64983492481785732</v>
      </c>
      <c r="Q142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0.65749807251618098</v>
      </c>
      <c r="R1422" s="248"/>
      <c r="T1422" s="279"/>
      <c r="U1422" s="179"/>
      <c r="W1422" s="179"/>
      <c r="X1422" s="179"/>
    </row>
    <row r="1423" spans="1:24" s="65" customFormat="1" ht="15" customHeight="1" outlineLevel="2">
      <c r="A1423" s="219"/>
      <c r="B1423" s="242"/>
      <c r="C1423" s="413" t="s">
        <v>1847</v>
      </c>
      <c r="D1423" s="121" t="str">
        <f>INDEX(Regional.Technologies[Description],MATCH($B$2&amp;"."&amp;G.30.assumptions.EnergyDemandAfterProductManufacturingEfficiency[[#This Row],[Technology code]],Regional.Technologies[Code],0))</f>
        <v>Global Oil use in the Pulp &amp; paper: Pulp technology</v>
      </c>
      <c r="E1423" s="242"/>
      <c r="F1423" s="121" t="s">
        <v>1447</v>
      </c>
      <c r="G1423" s="300" t="s">
        <v>1954</v>
      </c>
      <c r="H1423" s="251" t="s">
        <v>627</v>
      </c>
      <c r="I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0.18690202814673121</v>
      </c>
      <c r="J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0.18881897202515924</v>
      </c>
      <c r="K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0.19121515187319424</v>
      </c>
      <c r="L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0.19361133172122932</v>
      </c>
      <c r="M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0.1960075115692643</v>
      </c>
      <c r="N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0.1984036914172993</v>
      </c>
      <c r="O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0.20079987126533438</v>
      </c>
      <c r="P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0.20319605111336939</v>
      </c>
      <c r="Q142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0.20559223096140436</v>
      </c>
      <c r="R1423" s="248"/>
      <c r="T1423" s="279"/>
      <c r="U1423" s="179"/>
      <c r="W1423" s="179"/>
      <c r="X1423" s="179"/>
    </row>
    <row r="1424" spans="1:24" s="65" customFormat="1" ht="15" customHeight="1" outlineLevel="2">
      <c r="A1424" s="219"/>
      <c r="B1424" s="242"/>
      <c r="C1424" s="413" t="s">
        <v>1848</v>
      </c>
      <c r="D1424" s="121" t="str">
        <f>INDEX(Regional.Technologies[Description],MATCH($B$2&amp;"."&amp;G.30.assumptions.EnergyDemandAfterProductManufacturingEfficiency[[#This Row],[Technology code]],Regional.Technologies[Code],0))</f>
        <v>Global Natural Gas use in the Pulp &amp; paper: Pulp technology</v>
      </c>
      <c r="E1424" s="242"/>
      <c r="F1424" s="121" t="s">
        <v>1447</v>
      </c>
      <c r="G1424" s="300" t="s">
        <v>1954</v>
      </c>
      <c r="H1424" s="251" t="s">
        <v>628</v>
      </c>
      <c r="I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0.44180526117246138</v>
      </c>
      <c r="J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0.44633659718448665</v>
      </c>
      <c r="K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0.45200076719951815</v>
      </c>
      <c r="L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0.45766493721454987</v>
      </c>
      <c r="M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0.46332910722958137</v>
      </c>
      <c r="N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0.46899327724461287</v>
      </c>
      <c r="O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0.47465744725964454</v>
      </c>
      <c r="P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0.48032161727467609</v>
      </c>
      <c r="Q142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0.48598578728970754</v>
      </c>
      <c r="R1424" s="248"/>
      <c r="T1424" s="279"/>
      <c r="U1424" s="179"/>
      <c r="W1424" s="179"/>
      <c r="X1424" s="179"/>
    </row>
    <row r="1425" spans="1:24" s="65" customFormat="1" ht="15" customHeight="1" outlineLevel="2">
      <c r="A1425" s="219"/>
      <c r="B1425" s="242"/>
      <c r="C1425" s="413" t="s">
        <v>1849</v>
      </c>
      <c r="D1425" s="121" t="str">
        <f>INDEX(Regional.Technologies[Description],MATCH($B$2&amp;"."&amp;G.30.assumptions.EnergyDemandAfterProductManufacturingEfficiency[[#This Row],[Technology code]],Regional.Technologies[Code],0))</f>
        <v>Global Solid Hydrocarbons use in the Pulp &amp; paper: Pulp technology</v>
      </c>
      <c r="E1425" s="242"/>
      <c r="F1425" s="121" t="s">
        <v>1447</v>
      </c>
      <c r="G1425" s="300" t="s">
        <v>1954</v>
      </c>
      <c r="H1425" s="251" t="s">
        <v>370</v>
      </c>
      <c r="I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1.1015070797346034</v>
      </c>
      <c r="J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1.1128045882447017</v>
      </c>
      <c r="K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1.1269264738823248</v>
      </c>
      <c r="L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1.1410483595199483</v>
      </c>
      <c r="M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1.1551702451575714</v>
      </c>
      <c r="N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1.1692921307951945</v>
      </c>
      <c r="O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1.1834140164328177</v>
      </c>
      <c r="P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1.1975359020704408</v>
      </c>
      <c r="Q142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1.2116577877080636</v>
      </c>
      <c r="R1425" s="248"/>
      <c r="T1425" s="279"/>
      <c r="U1425" s="179"/>
      <c r="W1425" s="179"/>
      <c r="X1425" s="179"/>
    </row>
    <row r="1426" spans="1:24" s="65" customFormat="1" ht="15" customHeight="1" outlineLevel="2">
      <c r="A1426" s="219"/>
      <c r="B1426" s="242"/>
      <c r="C1426" s="413" t="s">
        <v>1850</v>
      </c>
      <c r="D1426" s="121" t="str">
        <f>INDEX(Regional.Technologies[Description],MATCH($B$2&amp;"."&amp;G.30.assumptions.EnergyDemandAfterProductManufacturingEfficiency[[#This Row],[Technology code]],Regional.Technologies[Code],0))</f>
        <v>Global Heat use in the Pulp &amp; paper: Pulp technology</v>
      </c>
      <c r="E1426" s="242"/>
      <c r="F1426" s="121" t="s">
        <v>1447</v>
      </c>
      <c r="G1426" s="300" t="s">
        <v>1954</v>
      </c>
      <c r="H1426" s="251" t="s">
        <v>1351</v>
      </c>
      <c r="I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2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26" s="248"/>
      <c r="T1426" s="279"/>
      <c r="U1426" s="179"/>
      <c r="W1426" s="179"/>
      <c r="X1426" s="179"/>
    </row>
    <row r="1427" spans="1:24" s="65" customFormat="1" ht="15" customHeight="1" outlineLevel="2">
      <c r="A1427" s="219"/>
      <c r="B1427" s="242"/>
      <c r="C1427" s="413" t="s">
        <v>1631</v>
      </c>
      <c r="D1427" s="121" t="str">
        <f>INDEX(Regional.Technologies[Description],MATCH($B$2&amp;"."&amp;G.30.assumptions.EnergyDemandAfterProductManufacturingEfficiency[[#This Row],[Technology code]],Regional.Technologies[Code],0))</f>
        <v>Global Electricity use in the Pulp &amp; paper: Virgin technology</v>
      </c>
      <c r="E1427" s="242"/>
      <c r="F1427" s="121" t="s">
        <v>1447</v>
      </c>
      <c r="G1427" s="242" t="s">
        <v>1955</v>
      </c>
      <c r="H1427" s="251" t="s">
        <v>626</v>
      </c>
      <c r="I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0.96830205621334242</v>
      </c>
      <c r="J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0.97823335935399203</v>
      </c>
      <c r="K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0.99064748827980409</v>
      </c>
      <c r="L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1.0030616172056164</v>
      </c>
      <c r="M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1.0154757461314283</v>
      </c>
      <c r="N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1.0278898750572405</v>
      </c>
      <c r="O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1.0403040039830527</v>
      </c>
      <c r="P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1.0527181329088646</v>
      </c>
      <c r="Q142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1.0651322618346766</v>
      </c>
      <c r="R1427" s="248"/>
      <c r="T1427" s="279"/>
      <c r="U1427" s="179"/>
      <c r="W1427" s="179"/>
      <c r="X1427" s="179"/>
    </row>
    <row r="1428" spans="1:24" s="65" customFormat="1" ht="15" customHeight="1" outlineLevel="2">
      <c r="A1428" s="219"/>
      <c r="B1428" s="242"/>
      <c r="C1428" s="413" t="s">
        <v>1851</v>
      </c>
      <c r="D1428" s="121" t="str">
        <f>INDEX(Regional.Technologies[Description],MATCH($B$2&amp;"."&amp;G.30.assumptions.EnergyDemandAfterProductManufacturingEfficiency[[#This Row],[Technology code]],Regional.Technologies[Code],0))</f>
        <v>Global Coal use in the Pulp &amp; paper: Virgin technology</v>
      </c>
      <c r="E1428" s="242"/>
      <c r="F1428" s="121" t="s">
        <v>1447</v>
      </c>
      <c r="G1428" s="242" t="s">
        <v>1955</v>
      </c>
      <c r="H1428" s="251" t="s">
        <v>626</v>
      </c>
      <c r="I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0.77413991162387541</v>
      </c>
      <c r="J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0.7820798081533511</v>
      </c>
      <c r="K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0.79200467881519554</v>
      </c>
      <c r="L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0.80192954947704032</v>
      </c>
      <c r="M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0.81185442013888476</v>
      </c>
      <c r="N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0.82177929080072931</v>
      </c>
      <c r="O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0.83170416146257398</v>
      </c>
      <c r="P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0.84162903212441853</v>
      </c>
      <c r="Q142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0.85155390278626297</v>
      </c>
      <c r="R1428" s="248"/>
      <c r="T1428" s="279"/>
      <c r="U1428" s="179"/>
      <c r="W1428" s="179"/>
      <c r="X1428" s="179"/>
    </row>
    <row r="1429" spans="1:24" s="65" customFormat="1" ht="15" customHeight="1" outlineLevel="2">
      <c r="A1429" s="219"/>
      <c r="B1429" s="242"/>
      <c r="C1429" s="413" t="s">
        <v>1852</v>
      </c>
      <c r="D1429" s="121" t="str">
        <f>INDEX(Regional.Technologies[Description],MATCH($B$2&amp;"."&amp;G.30.assumptions.EnergyDemandAfterProductManufacturingEfficiency[[#This Row],[Technology code]],Regional.Technologies[Code],0))</f>
        <v>Global Oil use in the Pulp &amp; paper: Virgin technology</v>
      </c>
      <c r="E1429" s="242"/>
      <c r="F1429" s="121" t="s">
        <v>1447</v>
      </c>
      <c r="G1429" s="242" t="s">
        <v>1955</v>
      </c>
      <c r="H1429" s="251" t="s">
        <v>627</v>
      </c>
      <c r="I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0.17969717966158166</v>
      </c>
      <c r="J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0.1815402276581107</v>
      </c>
      <c r="K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0.18384403765377202</v>
      </c>
      <c r="L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0.18614784764943337</v>
      </c>
      <c r="M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0.18845165764509464</v>
      </c>
      <c r="N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0.19075546764075593</v>
      </c>
      <c r="O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0.19305927763641725</v>
      </c>
      <c r="P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0.19536308763207857</v>
      </c>
      <c r="Q142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0.19766689762773984</v>
      </c>
      <c r="R1429" s="248"/>
      <c r="T1429" s="279"/>
      <c r="U1429" s="179"/>
      <c r="W1429" s="179"/>
      <c r="X1429" s="179"/>
    </row>
    <row r="1430" spans="1:24" s="65" customFormat="1" ht="15" customHeight="1" outlineLevel="2">
      <c r="A1430" s="219"/>
      <c r="B1430" s="242"/>
      <c r="C1430" s="413" t="s">
        <v>1853</v>
      </c>
      <c r="D1430" s="121" t="str">
        <f>INDEX(Regional.Technologies[Description],MATCH($B$2&amp;"."&amp;G.30.assumptions.EnergyDemandAfterProductManufacturingEfficiency[[#This Row],[Technology code]],Regional.Technologies[Code],0))</f>
        <v>Global Natural Gas use in the Pulp &amp; paper: Virgin technology</v>
      </c>
      <c r="E1430" s="242"/>
      <c r="F1430" s="121" t="s">
        <v>1447</v>
      </c>
      <c r="G1430" s="242" t="s">
        <v>1955</v>
      </c>
      <c r="H1430" s="251" t="s">
        <v>628</v>
      </c>
      <c r="I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0.45387282618987917</v>
      </c>
      <c r="J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0.45852793209951892</v>
      </c>
      <c r="K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0.46434681448656867</v>
      </c>
      <c r="L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0.47016569687361848</v>
      </c>
      <c r="M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0.47598457926066817</v>
      </c>
      <c r="N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0.48180346164771787</v>
      </c>
      <c r="O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0.48762234403476767</v>
      </c>
      <c r="P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0.49344122642181742</v>
      </c>
      <c r="Q143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0.49926010880886706</v>
      </c>
      <c r="R1430" s="248"/>
      <c r="T1430" s="279"/>
      <c r="U1430" s="179"/>
      <c r="W1430" s="179"/>
      <c r="X1430" s="179"/>
    </row>
    <row r="1431" spans="1:24" s="65" customFormat="1" ht="15" customHeight="1" outlineLevel="2">
      <c r="A1431" s="219"/>
      <c r="B1431" s="242"/>
      <c r="C1431" s="413" t="s">
        <v>1854</v>
      </c>
      <c r="D1431" s="121" t="str">
        <f>INDEX(Regional.Technologies[Description],MATCH($B$2&amp;"."&amp;G.30.assumptions.EnergyDemandAfterProductManufacturingEfficiency[[#This Row],[Technology code]],Regional.Technologies[Code],0))</f>
        <v>Global Solid Hydrocarbons use in the Pulp &amp; paper: Virgin technology</v>
      </c>
      <c r="E1431" s="242"/>
      <c r="F1431" s="121" t="s">
        <v>1447</v>
      </c>
      <c r="G1431" s="242" t="s">
        <v>1955</v>
      </c>
      <c r="H1431" s="251" t="s">
        <v>370</v>
      </c>
      <c r="I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0.68393967671459854</v>
      </c>
      <c r="J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0.69095444262962002</v>
      </c>
      <c r="K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0.69972290002339688</v>
      </c>
      <c r="L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0.70849135741717395</v>
      </c>
      <c r="M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0.7172598148109508</v>
      </c>
      <c r="N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0.72602827220472765</v>
      </c>
      <c r="O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0.73479672959850462</v>
      </c>
      <c r="P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0.74356518699228158</v>
      </c>
      <c r="Q143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0.75233364438605832</v>
      </c>
      <c r="R1431" s="248"/>
      <c r="T1431" s="279"/>
      <c r="U1431" s="179"/>
      <c r="W1431" s="179"/>
      <c r="X1431" s="179"/>
    </row>
    <row r="1432" spans="1:24" s="65" customFormat="1" ht="15" customHeight="1" outlineLevel="2">
      <c r="A1432" s="219"/>
      <c r="B1432" s="242"/>
      <c r="C1432" s="413" t="s">
        <v>1855</v>
      </c>
      <c r="D1432" s="121" t="str">
        <f>INDEX(Regional.Technologies[Description],MATCH($B$2&amp;"."&amp;G.30.assumptions.EnergyDemandAfterProductManufacturingEfficiency[[#This Row],[Technology code]],Regional.Technologies[Code],0))</f>
        <v>Global Heat use in the Pulp &amp; paper: Virgin technology</v>
      </c>
      <c r="E1432" s="242"/>
      <c r="F1432" s="121" t="s">
        <v>1447</v>
      </c>
      <c r="G1432" s="242" t="s">
        <v>1955</v>
      </c>
      <c r="H1432" s="251" t="s">
        <v>1351</v>
      </c>
      <c r="I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3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32" s="248"/>
      <c r="T1432" s="279"/>
      <c r="U1432" s="179"/>
      <c r="W1432" s="179"/>
      <c r="X1432" s="179"/>
    </row>
    <row r="1433" spans="1:24" s="65" customFormat="1" ht="15" customHeight="1" outlineLevel="2">
      <c r="A1433" s="219"/>
      <c r="B1433" s="242"/>
      <c r="C1433" s="413" t="s">
        <v>1632</v>
      </c>
      <c r="D1433" s="121" t="str">
        <f>INDEX(Regional.Technologies[Description],MATCH($B$2&amp;"."&amp;G.30.assumptions.EnergyDemandAfterProductManufacturingEfficiency[[#This Row],[Technology code]],Regional.Technologies[Code],0))</f>
        <v>Global Electricity use in the Pulp &amp; paper: Recycled technology</v>
      </c>
      <c r="E1433" s="242"/>
      <c r="F1433" s="121" t="s">
        <v>1447</v>
      </c>
      <c r="G1433" s="242" t="s">
        <v>1956</v>
      </c>
      <c r="H1433" s="251" t="s">
        <v>626</v>
      </c>
      <c r="I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0.23830379865832832</v>
      </c>
      <c r="J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0.24074794018302911</v>
      </c>
      <c r="K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0.24380311708890515</v>
      </c>
      <c r="L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0.24685829399478118</v>
      </c>
      <c r="M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0.24991347090065716</v>
      </c>
      <c r="N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0.25296864780653316</v>
      </c>
      <c r="O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0.2560238247124092</v>
      </c>
      <c r="P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0.25907900161828518</v>
      </c>
      <c r="Q143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0.26213417852416115</v>
      </c>
      <c r="R1433" s="248"/>
      <c r="T1433" s="279"/>
      <c r="U1433" s="179"/>
      <c r="W1433" s="179"/>
      <c r="X1433" s="179"/>
    </row>
    <row r="1434" spans="1:24" s="65" customFormat="1" ht="15" customHeight="1" outlineLevel="2">
      <c r="A1434" s="219"/>
      <c r="B1434" s="242"/>
      <c r="C1434" s="413" t="s">
        <v>1856</v>
      </c>
      <c r="D1434" s="121" t="str">
        <f>INDEX(Regional.Technologies[Description],MATCH($B$2&amp;"."&amp;G.30.assumptions.EnergyDemandAfterProductManufacturingEfficiency[[#This Row],[Technology code]],Regional.Technologies[Code],0))</f>
        <v>Global Coal use in the Pulp &amp; paper: Recycled technology</v>
      </c>
      <c r="E1434" s="242"/>
      <c r="F1434" s="121" t="s">
        <v>1447</v>
      </c>
      <c r="G1434" s="242" t="s">
        <v>1956</v>
      </c>
      <c r="H1434" s="251" t="s">
        <v>626</v>
      </c>
      <c r="I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0.1463956553457503</v>
      </c>
      <c r="J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0.14789714924673236</v>
      </c>
      <c r="K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0.14977401662295994</v>
      </c>
      <c r="L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0.15165088399918752</v>
      </c>
      <c r="M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0.15352775137541508</v>
      </c>
      <c r="N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0.15540461875164266</v>
      </c>
      <c r="O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0.15728148612787021</v>
      </c>
      <c r="P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0.15915835350409779</v>
      </c>
      <c r="Q143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0.16103522088032535</v>
      </c>
      <c r="R1434" s="248"/>
      <c r="T1434" s="279"/>
      <c r="U1434" s="179"/>
      <c r="W1434" s="179"/>
      <c r="X1434" s="179"/>
    </row>
    <row r="1435" spans="1:24" s="65" customFormat="1" ht="15" customHeight="1" outlineLevel="2">
      <c r="A1435" s="219"/>
      <c r="B1435" s="242"/>
      <c r="C1435" s="413" t="s">
        <v>1857</v>
      </c>
      <c r="D1435" s="121" t="str">
        <f>INDEX(Regional.Technologies[Description],MATCH($B$2&amp;"."&amp;G.30.assumptions.EnergyDemandAfterProductManufacturingEfficiency[[#This Row],[Technology code]],Regional.Technologies[Code],0))</f>
        <v>Global Oil use in the Pulp &amp; paper: Recycled technology</v>
      </c>
      <c r="E1435" s="242"/>
      <c r="F1435" s="121" t="s">
        <v>1447</v>
      </c>
      <c r="G1435" s="242" t="s">
        <v>1956</v>
      </c>
      <c r="H1435" s="251" t="s">
        <v>627</v>
      </c>
      <c r="I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3.8700157409069846E-2</v>
      </c>
      <c r="J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3.9097082100444921E-2</v>
      </c>
      <c r="K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3.9593237964663769E-2</v>
      </c>
      <c r="L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4.0089393828882623E-2</v>
      </c>
      <c r="M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4.0585549693101464E-2</v>
      </c>
      <c r="N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4.1081705557320304E-2</v>
      </c>
      <c r="O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4.1577861421539151E-2</v>
      </c>
      <c r="P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4.2074017285757999E-2</v>
      </c>
      <c r="Q143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4.2570173149976832E-2</v>
      </c>
      <c r="R1435" s="248"/>
      <c r="T1435" s="279"/>
      <c r="U1435" s="179"/>
      <c r="W1435" s="179"/>
      <c r="X1435" s="179"/>
    </row>
    <row r="1436" spans="1:24" s="65" customFormat="1" ht="15" customHeight="1" outlineLevel="2">
      <c r="A1436" s="219"/>
      <c r="B1436" s="242"/>
      <c r="C1436" s="413" t="s">
        <v>1858</v>
      </c>
      <c r="D1436" s="121" t="str">
        <f>INDEX(Regional.Technologies[Description],MATCH($B$2&amp;"."&amp;G.30.assumptions.EnergyDemandAfterProductManufacturingEfficiency[[#This Row],[Technology code]],Regional.Technologies[Code],0))</f>
        <v>Global Natural Gas use in the Pulp &amp; paper: Recycled technology</v>
      </c>
      <c r="E1436" s="242"/>
      <c r="F1436" s="121" t="s">
        <v>1447</v>
      </c>
      <c r="G1436" s="242" t="s">
        <v>1956</v>
      </c>
      <c r="H1436" s="251" t="s">
        <v>628</v>
      </c>
      <c r="I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0.10744951136080463</v>
      </c>
      <c r="J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0.10855155763117186</v>
      </c>
      <c r="K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0.10992911546913091</v>
      </c>
      <c r="L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0.11130667330708996</v>
      </c>
      <c r="M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0.11268423114504898</v>
      </c>
      <c r="N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0.11406178898300802</v>
      </c>
      <c r="O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0.11543934682096706</v>
      </c>
      <c r="P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0.11681690465892609</v>
      </c>
      <c r="Q143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0.11819446249688512</v>
      </c>
      <c r="R1436" s="248"/>
      <c r="T1436" s="279"/>
      <c r="U1436" s="179"/>
      <c r="W1436" s="179"/>
      <c r="X1436" s="179"/>
    </row>
    <row r="1437" spans="1:24" s="65" customFormat="1" ht="15" customHeight="1" outlineLevel="2">
      <c r="A1437" s="219"/>
      <c r="B1437" s="242"/>
      <c r="C1437" s="413" t="s">
        <v>1859</v>
      </c>
      <c r="D1437" s="121" t="str">
        <f>INDEX(Regional.Technologies[Description],MATCH($B$2&amp;"."&amp;G.30.assumptions.EnergyDemandAfterProductManufacturingEfficiency[[#This Row],[Technology code]],Regional.Technologies[Code],0))</f>
        <v>Global Solid Hydrocarbons use in the Pulp &amp; paper: Recycled technology</v>
      </c>
      <c r="E1437" s="242"/>
      <c r="F1437" s="121" t="s">
        <v>1447</v>
      </c>
      <c r="G1437" s="242" t="s">
        <v>1956</v>
      </c>
      <c r="H1437" s="251" t="s">
        <v>370</v>
      </c>
      <c r="I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3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37" s="248"/>
      <c r="T1437" s="279"/>
      <c r="U1437" s="179"/>
      <c r="W1437" s="179"/>
      <c r="X1437" s="179"/>
    </row>
    <row r="1438" spans="1:24" s="65" customFormat="1" ht="15" customHeight="1" outlineLevel="2">
      <c r="A1438" s="219"/>
      <c r="B1438" s="242"/>
      <c r="C1438" s="413" t="s">
        <v>1860</v>
      </c>
      <c r="D1438" s="121" t="str">
        <f>INDEX(Regional.Technologies[Description],MATCH($B$2&amp;"."&amp;G.30.assumptions.EnergyDemandAfterProductManufacturingEfficiency[[#This Row],[Technology code]],Regional.Technologies[Code],0))</f>
        <v>Global Heat use in the Pulp &amp; paper: Recycled technology</v>
      </c>
      <c r="E1438" s="242"/>
      <c r="F1438" s="121" t="s">
        <v>1447</v>
      </c>
      <c r="G1438" s="242" t="s">
        <v>1956</v>
      </c>
      <c r="H1438" s="251" t="s">
        <v>1351</v>
      </c>
      <c r="I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3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38" s="248"/>
      <c r="T1438" s="279"/>
      <c r="U1438" s="179"/>
      <c r="W1438" s="179"/>
      <c r="X1438" s="179"/>
    </row>
    <row r="1439" spans="1:24" s="65" customFormat="1" ht="15" customHeight="1" outlineLevel="2">
      <c r="A1439" s="219"/>
      <c r="B1439" s="242"/>
      <c r="C1439" s="413" t="s">
        <v>1633</v>
      </c>
      <c r="D1439" s="121" t="str">
        <f>INDEX(Regional.Technologies[Description],MATCH($B$2&amp;"."&amp;G.30.assumptions.EnergyDemandAfterProductManufacturingEfficiency[[#This Row],[Technology code]],Regional.Technologies[Code],0))</f>
        <v>Global Electricity use in the Cement technology</v>
      </c>
      <c r="E1439" s="242"/>
      <c r="F1439" s="121" t="s">
        <v>1426</v>
      </c>
      <c r="G1439" s="242" t="s">
        <v>1426</v>
      </c>
      <c r="H1439" s="251" t="s">
        <v>626</v>
      </c>
      <c r="I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1.2878995795200781</v>
      </c>
      <c r="J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1.247729983167394</v>
      </c>
      <c r="K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1.1959938462123139</v>
      </c>
      <c r="L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1.1425642186858731</v>
      </c>
      <c r="M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1.0874411005880709</v>
      </c>
      <c r="N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1.0306244919189076</v>
      </c>
      <c r="O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0.97211439267838329</v>
      </c>
      <c r="P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0.91191080286649806</v>
      </c>
      <c r="Q143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0.85001372248325158</v>
      </c>
      <c r="R1439" s="248"/>
      <c r="T1439" s="279"/>
      <c r="U1439" s="179"/>
      <c r="W1439" s="179"/>
      <c r="X1439" s="179"/>
    </row>
    <row r="1440" spans="1:24" s="65" customFormat="1" ht="15" customHeight="1" outlineLevel="2">
      <c r="A1440" s="219"/>
      <c r="B1440" s="242"/>
      <c r="C1440" s="413" t="s">
        <v>1861</v>
      </c>
      <c r="D1440" s="121" t="str">
        <f>INDEX(Regional.Technologies[Description],MATCH($B$2&amp;"."&amp;G.30.assumptions.EnergyDemandAfterProductManufacturingEfficiency[[#This Row],[Technology code]],Regional.Technologies[Code],0))</f>
        <v>Global Coal use in the Cement technology</v>
      </c>
      <c r="E1440" s="242"/>
      <c r="F1440" s="121" t="s">
        <v>1426</v>
      </c>
      <c r="G1440" s="242" t="s">
        <v>1426</v>
      </c>
      <c r="H1440" s="251" t="s">
        <v>626</v>
      </c>
      <c r="I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6.8409905230434287</v>
      </c>
      <c r="J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6.627619983652778</v>
      </c>
      <c r="K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6.3528109626416311</v>
      </c>
      <c r="L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6.0690065563273388</v>
      </c>
      <c r="M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5.7762067647098982</v>
      </c>
      <c r="N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5.4744115877893096</v>
      </c>
      <c r="O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5.1636210255655746</v>
      </c>
      <c r="P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4.8438350780386932</v>
      </c>
      <c r="Q144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4.5150537452086628</v>
      </c>
      <c r="R1440" s="248"/>
      <c r="T1440" s="279"/>
      <c r="U1440" s="179"/>
      <c r="W1440" s="179"/>
      <c r="X1440" s="179"/>
    </row>
    <row r="1441" spans="1:24" s="65" customFormat="1" ht="15" customHeight="1" outlineLevel="2">
      <c r="A1441" s="219"/>
      <c r="B1441" s="242"/>
      <c r="C1441" s="413" t="s">
        <v>1862</v>
      </c>
      <c r="D1441" s="121" t="str">
        <f>INDEX(Regional.Technologies[Description],MATCH($B$2&amp;"."&amp;G.30.assumptions.EnergyDemandAfterProductManufacturingEfficiency[[#This Row],[Technology code]],Regional.Technologies[Code],0))</f>
        <v>Global Oil use in the Cement technology</v>
      </c>
      <c r="E1441" s="242"/>
      <c r="F1441" s="121" t="s">
        <v>1426</v>
      </c>
      <c r="G1441" s="242" t="s">
        <v>1426</v>
      </c>
      <c r="H1441" s="251" t="s">
        <v>627</v>
      </c>
      <c r="I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1.1283944201925584</v>
      </c>
      <c r="J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1.0931997908079858</v>
      </c>
      <c r="K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1.0478711260652078</v>
      </c>
      <c r="L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1.0010587079756941</v>
      </c>
      <c r="M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0.95276253653944454</v>
      </c>
      <c r="N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0.90298261175645922</v>
      </c>
      <c r="O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0.85171893362673812</v>
      </c>
      <c r="P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0.79897150215028134</v>
      </c>
      <c r="Q1441"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0.74474031732708856</v>
      </c>
      <c r="R1441" s="248"/>
      <c r="T1441" s="279"/>
      <c r="U1441" s="179"/>
      <c r="W1441" s="179"/>
      <c r="X1441" s="179"/>
    </row>
    <row r="1442" spans="1:24" s="65" customFormat="1" ht="15" customHeight="1" outlineLevel="2">
      <c r="A1442" s="219"/>
      <c r="B1442" s="242"/>
      <c r="C1442" s="413" t="s">
        <v>1863</v>
      </c>
      <c r="D1442" s="121" t="str">
        <f>INDEX(Regional.Technologies[Description],MATCH($B$2&amp;"."&amp;G.30.assumptions.EnergyDemandAfterProductManufacturingEfficiency[[#This Row],[Technology code]],Regional.Technologies[Code],0))</f>
        <v>Global Natural Gas use in the Cement technology</v>
      </c>
      <c r="E1442" s="242"/>
      <c r="F1442" s="121" t="s">
        <v>1426</v>
      </c>
      <c r="G1442" s="242" t="s">
        <v>1426</v>
      </c>
      <c r="H1442" s="251" t="s">
        <v>628</v>
      </c>
      <c r="I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0.82844526016904629</v>
      </c>
      <c r="J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0.80260604705765937</v>
      </c>
      <c r="K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0.76932662207650959</v>
      </c>
      <c r="L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0.73495785421545334</v>
      </c>
      <c r="M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0.69949974347449018</v>
      </c>
      <c r="N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0.66295228985362031</v>
      </c>
      <c r="O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0.62531549335284375</v>
      </c>
      <c r="P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0.58658935397216061</v>
      </c>
      <c r="Q1442"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0.54677387171157055</v>
      </c>
      <c r="R1442" s="248"/>
      <c r="T1442" s="279"/>
      <c r="U1442" s="179"/>
      <c r="W1442" s="179"/>
      <c r="X1442" s="179"/>
    </row>
    <row r="1443" spans="1:24" s="65" customFormat="1" ht="15" customHeight="1" outlineLevel="2">
      <c r="A1443" s="219"/>
      <c r="B1443" s="242"/>
      <c r="C1443" s="413" t="s">
        <v>1864</v>
      </c>
      <c r="D1443" s="121" t="str">
        <f>INDEX(Regional.Technologies[Description],MATCH($B$2&amp;"."&amp;G.30.assumptions.EnergyDemandAfterProductManufacturingEfficiency[[#This Row],[Technology code]],Regional.Technologies[Code],0))</f>
        <v>Global Solid Hydrocarbons use in the Cement technology</v>
      </c>
      <c r="E1443" s="242"/>
      <c r="F1443" s="121" t="s">
        <v>1426</v>
      </c>
      <c r="G1443" s="242" t="s">
        <v>1426</v>
      </c>
      <c r="H1443" s="251" t="s">
        <v>370</v>
      </c>
      <c r="I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0.49199351442122363</v>
      </c>
      <c r="J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0.47664823347175428</v>
      </c>
      <c r="K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0.4568843914394487</v>
      </c>
      <c r="L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0.43647361513440003</v>
      </c>
      <c r="M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0.41541590455660798</v>
      </c>
      <c r="N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0.39371125970607268</v>
      </c>
      <c r="O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0.37135968058279423</v>
      </c>
      <c r="P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0.34836116718677257</v>
      </c>
      <c r="Q1443"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0.3247157195180076</v>
      </c>
      <c r="R1443" s="248"/>
      <c r="T1443" s="279"/>
      <c r="U1443" s="179"/>
      <c r="W1443" s="179"/>
      <c r="X1443" s="179"/>
    </row>
    <row r="1444" spans="1:24" s="65" customFormat="1" ht="15" customHeight="1" outlineLevel="2">
      <c r="A1444" s="219"/>
      <c r="B1444" s="242"/>
      <c r="C1444" s="413" t="s">
        <v>1638</v>
      </c>
      <c r="D1444" s="121" t="str">
        <f>INDEX(Regional.Technologies[Description],MATCH($B$2&amp;"."&amp;G.30.assumptions.EnergyDemandAfterProductManufacturingEfficiency[[#This Row],[Technology code]],Regional.Technologies[Code],0))</f>
        <v>Global Heat use in the Cement technology</v>
      </c>
      <c r="E1444" s="242"/>
      <c r="F1444" s="121" t="s">
        <v>1426</v>
      </c>
      <c r="G1444" s="242" t="s">
        <v>1426</v>
      </c>
      <c r="H1444" s="251" t="s">
        <v>1351</v>
      </c>
      <c r="I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0</v>
      </c>
      <c r="J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0</v>
      </c>
      <c r="K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0</v>
      </c>
      <c r="L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0</v>
      </c>
      <c r="M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0</v>
      </c>
      <c r="N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0</v>
      </c>
      <c r="O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0</v>
      </c>
      <c r="P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0</v>
      </c>
      <c r="Q1444"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0</v>
      </c>
      <c r="R1444" s="248"/>
      <c r="T1444" s="279"/>
      <c r="U1444" s="179"/>
      <c r="W1444" s="179"/>
      <c r="X1444" s="179"/>
    </row>
    <row r="1445" spans="1:24" s="65" customFormat="1" ht="15" customHeight="1" outlineLevel="2">
      <c r="A1445" s="219"/>
      <c r="B1445" s="242"/>
      <c r="C1445" s="413" t="s">
        <v>1634</v>
      </c>
      <c r="D1445" s="121" t="str">
        <f>INDEX(Regional.Technologies[Description],MATCH($B$2&amp;"."&amp;G.30.assumptions.EnergyDemandAfterProductManufacturingEfficiency[[#This Row],[Technology code]],Regional.Technologies[Code],0))</f>
        <v>Global Electricity use in the Other industries technology</v>
      </c>
      <c r="E1445" s="242"/>
      <c r="F1445" s="121" t="s">
        <v>1457</v>
      </c>
      <c r="G1445" s="242" t="s">
        <v>1457</v>
      </c>
      <c r="H1445" s="251" t="s">
        <v>626</v>
      </c>
      <c r="I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15.255453009293019</v>
      </c>
      <c r="J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15.07932150478058</v>
      </c>
      <c r="K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14.849660362709168</v>
      </c>
      <c r="L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14.609447263492354</v>
      </c>
      <c r="M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14.358682207130135</v>
      </c>
      <c r="N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14.097365193622508</v>
      </c>
      <c r="O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13.825496222969484</v>
      </c>
      <c r="P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13.543075295171052</v>
      </c>
      <c r="Q1445"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13.250102410227214</v>
      </c>
      <c r="R1445" s="248"/>
      <c r="T1445" s="279"/>
      <c r="U1445" s="179"/>
      <c r="W1445" s="179"/>
      <c r="X1445" s="179"/>
    </row>
    <row r="1446" spans="1:24" s="65" customFormat="1" ht="15" customHeight="1" outlineLevel="2">
      <c r="A1446" s="219"/>
      <c r="B1446" s="242"/>
      <c r="C1446" s="413" t="s">
        <v>1865</v>
      </c>
      <c r="D1446" s="121" t="str">
        <f>INDEX(Regional.Technologies[Description],MATCH($B$2&amp;"."&amp;G.30.assumptions.EnergyDemandAfterProductManufacturingEfficiency[[#This Row],[Technology code]],Regional.Technologies[Code],0))</f>
        <v>Global Coal use in the Other industries technology</v>
      </c>
      <c r="E1446" s="242"/>
      <c r="F1446" s="121" t="s">
        <v>1457</v>
      </c>
      <c r="G1446" s="242" t="s">
        <v>1457</v>
      </c>
      <c r="H1446" s="251" t="s">
        <v>626</v>
      </c>
      <c r="I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7.1683560026671582</v>
      </c>
      <c r="J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7.0855939026586281</v>
      </c>
      <c r="K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6.977678862355063</v>
      </c>
      <c r="L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6.8648055828371621</v>
      </c>
      <c r="M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6.7469740641049247</v>
      </c>
      <c r="N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6.624184306158349</v>
      </c>
      <c r="O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6.4964363089974402</v>
      </c>
      <c r="P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6.3637300726221921</v>
      </c>
      <c r="Q1446"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6.2260655970326075</v>
      </c>
      <c r="R1446" s="248"/>
      <c r="T1446" s="279"/>
      <c r="U1446" s="179"/>
      <c r="W1446" s="179"/>
      <c r="X1446" s="179"/>
    </row>
    <row r="1447" spans="1:24" s="65" customFormat="1" ht="15" customHeight="1" outlineLevel="2">
      <c r="A1447" s="219"/>
      <c r="B1447" s="242"/>
      <c r="C1447" s="413" t="s">
        <v>1866</v>
      </c>
      <c r="D1447" s="121" t="str">
        <f>INDEX(Regional.Technologies[Description],MATCH($B$2&amp;"."&amp;G.30.assumptions.EnergyDemandAfterProductManufacturingEfficiency[[#This Row],[Technology code]],Regional.Technologies[Code],0))</f>
        <v>Global Oil use in the Other industries technology</v>
      </c>
      <c r="E1447" s="242"/>
      <c r="F1447" s="121" t="s">
        <v>1457</v>
      </c>
      <c r="G1447" s="242" t="s">
        <v>1457</v>
      </c>
      <c r="H1447" s="251" t="s">
        <v>627</v>
      </c>
      <c r="I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8.9190113729480487</v>
      </c>
      <c r="J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8.8160371190256015</v>
      </c>
      <c r="K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8.6817670755984171</v>
      </c>
      <c r="L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8.5413278921444249</v>
      </c>
      <c r="M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8.3947195686636231</v>
      </c>
      <c r="N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8.2419421051560118</v>
      </c>
      <c r="O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8.0829955016215962</v>
      </c>
      <c r="P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7.917879758060371</v>
      </c>
      <c r="Q1447"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7.7465948744723363</v>
      </c>
      <c r="R1447" s="248"/>
      <c r="T1447" s="279"/>
      <c r="U1447" s="179"/>
      <c r="W1447" s="179"/>
      <c r="X1447" s="179"/>
    </row>
    <row r="1448" spans="1:24" s="65" customFormat="1" ht="15" customHeight="1" outlineLevel="2">
      <c r="A1448" s="219"/>
      <c r="B1448" s="242"/>
      <c r="C1448" s="413" t="s">
        <v>1867</v>
      </c>
      <c r="D1448" s="121" t="str">
        <f>INDEX(Regional.Technologies[Description],MATCH($B$2&amp;"."&amp;G.30.assumptions.EnergyDemandAfterProductManufacturingEfficiency[[#This Row],[Technology code]],Regional.Technologies[Code],0))</f>
        <v>Global Natural Gas use in the Other industries technology</v>
      </c>
      <c r="E1448" s="242"/>
      <c r="F1448" s="121" t="s">
        <v>1457</v>
      </c>
      <c r="G1448" s="242" t="s">
        <v>1457</v>
      </c>
      <c r="H1448" s="251" t="s">
        <v>628</v>
      </c>
      <c r="I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11.204548951236234</v>
      </c>
      <c r="J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11.075187072374797</v>
      </c>
      <c r="K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10.906509714385596</v>
      </c>
      <c r="L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10.730082345938168</v>
      </c>
      <c r="M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10.545904967032511</v>
      </c>
      <c r="N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10.353977577668624</v>
      </c>
      <c r="O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10.154300177846514</v>
      </c>
      <c r="P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9.9468727675661732</v>
      </c>
      <c r="Q1448"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9.7316953468276033</v>
      </c>
      <c r="R1448" s="248"/>
      <c r="T1448" s="279"/>
      <c r="U1448" s="179"/>
      <c r="W1448" s="179"/>
      <c r="X1448" s="179"/>
    </row>
    <row r="1449" spans="1:24" s="65" customFormat="1" ht="15" customHeight="1" outlineLevel="2">
      <c r="A1449" s="219"/>
      <c r="B1449" s="242"/>
      <c r="C1449" s="413" t="s">
        <v>1868</v>
      </c>
      <c r="D1449" s="121" t="str">
        <f>INDEX(Regional.Technologies[Description],MATCH($B$2&amp;"."&amp;G.30.assumptions.EnergyDemandAfterProductManufacturingEfficiency[[#This Row],[Technology code]],Regional.Technologies[Code],0))</f>
        <v>Global Solid Hydrocarbons use in the Other industries technology</v>
      </c>
      <c r="E1449" s="242"/>
      <c r="F1449" s="121" t="s">
        <v>1457</v>
      </c>
      <c r="G1449" s="242" t="s">
        <v>1457</v>
      </c>
      <c r="H1449" s="251" t="s">
        <v>370</v>
      </c>
      <c r="I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5.4326469694895918</v>
      </c>
      <c r="J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5.3699244607815082</v>
      </c>
      <c r="K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5.2881394160028483</v>
      </c>
      <c r="L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5.202596694675794</v>
      </c>
      <c r="M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5.1132962968003435</v>
      </c>
      <c r="N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5.0202382223764976</v>
      </c>
      <c r="O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4.9234224714042583</v>
      </c>
      <c r="P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4.8228490438836227</v>
      </c>
      <c r="Q1449"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4.7185179398145918</v>
      </c>
      <c r="R1449" s="248"/>
      <c r="T1449" s="279"/>
      <c r="U1449" s="179"/>
      <c r="W1449" s="179"/>
      <c r="X1449" s="179"/>
    </row>
    <row r="1450" spans="1:24" s="65" customFormat="1" ht="15" customHeight="1" outlineLevel="2">
      <c r="A1450" s="219"/>
      <c r="B1450" s="242"/>
      <c r="C1450" s="413" t="s">
        <v>1869</v>
      </c>
      <c r="D1450" s="121" t="str">
        <f>INDEX(Regional.Technologies[Description],MATCH($B$2&amp;"."&amp;G.30.assumptions.EnergyDemandAfterProductManufacturingEfficiency[[#This Row],[Technology code]],Regional.Technologies[Code],0))</f>
        <v>Global Heat use in the Other industries technology</v>
      </c>
      <c r="E1450" s="242"/>
      <c r="F1450" s="121" t="s">
        <v>1457</v>
      </c>
      <c r="G1450" s="242" t="s">
        <v>1457</v>
      </c>
      <c r="H1450" s="251" t="s">
        <v>1351</v>
      </c>
      <c r="I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INDIRECT("G.30.assumptions.MaterialDemandAfterMaterialsProductionEfficiency["&amp;I$1366&amp;"]")
               )</f>
        <v>2.5365553629120043</v>
      </c>
      <c r="J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INDIRECT("G.30.assumptions.MaterialDemandAfterMaterialsProductionEfficiency["&amp;J$1366&amp;"]")
               )</f>
        <v>2.5072696175410454</v>
      </c>
      <c r="K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INDIRECT("G.30.assumptions.MaterialDemandAfterMaterialsProductionEfficiency["&amp;K$1366&amp;"]")
               )</f>
        <v>2.469083389887309</v>
      </c>
      <c r="L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INDIRECT("G.30.assumptions.MaterialDemandAfterMaterialsProductionEfficiency["&amp;L$1366&amp;"]")
               )</f>
        <v>2.4291426667446432</v>
      </c>
      <c r="M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INDIRECT("G.30.assumptions.MaterialDemandAfterMaterialsProductionEfficiency["&amp;M$1366&amp;"]")
               )</f>
        <v>2.387447448113047</v>
      </c>
      <c r="N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INDIRECT("G.30.assumptions.MaterialDemandAfterMaterialsProductionEfficiency["&amp;N$1366&amp;"]")
               )</f>
        <v>2.3439977339925195</v>
      </c>
      <c r="O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INDIRECT("G.30.assumptions.MaterialDemandAfterMaterialsProductionEfficiency["&amp;O$1366&amp;"]")
               )</f>
        <v>2.2987935243830631</v>
      </c>
      <c r="P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INDIRECT("G.30.assumptions.MaterialDemandAfterMaterialsProductionEfficiency["&amp;P$1366&amp;"]")
               )</f>
        <v>2.2518348192846758</v>
      </c>
      <c r="Q1450" s="308">
        <f ca="1">SUMIF($E$1162:$E$1245,G.30.assumptions.EnergyDemandAfterProductManufacturingEfficiency[[#This Row],[Technology code]],$H$1162:$H$1245)
*SUMIF(
              G.30.assumptions.MaterialDemandAfterMaterialsProductionEfficiency[Description],
              G.30.assumptions.EnergyDemandAfterProductManufacturingEfficiency[[#This Row],[.]],
               INDIRECT("G.30.assumptions.MaterialDemandAfterMaterialsProductionEfficiency["&amp;Q$1366&amp;"]")
               )</f>
        <v>2.2031216186973581</v>
      </c>
      <c r="R1450" s="248"/>
      <c r="T1450" s="279"/>
      <c r="U1450" s="179"/>
      <c r="W1450" s="179"/>
      <c r="X1450" s="179"/>
    </row>
    <row r="1451" spans="1:24" s="65" customFormat="1" ht="15" customHeight="1" outlineLevel="2">
      <c r="A1451" s="219"/>
      <c r="B1451" s="242"/>
      <c r="C1451" s="414" t="s">
        <v>375</v>
      </c>
      <c r="D1451" s="415"/>
      <c r="E1451" s="312"/>
      <c r="F1451" s="416"/>
      <c r="G1451" s="312"/>
      <c r="H1451" s="312"/>
      <c r="I1451" s="417">
        <f ca="1">SUBTOTAL(109,G.30.assumptions.EnergyDemandAfterProductManufacturingEfficiency[2011])</f>
        <v>142.97457688351503</v>
      </c>
      <c r="J1451" s="417">
        <f ca="1">SUBTOTAL(109,G.30.assumptions.EnergyDemandAfterProductManufacturingEfficiency[2015])</f>
        <v>143.22619639397101</v>
      </c>
      <c r="K1451" s="417">
        <f ca="1">SUBTOTAL(109,G.30.assumptions.EnergyDemandAfterProductManufacturingEfficiency[2020])</f>
        <v>143.5060346219627</v>
      </c>
      <c r="L1451" s="417">
        <f ca="1">SUBTOTAL(109,G.30.assumptions.EnergyDemandAfterProductManufacturingEfficiency[2025])</f>
        <v>143.74733267208956</v>
      </c>
      <c r="M1451" s="417">
        <f ca="1">SUBTOTAL(109,G.30.assumptions.EnergyDemandAfterProductManufacturingEfficiency[2030])</f>
        <v>143.95009054435164</v>
      </c>
      <c r="N1451" s="417">
        <f ca="1">SUBTOTAL(109,G.30.assumptions.EnergyDemandAfterProductManufacturingEfficiency[2035])</f>
        <v>144.11430823874898</v>
      </c>
      <c r="O1451" s="417">
        <f ca="1">SUBTOTAL(109,G.30.assumptions.EnergyDemandAfterProductManufacturingEfficiency[2040])</f>
        <v>144.23998575528151</v>
      </c>
      <c r="P1451" s="417">
        <f ca="1">SUBTOTAL(109,G.30.assumptions.EnergyDemandAfterProductManufacturingEfficiency[2045])</f>
        <v>144.32712309394924</v>
      </c>
      <c r="Q1451" s="417">
        <f ca="1">SUBTOTAL(109,G.30.assumptions.EnergyDemandAfterProductManufacturingEfficiency[2050])</f>
        <v>144.3757202547522</v>
      </c>
      <c r="R1451" s="248"/>
      <c r="T1451" s="279"/>
      <c r="U1451" s="179"/>
      <c r="W1451" s="179"/>
      <c r="X1451" s="179"/>
    </row>
    <row r="1452" spans="1:24" s="65" customFormat="1" ht="15" customHeight="1" outlineLevel="2">
      <c r="A1452" s="219"/>
      <c r="B1452" s="242"/>
      <c r="C1452" s="413"/>
      <c r="D1452" s="121"/>
      <c r="E1452" s="242"/>
      <c r="F1452" s="121"/>
      <c r="G1452" s="242"/>
      <c r="H1452" s="242"/>
      <c r="I1452" s="239"/>
      <c r="J1452" s="239"/>
      <c r="K1452" s="239"/>
      <c r="L1452" s="239"/>
      <c r="M1452" s="239"/>
      <c r="N1452" s="239"/>
      <c r="O1452" s="239"/>
      <c r="P1452" s="239"/>
      <c r="Q1452" s="239"/>
      <c r="R1452" s="248"/>
      <c r="T1452" s="279"/>
      <c r="U1452" s="179"/>
      <c r="W1452" s="179"/>
      <c r="X1452" s="179"/>
    </row>
    <row r="1453" spans="1:24" s="65" customFormat="1" ht="15" customHeight="1" outlineLevel="2">
      <c r="A1453" s="219"/>
      <c r="B1453" s="242"/>
      <c r="C1453" s="248" t="s">
        <v>1966</v>
      </c>
      <c r="D1453" s="121"/>
      <c r="E1453" s="242"/>
      <c r="F1453" s="121"/>
      <c r="G1453" s="242"/>
      <c r="H1453" s="251"/>
      <c r="I1453" s="360"/>
      <c r="J1453" s="239"/>
      <c r="K1453" s="239"/>
      <c r="L1453" s="239"/>
      <c r="M1453" s="239"/>
      <c r="N1453" s="239"/>
      <c r="O1453" s="239"/>
      <c r="P1453" s="239"/>
      <c r="Q1453" s="239"/>
      <c r="R1453" s="248"/>
      <c r="T1453" s="279"/>
      <c r="U1453" s="179"/>
      <c r="W1453" s="179"/>
      <c r="X1453" s="179"/>
    </row>
    <row r="1454" spans="1:24" s="65" customFormat="1" ht="15" customHeight="1" outlineLevel="2">
      <c r="A1454" s="219"/>
      <c r="B1454" s="242"/>
      <c r="C1454" s="313" t="s">
        <v>1967</v>
      </c>
      <c r="D1454" s="121"/>
      <c r="E1454" s="242"/>
      <c r="F1454" s="121"/>
      <c r="G1454" s="242"/>
      <c r="H1454" s="251" t="s">
        <v>370</v>
      </c>
      <c r="I1454" s="360">
        <f>IFERROR(INDEX(EF[#Data],MATCH(H1454,EF[Vector],0),3),0)</f>
        <v>9.4600000000000004E-2</v>
      </c>
      <c r="J1454" s="239"/>
      <c r="K1454" s="239"/>
      <c r="L1454" s="239"/>
      <c r="M1454" s="239"/>
      <c r="N1454" s="239"/>
      <c r="O1454" s="239"/>
      <c r="P1454" s="239"/>
      <c r="Q1454" s="239"/>
      <c r="R1454" s="248"/>
      <c r="T1454" s="279"/>
      <c r="U1454" s="179"/>
      <c r="W1454" s="179"/>
      <c r="X1454" s="179"/>
    </row>
    <row r="1455" spans="1:24" s="65" customFormat="1" ht="15" customHeight="1" outlineLevel="2">
      <c r="A1455" s="219"/>
      <c r="B1455" s="242"/>
      <c r="C1455" s="313"/>
      <c r="D1455" s="121"/>
      <c r="E1455" s="242"/>
      <c r="F1455" s="121"/>
      <c r="G1455" s="242"/>
      <c r="H1455" s="256" t="s">
        <v>2187</v>
      </c>
      <c r="I1455" s="361" t="s">
        <v>2188</v>
      </c>
      <c r="J1455" s="239" t="s">
        <v>2189</v>
      </c>
      <c r="K1455" s="239"/>
      <c r="L1455" s="239"/>
      <c r="M1455" s="239"/>
      <c r="N1455" s="239"/>
      <c r="O1455" s="239"/>
      <c r="P1455" s="239"/>
      <c r="Q1455" s="239"/>
      <c r="R1455" s="248"/>
      <c r="U1455" s="179"/>
      <c r="W1455" s="179"/>
      <c r="X1455" s="179"/>
    </row>
    <row r="1456" spans="1:24" s="65" customFormat="1" ht="15" customHeight="1" outlineLevel="2">
      <c r="A1456" s="219"/>
      <c r="B1456" s="242"/>
      <c r="C1456" s="258" t="s">
        <v>454</v>
      </c>
      <c r="D1456" s="258" t="s">
        <v>241</v>
      </c>
      <c r="E1456" s="258" t="s">
        <v>598</v>
      </c>
      <c r="F1456" s="258" t="s">
        <v>274</v>
      </c>
      <c r="G1456" s="258" t="s">
        <v>509</v>
      </c>
      <c r="H1456" s="258" t="s">
        <v>510</v>
      </c>
      <c r="I1456" s="258" t="s">
        <v>1107</v>
      </c>
      <c r="J1456" s="258" t="s">
        <v>210</v>
      </c>
      <c r="K1456" s="258" t="s">
        <v>211</v>
      </c>
      <c r="L1456" s="258" t="s">
        <v>212</v>
      </c>
      <c r="M1456" s="258" t="s">
        <v>213</v>
      </c>
      <c r="N1456" s="258" t="s">
        <v>214</v>
      </c>
      <c r="O1456" s="258" t="s">
        <v>215</v>
      </c>
      <c r="P1456" s="258" t="s">
        <v>216</v>
      </c>
      <c r="Q1456" s="258" t="s">
        <v>217</v>
      </c>
      <c r="R1456" s="248"/>
      <c r="T1456" s="179" t="str">
        <f>$T$6</f>
        <v>Source</v>
      </c>
      <c r="U1456" s="179" t="str">
        <f>$U$6</f>
        <v>Link</v>
      </c>
      <c r="V1456" s="179" t="str">
        <f>$V$6</f>
        <v>Risk (Green, Amber/Green, Amber, Red/Amber, Red)</v>
      </c>
      <c r="W1456" s="179" t="s">
        <v>869</v>
      </c>
      <c r="X1456" s="179" t="str">
        <f>$X$6</f>
        <v>Comment author</v>
      </c>
    </row>
    <row r="1457" spans="1:24" s="65" customFormat="1" ht="15" customHeight="1" outlineLevel="2">
      <c r="A1457" s="219"/>
      <c r="B1457" s="242"/>
      <c r="C1457" s="251" t="s">
        <v>1968</v>
      </c>
      <c r="D1457" s="242"/>
      <c r="E1457" s="242"/>
      <c r="F1457" s="121"/>
      <c r="G1457" s="251" t="s">
        <v>1377</v>
      </c>
      <c r="H1457" s="242"/>
      <c r="I1457" s="314">
        <f t="shared" ref="I1457:Q1457" ca="1" si="85">SUMPRODUCT(I$1367:I$1372,G.30.assumptions.EF.CO2)</f>
        <v>1.3295458982758641</v>
      </c>
      <c r="J1457" s="314">
        <f t="shared" ca="1" si="85"/>
        <v>1.3224223099673234</v>
      </c>
      <c r="K1457" s="314">
        <f t="shared" ca="1" si="85"/>
        <v>1.3129250593263688</v>
      </c>
      <c r="L1457" s="314">
        <f t="shared" ca="1" si="85"/>
        <v>1.3027691806239934</v>
      </c>
      <c r="M1457" s="314">
        <f t="shared" ca="1" si="85"/>
        <v>1.291954673860197</v>
      </c>
      <c r="N1457" s="314">
        <f t="shared" ca="1" si="85"/>
        <v>1.28048153903498</v>
      </c>
      <c r="O1457" s="314">
        <f t="shared" ca="1" si="85"/>
        <v>1.2683497761483424</v>
      </c>
      <c r="P1457" s="314">
        <f t="shared" ca="1" si="85"/>
        <v>1.2555593852002838</v>
      </c>
      <c r="Q1457" s="314">
        <f t="shared" ca="1" si="85"/>
        <v>1.2421103661908037</v>
      </c>
      <c r="R1457" s="248"/>
      <c r="U1457" s="179"/>
      <c r="W1457" s="179"/>
      <c r="X1457" s="179"/>
    </row>
    <row r="1458" spans="1:24" s="65" customFormat="1" ht="15" customHeight="1" outlineLevel="2">
      <c r="A1458" s="219"/>
      <c r="B1458" s="242"/>
      <c r="C1458" s="251" t="s">
        <v>1969</v>
      </c>
      <c r="D1458" s="242"/>
      <c r="E1458" s="242"/>
      <c r="F1458" s="121"/>
      <c r="G1458" s="315" t="s">
        <v>1380</v>
      </c>
      <c r="H1458" s="242"/>
      <c r="I1458" s="314">
        <f t="shared" ref="I1458:Q1458" ca="1" si="86">SUMPRODUCT(I$1373:I$1378,G.30.assumptions.EF.CO2)</f>
        <v>1.0564114528683293</v>
      </c>
      <c r="J1458" s="314">
        <f t="shared" ca="1" si="86"/>
        <v>1.1069450074975506</v>
      </c>
      <c r="K1458" s="314">
        <f t="shared" ca="1" si="86"/>
        <v>1.1712454758104771</v>
      </c>
      <c r="L1458" s="314">
        <f t="shared" ca="1" si="86"/>
        <v>1.2368054163749598</v>
      </c>
      <c r="M1458" s="314">
        <f t="shared" ca="1" si="86"/>
        <v>1.3036248291909973</v>
      </c>
      <c r="N1458" s="314">
        <f t="shared" ca="1" si="86"/>
        <v>1.3717037142585915</v>
      </c>
      <c r="O1458" s="314">
        <f t="shared" ca="1" si="86"/>
        <v>1.4410420715777406</v>
      </c>
      <c r="P1458" s="314">
        <f t="shared" ca="1" si="86"/>
        <v>1.5116399011484456</v>
      </c>
      <c r="Q1458" s="314">
        <f t="shared" ca="1" si="86"/>
        <v>1.583497202970706</v>
      </c>
      <c r="R1458" s="248"/>
      <c r="U1458" s="179"/>
      <c r="W1458" s="179"/>
      <c r="X1458" s="179"/>
    </row>
    <row r="1459" spans="1:24" s="65" customFormat="1" ht="15" customHeight="1" outlineLevel="2">
      <c r="A1459" s="219"/>
      <c r="B1459" s="242"/>
      <c r="C1459" s="251" t="s">
        <v>1970</v>
      </c>
      <c r="D1459" s="242"/>
      <c r="E1459" s="242"/>
      <c r="F1459" s="121"/>
      <c r="G1459" s="315" t="s">
        <v>1625</v>
      </c>
      <c r="H1459" s="242"/>
      <c r="I1459" s="314">
        <f t="shared" ref="I1459:Q1459" ca="1" si="87">SUMPRODUCT(I$1379:I$1384,G.30.assumptions.EF.CO2)</f>
        <v>0.10209235477363664</v>
      </c>
      <c r="J1459" s="314">
        <f t="shared" ca="1" si="87"/>
        <v>0.10581913787631778</v>
      </c>
      <c r="K1459" s="314">
        <f t="shared" ca="1" si="87"/>
        <v>0.11055413051816139</v>
      </c>
      <c r="L1459" s="314">
        <f t="shared" ca="1" si="87"/>
        <v>0.11537413845277397</v>
      </c>
      <c r="M1459" s="314">
        <f t="shared" ca="1" si="87"/>
        <v>0.12027916168015565</v>
      </c>
      <c r="N1459" s="314">
        <f t="shared" ca="1" si="87"/>
        <v>0.1252692002003063</v>
      </c>
      <c r="O1459" s="314">
        <f t="shared" ca="1" si="87"/>
        <v>0.13034425401322602</v>
      </c>
      <c r="P1459" s="314">
        <f t="shared" ca="1" si="87"/>
        <v>0.13550432311891475</v>
      </c>
      <c r="Q1459" s="314">
        <f t="shared" ca="1" si="87"/>
        <v>0.14074940751737253</v>
      </c>
      <c r="R1459" s="248"/>
      <c r="U1459" s="179"/>
      <c r="W1459" s="179"/>
      <c r="X1459" s="179"/>
    </row>
    <row r="1460" spans="1:24" s="65" customFormat="1" ht="15" customHeight="1" outlineLevel="2">
      <c r="A1460" s="219"/>
      <c r="B1460" s="242"/>
      <c r="C1460" s="251" t="s">
        <v>1971</v>
      </c>
      <c r="D1460" s="242"/>
      <c r="E1460" s="242"/>
      <c r="F1460" s="121"/>
      <c r="G1460" s="315" t="s">
        <v>1939</v>
      </c>
      <c r="H1460" s="242"/>
      <c r="I1460" s="314">
        <f t="shared" ref="I1460:Q1460" ca="1" si="88">SUMPRODUCT(I$1385:I$1390,G.30.assumptions.EF.CO2)</f>
        <v>2.2494142741633284E-2</v>
      </c>
      <c r="J1460" s="314">
        <f t="shared" ca="1" si="88"/>
        <v>2.3315269762012918E-2</v>
      </c>
      <c r="K1460" s="314">
        <f t="shared" ca="1" si="88"/>
        <v>2.4358536915585489E-2</v>
      </c>
      <c r="L1460" s="314">
        <f t="shared" ca="1" si="88"/>
        <v>2.5420535600378078E-2</v>
      </c>
      <c r="M1460" s="314">
        <f t="shared" ca="1" si="88"/>
        <v>2.6501265816390712E-2</v>
      </c>
      <c r="N1460" s="314">
        <f t="shared" ca="1" si="88"/>
        <v>2.7600727563623344E-2</v>
      </c>
      <c r="O1460" s="314">
        <f t="shared" ca="1" si="88"/>
        <v>2.8718920842076029E-2</v>
      </c>
      <c r="P1460" s="314">
        <f t="shared" ca="1" si="88"/>
        <v>2.9855845651748727E-2</v>
      </c>
      <c r="Q1460" s="314">
        <f t="shared" ca="1" si="88"/>
        <v>3.1011501992641445E-2</v>
      </c>
      <c r="R1460" s="248"/>
      <c r="U1460" s="179"/>
      <c r="W1460" s="179"/>
      <c r="X1460" s="179"/>
    </row>
    <row r="1461" spans="1:24" s="65" customFormat="1" ht="15" customHeight="1" outlineLevel="2">
      <c r="A1461" s="219"/>
      <c r="B1461" s="242"/>
      <c r="C1461" s="251" t="s">
        <v>1972</v>
      </c>
      <c r="D1461" s="242"/>
      <c r="E1461" s="242"/>
      <c r="F1461" s="121"/>
      <c r="G1461" s="315" t="s">
        <v>1940</v>
      </c>
      <c r="H1461" s="242"/>
      <c r="I1461" s="314">
        <f t="shared" ref="I1461:Q1461" ca="1" si="89">SUMPRODUCT(I$1391:I$1396,G.30.assumptions.EF.CO2)</f>
        <v>1.3613556026419289E-2</v>
      </c>
      <c r="J1461" s="314">
        <f t="shared" ca="1" si="89"/>
        <v>1.3425019389597581E-2</v>
      </c>
      <c r="K1461" s="314">
        <f t="shared" ca="1" si="89"/>
        <v>1.3179978461361392E-2</v>
      </c>
      <c r="L1461" s="314">
        <f t="shared" ca="1" si="89"/>
        <v>1.2924526275115138E-2</v>
      </c>
      <c r="M1461" s="314">
        <f t="shared" ca="1" si="89"/>
        <v>1.2658662830858815E-2</v>
      </c>
      <c r="N1461" s="314">
        <f t="shared" ca="1" si="89"/>
        <v>1.2382388128592426E-2</v>
      </c>
      <c r="O1461" s="314">
        <f t="shared" ca="1" si="89"/>
        <v>1.2095702168315972E-2</v>
      </c>
      <c r="P1461" s="314">
        <f t="shared" ca="1" si="89"/>
        <v>1.179860495002945E-2</v>
      </c>
      <c r="Q1461" s="314">
        <f t="shared" ca="1" si="89"/>
        <v>1.1491096473732861E-2</v>
      </c>
      <c r="R1461" s="248"/>
      <c r="U1461" s="179"/>
      <c r="W1461" s="179"/>
      <c r="X1461" s="179"/>
    </row>
    <row r="1462" spans="1:24" s="65" customFormat="1" ht="15" customHeight="1" outlineLevel="2">
      <c r="A1462" s="219"/>
      <c r="B1462" s="242"/>
      <c r="C1462" s="251" t="s">
        <v>1973</v>
      </c>
      <c r="D1462" s="242"/>
      <c r="E1462" s="242"/>
      <c r="F1462" s="121"/>
      <c r="G1462" s="315" t="s">
        <v>1961</v>
      </c>
      <c r="H1462" s="242"/>
      <c r="I1462" s="314">
        <f t="shared" ref="I1462:Q1462" ca="1" si="90">SUMPRODUCT(I$1397:I$1402,G.30.assumptions.EF.CO2)</f>
        <v>1.3548203001341037</v>
      </c>
      <c r="J1462" s="314">
        <f t="shared" ca="1" si="90"/>
        <v>1.3687158929559919</v>
      </c>
      <c r="K1462" s="314">
        <f t="shared" ca="1" si="90"/>
        <v>1.3860853839833522</v>
      </c>
      <c r="L1462" s="314">
        <f t="shared" ca="1" si="90"/>
        <v>1.4034548750107123</v>
      </c>
      <c r="M1462" s="314">
        <f t="shared" ca="1" si="90"/>
        <v>1.420824366038073</v>
      </c>
      <c r="N1462" s="314">
        <f t="shared" ca="1" si="90"/>
        <v>1.4381938570654331</v>
      </c>
      <c r="O1462" s="314">
        <f t="shared" ca="1" si="90"/>
        <v>1.4555633480927936</v>
      </c>
      <c r="P1462" s="314">
        <f t="shared" ca="1" si="90"/>
        <v>1.4729328391201542</v>
      </c>
      <c r="Q1462" s="314">
        <f t="shared" ca="1" si="90"/>
        <v>1.4903023301475142</v>
      </c>
      <c r="R1462" s="248"/>
      <c r="U1462" s="179"/>
      <c r="W1462" s="179"/>
      <c r="X1462" s="179"/>
    </row>
    <row r="1463" spans="1:24" s="65" customFormat="1" ht="15" customHeight="1" outlineLevel="2">
      <c r="A1463" s="219"/>
      <c r="B1463" s="242"/>
      <c r="C1463" s="251" t="s">
        <v>1974</v>
      </c>
      <c r="D1463" s="242"/>
      <c r="E1463" s="242"/>
      <c r="F1463" s="121"/>
      <c r="G1463" s="315" t="s">
        <v>1962</v>
      </c>
      <c r="H1463" s="242"/>
      <c r="I1463" s="314">
        <f t="shared" ref="I1463:Q1463" ca="1" si="91">SUMPRODUCT(I$1403:I$1408,G.30.assumptions.EF.CO2)</f>
        <v>0.38978252304657679</v>
      </c>
      <c r="J1463" s="314">
        <f t="shared" ca="1" si="91"/>
        <v>0.39378029251372104</v>
      </c>
      <c r="K1463" s="314">
        <f t="shared" ca="1" si="91"/>
        <v>0.39877750434765147</v>
      </c>
      <c r="L1463" s="314">
        <f t="shared" ca="1" si="91"/>
        <v>0.40377471618158212</v>
      </c>
      <c r="M1463" s="314">
        <f t="shared" ca="1" si="91"/>
        <v>0.40877192801551254</v>
      </c>
      <c r="N1463" s="314">
        <f t="shared" ca="1" si="91"/>
        <v>0.41376913984944297</v>
      </c>
      <c r="O1463" s="314">
        <f t="shared" ca="1" si="91"/>
        <v>0.41876635168337351</v>
      </c>
      <c r="P1463" s="314">
        <f t="shared" ca="1" si="91"/>
        <v>0.42376356351730399</v>
      </c>
      <c r="Q1463" s="314">
        <f t="shared" ca="1" si="91"/>
        <v>0.42876077535123447</v>
      </c>
      <c r="R1463" s="248"/>
      <c r="U1463" s="179"/>
      <c r="W1463" s="179"/>
      <c r="X1463" s="179"/>
    </row>
    <row r="1464" spans="1:24" s="65" customFormat="1" ht="15" customHeight="1" outlineLevel="2">
      <c r="A1464" s="219"/>
      <c r="B1464" s="242"/>
      <c r="C1464" s="251" t="s">
        <v>1975</v>
      </c>
      <c r="D1464" s="242"/>
      <c r="E1464" s="242"/>
      <c r="F1464" s="121"/>
      <c r="G1464" s="315" t="s">
        <v>1963</v>
      </c>
      <c r="H1464" s="242"/>
      <c r="I1464" s="314">
        <f t="shared" ref="I1464:Q1464" ca="1" si="92">SUMPRODUCT(I$1409:I$1414,G.30.assumptions.EF.CO2)</f>
        <v>0.12129165238637846</v>
      </c>
      <c r="J1464" s="314">
        <f t="shared" ca="1" si="92"/>
        <v>0.12253566933393106</v>
      </c>
      <c r="K1464" s="314">
        <f t="shared" ca="1" si="92"/>
        <v>0.12409069051837182</v>
      </c>
      <c r="L1464" s="314">
        <f t="shared" ca="1" si="92"/>
        <v>0.12564571170281258</v>
      </c>
      <c r="M1464" s="314">
        <f t="shared" ca="1" si="92"/>
        <v>0.12720073288725331</v>
      </c>
      <c r="N1464" s="314">
        <f t="shared" ca="1" si="92"/>
        <v>0.12875575407169407</v>
      </c>
      <c r="O1464" s="314">
        <f t="shared" ca="1" si="92"/>
        <v>0.13031077525613483</v>
      </c>
      <c r="P1464" s="314">
        <f t="shared" ca="1" si="92"/>
        <v>0.13186579644057558</v>
      </c>
      <c r="Q1464" s="314">
        <f t="shared" ca="1" si="92"/>
        <v>0.13342081762501631</v>
      </c>
      <c r="R1464" s="248"/>
      <c r="U1464" s="179"/>
      <c r="W1464" s="179"/>
      <c r="X1464" s="179"/>
    </row>
    <row r="1465" spans="1:24" s="65" customFormat="1" ht="15" customHeight="1" outlineLevel="2">
      <c r="A1465" s="219"/>
      <c r="B1465" s="242"/>
      <c r="C1465" s="251" t="s">
        <v>1976</v>
      </c>
      <c r="D1465" s="242"/>
      <c r="E1465" s="242"/>
      <c r="F1465" s="121"/>
      <c r="G1465" s="251" t="s">
        <v>1964</v>
      </c>
      <c r="H1465" s="242"/>
      <c r="I1465" s="314">
        <f t="shared" ref="I1465:Q1465" ca="1" si="93">SUMPRODUCT(I$1415:I$1420,G.30.assumptions.EF.CO2)</f>
        <v>0.37758348991946439</v>
      </c>
      <c r="J1465" s="314">
        <f t="shared" ca="1" si="93"/>
        <v>0.38145614109812553</v>
      </c>
      <c r="K1465" s="314">
        <f t="shared" ca="1" si="93"/>
        <v>0.38629695507145206</v>
      </c>
      <c r="L1465" s="314">
        <f t="shared" ca="1" si="93"/>
        <v>0.39113776904477848</v>
      </c>
      <c r="M1465" s="314">
        <f t="shared" ca="1" si="93"/>
        <v>0.39597858301810496</v>
      </c>
      <c r="N1465" s="314">
        <f t="shared" ca="1" si="93"/>
        <v>0.40081939699143138</v>
      </c>
      <c r="O1465" s="314">
        <f t="shared" ca="1" si="93"/>
        <v>0.40566021096475796</v>
      </c>
      <c r="P1465" s="314">
        <f t="shared" ca="1" si="93"/>
        <v>0.41050102493808444</v>
      </c>
      <c r="Q1465" s="314">
        <f t="shared" ca="1" si="93"/>
        <v>0.41534183891141091</v>
      </c>
      <c r="R1465" s="248"/>
      <c r="U1465" s="179"/>
      <c r="W1465" s="179"/>
      <c r="X1465" s="179"/>
    </row>
    <row r="1466" spans="1:24" s="65" customFormat="1" ht="15" customHeight="1" outlineLevel="2">
      <c r="A1466" s="219"/>
      <c r="B1466" s="242"/>
      <c r="C1466" s="251" t="s">
        <v>1977</v>
      </c>
      <c r="D1466" s="242"/>
      <c r="E1466" s="242"/>
      <c r="F1466" s="121"/>
      <c r="G1466" s="315" t="s">
        <v>1954</v>
      </c>
      <c r="H1466" s="242"/>
      <c r="I1466" s="314">
        <f t="shared" ref="I1466:Q1466" ca="1" si="94">SUMPRODUCT(I$1421:I$1426,G.30.assumptions.EF.CO2)</f>
        <v>0.19848498968162862</v>
      </c>
      <c r="J1466" s="314">
        <f t="shared" ca="1" si="94"/>
        <v>0.20052073316554275</v>
      </c>
      <c r="K1466" s="314">
        <f t="shared" ca="1" si="94"/>
        <v>0.20306541252043542</v>
      </c>
      <c r="L1466" s="314">
        <f t="shared" ca="1" si="94"/>
        <v>0.20561009187532814</v>
      </c>
      <c r="M1466" s="314">
        <f t="shared" ca="1" si="94"/>
        <v>0.2081547712302208</v>
      </c>
      <c r="N1466" s="314">
        <f t="shared" ca="1" si="94"/>
        <v>0.21069945058511347</v>
      </c>
      <c r="O1466" s="314">
        <f t="shared" ca="1" si="94"/>
        <v>0.21324412994000619</v>
      </c>
      <c r="P1466" s="314">
        <f t="shared" ca="1" si="94"/>
        <v>0.21578880929489885</v>
      </c>
      <c r="Q1466" s="314">
        <f t="shared" ca="1" si="94"/>
        <v>0.21833348864979146</v>
      </c>
      <c r="R1466" s="248"/>
      <c r="U1466" s="179"/>
      <c r="W1466" s="179"/>
      <c r="X1466" s="179"/>
    </row>
    <row r="1467" spans="1:24" s="65" customFormat="1" ht="15" customHeight="1" outlineLevel="2">
      <c r="A1467" s="219"/>
      <c r="B1467" s="242"/>
      <c r="C1467" s="251" t="s">
        <v>1978</v>
      </c>
      <c r="D1467" s="242"/>
      <c r="E1467" s="242"/>
      <c r="F1467" s="121"/>
      <c r="G1467" s="251" t="s">
        <v>1955</v>
      </c>
      <c r="H1467" s="242"/>
      <c r="I1467" s="314">
        <f t="shared" ref="I1467:Q1467" ca="1" si="95">SUMPRODUCT(I$1417:I$1422,G.30.assumptions.EF.CO2)</f>
        <v>0.73835295840611548</v>
      </c>
      <c r="J1467" s="314">
        <f t="shared" ca="1" si="95"/>
        <v>0.74592580926156293</v>
      </c>
      <c r="K1467" s="314">
        <f t="shared" ca="1" si="95"/>
        <v>0.75539187283087206</v>
      </c>
      <c r="L1467" s="314">
        <f t="shared" ca="1" si="95"/>
        <v>0.76485793640018118</v>
      </c>
      <c r="M1467" s="314">
        <f t="shared" ca="1" si="95"/>
        <v>0.77432399996949053</v>
      </c>
      <c r="N1467" s="314">
        <f t="shared" ca="1" si="95"/>
        <v>0.78379006353879965</v>
      </c>
      <c r="O1467" s="314">
        <f t="shared" ca="1" si="95"/>
        <v>0.79325612710810889</v>
      </c>
      <c r="P1467" s="314">
        <f t="shared" ca="1" si="95"/>
        <v>0.80272219067741812</v>
      </c>
      <c r="Q1467" s="314">
        <f t="shared" ca="1" si="95"/>
        <v>0.81218825424672725</v>
      </c>
      <c r="R1467" s="248"/>
      <c r="U1467" s="179"/>
      <c r="W1467" s="179"/>
      <c r="X1467" s="179"/>
    </row>
    <row r="1468" spans="1:24" s="65" customFormat="1" ht="15" customHeight="1" outlineLevel="2">
      <c r="A1468" s="219"/>
      <c r="B1468" s="242"/>
      <c r="C1468" s="251" t="s">
        <v>1979</v>
      </c>
      <c r="D1468" s="242"/>
      <c r="E1468" s="242"/>
      <c r="F1468" s="121"/>
      <c r="G1468" s="251" t="s">
        <v>1956</v>
      </c>
      <c r="H1468" s="242"/>
      <c r="I1468" s="314">
        <f t="shared" ref="I1468:Q1468" ca="1" si="96">SUMPRODUCT(I$1427:I$1432,G.30.assumptions.EF.CO2)</f>
        <v>0.17584960915661946</v>
      </c>
      <c r="J1468" s="314">
        <f t="shared" ca="1" si="96"/>
        <v>0.17765319489155915</v>
      </c>
      <c r="K1468" s="314">
        <f t="shared" ca="1" si="96"/>
        <v>0.17990767706023375</v>
      </c>
      <c r="L1468" s="314">
        <f t="shared" ca="1" si="96"/>
        <v>0.18216215922890841</v>
      </c>
      <c r="M1468" s="314">
        <f t="shared" ca="1" si="96"/>
        <v>0.18441664139758301</v>
      </c>
      <c r="N1468" s="314">
        <f t="shared" ca="1" si="96"/>
        <v>0.18667112356625759</v>
      </c>
      <c r="O1468" s="314">
        <f t="shared" ca="1" si="96"/>
        <v>0.18892560573493222</v>
      </c>
      <c r="P1468" s="314">
        <f t="shared" ca="1" si="96"/>
        <v>0.19118008790360685</v>
      </c>
      <c r="Q1468" s="314">
        <f t="shared" ca="1" si="96"/>
        <v>0.1934345700722814</v>
      </c>
      <c r="R1468" s="248"/>
      <c r="U1468" s="179"/>
      <c r="W1468" s="179"/>
      <c r="X1468" s="179"/>
    </row>
    <row r="1469" spans="1:24" s="65" customFormat="1" ht="15" customHeight="1" outlineLevel="2">
      <c r="A1469" s="219"/>
      <c r="B1469" s="242"/>
      <c r="C1469" s="251" t="s">
        <v>1980</v>
      </c>
      <c r="D1469" s="242"/>
      <c r="E1469" s="242"/>
      <c r="F1469" s="121"/>
      <c r="G1469" s="251" t="s">
        <v>1426</v>
      </c>
      <c r="H1469" s="242"/>
      <c r="I1469" s="314">
        <f t="shared" ref="I1469:Q1469" ca="1" si="97">SUMPRODUCT(I$1439:I$1444,G.30.assumptions.EF.CO2)</f>
        <v>0.81837380235898405</v>
      </c>
      <c r="J1469" s="314">
        <f t="shared" ca="1" si="97"/>
        <v>0.7928487180829088</v>
      </c>
      <c r="K1469" s="314">
        <f t="shared" ca="1" si="97"/>
        <v>0.75997387303088138</v>
      </c>
      <c r="L1469" s="314">
        <f t="shared" ca="1" si="97"/>
        <v>0.72602292830448301</v>
      </c>
      <c r="M1469" s="314">
        <f t="shared" ca="1" si="97"/>
        <v>0.6909958839037138</v>
      </c>
      <c r="N1469" s="314">
        <f t="shared" ca="1" si="97"/>
        <v>0.65489273982857388</v>
      </c>
      <c r="O1469" s="314">
        <f t="shared" ca="1" si="97"/>
        <v>0.61771349607906312</v>
      </c>
      <c r="P1469" s="314">
        <f t="shared" ca="1" si="97"/>
        <v>0.57945815265518175</v>
      </c>
      <c r="Q1469" s="314">
        <f t="shared" ca="1" si="97"/>
        <v>0.54012670955692943</v>
      </c>
      <c r="R1469" s="248"/>
      <c r="U1469" s="179"/>
      <c r="W1469" s="179"/>
      <c r="X1469" s="179"/>
    </row>
    <row r="1470" spans="1:24" s="65" customFormat="1" ht="15" customHeight="1" outlineLevel="2">
      <c r="A1470" s="219"/>
      <c r="B1470" s="242"/>
      <c r="C1470" s="251" t="s">
        <v>1981</v>
      </c>
      <c r="D1470" s="242"/>
      <c r="E1470" s="242"/>
      <c r="F1470" s="121"/>
      <c r="G1470" s="251" t="s">
        <v>1457</v>
      </c>
      <c r="H1470" s="242"/>
      <c r="I1470" s="314">
        <f t="shared" ref="I1470:Q1470" ca="1" si="98">SUMPRODUCT(I$1445:I$1450,G.30.assumptions.EF.CO2)</f>
        <v>2.4387175654756814</v>
      </c>
      <c r="J1470" s="314">
        <f t="shared" ca="1" si="98"/>
        <v>2.4105614042901373</v>
      </c>
      <c r="K1470" s="314">
        <f t="shared" ca="1" si="98"/>
        <v>2.3738480624486611</v>
      </c>
      <c r="L1470" s="314">
        <f t="shared" ca="1" si="98"/>
        <v>2.3354478979854663</v>
      </c>
      <c r="M1470" s="314">
        <f t="shared" ca="1" si="98"/>
        <v>2.2953609109005519</v>
      </c>
      <c r="N1470" s="314">
        <f t="shared" ca="1" si="98"/>
        <v>2.2535871011939186</v>
      </c>
      <c r="O1470" s="314">
        <f t="shared" ca="1" si="98"/>
        <v>2.2101264688655671</v>
      </c>
      <c r="P1470" s="314">
        <f t="shared" ca="1" si="98"/>
        <v>2.1649790139154965</v>
      </c>
      <c r="Q1470" s="314">
        <f t="shared" ca="1" si="98"/>
        <v>2.1181447363437065</v>
      </c>
      <c r="R1470" s="248"/>
      <c r="U1470" s="179"/>
      <c r="W1470" s="179"/>
      <c r="X1470" s="179"/>
    </row>
    <row r="1471" spans="1:24" s="65" customFormat="1" ht="15" customHeight="1" outlineLevel="2">
      <c r="A1471" s="219"/>
      <c r="B1471" s="242"/>
      <c r="C1471" s="334" t="s">
        <v>375</v>
      </c>
      <c r="D1471" s="335"/>
      <c r="E1471" s="335"/>
      <c r="F1471" s="336"/>
      <c r="G1471" s="334"/>
      <c r="H1471" s="335"/>
      <c r="I1471" s="337">
        <f ca="1">SUBTOTAL(109,G.30.assumptions.CombustionCO2EmissionsAfterProductManufacturingEfficiency[2011])</f>
        <v>9.1374142952514354</v>
      </c>
      <c r="J1471" s="337">
        <f ca="1">SUBTOTAL(109,G.30.assumptions.CombustionCO2EmissionsAfterProductManufacturingEfficiency[2015])</f>
        <v>9.1659246000862833</v>
      </c>
      <c r="K1471" s="337">
        <f ca="1">SUBTOTAL(109,G.30.assumptions.CombustionCO2EmissionsAfterProductManufacturingEfficiency[2020])</f>
        <v>9.1997006128438663</v>
      </c>
      <c r="L1471" s="337">
        <f ca="1">SUBTOTAL(109,G.30.assumptions.CombustionCO2EmissionsAfterProductManufacturingEfficiency[2025])</f>
        <v>9.2314078830614719</v>
      </c>
      <c r="M1471" s="337">
        <f ca="1">SUBTOTAL(109,G.30.assumptions.CombustionCO2EmissionsAfterProductManufacturingEfficiency[2030])</f>
        <v>9.2610464107391017</v>
      </c>
      <c r="N1471" s="337">
        <f ca="1">SUBTOTAL(109,G.30.assumptions.CombustionCO2EmissionsAfterProductManufacturingEfficiency[2035])</f>
        <v>9.2886161958767577</v>
      </c>
      <c r="O1471" s="337">
        <f ca="1">SUBTOTAL(109,G.30.assumptions.CombustionCO2EmissionsAfterProductManufacturingEfficiency[2040])</f>
        <v>9.314117238474438</v>
      </c>
      <c r="P1471" s="337">
        <f ca="1">SUBTOTAL(109,G.30.assumptions.CombustionCO2EmissionsAfterProductManufacturingEfficiency[2045])</f>
        <v>9.3375495385321425</v>
      </c>
      <c r="Q1471" s="337">
        <f ca="1">SUBTOTAL(109,G.30.assumptions.CombustionCO2EmissionsAfterProductManufacturingEfficiency[2050])</f>
        <v>9.3589130960498697</v>
      </c>
      <c r="R1471" s="248"/>
      <c r="U1471" s="179"/>
      <c r="W1471" s="179"/>
      <c r="X1471" s="179"/>
    </row>
    <row r="1472" spans="1:24" s="65" customFormat="1" ht="15" customHeight="1" outlineLevel="2">
      <c r="A1472" s="219"/>
      <c r="B1472" s="242"/>
      <c r="C1472" s="251"/>
      <c r="D1472" s="242"/>
      <c r="E1472" s="242"/>
      <c r="F1472" s="121"/>
      <c r="G1472" s="242"/>
      <c r="H1472" s="242"/>
      <c r="I1472" s="239"/>
      <c r="J1472" s="239"/>
      <c r="K1472" s="239"/>
      <c r="L1472" s="239"/>
      <c r="M1472" s="239"/>
      <c r="N1472" s="239"/>
      <c r="O1472" s="239"/>
      <c r="P1472" s="239"/>
      <c r="Q1472" s="239"/>
      <c r="R1472" s="248"/>
      <c r="U1472" s="179"/>
      <c r="W1472" s="179"/>
      <c r="X1472" s="179"/>
    </row>
    <row r="1473" spans="1:24" s="65" customFormat="1" ht="15" customHeight="1" outlineLevel="2">
      <c r="A1473" s="219"/>
      <c r="B1473" s="242"/>
      <c r="C1473" s="313" t="s">
        <v>1982</v>
      </c>
      <c r="D1473" s="121"/>
      <c r="E1473" s="242"/>
      <c r="F1473" s="121"/>
      <c r="G1473" s="242"/>
      <c r="H1473" s="242"/>
      <c r="I1473" s="239"/>
      <c r="J1473" s="239"/>
      <c r="K1473" s="239"/>
      <c r="L1473" s="239"/>
      <c r="M1473" s="239"/>
      <c r="N1473" s="239"/>
      <c r="O1473" s="239"/>
      <c r="P1473" s="239"/>
      <c r="Q1473" s="239"/>
      <c r="R1473" s="248"/>
      <c r="U1473" s="179"/>
      <c r="W1473" s="179"/>
      <c r="X1473" s="179"/>
    </row>
    <row r="1474" spans="1:24" s="65" customFormat="1" ht="15" customHeight="1" outlineLevel="2">
      <c r="A1474" s="219"/>
      <c r="B1474" s="242"/>
      <c r="C1474" s="313"/>
      <c r="D1474" s="121"/>
      <c r="E1474" s="242"/>
      <c r="F1474" s="121"/>
      <c r="G1474" s="242"/>
      <c r="H1474" s="242"/>
      <c r="I1474" s="239"/>
      <c r="J1474" s="239"/>
      <c r="K1474" s="239"/>
      <c r="L1474" s="239"/>
      <c r="M1474" s="239"/>
      <c r="N1474" s="239"/>
      <c r="O1474" s="239"/>
      <c r="P1474" s="239"/>
      <c r="Q1474" s="239"/>
      <c r="R1474" s="248"/>
      <c r="U1474" s="179"/>
      <c r="W1474" s="179"/>
      <c r="X1474" s="179"/>
    </row>
    <row r="1475" spans="1:24" s="65" customFormat="1" ht="15" customHeight="1" outlineLevel="2">
      <c r="A1475" s="219"/>
      <c r="B1475" s="242"/>
      <c r="C1475" s="258" t="s">
        <v>454</v>
      </c>
      <c r="D1475" s="258" t="s">
        <v>241</v>
      </c>
      <c r="E1475" s="258" t="s">
        <v>598</v>
      </c>
      <c r="F1475" s="258" t="s">
        <v>274</v>
      </c>
      <c r="G1475" s="258" t="s">
        <v>509</v>
      </c>
      <c r="H1475" s="258" t="s">
        <v>510</v>
      </c>
      <c r="I1475" s="258" t="s">
        <v>1107</v>
      </c>
      <c r="J1475" s="258" t="s">
        <v>210</v>
      </c>
      <c r="K1475" s="258" t="s">
        <v>211</v>
      </c>
      <c r="L1475" s="258" t="s">
        <v>212</v>
      </c>
      <c r="M1475" s="258" t="s">
        <v>213</v>
      </c>
      <c r="N1475" s="258" t="s">
        <v>214</v>
      </c>
      <c r="O1475" s="258" t="s">
        <v>215</v>
      </c>
      <c r="P1475" s="258" t="s">
        <v>216</v>
      </c>
      <c r="Q1475" s="258" t="s">
        <v>217</v>
      </c>
      <c r="R1475" s="248"/>
      <c r="U1475" s="179"/>
      <c r="W1475" s="179"/>
      <c r="X1475" s="179"/>
    </row>
    <row r="1476" spans="1:24" s="65" customFormat="1" ht="15" customHeight="1" outlineLevel="2">
      <c r="A1476" s="219"/>
      <c r="B1476" s="242"/>
      <c r="C1476" s="251" t="s">
        <v>1968</v>
      </c>
      <c r="D1476" s="242"/>
      <c r="E1476" s="242"/>
      <c r="F1476" s="121"/>
      <c r="G1476" s="251" t="s">
        <v>1377</v>
      </c>
      <c r="H1476" s="242"/>
      <c r="I1476" s="316">
        <f t="shared" ref="I1476:Q1476" ca="1" si="99">SUMPRODUCT(I$1367:I$1372,G.30.assumptions.EF.CH4)</f>
        <v>1.7998356270965265E-4</v>
      </c>
      <c r="J1476" s="316">
        <f t="shared" ca="1" si="99"/>
        <v>1.7901922683775034E-4</v>
      </c>
      <c r="K1476" s="316">
        <f t="shared" ca="1" si="99"/>
        <v>1.7773356305696459E-4</v>
      </c>
      <c r="L1476" s="316">
        <f t="shared" ca="1" si="99"/>
        <v>1.763587393418368E-4</v>
      </c>
      <c r="M1476" s="316">
        <f t="shared" ca="1" si="99"/>
        <v>1.7489475569236682E-4</v>
      </c>
      <c r="N1476" s="316">
        <f t="shared" ca="1" si="99"/>
        <v>1.7334161210855482E-4</v>
      </c>
      <c r="O1476" s="316">
        <f t="shared" ca="1" si="99"/>
        <v>1.7169930859040069E-4</v>
      </c>
      <c r="P1476" s="316">
        <f t="shared" ca="1" si="99"/>
        <v>1.6996784513790452E-4</v>
      </c>
      <c r="Q1476" s="316">
        <f t="shared" ca="1" si="99"/>
        <v>1.6814722175106613E-4</v>
      </c>
      <c r="R1476" s="248"/>
      <c r="U1476" s="179"/>
      <c r="W1476" s="179"/>
      <c r="X1476" s="179"/>
    </row>
    <row r="1477" spans="1:24" s="65" customFormat="1" ht="15" customHeight="1" outlineLevel="2">
      <c r="A1477" s="219"/>
      <c r="B1477" s="242"/>
      <c r="C1477" s="251" t="s">
        <v>1969</v>
      </c>
      <c r="D1477" s="242"/>
      <c r="E1477" s="242"/>
      <c r="F1477" s="121"/>
      <c r="G1477" s="315" t="s">
        <v>1380</v>
      </c>
      <c r="H1477" s="242"/>
      <c r="I1477" s="316">
        <f t="shared" ref="I1477:Q1477" ca="1" si="100">SUMPRODUCT(I$1373:I$1378,G.30.assumptions.EF.CH4)</f>
        <v>1.4465575200546974E-4</v>
      </c>
      <c r="J1477" s="316">
        <f t="shared" ca="1" si="100"/>
        <v>1.5157537534593216E-4</v>
      </c>
      <c r="K1477" s="316">
        <f t="shared" ca="1" si="100"/>
        <v>1.6038011953235245E-4</v>
      </c>
      <c r="L1477" s="316">
        <f t="shared" ca="1" si="100"/>
        <v>1.6935732484193099E-4</v>
      </c>
      <c r="M1477" s="316">
        <f t="shared" ca="1" si="100"/>
        <v>1.7850699127466759E-4</v>
      </c>
      <c r="N1477" s="316">
        <f t="shared" ca="1" si="100"/>
        <v>1.8782911883056245E-4</v>
      </c>
      <c r="O1477" s="316">
        <f t="shared" ca="1" si="100"/>
        <v>1.9732370750961538E-4</v>
      </c>
      <c r="P1477" s="316">
        <f t="shared" ca="1" si="100"/>
        <v>2.0699075731182644E-4</v>
      </c>
      <c r="Q1477" s="316">
        <f t="shared" ca="1" si="100"/>
        <v>2.1683026823719569E-4</v>
      </c>
      <c r="R1477" s="248"/>
      <c r="U1477" s="179"/>
      <c r="W1477" s="179"/>
      <c r="X1477" s="179"/>
    </row>
    <row r="1478" spans="1:24" s="65" customFormat="1" ht="15" customHeight="1" outlineLevel="2">
      <c r="A1478" s="219"/>
      <c r="B1478" s="242"/>
      <c r="C1478" s="251" t="s">
        <v>1970</v>
      </c>
      <c r="D1478" s="242"/>
      <c r="E1478" s="242"/>
      <c r="F1478" s="121"/>
      <c r="G1478" s="315" t="s">
        <v>1625</v>
      </c>
      <c r="H1478" s="242"/>
      <c r="I1478" s="316">
        <f t="shared" ref="I1478:Q1478" ca="1" si="101">SUMPRODUCT(I$1379:I$1384,G.30.assumptions.EF.CH4)</f>
        <v>1.1439400985854703E-5</v>
      </c>
      <c r="J1478" s="316">
        <f t="shared" ca="1" si="101"/>
        <v>1.185698530344051E-5</v>
      </c>
      <c r="K1478" s="316">
        <f t="shared" ca="1" si="101"/>
        <v>1.2387539032122921E-5</v>
      </c>
      <c r="L1478" s="316">
        <f t="shared" ca="1" si="101"/>
        <v>1.2927618684916598E-5</v>
      </c>
      <c r="M1478" s="316">
        <f t="shared" ca="1" si="101"/>
        <v>1.3477224261821558E-5</v>
      </c>
      <c r="N1478" s="316">
        <f t="shared" ca="1" si="101"/>
        <v>1.4036355762837781E-5</v>
      </c>
      <c r="O1478" s="316">
        <f t="shared" ca="1" si="101"/>
        <v>1.4605013187965283E-5</v>
      </c>
      <c r="P1478" s="316">
        <f t="shared" ca="1" si="101"/>
        <v>1.5183196537204055E-5</v>
      </c>
      <c r="Q1478" s="316">
        <f t="shared" ca="1" si="101"/>
        <v>1.57709058105541E-5</v>
      </c>
      <c r="R1478" s="248"/>
      <c r="U1478" s="179"/>
      <c r="W1478" s="179"/>
      <c r="X1478" s="179"/>
    </row>
    <row r="1479" spans="1:24" s="65" customFormat="1" ht="15" customHeight="1" outlineLevel="2">
      <c r="A1479" s="219"/>
      <c r="B1479" s="242"/>
      <c r="C1479" s="251" t="s">
        <v>1971</v>
      </c>
      <c r="D1479" s="242"/>
      <c r="E1479" s="242"/>
      <c r="F1479" s="121"/>
      <c r="G1479" s="315" t="s">
        <v>1939</v>
      </c>
      <c r="H1479" s="242"/>
      <c r="I1479" s="316">
        <f t="shared" ref="I1479:Q1479" ca="1" si="102">SUMPRODUCT(I$1385:I$1390,G.30.assumptions.EF.CH4)</f>
        <v>2.1834371761285134E-6</v>
      </c>
      <c r="J1479" s="316">
        <f t="shared" ca="1" si="102"/>
        <v>2.2631414477343916E-6</v>
      </c>
      <c r="K1479" s="316">
        <f t="shared" ca="1" si="102"/>
        <v>2.3644081780965169E-6</v>
      </c>
      <c r="L1479" s="316">
        <f t="shared" ca="1" si="102"/>
        <v>2.4674931205195041E-6</v>
      </c>
      <c r="M1479" s="316">
        <f t="shared" ca="1" si="102"/>
        <v>2.5723962750033562E-6</v>
      </c>
      <c r="N1479" s="316">
        <f t="shared" ca="1" si="102"/>
        <v>2.6791176415480695E-6</v>
      </c>
      <c r="O1479" s="316">
        <f t="shared" ca="1" si="102"/>
        <v>2.7876572201536482E-6</v>
      </c>
      <c r="P1479" s="316">
        <f t="shared" ca="1" si="102"/>
        <v>2.8980150108200885E-6</v>
      </c>
      <c r="Q1479" s="316">
        <f t="shared" ca="1" si="102"/>
        <v>3.010191013547392E-6</v>
      </c>
      <c r="R1479" s="248"/>
      <c r="U1479" s="179"/>
      <c r="W1479" s="179"/>
      <c r="X1479" s="179"/>
    </row>
    <row r="1480" spans="1:24" s="65" customFormat="1" ht="15" customHeight="1" outlineLevel="2">
      <c r="A1480" s="219"/>
      <c r="B1480" s="242"/>
      <c r="C1480" s="251" t="s">
        <v>1972</v>
      </c>
      <c r="D1480" s="242"/>
      <c r="E1480" s="242"/>
      <c r="F1480" s="121"/>
      <c r="G1480" s="315" t="s">
        <v>1940</v>
      </c>
      <c r="H1480" s="242"/>
      <c r="I1480" s="316">
        <f t="shared" ref="I1480:Q1480" ca="1" si="103">SUMPRODUCT(I$1391:I$1396,G.30.assumptions.EF.CH4)</f>
        <v>1.2989816220623154E-6</v>
      </c>
      <c r="J1480" s="316">
        <f t="shared" ca="1" si="103"/>
        <v>1.2809917870888847E-6</v>
      </c>
      <c r="K1480" s="316">
        <f t="shared" ca="1" si="103"/>
        <v>1.2576104118027964E-6</v>
      </c>
      <c r="L1480" s="316">
        <f t="shared" ca="1" si="103"/>
        <v>1.2332356125508184E-6</v>
      </c>
      <c r="M1480" s="316">
        <f t="shared" ca="1" si="103"/>
        <v>1.2078673893329507E-6</v>
      </c>
      <c r="N1480" s="316">
        <f t="shared" ca="1" si="103"/>
        <v>1.1815057421491935E-6</v>
      </c>
      <c r="O1480" s="316">
        <f t="shared" ca="1" si="103"/>
        <v>1.1541506709995468E-6</v>
      </c>
      <c r="P1480" s="316">
        <f t="shared" ca="1" si="103"/>
        <v>1.1258021758840104E-6</v>
      </c>
      <c r="Q1480" s="316">
        <f t="shared" ca="1" si="103"/>
        <v>1.0964602568025843E-6</v>
      </c>
      <c r="R1480" s="248"/>
      <c r="U1480" s="179"/>
      <c r="W1480" s="179"/>
      <c r="X1480" s="179"/>
    </row>
    <row r="1481" spans="1:24" s="65" customFormat="1" ht="15" customHeight="1" outlineLevel="2">
      <c r="A1481" s="219"/>
      <c r="B1481" s="242"/>
      <c r="C1481" s="251" t="s">
        <v>1973</v>
      </c>
      <c r="D1481" s="242"/>
      <c r="E1481" s="242"/>
      <c r="F1481" s="121"/>
      <c r="G1481" s="315" t="s">
        <v>1961</v>
      </c>
      <c r="H1481" s="242"/>
      <c r="I1481" s="316">
        <f t="shared" ref="I1481:Q1481" ca="1" si="104">SUMPRODUCT(I$1397:I$1402,G.30.assumptions.EF.CH4)</f>
        <v>8.2207411436845023E-5</v>
      </c>
      <c r="J1481" s="316">
        <f t="shared" ca="1" si="104"/>
        <v>8.3050564374658809E-5</v>
      </c>
      <c r="K1481" s="316">
        <f t="shared" ca="1" si="104"/>
        <v>8.4104505546926065E-5</v>
      </c>
      <c r="L1481" s="316">
        <f t="shared" ca="1" si="104"/>
        <v>8.5158446719193307E-5</v>
      </c>
      <c r="M1481" s="316">
        <f t="shared" ca="1" si="104"/>
        <v>8.6212387891460577E-5</v>
      </c>
      <c r="N1481" s="316">
        <f t="shared" ca="1" si="104"/>
        <v>8.7266329063727805E-5</v>
      </c>
      <c r="O1481" s="316">
        <f t="shared" ca="1" si="104"/>
        <v>8.8320270235995075E-5</v>
      </c>
      <c r="P1481" s="316">
        <f t="shared" ca="1" si="104"/>
        <v>8.9374211408262304E-5</v>
      </c>
      <c r="Q1481" s="316">
        <f t="shared" ca="1" si="104"/>
        <v>9.042815258052956E-5</v>
      </c>
      <c r="R1481" s="248"/>
      <c r="U1481" s="179"/>
      <c r="W1481" s="179"/>
      <c r="X1481" s="179"/>
    </row>
    <row r="1482" spans="1:24" s="65" customFormat="1" ht="15" customHeight="1" outlineLevel="2">
      <c r="A1482" s="219"/>
      <c r="B1482" s="242"/>
      <c r="C1482" s="251" t="s">
        <v>1974</v>
      </c>
      <c r="D1482" s="242"/>
      <c r="E1482" s="242"/>
      <c r="F1482" s="121"/>
      <c r="G1482" s="315" t="s">
        <v>1962</v>
      </c>
      <c r="H1482" s="242"/>
      <c r="I1482" s="316">
        <f t="shared" ref="I1482:Q1482" ca="1" si="105">SUMPRODUCT(I$1403:I$1408,G.30.assumptions.EF.CH4)</f>
        <v>4.3273399884361874E-5</v>
      </c>
      <c r="J1482" s="316">
        <f t="shared" ca="1" si="105"/>
        <v>4.3717229626765582E-5</v>
      </c>
      <c r="K1482" s="316">
        <f t="shared" ca="1" si="105"/>
        <v>4.4272016804770221E-5</v>
      </c>
      <c r="L1482" s="316">
        <f t="shared" ca="1" si="105"/>
        <v>4.4826803982774867E-5</v>
      </c>
      <c r="M1482" s="316">
        <f t="shared" ca="1" si="105"/>
        <v>4.5381591160779506E-5</v>
      </c>
      <c r="N1482" s="316">
        <f t="shared" ca="1" si="105"/>
        <v>4.5936378338784145E-5</v>
      </c>
      <c r="O1482" s="316">
        <f t="shared" ca="1" si="105"/>
        <v>4.6491165516788791E-5</v>
      </c>
      <c r="P1482" s="316">
        <f t="shared" ca="1" si="105"/>
        <v>4.7045952694793424E-5</v>
      </c>
      <c r="Q1482" s="316">
        <f t="shared" ca="1" si="105"/>
        <v>4.760073987279807E-5</v>
      </c>
      <c r="R1482" s="248"/>
      <c r="U1482" s="179"/>
      <c r="W1482" s="179"/>
      <c r="X1482" s="179"/>
    </row>
    <row r="1483" spans="1:24" s="65" customFormat="1" ht="15" customHeight="1" outlineLevel="2">
      <c r="A1483" s="219"/>
      <c r="B1483" s="242"/>
      <c r="C1483" s="251" t="s">
        <v>1975</v>
      </c>
      <c r="D1483" s="242"/>
      <c r="E1483" s="242"/>
      <c r="F1483" s="121"/>
      <c r="G1483" s="315" t="s">
        <v>1963</v>
      </c>
      <c r="H1483" s="242"/>
      <c r="I1483" s="316">
        <f t="shared" ref="I1483:Q1483" ca="1" si="106">SUMPRODUCT(I$1409:I$1414,G.30.assumptions.EF.CH4)</f>
        <v>1.4629422513554707E-5</v>
      </c>
      <c r="J1483" s="316">
        <f t="shared" ca="1" si="106"/>
        <v>1.4779467872668087E-5</v>
      </c>
      <c r="K1483" s="316">
        <f t="shared" ca="1" si="106"/>
        <v>1.4967024571559816E-5</v>
      </c>
      <c r="L1483" s="316">
        <f t="shared" ca="1" si="106"/>
        <v>1.5154581270451545E-5</v>
      </c>
      <c r="M1483" s="316">
        <f t="shared" ca="1" si="106"/>
        <v>1.5342137969343269E-5</v>
      </c>
      <c r="N1483" s="316">
        <f t="shared" ca="1" si="106"/>
        <v>1.5529694668234997E-5</v>
      </c>
      <c r="O1483" s="316">
        <f t="shared" ca="1" si="106"/>
        <v>1.5717251367126724E-5</v>
      </c>
      <c r="P1483" s="316">
        <f t="shared" ca="1" si="106"/>
        <v>1.5904808066018452E-5</v>
      </c>
      <c r="Q1483" s="316">
        <f t="shared" ca="1" si="106"/>
        <v>1.6092364764910179E-5</v>
      </c>
      <c r="R1483" s="248"/>
      <c r="U1483" s="179"/>
      <c r="W1483" s="179"/>
      <c r="X1483" s="179"/>
    </row>
    <row r="1484" spans="1:24" s="65" customFormat="1" ht="15" customHeight="1" outlineLevel="2">
      <c r="A1484" s="219"/>
      <c r="B1484" s="242"/>
      <c r="C1484" s="251" t="s">
        <v>1976</v>
      </c>
      <c r="D1484" s="242"/>
      <c r="E1484" s="242"/>
      <c r="F1484" s="121"/>
      <c r="G1484" s="251" t="s">
        <v>1964</v>
      </c>
      <c r="H1484" s="242"/>
      <c r="I1484" s="316">
        <f t="shared" ref="I1484:Q1484" ca="1" si="107">SUMPRODUCT(I$1415:I$1420,G.30.assumptions.EF.CH4)</f>
        <v>3.8299548543463569E-5</v>
      </c>
      <c r="J1484" s="316">
        <f t="shared" ca="1" si="107"/>
        <v>3.8692364425960635E-5</v>
      </c>
      <c r="K1484" s="316">
        <f t="shared" ca="1" si="107"/>
        <v>3.9183384279081951E-5</v>
      </c>
      <c r="L1484" s="316">
        <f t="shared" ca="1" si="107"/>
        <v>3.9674404132203288E-5</v>
      </c>
      <c r="M1484" s="316">
        <f t="shared" ca="1" si="107"/>
        <v>4.0165423985324618E-5</v>
      </c>
      <c r="N1484" s="316">
        <f t="shared" ca="1" si="107"/>
        <v>4.0656443838445941E-5</v>
      </c>
      <c r="O1484" s="316">
        <f t="shared" ca="1" si="107"/>
        <v>4.1147463691567277E-5</v>
      </c>
      <c r="P1484" s="316">
        <f t="shared" ca="1" si="107"/>
        <v>4.1638483544688607E-5</v>
      </c>
      <c r="Q1484" s="316">
        <f t="shared" ca="1" si="107"/>
        <v>4.212950339780993E-5</v>
      </c>
      <c r="R1484" s="248"/>
      <c r="U1484" s="179"/>
      <c r="W1484" s="179"/>
      <c r="X1484" s="179"/>
    </row>
    <row r="1485" spans="1:24" s="65" customFormat="1" ht="15" customHeight="1" outlineLevel="2">
      <c r="A1485" s="219"/>
      <c r="B1485" s="242"/>
      <c r="C1485" s="251" t="s">
        <v>1977</v>
      </c>
      <c r="D1485" s="242"/>
      <c r="E1485" s="242"/>
      <c r="F1485" s="121"/>
      <c r="G1485" s="315" t="s">
        <v>1954</v>
      </c>
      <c r="H1485" s="242"/>
      <c r="I1485" s="316">
        <f t="shared" ref="I1485:Q1485" ca="1" si="108">SUMPRODUCT(I$1421:I$1426,G.30.assumptions.EF.CH4)</f>
        <v>2.5620242282378285E-5</v>
      </c>
      <c r="J1485" s="316">
        <f t="shared" ca="1" si="108"/>
        <v>2.5883013998094983E-5</v>
      </c>
      <c r="K1485" s="316">
        <f t="shared" ca="1" si="108"/>
        <v>2.621147864274086E-5</v>
      </c>
      <c r="L1485" s="316">
        <f t="shared" ca="1" si="108"/>
        <v>2.6539943287386743E-5</v>
      </c>
      <c r="M1485" s="316">
        <f t="shared" ca="1" si="108"/>
        <v>2.6868407932032616E-5</v>
      </c>
      <c r="N1485" s="316">
        <f t="shared" ca="1" si="108"/>
        <v>2.719687257667849E-5</v>
      </c>
      <c r="O1485" s="316">
        <f t="shared" ca="1" si="108"/>
        <v>2.752533722132437E-5</v>
      </c>
      <c r="P1485" s="316">
        <f t="shared" ca="1" si="108"/>
        <v>2.7853801865970243E-5</v>
      </c>
      <c r="Q1485" s="316">
        <f t="shared" ca="1" si="108"/>
        <v>2.8182266510616112E-5</v>
      </c>
      <c r="R1485" s="248"/>
      <c r="U1485" s="179"/>
      <c r="W1485" s="179"/>
      <c r="X1485" s="179"/>
    </row>
    <row r="1486" spans="1:24" s="65" customFormat="1" ht="15" customHeight="1" outlineLevel="2">
      <c r="A1486" s="219"/>
      <c r="B1486" s="242"/>
      <c r="C1486" s="251" t="s">
        <v>1978</v>
      </c>
      <c r="D1486" s="242"/>
      <c r="E1486" s="242"/>
      <c r="F1486" s="121"/>
      <c r="G1486" s="251" t="s">
        <v>1955</v>
      </c>
      <c r="H1486" s="242"/>
      <c r="I1486" s="316">
        <f t="shared" ref="I1486:Q1486" ca="1" si="109">SUMPRODUCT(I$1417:I$1422,G.30.assumptions.EF.CH4)</f>
        <v>9.7463879507745169E-5</v>
      </c>
      <c r="J1486" s="316">
        <f t="shared" ca="1" si="109"/>
        <v>9.8463509041157949E-5</v>
      </c>
      <c r="K1486" s="316">
        <f t="shared" ca="1" si="109"/>
        <v>9.9713045957923907E-5</v>
      </c>
      <c r="L1486" s="316">
        <f t="shared" ca="1" si="109"/>
        <v>1.0096258287468988E-4</v>
      </c>
      <c r="M1486" s="316">
        <f t="shared" ca="1" si="109"/>
        <v>1.0221211979145582E-4</v>
      </c>
      <c r="N1486" s="316">
        <f t="shared" ca="1" si="109"/>
        <v>1.034616567082218E-4</v>
      </c>
      <c r="O1486" s="316">
        <f t="shared" ca="1" si="109"/>
        <v>1.0471119362498778E-4</v>
      </c>
      <c r="P1486" s="316">
        <f t="shared" ca="1" si="109"/>
        <v>1.0596073054175374E-4</v>
      </c>
      <c r="Q1486" s="316">
        <f t="shared" ca="1" si="109"/>
        <v>1.0721026745851971E-4</v>
      </c>
      <c r="R1486" s="248"/>
      <c r="U1486" s="179"/>
      <c r="W1486" s="179"/>
      <c r="X1486" s="179"/>
    </row>
    <row r="1487" spans="1:24" s="65" customFormat="1" ht="15" customHeight="1" outlineLevel="2">
      <c r="A1487" s="219"/>
      <c r="B1487" s="242"/>
      <c r="C1487" s="251" t="s">
        <v>1979</v>
      </c>
      <c r="D1487" s="242"/>
      <c r="E1487" s="242"/>
      <c r="F1487" s="121"/>
      <c r="G1487" s="251" t="s">
        <v>1956</v>
      </c>
      <c r="H1487" s="242"/>
      <c r="I1487" s="316">
        <f t="shared" ref="I1487:Q1487" ca="1" si="110">SUMPRODUCT(I$1427:I$1432,G.30.assumptions.EF.CH4)</f>
        <v>2.2463995901766404E-5</v>
      </c>
      <c r="J1487" s="316">
        <f t="shared" ca="1" si="110"/>
        <v>2.2694395859733241E-5</v>
      </c>
      <c r="K1487" s="316">
        <f t="shared" ca="1" si="110"/>
        <v>2.2982395807191782E-5</v>
      </c>
      <c r="L1487" s="316">
        <f t="shared" ca="1" si="110"/>
        <v>2.327039575465033E-5</v>
      </c>
      <c r="M1487" s="316">
        <f t="shared" ca="1" si="110"/>
        <v>2.3558395702108874E-5</v>
      </c>
      <c r="N1487" s="316">
        <f t="shared" ca="1" si="110"/>
        <v>2.3846395649567415E-5</v>
      </c>
      <c r="O1487" s="316">
        <f t="shared" ca="1" si="110"/>
        <v>2.4134395597025962E-5</v>
      </c>
      <c r="P1487" s="316">
        <f t="shared" ca="1" si="110"/>
        <v>2.4422395544484506E-5</v>
      </c>
      <c r="Q1487" s="316">
        <f t="shared" ca="1" si="110"/>
        <v>2.4710395491943047E-5</v>
      </c>
      <c r="R1487" s="248"/>
      <c r="U1487" s="179"/>
      <c r="W1487" s="179"/>
      <c r="X1487" s="179"/>
    </row>
    <row r="1488" spans="1:24" s="65" customFormat="1" ht="15" customHeight="1" outlineLevel="2">
      <c r="A1488" s="219"/>
      <c r="B1488" s="242"/>
      <c r="C1488" s="251" t="s">
        <v>1980</v>
      </c>
      <c r="D1488" s="242"/>
      <c r="E1488" s="242"/>
      <c r="F1488" s="121"/>
      <c r="G1488" s="251" t="s">
        <v>1426</v>
      </c>
      <c r="H1488" s="242"/>
      <c r="I1488" s="316">
        <f t="shared" ref="I1488:Q1488" ca="1" si="111">SUMPRODUCT(I$1439:I$1444,G.30.assumptions.EF.CH4)</f>
        <v>1.061122223501279E-4</v>
      </c>
      <c r="J1488" s="316">
        <f t="shared" ca="1" si="111"/>
        <v>1.0280258143737967E-4</v>
      </c>
      <c r="K1488" s="316">
        <f t="shared" ca="1" si="111"/>
        <v>9.8539953701947167E-5</v>
      </c>
      <c r="L1488" s="316">
        <f t="shared" ca="1" si="111"/>
        <v>9.4137796417073373E-5</v>
      </c>
      <c r="M1488" s="316">
        <f t="shared" ca="1" si="111"/>
        <v>8.9596109582758246E-5</v>
      </c>
      <c r="N1488" s="316">
        <f t="shared" ca="1" si="111"/>
        <v>8.4914893199001761E-5</v>
      </c>
      <c r="O1488" s="316">
        <f t="shared" ca="1" si="111"/>
        <v>8.0094147265803972E-5</v>
      </c>
      <c r="P1488" s="316">
        <f t="shared" ca="1" si="111"/>
        <v>7.513387178316485E-5</v>
      </c>
      <c r="Q1488" s="316">
        <f t="shared" ca="1" si="111"/>
        <v>7.003406675108441E-5</v>
      </c>
      <c r="R1488" s="248"/>
      <c r="U1488" s="179"/>
      <c r="W1488" s="179"/>
      <c r="X1488" s="179"/>
    </row>
    <row r="1489" spans="1:24" s="65" customFormat="1" ht="15" customHeight="1" outlineLevel="2">
      <c r="A1489" s="219"/>
      <c r="B1489" s="242"/>
      <c r="C1489" s="251" t="s">
        <v>1981</v>
      </c>
      <c r="D1489" s="242"/>
      <c r="E1489" s="242"/>
      <c r="F1489" s="121"/>
      <c r="G1489" s="251" t="s">
        <v>1457</v>
      </c>
      <c r="H1489" s="242"/>
      <c r="I1489" s="316">
        <f t="shared" ref="I1489:Q1489" ca="1" si="112">SUMPRODUCT(I$1445:I$1450,G.30.assumptions.EF.CH4)</f>
        <v>2.6339585431574698E-4</v>
      </c>
      <c r="J1489" s="316">
        <f t="shared" ca="1" si="112"/>
        <v>2.6035482314645223E-4</v>
      </c>
      <c r="K1489" s="316">
        <f t="shared" ca="1" si="112"/>
        <v>2.563895660883904E-4</v>
      </c>
      <c r="L1489" s="316">
        <f t="shared" ca="1" si="112"/>
        <v>2.5224212225650263E-4</v>
      </c>
      <c r="M1489" s="316">
        <f t="shared" ca="1" si="112"/>
        <v>2.4791249165078885E-4</v>
      </c>
      <c r="N1489" s="316">
        <f t="shared" ca="1" si="112"/>
        <v>2.4340067427124909E-4</v>
      </c>
      <c r="O1489" s="316">
        <f t="shared" ca="1" si="112"/>
        <v>2.3870667011788337E-4</v>
      </c>
      <c r="P1489" s="316">
        <f t="shared" ca="1" si="112"/>
        <v>2.3383047919069169E-4</v>
      </c>
      <c r="Q1489" s="316">
        <f t="shared" ca="1" si="112"/>
        <v>2.28772101489674E-4</v>
      </c>
      <c r="R1489" s="248"/>
      <c r="U1489" s="179"/>
      <c r="W1489" s="179"/>
      <c r="X1489" s="179"/>
    </row>
    <row r="1490" spans="1:24" s="65" customFormat="1" ht="15" customHeight="1" outlineLevel="2">
      <c r="A1490" s="219"/>
      <c r="B1490" s="242"/>
      <c r="C1490" s="334" t="s">
        <v>375</v>
      </c>
      <c r="D1490" s="335"/>
      <c r="E1490" s="335"/>
      <c r="F1490" s="336"/>
      <c r="G1490" s="334"/>
      <c r="H1490" s="335"/>
      <c r="I1490" s="338">
        <f ca="1">SUBTOTAL(109,G.30.assumptions.CombustionCH4EmissionsAfterProductManufacturingEfficiency[2011])</f>
        <v>1.033027111235158E-3</v>
      </c>
      <c r="J1490" s="339">
        <f ca="1">SUBTOTAL(109,G.30.assumptions.CombustionCH4EmissionsAfterProductManufacturingEfficiency[2015])</f>
        <v>1.0364336705048175E-3</v>
      </c>
      <c r="K1490" s="339">
        <f ca="1">SUBTOTAL(109,G.30.assumptions.CombustionCH4EmissionsAfterProductManufacturingEfficiency[2020])</f>
        <v>1.0404866116118714E-3</v>
      </c>
      <c r="L1490" s="339">
        <f ca="1">SUBTOTAL(109,G.30.assumptions.CombustionCH4EmissionsAfterProductManufacturingEfficiency[2025])</f>
        <v>1.0443114882966807E-3</v>
      </c>
      <c r="M1490" s="339">
        <f ca="1">SUBTOTAL(109,G.30.assumptions.CombustionCH4EmissionsAfterProductManufacturingEfficiency[2030])</f>
        <v>1.0479083005592448E-3</v>
      </c>
      <c r="N1490" s="339">
        <f ca="1">SUBTOTAL(109,G.30.assumptions.CombustionCH4EmissionsAfterProductManufacturingEfficiency[2035])</f>
        <v>1.0512770483995636E-3</v>
      </c>
      <c r="O1490" s="339">
        <f ca="1">SUBTOTAL(109,G.30.assumptions.CombustionCH4EmissionsAfterProductManufacturingEfficiency[2040])</f>
        <v>1.0544177318176379E-3</v>
      </c>
      <c r="P1490" s="339">
        <f ca="1">SUBTOTAL(109,G.30.assumptions.CombustionCH4EmissionsAfterProductManufacturingEfficiency[2045])</f>
        <v>1.057330350813467E-3</v>
      </c>
      <c r="Q1490" s="338">
        <f ca="1">SUBTOTAL(109,G.30.assumptions.CombustionCH4EmissionsAfterProductManufacturingEfficiency[2050])</f>
        <v>1.0600149053870509E-3</v>
      </c>
      <c r="R1490" s="248"/>
      <c r="U1490" s="179"/>
      <c r="W1490" s="179"/>
      <c r="X1490" s="179"/>
    </row>
    <row r="1491" spans="1:24" s="65" customFormat="1" ht="15" customHeight="1" outlineLevel="2">
      <c r="A1491" s="219"/>
      <c r="B1491" s="242"/>
      <c r="C1491" s="251"/>
      <c r="D1491" s="242"/>
      <c r="E1491" s="242"/>
      <c r="F1491" s="121"/>
      <c r="G1491" s="242"/>
      <c r="H1491" s="242"/>
      <c r="I1491" s="239"/>
      <c r="J1491" s="239"/>
      <c r="K1491" s="239"/>
      <c r="L1491" s="239"/>
      <c r="M1491" s="239"/>
      <c r="N1491" s="239"/>
      <c r="O1491" s="239"/>
      <c r="P1491" s="239"/>
      <c r="Q1491" s="239"/>
      <c r="R1491" s="248"/>
      <c r="U1491" s="179"/>
      <c r="W1491" s="179"/>
      <c r="X1491" s="179"/>
    </row>
    <row r="1492" spans="1:24" s="65" customFormat="1" ht="15" customHeight="1" outlineLevel="2">
      <c r="A1492" s="219"/>
      <c r="B1492" s="242"/>
      <c r="C1492" s="313" t="s">
        <v>1983</v>
      </c>
      <c r="D1492" s="121"/>
      <c r="E1492" s="242"/>
      <c r="F1492" s="121"/>
      <c r="G1492" s="242"/>
      <c r="H1492" s="242"/>
      <c r="I1492" s="239"/>
      <c r="J1492" s="239"/>
      <c r="K1492" s="239"/>
      <c r="L1492" s="239"/>
      <c r="M1492" s="239"/>
      <c r="N1492" s="239"/>
      <c r="O1492" s="239"/>
      <c r="P1492" s="239"/>
      <c r="Q1492" s="239"/>
      <c r="R1492" s="248"/>
      <c r="U1492" s="179"/>
      <c r="W1492" s="179"/>
      <c r="X1492" s="179"/>
    </row>
    <row r="1493" spans="1:24" s="65" customFormat="1" ht="15" customHeight="1" outlineLevel="2">
      <c r="A1493" s="219"/>
      <c r="B1493" s="242"/>
      <c r="C1493" s="313"/>
      <c r="D1493" s="121"/>
      <c r="E1493" s="242"/>
      <c r="F1493" s="121"/>
      <c r="G1493" s="242"/>
      <c r="H1493" s="242"/>
      <c r="I1493" s="239"/>
      <c r="J1493" s="239"/>
      <c r="K1493" s="239"/>
      <c r="L1493" s="239"/>
      <c r="M1493" s="239"/>
      <c r="N1493" s="239"/>
      <c r="O1493" s="239"/>
      <c r="P1493" s="239"/>
      <c r="Q1493" s="239"/>
      <c r="R1493" s="248"/>
      <c r="U1493" s="179"/>
      <c r="W1493" s="179"/>
      <c r="X1493" s="179"/>
    </row>
    <row r="1494" spans="1:24" s="65" customFormat="1" ht="15" customHeight="1" outlineLevel="2">
      <c r="A1494" s="219"/>
      <c r="B1494" s="242"/>
      <c r="C1494" s="258" t="s">
        <v>454</v>
      </c>
      <c r="D1494" s="258" t="s">
        <v>241</v>
      </c>
      <c r="E1494" s="258" t="s">
        <v>598</v>
      </c>
      <c r="F1494" s="258" t="s">
        <v>274</v>
      </c>
      <c r="G1494" s="258" t="s">
        <v>509</v>
      </c>
      <c r="H1494" s="258" t="s">
        <v>510</v>
      </c>
      <c r="I1494" s="258" t="s">
        <v>1107</v>
      </c>
      <c r="J1494" s="258" t="s">
        <v>210</v>
      </c>
      <c r="K1494" s="258" t="s">
        <v>211</v>
      </c>
      <c r="L1494" s="258" t="s">
        <v>212</v>
      </c>
      <c r="M1494" s="258" t="s">
        <v>213</v>
      </c>
      <c r="N1494" s="258" t="s">
        <v>214</v>
      </c>
      <c r="O1494" s="258" t="s">
        <v>215</v>
      </c>
      <c r="P1494" s="258" t="s">
        <v>216</v>
      </c>
      <c r="Q1494" s="258" t="s">
        <v>217</v>
      </c>
      <c r="R1494" s="248"/>
      <c r="U1494" s="179"/>
      <c r="W1494" s="179"/>
      <c r="X1494" s="179"/>
    </row>
    <row r="1495" spans="1:24" s="65" customFormat="1" ht="15" customHeight="1" outlineLevel="2">
      <c r="A1495" s="219"/>
      <c r="B1495" s="242"/>
      <c r="C1495" s="251" t="s">
        <v>1968</v>
      </c>
      <c r="D1495" s="242"/>
      <c r="E1495" s="242"/>
      <c r="F1495" s="121"/>
      <c r="G1495" s="251" t="s">
        <v>1377</v>
      </c>
      <c r="H1495" s="242"/>
      <c r="I1495" s="316">
        <f t="shared" ref="I1495:Q1495" ca="1" si="113">SUMPRODUCT(I$1367:I$1372,G.30.assumptions.EF.N2O)</f>
        <v>3.7953225923356982E-5</v>
      </c>
      <c r="J1495" s="316">
        <f t="shared" ca="1" si="113"/>
        <v>3.7749875924827679E-5</v>
      </c>
      <c r="K1495" s="316">
        <f t="shared" ca="1" si="113"/>
        <v>3.7478767345805091E-5</v>
      </c>
      <c r="L1495" s="316">
        <f t="shared" ca="1" si="113"/>
        <v>3.7188857565825844E-5</v>
      </c>
      <c r="M1495" s="316">
        <f t="shared" ca="1" si="113"/>
        <v>3.6880146584889957E-5</v>
      </c>
      <c r="N1495" s="316">
        <f t="shared" ca="1" si="113"/>
        <v>3.6552634402997412E-5</v>
      </c>
      <c r="O1495" s="316">
        <f t="shared" ca="1" si="113"/>
        <v>3.6206321020148241E-5</v>
      </c>
      <c r="P1495" s="316">
        <f t="shared" ca="1" si="113"/>
        <v>3.5841206436342424E-5</v>
      </c>
      <c r="Q1495" s="316">
        <f t="shared" ca="1" si="113"/>
        <v>3.5457290651579942E-5</v>
      </c>
      <c r="R1495" s="248"/>
      <c r="U1495" s="179"/>
      <c r="W1495" s="179"/>
      <c r="X1495" s="179"/>
    </row>
    <row r="1496" spans="1:24" s="65" customFormat="1" ht="15" customHeight="1" outlineLevel="2">
      <c r="A1496" s="219"/>
      <c r="B1496" s="242"/>
      <c r="C1496" s="251" t="s">
        <v>1969</v>
      </c>
      <c r="D1496" s="242"/>
      <c r="E1496" s="242"/>
      <c r="F1496" s="121"/>
      <c r="G1496" s="315" t="s">
        <v>1380</v>
      </c>
      <c r="H1496" s="242"/>
      <c r="I1496" s="316">
        <f t="shared" ref="I1496:Q1496" ca="1" si="114">SUMPRODUCT(I$1373:I$1378,G.30.assumptions.EF.N2O)</f>
        <v>2.8668259152441647E-5</v>
      </c>
      <c r="J1496" s="316">
        <f t="shared" ca="1" si="114"/>
        <v>3.0039608389588879E-5</v>
      </c>
      <c r="K1496" s="316">
        <f t="shared" ca="1" si="114"/>
        <v>3.1784555856992094E-5</v>
      </c>
      <c r="L1496" s="316">
        <f t="shared" ca="1" si="114"/>
        <v>3.3563682125472186E-5</v>
      </c>
      <c r="M1496" s="316">
        <f t="shared" ca="1" si="114"/>
        <v>3.5376987195029121E-5</v>
      </c>
      <c r="N1496" s="316">
        <f t="shared" ca="1" si="114"/>
        <v>3.7224471065662932E-5</v>
      </c>
      <c r="O1496" s="316">
        <f t="shared" ca="1" si="114"/>
        <v>3.9106133737373607E-5</v>
      </c>
      <c r="P1496" s="316">
        <f t="shared" ca="1" si="114"/>
        <v>4.1021975210161132E-5</v>
      </c>
      <c r="Q1496" s="316">
        <f t="shared" ca="1" si="114"/>
        <v>4.2971995484025533E-5</v>
      </c>
      <c r="R1496" s="248"/>
      <c r="U1496" s="179"/>
      <c r="W1496" s="179"/>
      <c r="X1496" s="179"/>
    </row>
    <row r="1497" spans="1:24" s="65" customFormat="1" ht="15" customHeight="1" outlineLevel="2">
      <c r="A1497" s="219"/>
      <c r="B1497" s="242"/>
      <c r="C1497" s="251" t="s">
        <v>1970</v>
      </c>
      <c r="D1497" s="242"/>
      <c r="E1497" s="242"/>
      <c r="F1497" s="121"/>
      <c r="G1497" s="315" t="s">
        <v>1625</v>
      </c>
      <c r="H1497" s="242"/>
      <c r="I1497" s="316">
        <f t="shared" ref="I1497:Q1497" ca="1" si="115">SUMPRODUCT(I$1379:I$1384,G.30.assumptions.EF.N2O)</f>
        <v>3.2481747566805249E-6</v>
      </c>
      <c r="J1497" s="316">
        <f t="shared" ca="1" si="115"/>
        <v>3.3667462483910708E-6</v>
      </c>
      <c r="K1497" s="316">
        <f t="shared" ca="1" si="115"/>
        <v>3.5173949782240328E-6</v>
      </c>
      <c r="L1497" s="316">
        <f t="shared" ca="1" si="115"/>
        <v>3.6707485582734113E-6</v>
      </c>
      <c r="M1497" s="316">
        <f t="shared" ca="1" si="115"/>
        <v>3.8268069885392109E-6</v>
      </c>
      <c r="N1497" s="316">
        <f t="shared" ca="1" si="115"/>
        <v>3.9855702690214257E-6</v>
      </c>
      <c r="O1497" s="316">
        <f t="shared" ca="1" si="115"/>
        <v>4.147038399720063E-6</v>
      </c>
      <c r="P1497" s="316">
        <f t="shared" ca="1" si="115"/>
        <v>4.3112113806351168E-6</v>
      </c>
      <c r="Q1497" s="316">
        <f t="shared" ca="1" si="115"/>
        <v>4.4780892117665897E-6</v>
      </c>
      <c r="R1497" s="248"/>
      <c r="U1497" s="179"/>
      <c r="W1497" s="179"/>
      <c r="X1497" s="179"/>
    </row>
    <row r="1498" spans="1:24" s="65" customFormat="1" ht="15" customHeight="1" outlineLevel="2">
      <c r="A1498" s="219"/>
      <c r="B1498" s="242"/>
      <c r="C1498" s="251" t="s">
        <v>1971</v>
      </c>
      <c r="D1498" s="242"/>
      <c r="E1498" s="242"/>
      <c r="F1498" s="121"/>
      <c r="G1498" s="315" t="s">
        <v>1939</v>
      </c>
      <c r="H1498" s="242"/>
      <c r="I1498" s="316">
        <f t="shared" ref="I1498:Q1498" ca="1" si="116">SUMPRODUCT(I$1385:I$1390,G.30.assumptions.EF.N2O)</f>
        <v>1.0323816465874188E-6</v>
      </c>
      <c r="J1498" s="316">
        <f t="shared" ca="1" si="116"/>
        <v>1.0700677444793804E-6</v>
      </c>
      <c r="K1498" s="316">
        <f t="shared" ca="1" si="116"/>
        <v>1.1179490918241878E-6</v>
      </c>
      <c r="L1498" s="316">
        <f t="shared" ca="1" si="116"/>
        <v>1.1666901335910561E-6</v>
      </c>
      <c r="M1498" s="316">
        <f t="shared" ca="1" si="116"/>
        <v>1.2162908697799866E-6</v>
      </c>
      <c r="N1498" s="316">
        <f t="shared" ca="1" si="116"/>
        <v>1.2667513003909775E-6</v>
      </c>
      <c r="O1498" s="316">
        <f t="shared" ca="1" si="116"/>
        <v>1.3180714254240305E-6</v>
      </c>
      <c r="P1498" s="316">
        <f t="shared" ca="1" si="116"/>
        <v>1.3702512448791446E-6</v>
      </c>
      <c r="Q1498" s="316">
        <f t="shared" ca="1" si="116"/>
        <v>1.4232907587563197E-6</v>
      </c>
      <c r="R1498" s="248"/>
      <c r="U1498" s="179"/>
      <c r="W1498" s="179"/>
      <c r="X1498" s="179"/>
    </row>
    <row r="1499" spans="1:24" s="65" customFormat="1" ht="15" customHeight="1" outlineLevel="2">
      <c r="A1499" s="219"/>
      <c r="B1499" s="242"/>
      <c r="C1499" s="251" t="s">
        <v>1972</v>
      </c>
      <c r="D1499" s="242"/>
      <c r="E1499" s="242"/>
      <c r="F1499" s="121"/>
      <c r="G1499" s="315" t="s">
        <v>1940</v>
      </c>
      <c r="H1499" s="242"/>
      <c r="I1499" s="316">
        <f t="shared" ref="I1499:Q1499" ca="1" si="117">SUMPRODUCT(I$1391:I$1396,G.30.assumptions.EF.N2O)</f>
        <v>9.5319969958313836E-8</v>
      </c>
      <c r="J1499" s="316">
        <f t="shared" ca="1" si="117"/>
        <v>9.399986619387414E-8</v>
      </c>
      <c r="K1499" s="316">
        <f t="shared" ca="1" si="117"/>
        <v>9.2284128301974163E-8</v>
      </c>
      <c r="L1499" s="316">
        <f t="shared" ca="1" si="117"/>
        <v>9.0495492425240413E-8</v>
      </c>
      <c r="M1499" s="316">
        <f t="shared" ca="1" si="117"/>
        <v>8.8633958563672863E-8</v>
      </c>
      <c r="N1499" s="316">
        <f t="shared" ca="1" si="117"/>
        <v>8.6699526717271513E-8</v>
      </c>
      <c r="O1499" s="316">
        <f t="shared" ca="1" si="117"/>
        <v>8.4692196886036404E-8</v>
      </c>
      <c r="P1499" s="316">
        <f t="shared" ca="1" si="117"/>
        <v>8.2611969069967495E-8</v>
      </c>
      <c r="Q1499" s="316">
        <f t="shared" ca="1" si="117"/>
        <v>8.0458843269064812E-8</v>
      </c>
      <c r="R1499" s="248"/>
      <c r="U1499" s="179"/>
      <c r="W1499" s="179"/>
      <c r="X1499" s="179"/>
    </row>
    <row r="1500" spans="1:24" s="65" customFormat="1" ht="15" customHeight="1" outlineLevel="2">
      <c r="A1500" s="219"/>
      <c r="B1500" s="242"/>
      <c r="C1500" s="251" t="s">
        <v>1973</v>
      </c>
      <c r="D1500" s="242"/>
      <c r="E1500" s="242"/>
      <c r="F1500" s="121"/>
      <c r="G1500" s="315" t="s">
        <v>1961</v>
      </c>
      <c r="H1500" s="242"/>
      <c r="I1500" s="316">
        <f t="shared" ref="I1500:Q1500" ca="1" si="118">SUMPRODUCT(I$1397:I$1402,G.30.assumptions.EF.N2O)</f>
        <v>7.7935540178262409E-5</v>
      </c>
      <c r="J1500" s="316">
        <f t="shared" ca="1" si="118"/>
        <v>7.8734879051885613E-5</v>
      </c>
      <c r="K1500" s="316">
        <f t="shared" ca="1" si="118"/>
        <v>7.9734052643914624E-5</v>
      </c>
      <c r="L1500" s="316">
        <f t="shared" ca="1" si="118"/>
        <v>8.0733226235943622E-5</v>
      </c>
      <c r="M1500" s="316">
        <f t="shared" ca="1" si="118"/>
        <v>8.1732399827972647E-5</v>
      </c>
      <c r="N1500" s="316">
        <f t="shared" ca="1" si="118"/>
        <v>8.2731573420001631E-5</v>
      </c>
      <c r="O1500" s="316">
        <f t="shared" ca="1" si="118"/>
        <v>8.373074701203067E-5</v>
      </c>
      <c r="P1500" s="316">
        <f t="shared" ca="1" si="118"/>
        <v>8.4729920604059667E-5</v>
      </c>
      <c r="Q1500" s="316">
        <f t="shared" ca="1" si="118"/>
        <v>8.5729094196088665E-5</v>
      </c>
      <c r="R1500" s="248"/>
      <c r="U1500" s="179"/>
      <c r="W1500" s="179"/>
      <c r="X1500" s="179"/>
    </row>
    <row r="1501" spans="1:24" s="65" customFormat="1" ht="15" customHeight="1" outlineLevel="2">
      <c r="A1501" s="219"/>
      <c r="B1501" s="242"/>
      <c r="C1501" s="251" t="s">
        <v>1974</v>
      </c>
      <c r="D1501" s="242"/>
      <c r="E1501" s="242"/>
      <c r="F1501" s="121"/>
      <c r="G1501" s="315" t="s">
        <v>1962</v>
      </c>
      <c r="H1501" s="242"/>
      <c r="I1501" s="316">
        <f t="shared" ref="I1501:Q1501" ca="1" si="119">SUMPRODUCT(I$1403:I$1408,G.30.assumptions.EF.N2O)</f>
        <v>5.6632958007176483E-6</v>
      </c>
      <c r="J1501" s="316">
        <f t="shared" ca="1" si="119"/>
        <v>5.721380885853212E-6</v>
      </c>
      <c r="K1501" s="316">
        <f t="shared" ca="1" si="119"/>
        <v>5.7939872422726684E-6</v>
      </c>
      <c r="L1501" s="316">
        <f t="shared" ca="1" si="119"/>
        <v>5.8665935986921273E-6</v>
      </c>
      <c r="M1501" s="316">
        <f t="shared" ca="1" si="119"/>
        <v>5.9391999551115845E-6</v>
      </c>
      <c r="N1501" s="316">
        <f t="shared" ca="1" si="119"/>
        <v>6.0118063115310409E-6</v>
      </c>
      <c r="O1501" s="316">
        <f t="shared" ca="1" si="119"/>
        <v>6.0844126679504989E-6</v>
      </c>
      <c r="P1501" s="316">
        <f t="shared" ca="1" si="119"/>
        <v>6.1570190243699553E-6</v>
      </c>
      <c r="Q1501" s="316">
        <f t="shared" ca="1" si="119"/>
        <v>6.2296253807894133E-6</v>
      </c>
      <c r="R1501" s="248"/>
      <c r="U1501" s="179"/>
      <c r="W1501" s="179"/>
      <c r="X1501" s="179"/>
    </row>
    <row r="1502" spans="1:24" s="65" customFormat="1" ht="15" customHeight="1" outlineLevel="2">
      <c r="A1502" s="219"/>
      <c r="B1502" s="242"/>
      <c r="C1502" s="251" t="s">
        <v>1975</v>
      </c>
      <c r="D1502" s="242"/>
      <c r="E1502" s="242"/>
      <c r="F1502" s="121"/>
      <c r="G1502" s="315" t="s">
        <v>1963</v>
      </c>
      <c r="H1502" s="242"/>
      <c r="I1502" s="316">
        <f t="shared" ref="I1502:Q1502" ca="1" si="120">SUMPRODUCT(I$1409:I$1414,G.30.assumptions.EF.N2O)</f>
        <v>2.3285174936156825E-6</v>
      </c>
      <c r="J1502" s="316">
        <f t="shared" ca="1" si="120"/>
        <v>2.3523997243194335E-6</v>
      </c>
      <c r="K1502" s="316">
        <f t="shared" ca="1" si="120"/>
        <v>2.3822525126991217E-6</v>
      </c>
      <c r="L1502" s="316">
        <f t="shared" ca="1" si="120"/>
        <v>2.4121053010788103E-6</v>
      </c>
      <c r="M1502" s="316">
        <f t="shared" ca="1" si="120"/>
        <v>2.4419580894584981E-6</v>
      </c>
      <c r="N1502" s="316">
        <f t="shared" ca="1" si="120"/>
        <v>2.4718108778381863E-6</v>
      </c>
      <c r="O1502" s="316">
        <f t="shared" ca="1" si="120"/>
        <v>2.5016636662178749E-6</v>
      </c>
      <c r="P1502" s="316">
        <f t="shared" ca="1" si="120"/>
        <v>2.5315164545975631E-6</v>
      </c>
      <c r="Q1502" s="316">
        <f t="shared" ca="1" si="120"/>
        <v>2.5613692429772513E-6</v>
      </c>
      <c r="R1502" s="248"/>
      <c r="U1502" s="179"/>
      <c r="W1502" s="179"/>
      <c r="X1502" s="179"/>
    </row>
    <row r="1503" spans="1:24" s="65" customFormat="1" ht="15" customHeight="1" outlineLevel="2">
      <c r="A1503" s="219"/>
      <c r="B1503" s="242"/>
      <c r="C1503" s="251" t="s">
        <v>1976</v>
      </c>
      <c r="D1503" s="242"/>
      <c r="E1503" s="242"/>
      <c r="F1503" s="121"/>
      <c r="G1503" s="251" t="s">
        <v>1964</v>
      </c>
      <c r="H1503" s="242"/>
      <c r="I1503" s="316">
        <f t="shared" ref="I1503:Q1503" ca="1" si="121">SUMPRODUCT(I$1415:I$1420,G.30.assumptions.EF.N2O)</f>
        <v>3.7248913629698802E-6</v>
      </c>
      <c r="J1503" s="316">
        <f t="shared" ca="1" si="121"/>
        <v>3.7630953769490587E-6</v>
      </c>
      <c r="K1503" s="316">
        <f t="shared" ca="1" si="121"/>
        <v>3.8108503944230316E-6</v>
      </c>
      <c r="L1503" s="316">
        <f t="shared" ca="1" si="121"/>
        <v>3.8586054118970045E-6</v>
      </c>
      <c r="M1503" s="316">
        <f t="shared" ca="1" si="121"/>
        <v>3.9063604293709775E-6</v>
      </c>
      <c r="N1503" s="316">
        <f t="shared" ca="1" si="121"/>
        <v>3.9541154468449504E-6</v>
      </c>
      <c r="O1503" s="316">
        <f t="shared" ca="1" si="121"/>
        <v>4.0018704643189242E-6</v>
      </c>
      <c r="P1503" s="316">
        <f t="shared" ca="1" si="121"/>
        <v>4.0496254817928971E-6</v>
      </c>
      <c r="Q1503" s="316">
        <f t="shared" ca="1" si="121"/>
        <v>4.0973804992668683E-6</v>
      </c>
      <c r="R1503" s="248"/>
      <c r="U1503" s="179"/>
      <c r="W1503" s="179"/>
      <c r="X1503" s="179"/>
    </row>
    <row r="1504" spans="1:24" s="65" customFormat="1" ht="15" customHeight="1" outlineLevel="2">
      <c r="A1504" s="219"/>
      <c r="B1504" s="242"/>
      <c r="C1504" s="251" t="s">
        <v>1977</v>
      </c>
      <c r="D1504" s="242"/>
      <c r="E1504" s="242"/>
      <c r="F1504" s="121"/>
      <c r="G1504" s="315" t="s">
        <v>1954</v>
      </c>
      <c r="H1504" s="242"/>
      <c r="I1504" s="316">
        <f t="shared" ref="I1504:Q1504" ca="1" si="122">SUMPRODUCT(I$1421:I$1426,G.30.assumptions.EF.N2O)</f>
        <v>5.5176024552380455E-6</v>
      </c>
      <c r="J1504" s="316">
        <f t="shared" ca="1" si="122"/>
        <v>5.5741932496507427E-6</v>
      </c>
      <c r="K1504" s="316">
        <f t="shared" ca="1" si="122"/>
        <v>5.644931742666615E-6</v>
      </c>
      <c r="L1504" s="316">
        <f t="shared" ca="1" si="122"/>
        <v>5.7156702356824891E-6</v>
      </c>
      <c r="M1504" s="316">
        <f t="shared" ca="1" si="122"/>
        <v>5.7864087286983614E-6</v>
      </c>
      <c r="N1504" s="316">
        <f t="shared" ca="1" si="122"/>
        <v>5.8571472217142337E-6</v>
      </c>
      <c r="O1504" s="316">
        <f t="shared" ca="1" si="122"/>
        <v>5.9278857147301078E-6</v>
      </c>
      <c r="P1504" s="316">
        <f t="shared" ca="1" si="122"/>
        <v>5.9986242077459792E-6</v>
      </c>
      <c r="Q1504" s="316">
        <f t="shared" ca="1" si="122"/>
        <v>6.0693627007618499E-6</v>
      </c>
      <c r="R1504" s="248"/>
      <c r="U1504" s="179"/>
      <c r="W1504" s="179"/>
      <c r="X1504" s="179"/>
    </row>
    <row r="1505" spans="1:24" s="65" customFormat="1" ht="15" customHeight="1" outlineLevel="2">
      <c r="A1505" s="219"/>
      <c r="B1505" s="242"/>
      <c r="C1505" s="251" t="s">
        <v>1978</v>
      </c>
      <c r="D1505" s="242"/>
      <c r="E1505" s="242"/>
      <c r="F1505" s="121"/>
      <c r="G1505" s="251" t="s">
        <v>1955</v>
      </c>
      <c r="H1505" s="242"/>
      <c r="I1505" s="316">
        <f t="shared" ref="I1505:Q1505" ca="1" si="123">SUMPRODUCT(I$1417:I$1422,G.30.assumptions.EF.N2O)</f>
        <v>1.9042472687970893E-5</v>
      </c>
      <c r="J1505" s="316">
        <f t="shared" ca="1" si="123"/>
        <v>1.9237780100155215E-5</v>
      </c>
      <c r="K1505" s="316">
        <f t="shared" ca="1" si="123"/>
        <v>1.9481914365385604E-5</v>
      </c>
      <c r="L1505" s="316">
        <f t="shared" ca="1" si="123"/>
        <v>1.9726048630616004E-5</v>
      </c>
      <c r="M1505" s="316">
        <f t="shared" ca="1" si="123"/>
        <v>1.9970182895846404E-5</v>
      </c>
      <c r="N1505" s="316">
        <f t="shared" ca="1" si="123"/>
        <v>2.0214317161076793E-5</v>
      </c>
      <c r="O1505" s="316">
        <f t="shared" ca="1" si="123"/>
        <v>2.0458451426307196E-5</v>
      </c>
      <c r="P1505" s="316">
        <f t="shared" ca="1" si="123"/>
        <v>2.0702585691537589E-5</v>
      </c>
      <c r="Q1505" s="316">
        <f t="shared" ca="1" si="123"/>
        <v>2.0946719956767986E-5</v>
      </c>
      <c r="R1505" s="248"/>
      <c r="U1505" s="179"/>
      <c r="W1505" s="179"/>
      <c r="X1505" s="179"/>
    </row>
    <row r="1506" spans="1:24" s="65" customFormat="1" ht="15" customHeight="1" outlineLevel="2">
      <c r="A1506" s="219"/>
      <c r="B1506" s="242"/>
      <c r="C1506" s="251" t="s">
        <v>1979</v>
      </c>
      <c r="D1506" s="242"/>
      <c r="E1506" s="242"/>
      <c r="F1506" s="121"/>
      <c r="G1506" s="251" t="s">
        <v>1956</v>
      </c>
      <c r="H1506" s="242"/>
      <c r="I1506" s="316">
        <f t="shared" ref="I1506:Q1506" ca="1" si="124">SUMPRODUCT(I$1427:I$1432,G.30.assumptions.EF.N2O)</f>
        <v>4.8414290665203519E-6</v>
      </c>
      <c r="J1506" s="316">
        <f t="shared" ca="1" si="124"/>
        <v>4.8910847492538949E-6</v>
      </c>
      <c r="K1506" s="316">
        <f t="shared" ca="1" si="124"/>
        <v>4.953154352670822E-6</v>
      </c>
      <c r="L1506" s="316">
        <f t="shared" ca="1" si="124"/>
        <v>5.0152239560877509E-6</v>
      </c>
      <c r="M1506" s="316">
        <f t="shared" ca="1" si="124"/>
        <v>5.077293559504678E-6</v>
      </c>
      <c r="N1506" s="316">
        <f t="shared" ca="1" si="124"/>
        <v>5.1393631629216043E-6</v>
      </c>
      <c r="O1506" s="316">
        <f t="shared" ca="1" si="124"/>
        <v>5.2014327663385332E-6</v>
      </c>
      <c r="P1506" s="316">
        <f t="shared" ca="1" si="124"/>
        <v>5.2635023697554603E-6</v>
      </c>
      <c r="Q1506" s="316">
        <f t="shared" ca="1" si="124"/>
        <v>5.3255719731723875E-6</v>
      </c>
      <c r="R1506" s="248"/>
      <c r="U1506" s="179"/>
      <c r="W1506" s="179"/>
      <c r="X1506" s="179"/>
    </row>
    <row r="1507" spans="1:24" s="65" customFormat="1" ht="15" customHeight="1" outlineLevel="2">
      <c r="A1507" s="219"/>
      <c r="B1507" s="242"/>
      <c r="C1507" s="251" t="s">
        <v>1980</v>
      </c>
      <c r="D1507" s="242"/>
      <c r="E1507" s="242"/>
      <c r="F1507" s="121"/>
      <c r="G1507" s="251" t="s">
        <v>1426</v>
      </c>
      <c r="H1507" s="242"/>
      <c r="I1507" s="316">
        <f t="shared" ref="I1507:Q1507" ca="1" si="125">SUMPRODUCT(I$1439:I$1444,G.30.assumptions.EF.N2O)</f>
        <v>2.4684803041955777E-5</v>
      </c>
      <c r="J1507" s="316">
        <f t="shared" ca="1" si="125"/>
        <v>2.3914883872783928E-5</v>
      </c>
      <c r="K1507" s="316">
        <f t="shared" ca="1" si="125"/>
        <v>2.292327212665408E-5</v>
      </c>
      <c r="L1507" s="316">
        <f t="shared" ca="1" si="125"/>
        <v>2.1899201730896417E-5</v>
      </c>
      <c r="M1507" s="316">
        <f t="shared" ca="1" si="125"/>
        <v>2.084267268551093E-5</v>
      </c>
      <c r="N1507" s="316">
        <f t="shared" ca="1" si="125"/>
        <v>1.9753684990497631E-5</v>
      </c>
      <c r="O1507" s="316">
        <f t="shared" ca="1" si="125"/>
        <v>1.8632238645856508E-5</v>
      </c>
      <c r="P1507" s="316">
        <f t="shared" ca="1" si="125"/>
        <v>1.7478333651587574E-5</v>
      </c>
      <c r="Q1507" s="316">
        <f t="shared" ca="1" si="125"/>
        <v>1.6291970007690812E-5</v>
      </c>
      <c r="R1507" s="248"/>
      <c r="U1507" s="179"/>
      <c r="W1507" s="179"/>
      <c r="X1507" s="179"/>
    </row>
    <row r="1508" spans="1:24" s="65" customFormat="1" ht="15" customHeight="1" outlineLevel="2">
      <c r="A1508" s="219"/>
      <c r="B1508" s="242"/>
      <c r="C1508" s="251" t="s">
        <v>1981</v>
      </c>
      <c r="D1508" s="242"/>
      <c r="E1508" s="242"/>
      <c r="F1508" s="121"/>
      <c r="G1508" s="251" t="s">
        <v>1457</v>
      </c>
      <c r="H1508" s="242"/>
      <c r="I1508" s="316">
        <f t="shared" ref="I1508:Q1508" ca="1" si="126">SUMPRODUCT(I$1445:I$1450,G.30.assumptions.EF.N2O)</f>
        <v>7.4308559996009559E-5</v>
      </c>
      <c r="J1508" s="316">
        <f t="shared" ca="1" si="126"/>
        <v>7.3450632115252621E-5</v>
      </c>
      <c r="K1508" s="316">
        <f t="shared" ca="1" si="126"/>
        <v>7.2331964007267251E-5</v>
      </c>
      <c r="L1508" s="316">
        <f t="shared" ca="1" si="126"/>
        <v>7.1161897835905007E-5</v>
      </c>
      <c r="M1508" s="316">
        <f t="shared" ca="1" si="126"/>
        <v>6.9940433601165889E-5</v>
      </c>
      <c r="N1508" s="316">
        <f t="shared" ca="1" si="126"/>
        <v>6.8667571303049883E-5</v>
      </c>
      <c r="O1508" s="316">
        <f t="shared" ca="1" si="126"/>
        <v>6.7343310941557017E-5</v>
      </c>
      <c r="P1508" s="316">
        <f t="shared" ca="1" si="126"/>
        <v>6.596765251668729E-5</v>
      </c>
      <c r="Q1508" s="316">
        <f t="shared" ca="1" si="126"/>
        <v>6.4540596028440648E-5</v>
      </c>
      <c r="R1508" s="248"/>
      <c r="U1508" s="179"/>
      <c r="W1508" s="179"/>
      <c r="X1508" s="179"/>
    </row>
    <row r="1509" spans="1:24" s="65" customFormat="1" ht="15" customHeight="1" outlineLevel="2">
      <c r="A1509" s="219"/>
      <c r="B1509" s="242"/>
      <c r="C1509" s="334" t="s">
        <v>375</v>
      </c>
      <c r="D1509" s="335"/>
      <c r="E1509" s="335"/>
      <c r="F1509" s="336"/>
      <c r="G1509" s="334"/>
      <c r="H1509" s="335"/>
      <c r="I1509" s="339">
        <f ca="1">SUBTOTAL(109,G.30.assumptions.CombustionN2OEmissionsAfterProductManufacturingEfficiency[2011])</f>
        <v>2.8904447353228513E-4</v>
      </c>
      <c r="J1509" s="339">
        <f ca="1">SUBTOTAL(109,G.30.assumptions.CombustionN2OEmissionsAfterProductManufacturingEfficiency[2015])</f>
        <v>2.8996062729958459E-4</v>
      </c>
      <c r="K1509" s="339">
        <f ca="1">SUBTOTAL(109,G.30.assumptions.CombustionN2OEmissionsAfterProductManufacturingEfficiency[2020])</f>
        <v>2.910473307891012E-4</v>
      </c>
      <c r="L1509" s="339">
        <f ca="1">SUBTOTAL(109,G.30.assumptions.CombustionN2OEmissionsAfterProductManufacturingEfficiency[2025])</f>
        <v>2.9206904681238697E-4</v>
      </c>
      <c r="M1509" s="339">
        <f ca="1">SUBTOTAL(109,G.30.assumptions.CombustionN2OEmissionsAfterProductManufacturingEfficiency[2030])</f>
        <v>2.9302577536944186E-4</v>
      </c>
      <c r="N1509" s="339">
        <f ca="1">SUBTOTAL(109,G.30.assumptions.CombustionN2OEmissionsAfterProductManufacturingEfficiency[2035])</f>
        <v>2.9391751646026603E-4</v>
      </c>
      <c r="O1509" s="339">
        <f ca="1">SUBTOTAL(109,G.30.assumptions.CombustionN2OEmissionsAfterProductManufacturingEfficiency[2040])</f>
        <v>2.9474427008485931E-4</v>
      </c>
      <c r="P1509" s="339">
        <f ca="1">SUBTOTAL(109,G.30.assumptions.CombustionN2OEmissionsAfterProductManufacturingEfficiency[2045])</f>
        <v>2.9550603624322176E-4</v>
      </c>
      <c r="Q1509" s="339">
        <f ca="1">SUBTOTAL(109,G.30.assumptions.CombustionN2OEmissionsAfterProductManufacturingEfficiency[2050])</f>
        <v>2.9620281493535332E-4</v>
      </c>
      <c r="R1509" s="248"/>
      <c r="U1509" s="179"/>
      <c r="W1509" s="179"/>
      <c r="X1509" s="179"/>
    </row>
    <row r="1510" spans="1:24" s="65" customFormat="1" ht="15" customHeight="1" outlineLevel="2">
      <c r="A1510" s="219"/>
      <c r="B1510" s="242"/>
      <c r="C1510" s="251"/>
      <c r="D1510" s="242"/>
      <c r="E1510" s="242"/>
      <c r="F1510" s="121"/>
      <c r="G1510" s="242"/>
      <c r="H1510" s="242"/>
      <c r="I1510" s="239"/>
      <c r="J1510" s="239"/>
      <c r="K1510" s="239"/>
      <c r="L1510" s="239"/>
      <c r="M1510" s="239"/>
      <c r="N1510" s="239"/>
      <c r="O1510" s="239"/>
      <c r="P1510" s="239"/>
      <c r="Q1510" s="239"/>
      <c r="R1510" s="248"/>
      <c r="U1510" s="179"/>
      <c r="W1510" s="179"/>
      <c r="X1510" s="179"/>
    </row>
    <row r="1511" spans="1:24" s="65" customFormat="1" ht="15" customHeight="1" outlineLevel="2">
      <c r="A1511" s="219"/>
      <c r="B1511" s="242"/>
      <c r="C1511" s="248" t="s">
        <v>1984</v>
      </c>
      <c r="D1511" s="121"/>
      <c r="E1511" s="242"/>
      <c r="F1511" s="121"/>
      <c r="G1511" s="242"/>
      <c r="H1511" s="242"/>
      <c r="I1511" s="239"/>
      <c r="J1511" s="239"/>
      <c r="K1511" s="239"/>
      <c r="L1511" s="239"/>
      <c r="M1511" s="239"/>
      <c r="N1511" s="239"/>
      <c r="O1511" s="239"/>
      <c r="P1511" s="239"/>
      <c r="Q1511" s="239"/>
      <c r="R1511" s="248"/>
      <c r="U1511" s="179"/>
      <c r="W1511" s="179"/>
      <c r="X1511" s="179"/>
    </row>
    <row r="1512" spans="1:24" s="65" customFormat="1" ht="15" customHeight="1" outlineLevel="2">
      <c r="A1512" s="219"/>
      <c r="B1512" s="242"/>
      <c r="C1512" s="313" t="s">
        <v>1967</v>
      </c>
      <c r="D1512" s="121"/>
      <c r="E1512" s="242"/>
      <c r="F1512" s="121"/>
      <c r="G1512" s="242"/>
      <c r="H1512" s="242"/>
      <c r="I1512" s="239"/>
      <c r="J1512" s="239"/>
      <c r="K1512" s="239"/>
      <c r="L1512" s="239"/>
      <c r="M1512" s="239"/>
      <c r="N1512" s="239"/>
      <c r="O1512" s="239"/>
      <c r="P1512" s="239"/>
      <c r="Q1512" s="239"/>
      <c r="R1512" s="248"/>
      <c r="U1512" s="179"/>
      <c r="W1512" s="179"/>
      <c r="X1512" s="179"/>
    </row>
    <row r="1513" spans="1:24" s="65" customFormat="1" ht="15" customHeight="1" outlineLevel="2">
      <c r="A1513" s="219"/>
      <c r="B1513" s="242"/>
      <c r="C1513" s="313"/>
      <c r="D1513" s="121"/>
      <c r="E1513" s="242"/>
      <c r="F1513" s="121"/>
      <c r="G1513" s="242"/>
      <c r="H1513" s="242"/>
      <c r="I1513" s="239"/>
      <c r="J1513" s="239"/>
      <c r="K1513" s="239"/>
      <c r="L1513" s="239"/>
      <c r="M1513" s="239"/>
      <c r="N1513" s="239"/>
      <c r="O1513" s="239"/>
      <c r="P1513" s="239"/>
      <c r="Q1513" s="239"/>
      <c r="R1513" s="248"/>
      <c r="U1513" s="179"/>
      <c r="W1513" s="179"/>
      <c r="X1513" s="179"/>
    </row>
    <row r="1514" spans="1:24" s="65" customFormat="1" ht="15" customHeight="1" outlineLevel="2">
      <c r="A1514" s="219"/>
      <c r="B1514" s="242"/>
      <c r="C1514" s="258" t="s">
        <v>454</v>
      </c>
      <c r="D1514" s="258" t="s">
        <v>241</v>
      </c>
      <c r="E1514" s="258" t="s">
        <v>598</v>
      </c>
      <c r="F1514" s="258" t="s">
        <v>274</v>
      </c>
      <c r="G1514" s="258" t="s">
        <v>509</v>
      </c>
      <c r="H1514" s="258" t="s">
        <v>510</v>
      </c>
      <c r="I1514" s="258" t="s">
        <v>1107</v>
      </c>
      <c r="J1514" s="258" t="s">
        <v>210</v>
      </c>
      <c r="K1514" s="258" t="s">
        <v>211</v>
      </c>
      <c r="L1514" s="258" t="s">
        <v>212</v>
      </c>
      <c r="M1514" s="258" t="s">
        <v>213</v>
      </c>
      <c r="N1514" s="258" t="s">
        <v>214</v>
      </c>
      <c r="O1514" s="258" t="s">
        <v>215</v>
      </c>
      <c r="P1514" s="258" t="s">
        <v>216</v>
      </c>
      <c r="Q1514" s="258" t="s">
        <v>217</v>
      </c>
      <c r="R1514" s="248"/>
      <c r="T1514" s="179" t="str">
        <f>$T$6</f>
        <v>Source</v>
      </c>
      <c r="U1514" s="179" t="str">
        <f>$U$6</f>
        <v>Link</v>
      </c>
      <c r="V1514" s="179" t="str">
        <f>$V$6</f>
        <v>Risk (Green, Amber/Green, Amber, Red/Amber, Red)</v>
      </c>
      <c r="W1514" s="179" t="s">
        <v>869</v>
      </c>
      <c r="X1514" s="179" t="str">
        <f>$X$6</f>
        <v>Comment author</v>
      </c>
    </row>
    <row r="1515" spans="1:24" s="65" customFormat="1" ht="15" customHeight="1" outlineLevel="2">
      <c r="A1515" s="219"/>
      <c r="B1515" s="242"/>
      <c r="C1515" s="251" t="s">
        <v>1968</v>
      </c>
      <c r="D1515" s="242"/>
      <c r="E1515" s="242"/>
      <c r="F1515" s="121"/>
      <c r="G1515" s="251" t="s">
        <v>1377</v>
      </c>
      <c r="H1515" s="242"/>
      <c r="I1515" s="314">
        <f ca="1">SUMPRODUCT(I$1367:I$1372,$I$1251:$I$1256)</f>
        <v>1.3129051614823042</v>
      </c>
      <c r="J1515" s="314">
        <f t="shared" ref="J1515:Q1515" ca="1" si="127">SUMPRODUCT(J$1367:J$1372,$E$1251:$E$1256)</f>
        <v>1.3224223099673234</v>
      </c>
      <c r="K1515" s="314">
        <f t="shared" ca="1" si="127"/>
        <v>1.3129250593263688</v>
      </c>
      <c r="L1515" s="314">
        <f t="shared" ca="1" si="127"/>
        <v>1.3027691806239934</v>
      </c>
      <c r="M1515" s="314">
        <f t="shared" ca="1" si="127"/>
        <v>1.291954673860197</v>
      </c>
      <c r="N1515" s="314">
        <f t="shared" ca="1" si="127"/>
        <v>1.28048153903498</v>
      </c>
      <c r="O1515" s="314">
        <f t="shared" ca="1" si="127"/>
        <v>1.2683497761483424</v>
      </c>
      <c r="P1515" s="314">
        <f t="shared" ca="1" si="127"/>
        <v>1.2555593852002838</v>
      </c>
      <c r="Q1515" s="314">
        <f t="shared" ca="1" si="127"/>
        <v>1.2421103661908037</v>
      </c>
      <c r="R1515" s="248"/>
      <c r="U1515" s="179"/>
      <c r="W1515" s="179"/>
      <c r="X1515" s="179"/>
    </row>
    <row r="1516" spans="1:24" s="65" customFormat="1" ht="15" customHeight="1" outlineLevel="2">
      <c r="A1516" s="219"/>
      <c r="B1516" s="242"/>
      <c r="C1516" s="251" t="s">
        <v>1969</v>
      </c>
      <c r="D1516" s="242"/>
      <c r="E1516" s="242"/>
      <c r="F1516" s="121"/>
      <c r="G1516" s="315" t="s">
        <v>1380</v>
      </c>
      <c r="H1516" s="242"/>
      <c r="I1516" s="314">
        <f ca="1">SUMPRODUCT(I$1373:I$1378,$I$1251:$I$1256)</f>
        <v>1.0564114528683293</v>
      </c>
      <c r="J1516" s="314">
        <f t="shared" ref="J1516:Q1516" ca="1" si="128">SUMPRODUCT(J$1373:J$1378,$E$1251:$E$1256)</f>
        <v>1.1069450074975506</v>
      </c>
      <c r="K1516" s="314">
        <f t="shared" ca="1" si="128"/>
        <v>1.1712454758104771</v>
      </c>
      <c r="L1516" s="314">
        <f t="shared" ca="1" si="128"/>
        <v>1.2368054163749598</v>
      </c>
      <c r="M1516" s="314">
        <f t="shared" ca="1" si="128"/>
        <v>1.3036248291909973</v>
      </c>
      <c r="N1516" s="314">
        <f t="shared" ca="1" si="128"/>
        <v>1.3717037142585915</v>
      </c>
      <c r="O1516" s="314">
        <f t="shared" ca="1" si="128"/>
        <v>1.4410420715777406</v>
      </c>
      <c r="P1516" s="314">
        <f t="shared" ca="1" si="128"/>
        <v>1.5116399011484456</v>
      </c>
      <c r="Q1516" s="314">
        <f t="shared" ca="1" si="128"/>
        <v>1.583497202970706</v>
      </c>
      <c r="R1516" s="248"/>
      <c r="U1516" s="179"/>
      <c r="W1516" s="179"/>
      <c r="X1516" s="179"/>
    </row>
    <row r="1517" spans="1:24" s="65" customFormat="1" ht="15" customHeight="1" outlineLevel="2">
      <c r="A1517" s="219"/>
      <c r="B1517" s="242"/>
      <c r="C1517" s="251" t="s">
        <v>1970</v>
      </c>
      <c r="D1517" s="242"/>
      <c r="E1517" s="242"/>
      <c r="F1517" s="121"/>
      <c r="G1517" s="315" t="s">
        <v>1625</v>
      </c>
      <c r="H1517" s="242"/>
      <c r="I1517" s="314">
        <f ca="1">SUMPRODUCT(I$1379:I$1384,$I$1251:$I$1256)</f>
        <v>0.10209235477363664</v>
      </c>
      <c r="J1517" s="314">
        <f t="shared" ref="J1517:Q1517" ca="1" si="129">SUMPRODUCT(J$1379:J$1384,$E$1251:$E$1256)</f>
        <v>0.10581913787631778</v>
      </c>
      <c r="K1517" s="314">
        <f t="shared" ca="1" si="129"/>
        <v>0.11055413051816139</v>
      </c>
      <c r="L1517" s="314">
        <f t="shared" ca="1" si="129"/>
        <v>0.11537413845277397</v>
      </c>
      <c r="M1517" s="314">
        <f t="shared" ca="1" si="129"/>
        <v>0.12027916168015565</v>
      </c>
      <c r="N1517" s="314">
        <f t="shared" ca="1" si="129"/>
        <v>0.1252692002003063</v>
      </c>
      <c r="O1517" s="314">
        <f t="shared" ca="1" si="129"/>
        <v>0.13034425401322602</v>
      </c>
      <c r="P1517" s="314">
        <f t="shared" ca="1" si="129"/>
        <v>0.13550432311891475</v>
      </c>
      <c r="Q1517" s="314">
        <f t="shared" ca="1" si="129"/>
        <v>0.14074940751737253</v>
      </c>
      <c r="R1517" s="248"/>
      <c r="U1517" s="179"/>
      <c r="W1517" s="179"/>
      <c r="X1517" s="179"/>
    </row>
    <row r="1518" spans="1:24" s="65" customFormat="1" ht="15" customHeight="1" outlineLevel="2">
      <c r="A1518" s="219"/>
      <c r="B1518" s="242"/>
      <c r="C1518" s="251" t="s">
        <v>1971</v>
      </c>
      <c r="D1518" s="242"/>
      <c r="E1518" s="242"/>
      <c r="F1518" s="121"/>
      <c r="G1518" s="315" t="s">
        <v>1939</v>
      </c>
      <c r="H1518" s="242"/>
      <c r="I1518" s="314">
        <f ca="1">SUMPRODUCT(I$1385:I$1390,$I$1251:$I$1256)</f>
        <v>2.2494142741633284E-2</v>
      </c>
      <c r="J1518" s="314">
        <f t="shared" ref="J1518:Q1518" ca="1" si="130">SUMPRODUCT(J$1385:J$1390,$E$1251:$E$1256)</f>
        <v>2.3315269762012918E-2</v>
      </c>
      <c r="K1518" s="314">
        <f t="shared" ca="1" si="130"/>
        <v>2.4358536915585489E-2</v>
      </c>
      <c r="L1518" s="314">
        <f t="shared" ca="1" si="130"/>
        <v>2.5420535600378078E-2</v>
      </c>
      <c r="M1518" s="314">
        <f t="shared" ca="1" si="130"/>
        <v>2.6501265816390712E-2</v>
      </c>
      <c r="N1518" s="314">
        <f t="shared" ca="1" si="130"/>
        <v>2.7600727563623344E-2</v>
      </c>
      <c r="O1518" s="314">
        <f t="shared" ca="1" si="130"/>
        <v>2.8718920842076029E-2</v>
      </c>
      <c r="P1518" s="314">
        <f t="shared" ca="1" si="130"/>
        <v>2.9855845651748727E-2</v>
      </c>
      <c r="Q1518" s="314">
        <f t="shared" ca="1" si="130"/>
        <v>3.1011501992641445E-2</v>
      </c>
      <c r="R1518" s="248"/>
      <c r="U1518" s="179"/>
      <c r="W1518" s="179"/>
      <c r="X1518" s="179"/>
    </row>
    <row r="1519" spans="1:24" s="65" customFormat="1" ht="15" customHeight="1" outlineLevel="2">
      <c r="A1519" s="219"/>
      <c r="B1519" s="242"/>
      <c r="C1519" s="251" t="s">
        <v>1972</v>
      </c>
      <c r="D1519" s="242"/>
      <c r="E1519" s="242"/>
      <c r="F1519" s="121"/>
      <c r="G1519" s="315" t="s">
        <v>1940</v>
      </c>
      <c r="H1519" s="242"/>
      <c r="I1519" s="314">
        <f ca="1">SUMPRODUCT(I$1391:I$1396,$I$1251:$I$1256)</f>
        <v>1.3613556026419289E-2</v>
      </c>
      <c r="J1519" s="314">
        <f t="shared" ref="J1519:Q1519" ca="1" si="131">SUMPRODUCT(J$1391:J$1396,$E$1251:$E$1256)</f>
        <v>1.3425019389597581E-2</v>
      </c>
      <c r="K1519" s="314">
        <f t="shared" ca="1" si="131"/>
        <v>1.3179978461361392E-2</v>
      </c>
      <c r="L1519" s="314">
        <f t="shared" ca="1" si="131"/>
        <v>1.2924526275115138E-2</v>
      </c>
      <c r="M1519" s="314">
        <f t="shared" ca="1" si="131"/>
        <v>1.2658662830858815E-2</v>
      </c>
      <c r="N1519" s="314">
        <f t="shared" ca="1" si="131"/>
        <v>1.2382388128592426E-2</v>
      </c>
      <c r="O1519" s="314">
        <f t="shared" ca="1" si="131"/>
        <v>1.2095702168315972E-2</v>
      </c>
      <c r="P1519" s="314">
        <f t="shared" ca="1" si="131"/>
        <v>1.179860495002945E-2</v>
      </c>
      <c r="Q1519" s="314">
        <f t="shared" ca="1" si="131"/>
        <v>1.1491096473732861E-2</v>
      </c>
      <c r="R1519" s="248"/>
      <c r="U1519" s="179"/>
      <c r="W1519" s="179"/>
      <c r="X1519" s="179"/>
    </row>
    <row r="1520" spans="1:24" s="65" customFormat="1" ht="15" customHeight="1" outlineLevel="2">
      <c r="A1520" s="219"/>
      <c r="B1520" s="242"/>
      <c r="C1520" s="251" t="s">
        <v>1973</v>
      </c>
      <c r="D1520" s="242"/>
      <c r="E1520" s="242"/>
      <c r="F1520" s="121"/>
      <c r="G1520" s="315" t="s">
        <v>1961</v>
      </c>
      <c r="H1520" s="242"/>
      <c r="I1520" s="314">
        <f ca="1">SUMPRODUCT(I$1397:I$1402,$I$1251:$I$1256)</f>
        <v>1.3548203001341037</v>
      </c>
      <c r="J1520" s="314">
        <f t="shared" ref="J1520:Q1520" ca="1" si="132">SUMPRODUCT(J$1397:J$1402,$E$1251:$E$1256)</f>
        <v>1.3687158929559919</v>
      </c>
      <c r="K1520" s="314">
        <f t="shared" ca="1" si="132"/>
        <v>1.3860853839833522</v>
      </c>
      <c r="L1520" s="314">
        <f t="shared" ca="1" si="132"/>
        <v>1.4034548750107123</v>
      </c>
      <c r="M1520" s="314">
        <f t="shared" ca="1" si="132"/>
        <v>1.420824366038073</v>
      </c>
      <c r="N1520" s="314">
        <f t="shared" ca="1" si="132"/>
        <v>1.4381938570654331</v>
      </c>
      <c r="O1520" s="314">
        <f t="shared" ca="1" si="132"/>
        <v>1.4555633480927936</v>
      </c>
      <c r="P1520" s="314">
        <f t="shared" ca="1" si="132"/>
        <v>1.4729328391201542</v>
      </c>
      <c r="Q1520" s="314">
        <f t="shared" ca="1" si="132"/>
        <v>1.4903023301475142</v>
      </c>
      <c r="R1520" s="248"/>
      <c r="U1520" s="179"/>
      <c r="W1520" s="179"/>
      <c r="X1520" s="179"/>
    </row>
    <row r="1521" spans="1:24" s="65" customFormat="1" ht="15" customHeight="1" outlineLevel="2">
      <c r="A1521" s="219"/>
      <c r="B1521" s="242"/>
      <c r="C1521" s="251" t="s">
        <v>1974</v>
      </c>
      <c r="D1521" s="242"/>
      <c r="E1521" s="242"/>
      <c r="F1521" s="121"/>
      <c r="G1521" s="315" t="s">
        <v>1962</v>
      </c>
      <c r="H1521" s="242"/>
      <c r="I1521" s="314">
        <f ca="1">SUMPRODUCT(I$1403:I$1408,$I$1251:$I$1256)</f>
        <v>0.38978252304657679</v>
      </c>
      <c r="J1521" s="314">
        <f t="shared" ref="J1521:Q1521" ca="1" si="133">SUMPRODUCT(J$1403:J$1408,$E$1251:$E$1256)</f>
        <v>0.39378029251372104</v>
      </c>
      <c r="K1521" s="314">
        <f t="shared" ca="1" si="133"/>
        <v>0.39877750434765147</v>
      </c>
      <c r="L1521" s="314">
        <f t="shared" ca="1" si="133"/>
        <v>0.40377471618158212</v>
      </c>
      <c r="M1521" s="314">
        <f t="shared" ca="1" si="133"/>
        <v>0.40877192801551254</v>
      </c>
      <c r="N1521" s="314">
        <f t="shared" ca="1" si="133"/>
        <v>0.41376913984944297</v>
      </c>
      <c r="O1521" s="314">
        <f t="shared" ca="1" si="133"/>
        <v>0.41876635168337351</v>
      </c>
      <c r="P1521" s="314">
        <f t="shared" ca="1" si="133"/>
        <v>0.42376356351730399</v>
      </c>
      <c r="Q1521" s="314">
        <f t="shared" ca="1" si="133"/>
        <v>0.42876077535123447</v>
      </c>
      <c r="R1521" s="248"/>
      <c r="U1521" s="179"/>
      <c r="W1521" s="179"/>
      <c r="X1521" s="179"/>
    </row>
    <row r="1522" spans="1:24" s="65" customFormat="1" ht="15" customHeight="1" outlineLevel="2">
      <c r="A1522" s="219"/>
      <c r="B1522" s="242"/>
      <c r="C1522" s="251" t="s">
        <v>1975</v>
      </c>
      <c r="D1522" s="242"/>
      <c r="E1522" s="242"/>
      <c r="F1522" s="121"/>
      <c r="G1522" s="315" t="s">
        <v>1963</v>
      </c>
      <c r="H1522" s="242"/>
      <c r="I1522" s="314">
        <f ca="1">SUMPRODUCT(I$1409:I$1414,$I$1251:$I$1256)</f>
        <v>0.12129165238637846</v>
      </c>
      <c r="J1522" s="314">
        <f t="shared" ref="J1522:Q1522" ca="1" si="134">SUMPRODUCT(J$1409:J$1414,$E$1251:$E$1256)</f>
        <v>0.12253566933393106</v>
      </c>
      <c r="K1522" s="314">
        <f t="shared" ca="1" si="134"/>
        <v>0.12409069051837182</v>
      </c>
      <c r="L1522" s="314">
        <f t="shared" ca="1" si="134"/>
        <v>0.12564571170281258</v>
      </c>
      <c r="M1522" s="314">
        <f t="shared" ca="1" si="134"/>
        <v>0.12720073288725331</v>
      </c>
      <c r="N1522" s="314">
        <f t="shared" ca="1" si="134"/>
        <v>0.12875575407169407</v>
      </c>
      <c r="O1522" s="314">
        <f t="shared" ca="1" si="134"/>
        <v>0.13031077525613483</v>
      </c>
      <c r="P1522" s="314">
        <f t="shared" ca="1" si="134"/>
        <v>0.13186579644057558</v>
      </c>
      <c r="Q1522" s="314">
        <f t="shared" ca="1" si="134"/>
        <v>0.13342081762501631</v>
      </c>
      <c r="R1522" s="248"/>
      <c r="U1522" s="179"/>
      <c r="W1522" s="179"/>
      <c r="X1522" s="179"/>
    </row>
    <row r="1523" spans="1:24" s="65" customFormat="1" ht="15" customHeight="1" outlineLevel="2">
      <c r="A1523" s="219"/>
      <c r="B1523" s="242"/>
      <c r="C1523" s="251" t="s">
        <v>1976</v>
      </c>
      <c r="D1523" s="242"/>
      <c r="E1523" s="242"/>
      <c r="F1523" s="121"/>
      <c r="G1523" s="251" t="s">
        <v>1964</v>
      </c>
      <c r="H1523" s="242"/>
      <c r="I1523" s="314">
        <f ca="1">SUMPRODUCT(I$1415:I$1420,$I$1251:$I$1256)</f>
        <v>0.36215056844641591</v>
      </c>
      <c r="J1523" s="314">
        <f t="shared" ref="J1523:Q1523" ca="1" si="135">SUMPRODUCT(J$1415:J$1420,$E$1251:$E$1256)</f>
        <v>0.38145614109812553</v>
      </c>
      <c r="K1523" s="314">
        <f t="shared" ca="1" si="135"/>
        <v>0.38629695507145206</v>
      </c>
      <c r="L1523" s="314">
        <f t="shared" ca="1" si="135"/>
        <v>0.39113776904477848</v>
      </c>
      <c r="M1523" s="314">
        <f t="shared" ca="1" si="135"/>
        <v>0.39597858301810496</v>
      </c>
      <c r="N1523" s="314">
        <f t="shared" ca="1" si="135"/>
        <v>0.40081939699143138</v>
      </c>
      <c r="O1523" s="314">
        <f t="shared" ca="1" si="135"/>
        <v>0.40566021096475796</v>
      </c>
      <c r="P1523" s="314">
        <f t="shared" ca="1" si="135"/>
        <v>0.41050102493808444</v>
      </c>
      <c r="Q1523" s="314">
        <f t="shared" ca="1" si="135"/>
        <v>0.41534183891141091</v>
      </c>
      <c r="R1523" s="248"/>
      <c r="U1523" s="179"/>
      <c r="W1523" s="179"/>
      <c r="X1523" s="179"/>
    </row>
    <row r="1524" spans="1:24" s="65" customFormat="1" ht="15" customHeight="1" outlineLevel="2">
      <c r="A1524" s="219"/>
      <c r="B1524" s="242"/>
      <c r="C1524" s="251" t="s">
        <v>1977</v>
      </c>
      <c r="D1524" s="242"/>
      <c r="E1524" s="242"/>
      <c r="F1524" s="121"/>
      <c r="G1524" s="315" t="s">
        <v>1954</v>
      </c>
      <c r="H1524" s="242"/>
      <c r="I1524" s="314">
        <f ca="1">SUMPRODUCT(I$1421:I$1426,$I$1251:$I$1256)</f>
        <v>9.4282419938735137E-2</v>
      </c>
      <c r="J1524" s="314">
        <f t="shared" ref="J1524:Q1524" ca="1" si="136">SUMPRODUCT(J$1421:J$1426,$E$1251:$E$1256)</f>
        <v>0.20052073316554275</v>
      </c>
      <c r="K1524" s="314">
        <f t="shared" ca="1" si="136"/>
        <v>0.20306541252043542</v>
      </c>
      <c r="L1524" s="314">
        <f t="shared" ca="1" si="136"/>
        <v>0.20561009187532814</v>
      </c>
      <c r="M1524" s="314">
        <f t="shared" ca="1" si="136"/>
        <v>0.2081547712302208</v>
      </c>
      <c r="N1524" s="314">
        <f t="shared" ca="1" si="136"/>
        <v>0.21069945058511347</v>
      </c>
      <c r="O1524" s="314">
        <f t="shared" ca="1" si="136"/>
        <v>0.21324412994000619</v>
      </c>
      <c r="P1524" s="314">
        <f t="shared" ca="1" si="136"/>
        <v>0.21578880929489885</v>
      </c>
      <c r="Q1524" s="314">
        <f t="shared" ca="1" si="136"/>
        <v>0.21833348864979146</v>
      </c>
      <c r="R1524" s="248"/>
      <c r="U1524" s="179"/>
      <c r="W1524" s="179"/>
      <c r="X1524" s="179"/>
    </row>
    <row r="1525" spans="1:24" s="65" customFormat="1" ht="15" customHeight="1" outlineLevel="2">
      <c r="A1525" s="219"/>
      <c r="B1525" s="242"/>
      <c r="C1525" s="251" t="s">
        <v>1978</v>
      </c>
      <c r="D1525" s="242"/>
      <c r="E1525" s="242"/>
      <c r="F1525" s="121"/>
      <c r="G1525" s="251" t="s">
        <v>1955</v>
      </c>
      <c r="H1525" s="242"/>
      <c r="I1525" s="314">
        <f ca="1">SUMPRODUCT(I$1417:I$1422,$I$1251:$I$1256)</f>
        <v>0.67283061048741089</v>
      </c>
      <c r="J1525" s="314">
        <f t="shared" ref="J1525:Q1525" ca="1" si="137">SUMPRODUCT(J$1417:J$1422,$E$1251:$E$1256)</f>
        <v>0.74592580926156293</v>
      </c>
      <c r="K1525" s="314">
        <f t="shared" ca="1" si="137"/>
        <v>0.75539187283087206</v>
      </c>
      <c r="L1525" s="314">
        <f t="shared" ca="1" si="137"/>
        <v>0.76485793640018118</v>
      </c>
      <c r="M1525" s="314">
        <f t="shared" ca="1" si="137"/>
        <v>0.77432399996949053</v>
      </c>
      <c r="N1525" s="314">
        <f t="shared" ca="1" si="137"/>
        <v>0.78379006353879965</v>
      </c>
      <c r="O1525" s="314">
        <f t="shared" ca="1" si="137"/>
        <v>0.79325612710810889</v>
      </c>
      <c r="P1525" s="314">
        <f t="shared" ca="1" si="137"/>
        <v>0.80272219067741812</v>
      </c>
      <c r="Q1525" s="314">
        <f t="shared" ca="1" si="137"/>
        <v>0.81218825424672725</v>
      </c>
      <c r="R1525" s="248"/>
      <c r="U1525" s="179"/>
      <c r="W1525" s="179"/>
      <c r="X1525" s="179"/>
    </row>
    <row r="1526" spans="1:24" s="65" customFormat="1" ht="15" customHeight="1" outlineLevel="2">
      <c r="A1526" s="219"/>
      <c r="B1526" s="242"/>
      <c r="C1526" s="251" t="s">
        <v>1979</v>
      </c>
      <c r="D1526" s="242"/>
      <c r="E1526" s="242"/>
      <c r="F1526" s="121"/>
      <c r="G1526" s="251" t="s">
        <v>1956</v>
      </c>
      <c r="H1526" s="242"/>
      <c r="I1526" s="314">
        <f ca="1">SUMPRODUCT(I$1427:I$1432,$I$1251:$I$1256)</f>
        <v>0.11114891573941844</v>
      </c>
      <c r="J1526" s="314">
        <f t="shared" ref="J1526:Q1526" ca="1" si="138">SUMPRODUCT(J$1427:J$1432,$E$1251:$E$1256)</f>
        <v>0.17765319489155915</v>
      </c>
      <c r="K1526" s="314">
        <f t="shared" ca="1" si="138"/>
        <v>0.17990767706023375</v>
      </c>
      <c r="L1526" s="314">
        <f t="shared" ca="1" si="138"/>
        <v>0.18216215922890841</v>
      </c>
      <c r="M1526" s="314">
        <f t="shared" ca="1" si="138"/>
        <v>0.18441664139758301</v>
      </c>
      <c r="N1526" s="314">
        <f t="shared" ca="1" si="138"/>
        <v>0.18667112356625759</v>
      </c>
      <c r="O1526" s="314">
        <f t="shared" ca="1" si="138"/>
        <v>0.18892560573493222</v>
      </c>
      <c r="P1526" s="314">
        <f t="shared" ca="1" si="138"/>
        <v>0.19118008790360685</v>
      </c>
      <c r="Q1526" s="314">
        <f t="shared" ca="1" si="138"/>
        <v>0.1934345700722814</v>
      </c>
      <c r="R1526" s="248"/>
      <c r="U1526" s="179"/>
      <c r="W1526" s="179"/>
      <c r="X1526" s="179"/>
    </row>
    <row r="1527" spans="1:24" s="65" customFormat="1" ht="15" customHeight="1" outlineLevel="2">
      <c r="A1527" s="219"/>
      <c r="B1527" s="242"/>
      <c r="C1527" s="251" t="s">
        <v>1980</v>
      </c>
      <c r="D1527" s="242"/>
      <c r="E1527" s="242"/>
      <c r="F1527" s="121"/>
      <c r="G1527" s="251" t="s">
        <v>1426</v>
      </c>
      <c r="H1527" s="242"/>
      <c r="I1527" s="314">
        <f ca="1">SUMPRODUCT(I$1439:I$1444,$I$1251:$I$1256)</f>
        <v>0.77183121589473624</v>
      </c>
      <c r="J1527" s="314">
        <f t="shared" ref="J1527:Q1527" ca="1" si="139">SUMPRODUCT(J$1439:J$1444,$E$1251:$E$1256)</f>
        <v>0.7928487180829088</v>
      </c>
      <c r="K1527" s="314">
        <f t="shared" ca="1" si="139"/>
        <v>0.75997387303088138</v>
      </c>
      <c r="L1527" s="314">
        <f t="shared" ca="1" si="139"/>
        <v>0.72602292830448301</v>
      </c>
      <c r="M1527" s="314">
        <f t="shared" ca="1" si="139"/>
        <v>0.6909958839037138</v>
      </c>
      <c r="N1527" s="314">
        <f t="shared" ca="1" si="139"/>
        <v>0.65489273982857388</v>
      </c>
      <c r="O1527" s="314">
        <f t="shared" ca="1" si="139"/>
        <v>0.61771349607906312</v>
      </c>
      <c r="P1527" s="314">
        <f t="shared" ca="1" si="139"/>
        <v>0.57945815265518175</v>
      </c>
      <c r="Q1527" s="314">
        <f t="shared" ca="1" si="139"/>
        <v>0.54012670955692943</v>
      </c>
      <c r="R1527" s="248"/>
      <c r="U1527" s="179"/>
      <c r="W1527" s="179"/>
      <c r="X1527" s="179"/>
    </row>
    <row r="1528" spans="1:24" s="65" customFormat="1" ht="15" customHeight="1" outlineLevel="2">
      <c r="A1528" s="219"/>
      <c r="B1528" s="242"/>
      <c r="C1528" s="251" t="s">
        <v>1981</v>
      </c>
      <c r="D1528" s="242"/>
      <c r="E1528" s="242"/>
      <c r="F1528" s="121"/>
      <c r="G1528" s="251" t="s">
        <v>1457</v>
      </c>
      <c r="H1528" s="242"/>
      <c r="I1528" s="314">
        <f ca="1">SUMPRODUCT(I$1445:I$1450,$I$1251:$I$1256)</f>
        <v>1.9247891621619659</v>
      </c>
      <c r="J1528" s="314">
        <f t="shared" ref="J1528:Q1528" ca="1" si="140">SUMPRODUCT(J$1445:J$1450,$E$1251:$E$1256)</f>
        <v>2.4105614042901373</v>
      </c>
      <c r="K1528" s="314">
        <f t="shared" ca="1" si="140"/>
        <v>2.3738480624486611</v>
      </c>
      <c r="L1528" s="314">
        <f t="shared" ca="1" si="140"/>
        <v>2.3354478979854663</v>
      </c>
      <c r="M1528" s="314">
        <f t="shared" ca="1" si="140"/>
        <v>2.2953609109005519</v>
      </c>
      <c r="N1528" s="314">
        <f t="shared" ca="1" si="140"/>
        <v>2.2535871011939186</v>
      </c>
      <c r="O1528" s="314">
        <f t="shared" ca="1" si="140"/>
        <v>2.2101264688655671</v>
      </c>
      <c r="P1528" s="314">
        <f t="shared" ca="1" si="140"/>
        <v>2.1649790139154965</v>
      </c>
      <c r="Q1528" s="314">
        <f t="shared" ca="1" si="140"/>
        <v>2.1181447363437065</v>
      </c>
      <c r="R1528" s="248"/>
      <c r="U1528" s="179"/>
      <c r="W1528" s="179"/>
      <c r="X1528" s="179"/>
    </row>
    <row r="1529" spans="1:24" s="65" customFormat="1" ht="15" customHeight="1" outlineLevel="2">
      <c r="A1529" s="219"/>
      <c r="B1529" s="242"/>
      <c r="C1529" s="334" t="s">
        <v>375</v>
      </c>
      <c r="D1529" s="335"/>
      <c r="E1529" s="335"/>
      <c r="F1529" s="336"/>
      <c r="G1529" s="334"/>
      <c r="H1529" s="335"/>
      <c r="I1529" s="337">
        <f ca="1">SUBTOTAL(109,G.30.assumptions.CombustionCO2EmissionsBiomassAtZeroAfterProductManufacturingEfficiency[2011])</f>
        <v>8.3104440361280645</v>
      </c>
      <c r="J1529" s="337">
        <f ca="1">SUBTOTAL(109,G.30.assumptions.CombustionCO2EmissionsBiomassAtZeroAfterProductManufacturingEfficiency[2015])</f>
        <v>9.1659246000862833</v>
      </c>
      <c r="K1529" s="337">
        <f ca="1">SUBTOTAL(109,G.30.assumptions.CombustionCO2EmissionsBiomassAtZeroAfterProductManufacturingEfficiency[2020])</f>
        <v>9.1997006128438663</v>
      </c>
      <c r="L1529" s="337">
        <f ca="1">SUBTOTAL(109,G.30.assumptions.CombustionCO2EmissionsBiomassAtZeroAfterProductManufacturingEfficiency[2025])</f>
        <v>9.2314078830614719</v>
      </c>
      <c r="M1529" s="337">
        <f ca="1">SUBTOTAL(109,G.30.assumptions.CombustionCO2EmissionsBiomassAtZeroAfterProductManufacturingEfficiency[2030])</f>
        <v>9.2610464107391017</v>
      </c>
      <c r="N1529" s="337">
        <f ca="1">SUBTOTAL(109,G.30.assumptions.CombustionCO2EmissionsBiomassAtZeroAfterProductManufacturingEfficiency[2035])</f>
        <v>9.2886161958767577</v>
      </c>
      <c r="O1529" s="337">
        <f ca="1">SUBTOTAL(109,G.30.assumptions.CombustionCO2EmissionsBiomassAtZeroAfterProductManufacturingEfficiency[2040])</f>
        <v>9.314117238474438</v>
      </c>
      <c r="P1529" s="337">
        <f ca="1">SUBTOTAL(109,G.30.assumptions.CombustionCO2EmissionsBiomassAtZeroAfterProductManufacturingEfficiency[2045])</f>
        <v>9.3375495385321425</v>
      </c>
      <c r="Q1529" s="337">
        <f ca="1">SUBTOTAL(109,G.30.assumptions.CombustionCO2EmissionsBiomassAtZeroAfterProductManufacturingEfficiency[2050])</f>
        <v>9.3589130960498697</v>
      </c>
      <c r="R1529" s="248"/>
      <c r="U1529" s="179"/>
      <c r="W1529" s="179"/>
      <c r="X1529" s="179"/>
    </row>
    <row r="1530" spans="1:24" s="65" customFormat="1" ht="15" customHeight="1" outlineLevel="2">
      <c r="A1530" s="219"/>
      <c r="B1530" s="242"/>
      <c r="C1530" s="251"/>
      <c r="D1530" s="242"/>
      <c r="E1530" s="242"/>
      <c r="F1530" s="121"/>
      <c r="G1530" s="242"/>
      <c r="H1530" s="242"/>
      <c r="I1530" s="239"/>
      <c r="J1530" s="239"/>
      <c r="K1530" s="239"/>
      <c r="L1530" s="239"/>
      <c r="M1530" s="239"/>
      <c r="N1530" s="239"/>
      <c r="O1530" s="239"/>
      <c r="P1530" s="239"/>
      <c r="Q1530" s="239"/>
      <c r="R1530" s="248"/>
      <c r="U1530" s="179"/>
      <c r="W1530" s="179"/>
      <c r="X1530" s="179"/>
    </row>
    <row r="1531" spans="1:24" s="65" customFormat="1" ht="15" customHeight="1" outlineLevel="2">
      <c r="A1531" s="219"/>
      <c r="B1531" s="242"/>
      <c r="C1531" s="313" t="s">
        <v>1982</v>
      </c>
      <c r="D1531" s="121"/>
      <c r="E1531" s="242"/>
      <c r="F1531" s="121"/>
      <c r="G1531" s="242"/>
      <c r="H1531" s="242"/>
      <c r="I1531" s="239"/>
      <c r="J1531" s="239"/>
      <c r="K1531" s="239"/>
      <c r="L1531" s="239"/>
      <c r="M1531" s="239"/>
      <c r="N1531" s="239"/>
      <c r="O1531" s="239"/>
      <c r="P1531" s="239"/>
      <c r="Q1531" s="239"/>
      <c r="R1531" s="248"/>
      <c r="U1531" s="179"/>
      <c r="W1531" s="179"/>
      <c r="X1531" s="179"/>
    </row>
    <row r="1532" spans="1:24" s="65" customFormat="1" ht="15" customHeight="1" outlineLevel="2">
      <c r="A1532" s="219"/>
      <c r="B1532" s="242"/>
      <c r="C1532" s="313"/>
      <c r="D1532" s="121"/>
      <c r="E1532" s="242"/>
      <c r="F1532" s="121"/>
      <c r="G1532" s="242"/>
      <c r="H1532" s="242"/>
      <c r="I1532" s="239"/>
      <c r="J1532" s="239"/>
      <c r="K1532" s="239"/>
      <c r="L1532" s="239"/>
      <c r="M1532" s="239"/>
      <c r="N1532" s="239"/>
      <c r="O1532" s="239"/>
      <c r="P1532" s="239"/>
      <c r="Q1532" s="239"/>
      <c r="R1532" s="248"/>
      <c r="U1532" s="179"/>
      <c r="W1532" s="179"/>
      <c r="X1532" s="179"/>
    </row>
    <row r="1533" spans="1:24" s="65" customFormat="1" ht="15" customHeight="1" outlineLevel="2">
      <c r="A1533" s="219"/>
      <c r="B1533" s="242"/>
      <c r="C1533" s="258" t="s">
        <v>454</v>
      </c>
      <c r="D1533" s="258" t="s">
        <v>241</v>
      </c>
      <c r="E1533" s="258" t="s">
        <v>598</v>
      </c>
      <c r="F1533" s="258" t="s">
        <v>274</v>
      </c>
      <c r="G1533" s="258" t="s">
        <v>509</v>
      </c>
      <c r="H1533" s="258" t="s">
        <v>510</v>
      </c>
      <c r="I1533" s="258" t="s">
        <v>1107</v>
      </c>
      <c r="J1533" s="258" t="s">
        <v>210</v>
      </c>
      <c r="K1533" s="258" t="s">
        <v>211</v>
      </c>
      <c r="L1533" s="258" t="s">
        <v>212</v>
      </c>
      <c r="M1533" s="258" t="s">
        <v>213</v>
      </c>
      <c r="N1533" s="258" t="s">
        <v>214</v>
      </c>
      <c r="O1533" s="258" t="s">
        <v>215</v>
      </c>
      <c r="P1533" s="258" t="s">
        <v>216</v>
      </c>
      <c r="Q1533" s="258" t="s">
        <v>217</v>
      </c>
      <c r="R1533" s="248"/>
      <c r="U1533" s="179"/>
      <c r="W1533" s="179"/>
      <c r="X1533" s="179"/>
    </row>
    <row r="1534" spans="1:24" s="65" customFormat="1" ht="15" customHeight="1" outlineLevel="2">
      <c r="A1534" s="219"/>
      <c r="B1534" s="242"/>
      <c r="C1534" s="251" t="s">
        <v>1968</v>
      </c>
      <c r="D1534" s="242"/>
      <c r="E1534" s="242"/>
      <c r="F1534" s="121"/>
      <c r="G1534" s="251" t="s">
        <v>1377</v>
      </c>
      <c r="H1534" s="242"/>
      <c r="I1534" s="316">
        <f t="shared" ref="I1534:Q1534" ca="1" si="141">SUMPRODUCT(I$1367:I$1372,$J$1251:$J$1256)</f>
        <v>1.7765573075091047E-4</v>
      </c>
      <c r="J1534" s="316">
        <f t="shared" ca="1" si="141"/>
        <v>1.7670386719496734E-4</v>
      </c>
      <c r="K1534" s="316">
        <f t="shared" ca="1" si="141"/>
        <v>1.7543483165062749E-4</v>
      </c>
      <c r="L1534" s="316">
        <f t="shared" ca="1" si="141"/>
        <v>1.7407778932916436E-4</v>
      </c>
      <c r="M1534" s="316">
        <f t="shared" ca="1" si="141"/>
        <v>1.7263274023057785E-4</v>
      </c>
      <c r="N1534" s="316">
        <f t="shared" ca="1" si="141"/>
        <v>1.710996843548681E-4</v>
      </c>
      <c r="O1534" s="316">
        <f t="shared" ca="1" si="141"/>
        <v>1.6947862170203499E-4</v>
      </c>
      <c r="P1534" s="316">
        <f t="shared" ca="1" si="141"/>
        <v>1.6776955227207861E-4</v>
      </c>
      <c r="Q1534" s="316">
        <f t="shared" ca="1" si="141"/>
        <v>1.6597247606499883E-4</v>
      </c>
      <c r="R1534" s="248"/>
      <c r="U1534" s="179"/>
      <c r="W1534" s="179"/>
      <c r="X1534" s="179"/>
    </row>
    <row r="1535" spans="1:24" s="65" customFormat="1" ht="15" customHeight="1" outlineLevel="2">
      <c r="A1535" s="219"/>
      <c r="B1535" s="242"/>
      <c r="C1535" s="251" t="s">
        <v>1969</v>
      </c>
      <c r="D1535" s="242"/>
      <c r="E1535" s="242"/>
      <c r="F1535" s="121"/>
      <c r="G1535" s="315" t="s">
        <v>1380</v>
      </c>
      <c r="H1535" s="242"/>
      <c r="I1535" s="316">
        <f t="shared" ref="I1535:Q1535" ca="1" si="142">SUMPRODUCT(I$1373:I$1378,$J$1251:$J$1256)</f>
        <v>1.4465575200546974E-4</v>
      </c>
      <c r="J1535" s="316">
        <f t="shared" ca="1" si="142"/>
        <v>1.5157537534593216E-4</v>
      </c>
      <c r="K1535" s="316">
        <f t="shared" ca="1" si="142"/>
        <v>1.6038011953235245E-4</v>
      </c>
      <c r="L1535" s="316">
        <f t="shared" ca="1" si="142"/>
        <v>1.6935732484193099E-4</v>
      </c>
      <c r="M1535" s="316">
        <f t="shared" ca="1" si="142"/>
        <v>1.7850699127466759E-4</v>
      </c>
      <c r="N1535" s="316">
        <f t="shared" ca="1" si="142"/>
        <v>1.8782911883056245E-4</v>
      </c>
      <c r="O1535" s="316">
        <f t="shared" ca="1" si="142"/>
        <v>1.9732370750961538E-4</v>
      </c>
      <c r="P1535" s="316">
        <f t="shared" ca="1" si="142"/>
        <v>2.0699075731182644E-4</v>
      </c>
      <c r="Q1535" s="316">
        <f t="shared" ca="1" si="142"/>
        <v>2.1683026823719569E-4</v>
      </c>
      <c r="R1535" s="248"/>
      <c r="U1535" s="179"/>
      <c r="W1535" s="179"/>
      <c r="X1535" s="179"/>
    </row>
    <row r="1536" spans="1:24" s="65" customFormat="1" ht="15" customHeight="1" outlineLevel="2">
      <c r="A1536" s="219"/>
      <c r="B1536" s="242"/>
      <c r="C1536" s="251" t="s">
        <v>1970</v>
      </c>
      <c r="D1536" s="242"/>
      <c r="E1536" s="242"/>
      <c r="F1536" s="121"/>
      <c r="G1536" s="315" t="s">
        <v>1625</v>
      </c>
      <c r="H1536" s="242"/>
      <c r="I1536" s="316">
        <f t="shared" ref="I1536:Q1536" ca="1" si="143">SUMPRODUCT(I$1379:I$1384,$J$1251:$J$1256)</f>
        <v>1.1439400985854703E-5</v>
      </c>
      <c r="J1536" s="316">
        <f t="shared" ca="1" si="143"/>
        <v>1.185698530344051E-5</v>
      </c>
      <c r="K1536" s="316">
        <f t="shared" ca="1" si="143"/>
        <v>1.2387539032122921E-5</v>
      </c>
      <c r="L1536" s="316">
        <f t="shared" ca="1" si="143"/>
        <v>1.2927618684916598E-5</v>
      </c>
      <c r="M1536" s="316">
        <f t="shared" ca="1" si="143"/>
        <v>1.3477224261821558E-5</v>
      </c>
      <c r="N1536" s="316">
        <f t="shared" ca="1" si="143"/>
        <v>1.4036355762837781E-5</v>
      </c>
      <c r="O1536" s="316">
        <f t="shared" ca="1" si="143"/>
        <v>1.4605013187965283E-5</v>
      </c>
      <c r="P1536" s="316">
        <f t="shared" ca="1" si="143"/>
        <v>1.5183196537204055E-5</v>
      </c>
      <c r="Q1536" s="316">
        <f t="shared" ca="1" si="143"/>
        <v>1.57709058105541E-5</v>
      </c>
      <c r="R1536" s="248"/>
      <c r="U1536" s="179"/>
      <c r="W1536" s="179"/>
      <c r="X1536" s="179"/>
    </row>
    <row r="1537" spans="1:24" s="65" customFormat="1" ht="15" customHeight="1" outlineLevel="2">
      <c r="A1537" s="219"/>
      <c r="B1537" s="242"/>
      <c r="C1537" s="251" t="s">
        <v>1971</v>
      </c>
      <c r="D1537" s="242"/>
      <c r="E1537" s="242"/>
      <c r="F1537" s="121"/>
      <c r="G1537" s="315" t="s">
        <v>1939</v>
      </c>
      <c r="H1537" s="242"/>
      <c r="I1537" s="316">
        <f t="shared" ref="I1537:Q1537" ca="1" si="144">SUMPRODUCT(I$1385:I$1390,$J$1251:$J$1256)</f>
        <v>2.1834371761285134E-6</v>
      </c>
      <c r="J1537" s="316">
        <f t="shared" ca="1" si="144"/>
        <v>2.2631414477343916E-6</v>
      </c>
      <c r="K1537" s="316">
        <f t="shared" ca="1" si="144"/>
        <v>2.3644081780965169E-6</v>
      </c>
      <c r="L1537" s="316">
        <f t="shared" ca="1" si="144"/>
        <v>2.4674931205195041E-6</v>
      </c>
      <c r="M1537" s="316">
        <f t="shared" ca="1" si="144"/>
        <v>2.5723962750033562E-6</v>
      </c>
      <c r="N1537" s="316">
        <f t="shared" ca="1" si="144"/>
        <v>2.6791176415480695E-6</v>
      </c>
      <c r="O1537" s="316">
        <f t="shared" ca="1" si="144"/>
        <v>2.7876572201536482E-6</v>
      </c>
      <c r="P1537" s="316">
        <f t="shared" ca="1" si="144"/>
        <v>2.8980150108200885E-6</v>
      </c>
      <c r="Q1537" s="316">
        <f t="shared" ca="1" si="144"/>
        <v>3.010191013547392E-6</v>
      </c>
      <c r="R1537" s="248"/>
      <c r="U1537" s="179"/>
      <c r="W1537" s="179"/>
      <c r="X1537" s="179"/>
    </row>
    <row r="1538" spans="1:24" s="65" customFormat="1" ht="15" customHeight="1" outlineLevel="2">
      <c r="A1538" s="219"/>
      <c r="B1538" s="242"/>
      <c r="C1538" s="251" t="s">
        <v>1972</v>
      </c>
      <c r="D1538" s="242"/>
      <c r="E1538" s="242"/>
      <c r="F1538" s="121"/>
      <c r="G1538" s="315" t="s">
        <v>1940</v>
      </c>
      <c r="H1538" s="242"/>
      <c r="I1538" s="316">
        <f t="shared" ref="I1538:Q1538" ca="1" si="145">SUMPRODUCT(I$1391:I$1396,$J$1251:$J$1256)</f>
        <v>1.2989816220623154E-6</v>
      </c>
      <c r="J1538" s="316">
        <f t="shared" ca="1" si="145"/>
        <v>1.2809917870888847E-6</v>
      </c>
      <c r="K1538" s="316">
        <f t="shared" ca="1" si="145"/>
        <v>1.2576104118027964E-6</v>
      </c>
      <c r="L1538" s="316">
        <f t="shared" ca="1" si="145"/>
        <v>1.2332356125508184E-6</v>
      </c>
      <c r="M1538" s="316">
        <f t="shared" ca="1" si="145"/>
        <v>1.2078673893329507E-6</v>
      </c>
      <c r="N1538" s="316">
        <f t="shared" ca="1" si="145"/>
        <v>1.1815057421491935E-6</v>
      </c>
      <c r="O1538" s="316">
        <f t="shared" ca="1" si="145"/>
        <v>1.1541506709995468E-6</v>
      </c>
      <c r="P1538" s="316">
        <f t="shared" ca="1" si="145"/>
        <v>1.1258021758840104E-6</v>
      </c>
      <c r="Q1538" s="316">
        <f t="shared" ca="1" si="145"/>
        <v>1.0964602568025843E-6</v>
      </c>
      <c r="R1538" s="248"/>
      <c r="U1538" s="179"/>
      <c r="W1538" s="179"/>
      <c r="X1538" s="179"/>
    </row>
    <row r="1539" spans="1:24" s="65" customFormat="1" ht="15" customHeight="1" outlineLevel="2">
      <c r="A1539" s="219"/>
      <c r="B1539" s="242"/>
      <c r="C1539" s="251" t="s">
        <v>1973</v>
      </c>
      <c r="D1539" s="242"/>
      <c r="E1539" s="242"/>
      <c r="F1539" s="121"/>
      <c r="G1539" s="315" t="s">
        <v>1961</v>
      </c>
      <c r="H1539" s="242"/>
      <c r="I1539" s="316">
        <f t="shared" ref="I1539:Q1539" ca="1" si="146">SUMPRODUCT(I$1397:I$1402,$J$1251:$J$1256)</f>
        <v>8.2207411436845023E-5</v>
      </c>
      <c r="J1539" s="316">
        <f t="shared" ca="1" si="146"/>
        <v>8.3050564374658809E-5</v>
      </c>
      <c r="K1539" s="316">
        <f t="shared" ca="1" si="146"/>
        <v>8.4104505546926065E-5</v>
      </c>
      <c r="L1539" s="316">
        <f t="shared" ca="1" si="146"/>
        <v>8.5158446719193307E-5</v>
      </c>
      <c r="M1539" s="316">
        <f t="shared" ca="1" si="146"/>
        <v>8.6212387891460577E-5</v>
      </c>
      <c r="N1539" s="316">
        <f t="shared" ca="1" si="146"/>
        <v>8.7266329063727805E-5</v>
      </c>
      <c r="O1539" s="316">
        <f t="shared" ca="1" si="146"/>
        <v>8.8320270235995075E-5</v>
      </c>
      <c r="P1539" s="316">
        <f t="shared" ca="1" si="146"/>
        <v>8.9374211408262304E-5</v>
      </c>
      <c r="Q1539" s="316">
        <f t="shared" ca="1" si="146"/>
        <v>9.042815258052956E-5</v>
      </c>
      <c r="R1539" s="248"/>
      <c r="U1539" s="179"/>
      <c r="W1539" s="179"/>
      <c r="X1539" s="179"/>
    </row>
    <row r="1540" spans="1:24" s="65" customFormat="1" ht="15" customHeight="1" outlineLevel="2">
      <c r="A1540" s="219"/>
      <c r="B1540" s="242"/>
      <c r="C1540" s="251" t="s">
        <v>1974</v>
      </c>
      <c r="D1540" s="242"/>
      <c r="E1540" s="242"/>
      <c r="F1540" s="121"/>
      <c r="G1540" s="315" t="s">
        <v>1962</v>
      </c>
      <c r="H1540" s="242"/>
      <c r="I1540" s="316">
        <f t="shared" ref="I1540:Q1540" ca="1" si="147">SUMPRODUCT(I$1403:I$1408,$J$1251:$J$1256)</f>
        <v>4.3273399884361874E-5</v>
      </c>
      <c r="J1540" s="316">
        <f t="shared" ca="1" si="147"/>
        <v>4.3717229626765582E-5</v>
      </c>
      <c r="K1540" s="316">
        <f t="shared" ca="1" si="147"/>
        <v>4.4272016804770221E-5</v>
      </c>
      <c r="L1540" s="316">
        <f t="shared" ca="1" si="147"/>
        <v>4.4826803982774867E-5</v>
      </c>
      <c r="M1540" s="316">
        <f t="shared" ca="1" si="147"/>
        <v>4.5381591160779506E-5</v>
      </c>
      <c r="N1540" s="316">
        <f t="shared" ca="1" si="147"/>
        <v>4.5936378338784145E-5</v>
      </c>
      <c r="O1540" s="316">
        <f t="shared" ca="1" si="147"/>
        <v>4.6491165516788791E-5</v>
      </c>
      <c r="P1540" s="316">
        <f t="shared" ca="1" si="147"/>
        <v>4.7045952694793424E-5</v>
      </c>
      <c r="Q1540" s="316">
        <f t="shared" ca="1" si="147"/>
        <v>4.760073987279807E-5</v>
      </c>
      <c r="R1540" s="248"/>
      <c r="U1540" s="179"/>
      <c r="W1540" s="179"/>
      <c r="X1540" s="179"/>
    </row>
    <row r="1541" spans="1:24" s="65" customFormat="1" ht="15" customHeight="1" outlineLevel="2">
      <c r="A1541" s="219"/>
      <c r="B1541" s="242"/>
      <c r="C1541" s="251" t="s">
        <v>1975</v>
      </c>
      <c r="D1541" s="242"/>
      <c r="E1541" s="242"/>
      <c r="F1541" s="121"/>
      <c r="G1541" s="315" t="s">
        <v>1963</v>
      </c>
      <c r="H1541" s="242"/>
      <c r="I1541" s="316">
        <f t="shared" ref="I1541:Q1541" ca="1" si="148">SUMPRODUCT(I$1409:I$1414,$J$1251:$J$1256)</f>
        <v>1.4629422513554707E-5</v>
      </c>
      <c r="J1541" s="316">
        <f t="shared" ca="1" si="148"/>
        <v>1.4779467872668087E-5</v>
      </c>
      <c r="K1541" s="316">
        <f t="shared" ca="1" si="148"/>
        <v>1.4967024571559816E-5</v>
      </c>
      <c r="L1541" s="316">
        <f t="shared" ca="1" si="148"/>
        <v>1.5154581270451545E-5</v>
      </c>
      <c r="M1541" s="316">
        <f t="shared" ca="1" si="148"/>
        <v>1.5342137969343269E-5</v>
      </c>
      <c r="N1541" s="316">
        <f t="shared" ca="1" si="148"/>
        <v>1.5529694668234997E-5</v>
      </c>
      <c r="O1541" s="316">
        <f t="shared" ca="1" si="148"/>
        <v>1.5717251367126724E-5</v>
      </c>
      <c r="P1541" s="316">
        <f t="shared" ca="1" si="148"/>
        <v>1.5904808066018452E-5</v>
      </c>
      <c r="Q1541" s="316">
        <f t="shared" ca="1" si="148"/>
        <v>1.6092364764910179E-5</v>
      </c>
      <c r="R1541" s="248"/>
      <c r="U1541" s="179"/>
      <c r="W1541" s="179"/>
      <c r="X1541" s="179"/>
    </row>
    <row r="1542" spans="1:24" s="65" customFormat="1" ht="15" customHeight="1" outlineLevel="2">
      <c r="A1542" s="219"/>
      <c r="B1542" s="242"/>
      <c r="C1542" s="251" t="s">
        <v>1976</v>
      </c>
      <c r="D1542" s="242"/>
      <c r="E1542" s="242"/>
      <c r="F1542" s="121"/>
      <c r="G1542" s="251" t="s">
        <v>1964</v>
      </c>
      <c r="H1542" s="242"/>
      <c r="I1542" s="316">
        <f t="shared" ref="I1542:Q1542" ca="1" si="149">SUMPRODUCT(I$1415:I$1420,$J$1251:$J$1256)</f>
        <v>3.6140674915005966E-5</v>
      </c>
      <c r="J1542" s="316">
        <f t="shared" ca="1" si="149"/>
        <v>3.6511348503877832E-5</v>
      </c>
      <c r="K1542" s="316">
        <f t="shared" ca="1" si="149"/>
        <v>3.6974690489967641E-5</v>
      </c>
      <c r="L1542" s="316">
        <f t="shared" ca="1" si="149"/>
        <v>3.7438032476057464E-5</v>
      </c>
      <c r="M1542" s="316">
        <f t="shared" ca="1" si="149"/>
        <v>3.7901374462147286E-5</v>
      </c>
      <c r="N1542" s="316">
        <f t="shared" ca="1" si="149"/>
        <v>3.8364716448237102E-5</v>
      </c>
      <c r="O1542" s="316">
        <f t="shared" ca="1" si="149"/>
        <v>3.8828058434326932E-5</v>
      </c>
      <c r="P1542" s="316">
        <f t="shared" ca="1" si="149"/>
        <v>3.9291400420416754E-5</v>
      </c>
      <c r="Q1542" s="316">
        <f t="shared" ca="1" si="149"/>
        <v>3.975474240650657E-5</v>
      </c>
      <c r="R1542" s="248"/>
      <c r="U1542" s="179"/>
      <c r="W1542" s="179"/>
      <c r="X1542" s="179"/>
    </row>
    <row r="1543" spans="1:24" s="65" customFormat="1" ht="15" customHeight="1" outlineLevel="2">
      <c r="A1543" s="219"/>
      <c r="B1543" s="242"/>
      <c r="C1543" s="251" t="s">
        <v>1977</v>
      </c>
      <c r="D1543" s="242"/>
      <c r="E1543" s="242"/>
      <c r="F1543" s="121"/>
      <c r="G1543" s="315" t="s">
        <v>1954</v>
      </c>
      <c r="H1543" s="242"/>
      <c r="I1543" s="316">
        <f t="shared" ref="I1543:Q1543" ca="1" si="150">SUMPRODUCT(I$1421:I$1426,$J$1251:$J$1256)</f>
        <v>1.1043599731043518E-5</v>
      </c>
      <c r="J1543" s="316">
        <f t="shared" ca="1" si="150"/>
        <v>1.1156867420592683E-5</v>
      </c>
      <c r="K1543" s="316">
        <f t="shared" ca="1" si="150"/>
        <v>1.1298452032529137E-5</v>
      </c>
      <c r="L1543" s="316">
        <f t="shared" ca="1" si="150"/>
        <v>1.1440036644465595E-5</v>
      </c>
      <c r="M1543" s="316">
        <f t="shared" ca="1" si="150"/>
        <v>1.1581621256402049E-5</v>
      </c>
      <c r="N1543" s="316">
        <f t="shared" ca="1" si="150"/>
        <v>1.1723205868338503E-5</v>
      </c>
      <c r="O1543" s="316">
        <f t="shared" ca="1" si="150"/>
        <v>1.186479048027496E-5</v>
      </c>
      <c r="P1543" s="316">
        <f t="shared" ca="1" si="150"/>
        <v>1.2006375092211416E-5</v>
      </c>
      <c r="Q1543" s="316">
        <f t="shared" ca="1" si="150"/>
        <v>1.2147959704147868E-5</v>
      </c>
      <c r="R1543" s="248"/>
      <c r="U1543" s="179"/>
      <c r="W1543" s="179"/>
      <c r="X1543" s="179"/>
    </row>
    <row r="1544" spans="1:24" s="65" customFormat="1" ht="15" customHeight="1" outlineLevel="2">
      <c r="A1544" s="219"/>
      <c r="B1544" s="242"/>
      <c r="C1544" s="251" t="s">
        <v>1978</v>
      </c>
      <c r="D1544" s="242"/>
      <c r="E1544" s="242"/>
      <c r="F1544" s="121"/>
      <c r="G1544" s="251" t="s">
        <v>1955</v>
      </c>
      <c r="H1544" s="242"/>
      <c r="I1544" s="316">
        <f t="shared" ref="I1544:Q1544" ca="1" si="151">SUMPRODUCT(I$1417:I$1422,$J$1251:$J$1256)</f>
        <v>8.8298118556823051E-5</v>
      </c>
      <c r="J1544" s="316">
        <f t="shared" ca="1" si="151"/>
        <v>8.9203740285610989E-5</v>
      </c>
      <c r="K1544" s="316">
        <f t="shared" ca="1" si="151"/>
        <v>9.0335767446595892E-5</v>
      </c>
      <c r="L1544" s="316">
        <f t="shared" ca="1" si="151"/>
        <v>9.1467794607580808E-5</v>
      </c>
      <c r="M1544" s="316">
        <f t="shared" ca="1" si="151"/>
        <v>9.259982176856571E-5</v>
      </c>
      <c r="N1544" s="316">
        <f t="shared" ca="1" si="151"/>
        <v>9.3731848929550627E-5</v>
      </c>
      <c r="O1544" s="316">
        <f t="shared" ca="1" si="151"/>
        <v>9.4863876090535556E-5</v>
      </c>
      <c r="P1544" s="316">
        <f t="shared" ca="1" si="151"/>
        <v>9.5995903251520459E-5</v>
      </c>
      <c r="Q1544" s="316">
        <f t="shared" ca="1" si="151"/>
        <v>9.7127930412505388E-5</v>
      </c>
      <c r="R1544" s="248"/>
      <c r="U1544" s="179"/>
      <c r="W1544" s="179"/>
      <c r="X1544" s="179"/>
    </row>
    <row r="1545" spans="1:24" s="65" customFormat="1" ht="15" customHeight="1" outlineLevel="2">
      <c r="A1545" s="219"/>
      <c r="B1545" s="242"/>
      <c r="C1545" s="251" t="s">
        <v>1979</v>
      </c>
      <c r="D1545" s="242"/>
      <c r="E1545" s="242"/>
      <c r="F1545" s="121"/>
      <c r="G1545" s="251" t="s">
        <v>1956</v>
      </c>
      <c r="H1545" s="242"/>
      <c r="I1545" s="316">
        <f t="shared" ref="I1545:Q1545" ca="1" si="152">SUMPRODUCT(I$1427:I$1432,$J$1251:$J$1256)</f>
        <v>1.3413174188894418E-5</v>
      </c>
      <c r="J1545" s="316">
        <f t="shared" ca="1" si="152"/>
        <v>1.3550745206216412E-5</v>
      </c>
      <c r="K1545" s="316">
        <f t="shared" ca="1" si="152"/>
        <v>1.3722708977868906E-5</v>
      </c>
      <c r="L1545" s="316">
        <f t="shared" ca="1" si="152"/>
        <v>1.3894672749521401E-5</v>
      </c>
      <c r="M1545" s="316">
        <f t="shared" ca="1" si="152"/>
        <v>1.4066636521173892E-5</v>
      </c>
      <c r="N1545" s="316">
        <f t="shared" ca="1" si="152"/>
        <v>1.4238600292826384E-5</v>
      </c>
      <c r="O1545" s="316">
        <f t="shared" ca="1" si="152"/>
        <v>1.4410564064478879E-5</v>
      </c>
      <c r="P1545" s="316">
        <f t="shared" ca="1" si="152"/>
        <v>1.4582527836131371E-5</v>
      </c>
      <c r="Q1545" s="316">
        <f t="shared" ca="1" si="152"/>
        <v>1.4754491607783863E-5</v>
      </c>
      <c r="R1545" s="248"/>
      <c r="U1545" s="179"/>
      <c r="W1545" s="179"/>
      <c r="X1545" s="179"/>
    </row>
    <row r="1546" spans="1:24" s="65" customFormat="1" ht="15" customHeight="1" outlineLevel="2">
      <c r="A1546" s="219"/>
      <c r="B1546" s="242"/>
      <c r="C1546" s="251" t="s">
        <v>1980</v>
      </c>
      <c r="D1546" s="242"/>
      <c r="E1546" s="242"/>
      <c r="F1546" s="121"/>
      <c r="G1546" s="251" t="s">
        <v>1426</v>
      </c>
      <c r="H1546" s="242"/>
      <c r="I1546" s="316">
        <f t="shared" ref="I1546:Q1546" ca="1" si="153">SUMPRODUCT(I$1439:I$1444,$J$1251:$J$1256)</f>
        <v>9.9601493795372658E-5</v>
      </c>
      <c r="J1546" s="316">
        <f t="shared" ca="1" si="153"/>
        <v>9.6494922549052818E-5</v>
      </c>
      <c r="K1546" s="316">
        <f t="shared" ca="1" si="153"/>
        <v>9.2493836900862627E-5</v>
      </c>
      <c r="L1546" s="316">
        <f t="shared" ca="1" si="153"/>
        <v>8.8361782819016481E-5</v>
      </c>
      <c r="M1546" s="316">
        <f t="shared" ca="1" si="153"/>
        <v>8.409876030351434E-5</v>
      </c>
      <c r="N1546" s="316">
        <f t="shared" ca="1" si="153"/>
        <v>7.9704769354356205E-5</v>
      </c>
      <c r="O1546" s="316">
        <f t="shared" ca="1" si="153"/>
        <v>7.5179809971542101E-5</v>
      </c>
      <c r="P1546" s="316">
        <f t="shared" ca="1" si="153"/>
        <v>7.0523882155072015E-5</v>
      </c>
      <c r="Q1546" s="316">
        <f t="shared" ca="1" si="153"/>
        <v>6.5736985904945948E-5</v>
      </c>
      <c r="R1546" s="248"/>
      <c r="U1546" s="179"/>
      <c r="W1546" s="179"/>
      <c r="X1546" s="179"/>
    </row>
    <row r="1547" spans="1:24" s="65" customFormat="1" ht="15" customHeight="1" outlineLevel="2">
      <c r="A1547" s="219"/>
      <c r="B1547" s="242"/>
      <c r="C1547" s="251" t="s">
        <v>1981</v>
      </c>
      <c r="D1547" s="242"/>
      <c r="E1547" s="242"/>
      <c r="F1547" s="121"/>
      <c r="G1547" s="251" t="s">
        <v>1457</v>
      </c>
      <c r="H1547" s="242"/>
      <c r="I1547" s="316">
        <f t="shared" ref="I1547:Q1547" ca="1" si="154">SUMPRODUCT(I$1445:I$1450,$J$1251:$J$1256)</f>
        <v>1.9150366729419664E-4</v>
      </c>
      <c r="J1547" s="316">
        <f t="shared" ca="1" si="154"/>
        <v>1.8929266582346817E-4</v>
      </c>
      <c r="K1547" s="316">
        <f t="shared" ca="1" si="154"/>
        <v>1.8640969991515606E-4</v>
      </c>
      <c r="L1547" s="316">
        <f t="shared" ca="1" si="154"/>
        <v>1.8339427392917567E-4</v>
      </c>
      <c r="M1547" s="316">
        <f t="shared" ca="1" si="154"/>
        <v>1.80246387865527E-4</v>
      </c>
      <c r="N1547" s="316">
        <f t="shared" ca="1" si="154"/>
        <v>1.7696604172420997E-4</v>
      </c>
      <c r="O1547" s="316">
        <f t="shared" ca="1" si="154"/>
        <v>1.7355323550522471E-4</v>
      </c>
      <c r="P1547" s="316">
        <f t="shared" ca="1" si="154"/>
        <v>1.7000796920857111E-4</v>
      </c>
      <c r="Q1547" s="316">
        <f t="shared" ca="1" si="154"/>
        <v>1.663302428342492E-4</v>
      </c>
      <c r="R1547" s="248"/>
      <c r="U1547" s="179"/>
      <c r="W1547" s="179"/>
      <c r="X1547" s="179"/>
    </row>
    <row r="1548" spans="1:24" s="65" customFormat="1" ht="15" customHeight="1" outlineLevel="2">
      <c r="A1548" s="219"/>
      <c r="B1548" s="242"/>
      <c r="C1548" s="334" t="s">
        <v>375</v>
      </c>
      <c r="D1548" s="335"/>
      <c r="E1548" s="335"/>
      <c r="F1548" s="336"/>
      <c r="G1548" s="334"/>
      <c r="H1548" s="335"/>
      <c r="I1548" s="339">
        <f ca="1">SUBTOTAL(109,G.30.assumptions.CombustionCH4EmissionsBiomassAtZeroAfterProductManufacturingEfficiency[2011])</f>
        <v>9.1734426485652371E-4</v>
      </c>
      <c r="J1548" s="339">
        <f ca="1">SUBTOTAL(109,G.30.assumptions.CombustionCH4EmissionsBiomassAtZeroAfterProductManufacturingEfficiency[2015])</f>
        <v>9.2143791274207462E-4</v>
      </c>
      <c r="K1548" s="339">
        <f ca="1">SUBTOTAL(109,G.30.assumptions.CombustionCH4EmissionsBiomassAtZeroAfterProductManufacturingEfficiency[2020])</f>
        <v>9.2640321149123871E-4</v>
      </c>
      <c r="L1548" s="339">
        <f ca="1">SUBTOTAL(109,G.30.assumptions.CombustionCH4EmissionsBiomassAtZeroAfterProductManufacturingEfficiency[2025])</f>
        <v>9.3119988678731943E-4</v>
      </c>
      <c r="M1548" s="339">
        <f ca="1">SUBTOTAL(109,G.30.assumptions.CombustionCH4EmissionsBiomassAtZeroAfterProductManufacturingEfficiency[2030])</f>
        <v>9.358279386303171E-4</v>
      </c>
      <c r="N1548" s="339">
        <f ca="1">SUBTOTAL(109,G.30.assumptions.CombustionCH4EmissionsBiomassAtZeroAfterProductManufacturingEfficiency[2035])</f>
        <v>9.4028736702023142E-4</v>
      </c>
      <c r="O1548" s="339">
        <f ca="1">SUBTOTAL(109,G.30.assumptions.CombustionCH4EmissionsBiomassAtZeroAfterProductManufacturingEfficiency[2040])</f>
        <v>9.4457817195706258E-4</v>
      </c>
      <c r="P1548" s="339">
        <f ca="1">SUBTOTAL(109,G.30.assumptions.CombustionCH4EmissionsBiomassAtZeroAfterProductManufacturingEfficiency[2045])</f>
        <v>9.4870035344081049E-4</v>
      </c>
      <c r="Q1548" s="339">
        <f ca="1">SUBTOTAL(109,G.30.assumptions.CombustionCH4EmissionsBiomassAtZeroAfterProductManufacturingEfficiency[2050])</f>
        <v>9.5265391147147526E-4</v>
      </c>
      <c r="R1548" s="248"/>
      <c r="U1548" s="179"/>
      <c r="W1548" s="179"/>
      <c r="X1548" s="179"/>
    </row>
    <row r="1549" spans="1:24" s="65" customFormat="1" ht="15" customHeight="1" outlineLevel="2">
      <c r="A1549" s="219"/>
      <c r="B1549" s="242"/>
      <c r="C1549" s="251"/>
      <c r="D1549" s="242"/>
      <c r="E1549" s="242"/>
      <c r="F1549" s="121"/>
      <c r="G1549" s="242"/>
      <c r="H1549" s="242"/>
      <c r="I1549" s="239"/>
      <c r="J1549" s="239"/>
      <c r="K1549" s="239"/>
      <c r="L1549" s="239"/>
      <c r="M1549" s="239"/>
      <c r="N1549" s="239"/>
      <c r="O1549" s="239"/>
      <c r="P1549" s="239"/>
      <c r="Q1549" s="239"/>
      <c r="R1549" s="248"/>
      <c r="U1549" s="179"/>
      <c r="W1549" s="179"/>
      <c r="X1549" s="179"/>
    </row>
    <row r="1550" spans="1:24" s="65" customFormat="1" ht="15" customHeight="1" outlineLevel="2">
      <c r="A1550" s="219"/>
      <c r="B1550" s="242"/>
      <c r="C1550" s="313" t="s">
        <v>1983</v>
      </c>
      <c r="D1550" s="121"/>
      <c r="E1550" s="242"/>
      <c r="F1550" s="121"/>
      <c r="G1550" s="242"/>
      <c r="H1550" s="242"/>
      <c r="I1550" s="239"/>
      <c r="J1550" s="239"/>
      <c r="K1550" s="239"/>
      <c r="L1550" s="239"/>
      <c r="M1550" s="239"/>
      <c r="N1550" s="239"/>
      <c r="O1550" s="239"/>
      <c r="P1550" s="239"/>
      <c r="Q1550" s="239"/>
      <c r="R1550" s="248"/>
      <c r="U1550" s="179"/>
      <c r="W1550" s="179"/>
      <c r="X1550" s="179"/>
    </row>
    <row r="1551" spans="1:24" s="65" customFormat="1" ht="15" customHeight="1" outlineLevel="2">
      <c r="A1551" s="219"/>
      <c r="B1551" s="242"/>
      <c r="C1551" s="313"/>
      <c r="D1551" s="121"/>
      <c r="E1551" s="242"/>
      <c r="F1551" s="121"/>
      <c r="G1551" s="242"/>
      <c r="H1551" s="242"/>
      <c r="I1551" s="239"/>
      <c r="J1551" s="239"/>
      <c r="K1551" s="239"/>
      <c r="L1551" s="239"/>
      <c r="M1551" s="239"/>
      <c r="N1551" s="239"/>
      <c r="O1551" s="239"/>
      <c r="P1551" s="239"/>
      <c r="Q1551" s="239"/>
      <c r="R1551" s="248"/>
      <c r="U1551" s="179"/>
      <c r="W1551" s="179"/>
      <c r="X1551" s="179"/>
    </row>
    <row r="1552" spans="1:24" s="65" customFormat="1" ht="15" customHeight="1" outlineLevel="2">
      <c r="A1552" s="219"/>
      <c r="B1552" s="242"/>
      <c r="C1552" s="258" t="s">
        <v>454</v>
      </c>
      <c r="D1552" s="258" t="s">
        <v>241</v>
      </c>
      <c r="E1552" s="258" t="s">
        <v>598</v>
      </c>
      <c r="F1552" s="258" t="s">
        <v>274</v>
      </c>
      <c r="G1552" s="258" t="s">
        <v>509</v>
      </c>
      <c r="H1552" s="258" t="s">
        <v>510</v>
      </c>
      <c r="I1552" s="258" t="s">
        <v>1107</v>
      </c>
      <c r="J1552" s="258" t="s">
        <v>210</v>
      </c>
      <c r="K1552" s="258" t="s">
        <v>211</v>
      </c>
      <c r="L1552" s="258" t="s">
        <v>212</v>
      </c>
      <c r="M1552" s="258" t="s">
        <v>213</v>
      </c>
      <c r="N1552" s="258" t="s">
        <v>214</v>
      </c>
      <c r="O1552" s="258" t="s">
        <v>215</v>
      </c>
      <c r="P1552" s="258" t="s">
        <v>216</v>
      </c>
      <c r="Q1552" s="258" t="s">
        <v>217</v>
      </c>
      <c r="R1552" s="248"/>
      <c r="U1552" s="179"/>
      <c r="W1552" s="179"/>
      <c r="X1552" s="179"/>
    </row>
    <row r="1553" spans="1:24" s="65" customFormat="1" ht="15" customHeight="1" outlineLevel="2">
      <c r="A1553" s="219"/>
      <c r="B1553" s="242"/>
      <c r="C1553" s="251" t="s">
        <v>1968</v>
      </c>
      <c r="D1553" s="242"/>
      <c r="E1553" s="242"/>
      <c r="F1553" s="121"/>
      <c r="G1553" s="251" t="s">
        <v>1377</v>
      </c>
      <c r="H1553" s="242"/>
      <c r="I1553" s="316">
        <f t="shared" ref="I1553:Q1553" ca="1" si="155">SUMPRODUCT(I$1367:I$1372,$K$1251:$K$1256)</f>
        <v>3.747770272824519E-5</v>
      </c>
      <c r="J1553" s="316">
        <f t="shared" ca="1" si="155"/>
        <v>3.7276900540571862E-5</v>
      </c>
      <c r="K1553" s="316">
        <f t="shared" ca="1" si="155"/>
        <v>3.700918873256366E-5</v>
      </c>
      <c r="L1553" s="316">
        <f t="shared" ca="1" si="155"/>
        <v>3.6722911287425944E-5</v>
      </c>
      <c r="M1553" s="316">
        <f t="shared" ca="1" si="155"/>
        <v>3.6418068205158727E-5</v>
      </c>
      <c r="N1553" s="316">
        <f t="shared" ca="1" si="155"/>
        <v>3.6094659485761997E-5</v>
      </c>
      <c r="O1553" s="316">
        <f t="shared" ca="1" si="155"/>
        <v>3.5752685129235781E-5</v>
      </c>
      <c r="P1553" s="316">
        <f t="shared" ca="1" si="155"/>
        <v>3.5392145135580057E-5</v>
      </c>
      <c r="Q1553" s="316">
        <f t="shared" ca="1" si="155"/>
        <v>3.5013039504794806E-5</v>
      </c>
      <c r="R1553" s="248"/>
      <c r="U1553" s="179"/>
      <c r="W1553" s="179"/>
      <c r="X1553" s="179"/>
    </row>
    <row r="1554" spans="1:24" s="65" customFormat="1" ht="15" customHeight="1" outlineLevel="2">
      <c r="A1554" s="219"/>
      <c r="B1554" s="242"/>
      <c r="C1554" s="251" t="s">
        <v>1969</v>
      </c>
      <c r="D1554" s="242"/>
      <c r="E1554" s="242"/>
      <c r="F1554" s="121"/>
      <c r="G1554" s="315" t="s">
        <v>1380</v>
      </c>
      <c r="H1554" s="242"/>
      <c r="I1554" s="316">
        <f t="shared" ref="I1554:Q1554" ca="1" si="156">SUMPRODUCT(I$1373:I$1378,$K$1251:$K$1256)</f>
        <v>2.8668259152441647E-5</v>
      </c>
      <c r="J1554" s="316">
        <f t="shared" ca="1" si="156"/>
        <v>3.0039608389588879E-5</v>
      </c>
      <c r="K1554" s="316">
        <f t="shared" ca="1" si="156"/>
        <v>3.1784555856992094E-5</v>
      </c>
      <c r="L1554" s="316">
        <f t="shared" ca="1" si="156"/>
        <v>3.3563682125472186E-5</v>
      </c>
      <c r="M1554" s="316">
        <f t="shared" ca="1" si="156"/>
        <v>3.5376987195029121E-5</v>
      </c>
      <c r="N1554" s="316">
        <f t="shared" ca="1" si="156"/>
        <v>3.7224471065662932E-5</v>
      </c>
      <c r="O1554" s="316">
        <f t="shared" ca="1" si="156"/>
        <v>3.9106133737373607E-5</v>
      </c>
      <c r="P1554" s="316">
        <f t="shared" ca="1" si="156"/>
        <v>4.1021975210161132E-5</v>
      </c>
      <c r="Q1554" s="316">
        <f t="shared" ca="1" si="156"/>
        <v>4.2971995484025533E-5</v>
      </c>
      <c r="R1554" s="248"/>
      <c r="U1554" s="179"/>
      <c r="W1554" s="179"/>
      <c r="X1554" s="179"/>
    </row>
    <row r="1555" spans="1:24" s="65" customFormat="1" ht="15" customHeight="1" outlineLevel="2">
      <c r="A1555" s="219"/>
      <c r="B1555" s="242"/>
      <c r="C1555" s="251" t="s">
        <v>1970</v>
      </c>
      <c r="D1555" s="242"/>
      <c r="E1555" s="242"/>
      <c r="F1555" s="121"/>
      <c r="G1555" s="315" t="s">
        <v>1625</v>
      </c>
      <c r="H1555" s="242"/>
      <c r="I1555" s="316">
        <f t="shared" ref="I1555:Q1555" ca="1" si="157">SUMPRODUCT(I$1379:I$1384,$K$1251:$K$1256)</f>
        <v>3.2481747566805249E-6</v>
      </c>
      <c r="J1555" s="316">
        <f t="shared" ca="1" si="157"/>
        <v>3.3667462483910708E-6</v>
      </c>
      <c r="K1555" s="316">
        <f t="shared" ca="1" si="157"/>
        <v>3.5173949782240328E-6</v>
      </c>
      <c r="L1555" s="316">
        <f t="shared" ca="1" si="157"/>
        <v>3.6707485582734113E-6</v>
      </c>
      <c r="M1555" s="316">
        <f t="shared" ca="1" si="157"/>
        <v>3.8268069885392109E-6</v>
      </c>
      <c r="N1555" s="316">
        <f t="shared" ca="1" si="157"/>
        <v>3.9855702690214257E-6</v>
      </c>
      <c r="O1555" s="316">
        <f t="shared" ca="1" si="157"/>
        <v>4.147038399720063E-6</v>
      </c>
      <c r="P1555" s="316">
        <f t="shared" ca="1" si="157"/>
        <v>4.3112113806351168E-6</v>
      </c>
      <c r="Q1555" s="316">
        <f t="shared" ca="1" si="157"/>
        <v>4.4780892117665897E-6</v>
      </c>
      <c r="R1555" s="248"/>
      <c r="U1555" s="179"/>
      <c r="W1555" s="179"/>
      <c r="X1555" s="179"/>
    </row>
    <row r="1556" spans="1:24" s="65" customFormat="1" ht="15" customHeight="1" outlineLevel="2">
      <c r="A1556" s="219"/>
      <c r="B1556" s="242"/>
      <c r="C1556" s="251" t="s">
        <v>1971</v>
      </c>
      <c r="D1556" s="242"/>
      <c r="E1556" s="242"/>
      <c r="F1556" s="121"/>
      <c r="G1556" s="315" t="s">
        <v>1939</v>
      </c>
      <c r="H1556" s="242"/>
      <c r="I1556" s="316">
        <f t="shared" ref="I1556:Q1556" ca="1" si="158">SUMPRODUCT(I$1385:I$1390,$K$1251:$K$1256)</f>
        <v>1.0323816465874188E-6</v>
      </c>
      <c r="J1556" s="316">
        <f t="shared" ca="1" si="158"/>
        <v>1.0700677444793804E-6</v>
      </c>
      <c r="K1556" s="316">
        <f t="shared" ca="1" si="158"/>
        <v>1.1179490918241878E-6</v>
      </c>
      <c r="L1556" s="316">
        <f t="shared" ca="1" si="158"/>
        <v>1.1666901335910561E-6</v>
      </c>
      <c r="M1556" s="316">
        <f t="shared" ca="1" si="158"/>
        <v>1.2162908697799866E-6</v>
      </c>
      <c r="N1556" s="316">
        <f t="shared" ca="1" si="158"/>
        <v>1.2667513003909775E-6</v>
      </c>
      <c r="O1556" s="316">
        <f t="shared" ca="1" si="158"/>
        <v>1.3180714254240305E-6</v>
      </c>
      <c r="P1556" s="316">
        <f t="shared" ca="1" si="158"/>
        <v>1.3702512448791446E-6</v>
      </c>
      <c r="Q1556" s="316">
        <f t="shared" ca="1" si="158"/>
        <v>1.4232907587563197E-6</v>
      </c>
      <c r="R1556" s="248"/>
      <c r="U1556" s="179"/>
      <c r="W1556" s="179"/>
      <c r="X1556" s="179"/>
    </row>
    <row r="1557" spans="1:24" s="65" customFormat="1" ht="15" customHeight="1" outlineLevel="2">
      <c r="A1557" s="219"/>
      <c r="B1557" s="242"/>
      <c r="C1557" s="251" t="s">
        <v>1972</v>
      </c>
      <c r="D1557" s="242"/>
      <c r="E1557" s="242"/>
      <c r="F1557" s="121"/>
      <c r="G1557" s="315" t="s">
        <v>1940</v>
      </c>
      <c r="H1557" s="242"/>
      <c r="I1557" s="316">
        <f t="shared" ref="I1557:Q1557" ca="1" si="159">SUMPRODUCT(I$1391:I$1396,$K$1251:$K$1256)</f>
        <v>9.5319969958313836E-8</v>
      </c>
      <c r="J1557" s="316">
        <f t="shared" ca="1" si="159"/>
        <v>9.399986619387414E-8</v>
      </c>
      <c r="K1557" s="316">
        <f t="shared" ca="1" si="159"/>
        <v>9.2284128301974163E-8</v>
      </c>
      <c r="L1557" s="316">
        <f t="shared" ca="1" si="159"/>
        <v>9.0495492425240413E-8</v>
      </c>
      <c r="M1557" s="316">
        <f t="shared" ca="1" si="159"/>
        <v>8.8633958563672863E-8</v>
      </c>
      <c r="N1557" s="316">
        <f t="shared" ca="1" si="159"/>
        <v>8.6699526717271513E-8</v>
      </c>
      <c r="O1557" s="316">
        <f t="shared" ca="1" si="159"/>
        <v>8.4692196886036404E-8</v>
      </c>
      <c r="P1557" s="316">
        <f t="shared" ca="1" si="159"/>
        <v>8.2611969069967495E-8</v>
      </c>
      <c r="Q1557" s="316">
        <f t="shared" ca="1" si="159"/>
        <v>8.0458843269064812E-8</v>
      </c>
      <c r="R1557" s="248"/>
      <c r="U1557" s="179"/>
      <c r="W1557" s="179"/>
      <c r="X1557" s="179"/>
    </row>
    <row r="1558" spans="1:24" s="65" customFormat="1" ht="15" customHeight="1" outlineLevel="2">
      <c r="A1558" s="219"/>
      <c r="B1558" s="242"/>
      <c r="C1558" s="251" t="s">
        <v>1973</v>
      </c>
      <c r="D1558" s="242"/>
      <c r="E1558" s="242"/>
      <c r="F1558" s="121"/>
      <c r="G1558" s="315" t="s">
        <v>1961</v>
      </c>
      <c r="H1558" s="242"/>
      <c r="I1558" s="316">
        <f t="shared" ref="I1558:Q1558" ca="1" si="160">SUMPRODUCT(I$1397:I$1402,$K$1251:$K$1256)</f>
        <v>7.7935540178262409E-5</v>
      </c>
      <c r="J1558" s="316">
        <f t="shared" ca="1" si="160"/>
        <v>7.8734879051885613E-5</v>
      </c>
      <c r="K1558" s="316">
        <f t="shared" ca="1" si="160"/>
        <v>7.9734052643914624E-5</v>
      </c>
      <c r="L1558" s="316">
        <f t="shared" ca="1" si="160"/>
        <v>8.0733226235943622E-5</v>
      </c>
      <c r="M1558" s="316">
        <f t="shared" ca="1" si="160"/>
        <v>8.1732399827972647E-5</v>
      </c>
      <c r="N1558" s="316">
        <f t="shared" ca="1" si="160"/>
        <v>8.2731573420001631E-5</v>
      </c>
      <c r="O1558" s="316">
        <f t="shared" ca="1" si="160"/>
        <v>8.373074701203067E-5</v>
      </c>
      <c r="P1558" s="316">
        <f t="shared" ca="1" si="160"/>
        <v>8.4729920604059667E-5</v>
      </c>
      <c r="Q1558" s="316">
        <f t="shared" ca="1" si="160"/>
        <v>8.5729094196088665E-5</v>
      </c>
      <c r="R1558" s="248"/>
      <c r="U1558" s="179"/>
      <c r="W1558" s="179"/>
      <c r="X1558" s="179"/>
    </row>
    <row r="1559" spans="1:24" s="65" customFormat="1" ht="15" customHeight="1" outlineLevel="2">
      <c r="A1559" s="219"/>
      <c r="B1559" s="242"/>
      <c r="C1559" s="251" t="s">
        <v>1974</v>
      </c>
      <c r="D1559" s="242"/>
      <c r="E1559" s="242"/>
      <c r="F1559" s="121"/>
      <c r="G1559" s="315" t="s">
        <v>1962</v>
      </c>
      <c r="H1559" s="242"/>
      <c r="I1559" s="316">
        <f t="shared" ref="I1559:Q1559" ca="1" si="161">SUMPRODUCT(I$1403:I$1408,$K$1251:$K$1256)</f>
        <v>5.6632958007176483E-6</v>
      </c>
      <c r="J1559" s="316">
        <f t="shared" ca="1" si="161"/>
        <v>5.721380885853212E-6</v>
      </c>
      <c r="K1559" s="316">
        <f t="shared" ca="1" si="161"/>
        <v>5.7939872422726684E-6</v>
      </c>
      <c r="L1559" s="316">
        <f t="shared" ca="1" si="161"/>
        <v>5.8665935986921273E-6</v>
      </c>
      <c r="M1559" s="316">
        <f t="shared" ca="1" si="161"/>
        <v>5.9391999551115845E-6</v>
      </c>
      <c r="N1559" s="316">
        <f t="shared" ca="1" si="161"/>
        <v>6.0118063115310409E-6</v>
      </c>
      <c r="O1559" s="316">
        <f t="shared" ca="1" si="161"/>
        <v>6.0844126679504989E-6</v>
      </c>
      <c r="P1559" s="316">
        <f t="shared" ca="1" si="161"/>
        <v>6.1570190243699553E-6</v>
      </c>
      <c r="Q1559" s="316">
        <f t="shared" ca="1" si="161"/>
        <v>6.2296253807894133E-6</v>
      </c>
      <c r="R1559" s="248"/>
      <c r="U1559" s="179"/>
      <c r="W1559" s="179"/>
      <c r="X1559" s="179"/>
    </row>
    <row r="1560" spans="1:24" s="65" customFormat="1" ht="15" customHeight="1" outlineLevel="2">
      <c r="A1560" s="219"/>
      <c r="B1560" s="242"/>
      <c r="C1560" s="251" t="s">
        <v>1975</v>
      </c>
      <c r="D1560" s="242"/>
      <c r="E1560" s="242"/>
      <c r="F1560" s="121"/>
      <c r="G1560" s="315" t="s">
        <v>1963</v>
      </c>
      <c r="H1560" s="242"/>
      <c r="I1560" s="316">
        <f t="shared" ref="I1560:Q1560" ca="1" si="162">SUMPRODUCT(I$1409:I$1414,$K$1251:$K$1256)</f>
        <v>2.3285174936156825E-6</v>
      </c>
      <c r="J1560" s="316">
        <f t="shared" ca="1" si="162"/>
        <v>2.3523997243194335E-6</v>
      </c>
      <c r="K1560" s="316">
        <f t="shared" ca="1" si="162"/>
        <v>2.3822525126991217E-6</v>
      </c>
      <c r="L1560" s="316">
        <f t="shared" ca="1" si="162"/>
        <v>2.4121053010788103E-6</v>
      </c>
      <c r="M1560" s="316">
        <f t="shared" ca="1" si="162"/>
        <v>2.4419580894584981E-6</v>
      </c>
      <c r="N1560" s="316">
        <f t="shared" ca="1" si="162"/>
        <v>2.4718108778381863E-6</v>
      </c>
      <c r="O1560" s="316">
        <f t="shared" ca="1" si="162"/>
        <v>2.5016636662178749E-6</v>
      </c>
      <c r="P1560" s="316">
        <f t="shared" ca="1" si="162"/>
        <v>2.5315164545975631E-6</v>
      </c>
      <c r="Q1560" s="316">
        <f t="shared" ca="1" si="162"/>
        <v>2.5613692429772513E-6</v>
      </c>
      <c r="R1560" s="248"/>
      <c r="U1560" s="179"/>
      <c r="W1560" s="179"/>
      <c r="X1560" s="179"/>
    </row>
    <row r="1561" spans="1:24" s="65" customFormat="1" ht="15" customHeight="1" outlineLevel="2">
      <c r="A1561" s="219"/>
      <c r="B1561" s="242"/>
      <c r="C1561" s="251" t="s">
        <v>1976</v>
      </c>
      <c r="D1561" s="242"/>
      <c r="E1561" s="242"/>
      <c r="F1561" s="121"/>
      <c r="G1561" s="251" t="s">
        <v>1964</v>
      </c>
      <c r="H1561" s="242"/>
      <c r="I1561" s="316">
        <f t="shared" ref="I1561:Q1561" ca="1" si="163">SUMPRODUCT(I$1415:I$1420,$K$1251:$K$1256)</f>
        <v>3.2838825170386451E-6</v>
      </c>
      <c r="J1561" s="316">
        <f t="shared" ca="1" si="163"/>
        <v>3.3175633633672468E-6</v>
      </c>
      <c r="K1561" s="316">
        <f t="shared" ca="1" si="163"/>
        <v>3.3596644212779985E-6</v>
      </c>
      <c r="L1561" s="316">
        <f t="shared" ca="1" si="163"/>
        <v>3.4017654791887507E-6</v>
      </c>
      <c r="M1561" s="316">
        <f t="shared" ca="1" si="163"/>
        <v>3.4438665370995025E-6</v>
      </c>
      <c r="N1561" s="316">
        <f t="shared" ca="1" si="163"/>
        <v>3.4859675950102542E-6</v>
      </c>
      <c r="O1561" s="316">
        <f t="shared" ca="1" si="163"/>
        <v>3.5280686529210068E-6</v>
      </c>
      <c r="P1561" s="316">
        <f t="shared" ca="1" si="163"/>
        <v>3.570169710831759E-6</v>
      </c>
      <c r="Q1561" s="316">
        <f t="shared" ca="1" si="163"/>
        <v>3.6122707687425099E-6</v>
      </c>
      <c r="R1561" s="248"/>
      <c r="U1561" s="179"/>
      <c r="W1561" s="179"/>
      <c r="X1561" s="179"/>
    </row>
    <row r="1562" spans="1:24" s="65" customFormat="1" ht="15" customHeight="1" outlineLevel="2">
      <c r="A1562" s="219"/>
      <c r="B1562" s="242"/>
      <c r="C1562" s="251" t="s">
        <v>1977</v>
      </c>
      <c r="D1562" s="242"/>
      <c r="E1562" s="242"/>
      <c r="F1562" s="121"/>
      <c r="G1562" s="315" t="s">
        <v>1954</v>
      </c>
      <c r="H1562" s="242"/>
      <c r="I1562" s="316">
        <f t="shared" ref="I1562:Q1562" ca="1" si="164">SUMPRODUCT(I$1421:I$1426,$K$1251:$K$1256)</f>
        <v>2.5399254738813124E-6</v>
      </c>
      <c r="J1562" s="316">
        <f t="shared" ca="1" si="164"/>
        <v>2.5659759915621465E-6</v>
      </c>
      <c r="K1562" s="316">
        <f t="shared" ca="1" si="164"/>
        <v>2.5985391386631888E-6</v>
      </c>
      <c r="L1562" s="316">
        <f t="shared" ca="1" si="164"/>
        <v>2.6311022857642319E-6</v>
      </c>
      <c r="M1562" s="316">
        <f t="shared" ca="1" si="164"/>
        <v>2.6636654328652742E-6</v>
      </c>
      <c r="N1562" s="316">
        <f t="shared" ca="1" si="164"/>
        <v>2.6962285799663165E-6</v>
      </c>
      <c r="O1562" s="316">
        <f t="shared" ca="1" si="164"/>
        <v>2.7287917270673596E-6</v>
      </c>
      <c r="P1562" s="316">
        <f t="shared" ca="1" si="164"/>
        <v>2.7613548741684019E-6</v>
      </c>
      <c r="Q1562" s="316">
        <f t="shared" ca="1" si="164"/>
        <v>2.7939180212694434E-6</v>
      </c>
      <c r="R1562" s="248"/>
      <c r="U1562" s="179"/>
      <c r="W1562" s="179"/>
      <c r="X1562" s="179"/>
    </row>
    <row r="1563" spans="1:24" s="65" customFormat="1" ht="15" customHeight="1" outlineLevel="2">
      <c r="A1563" s="219"/>
      <c r="B1563" s="242"/>
      <c r="C1563" s="251" t="s">
        <v>1978</v>
      </c>
      <c r="D1563" s="242"/>
      <c r="E1563" s="242"/>
      <c r="F1563" s="121"/>
      <c r="G1563" s="251" t="s">
        <v>1955</v>
      </c>
      <c r="H1563" s="242"/>
      <c r="I1563" s="316">
        <f t="shared" ref="I1563:Q1563" ca="1" si="165">SUMPRODUCT(I$1417:I$1422,$K$1251:$K$1256)</f>
        <v>1.7170115915548014E-5</v>
      </c>
      <c r="J1563" s="316">
        <f t="shared" ca="1" si="165"/>
        <v>1.7346219668527996E-5</v>
      </c>
      <c r="K1563" s="316">
        <f t="shared" ca="1" si="165"/>
        <v>1.7566349359752967E-5</v>
      </c>
      <c r="L1563" s="316">
        <f t="shared" ca="1" si="165"/>
        <v>1.7786479050977942E-5</v>
      </c>
      <c r="M1563" s="316">
        <f t="shared" ca="1" si="165"/>
        <v>1.800660874220292E-5</v>
      </c>
      <c r="N1563" s="316">
        <f t="shared" ca="1" si="165"/>
        <v>1.8226738433427891E-5</v>
      </c>
      <c r="O1563" s="316">
        <f t="shared" ca="1" si="165"/>
        <v>1.8446868124652872E-5</v>
      </c>
      <c r="P1563" s="316">
        <f t="shared" ca="1" si="165"/>
        <v>1.8666997815877843E-5</v>
      </c>
      <c r="Q1563" s="316">
        <f t="shared" ca="1" si="165"/>
        <v>1.8887127507102818E-5</v>
      </c>
      <c r="R1563" s="248"/>
      <c r="U1563" s="179"/>
      <c r="W1563" s="179"/>
      <c r="X1563" s="179"/>
    </row>
    <row r="1564" spans="1:24" s="65" customFormat="1" ht="15" customHeight="1" outlineLevel="2">
      <c r="A1564" s="219"/>
      <c r="B1564" s="242"/>
      <c r="C1564" s="251" t="s">
        <v>1979</v>
      </c>
      <c r="D1564" s="242"/>
      <c r="E1564" s="242"/>
      <c r="F1564" s="121"/>
      <c r="G1564" s="251" t="s">
        <v>1956</v>
      </c>
      <c r="H1564" s="242"/>
      <c r="I1564" s="316">
        <f t="shared" ref="I1564:Q1564" ca="1" si="166">SUMPRODUCT(I$1427:I$1432,$K$1251:$K$1256)</f>
        <v>2.9925517697168569E-6</v>
      </c>
      <c r="J1564" s="316">
        <f t="shared" ca="1" si="166"/>
        <v>3.0232446083806199E-6</v>
      </c>
      <c r="K1564" s="316">
        <f t="shared" ca="1" si="166"/>
        <v>3.0616106567103228E-6</v>
      </c>
      <c r="L1564" s="316">
        <f t="shared" ca="1" si="166"/>
        <v>3.099976705040027E-6</v>
      </c>
      <c r="M1564" s="316">
        <f t="shared" ca="1" si="166"/>
        <v>3.1383427533697295E-6</v>
      </c>
      <c r="N1564" s="316">
        <f t="shared" ca="1" si="166"/>
        <v>3.1767088016994329E-6</v>
      </c>
      <c r="O1564" s="316">
        <f t="shared" ca="1" si="166"/>
        <v>3.2150748500291366E-6</v>
      </c>
      <c r="P1564" s="316">
        <f t="shared" ca="1" si="166"/>
        <v>3.2534408983588395E-6</v>
      </c>
      <c r="Q1564" s="316">
        <f t="shared" ca="1" si="166"/>
        <v>3.2918069466885425E-6</v>
      </c>
      <c r="R1564" s="248"/>
      <c r="U1564" s="179"/>
      <c r="W1564" s="179"/>
      <c r="X1564" s="179"/>
    </row>
    <row r="1565" spans="1:24" s="65" customFormat="1" ht="15" customHeight="1" outlineLevel="2">
      <c r="A1565" s="219"/>
      <c r="B1565" s="242"/>
      <c r="C1565" s="251" t="s">
        <v>1980</v>
      </c>
      <c r="D1565" s="242"/>
      <c r="E1565" s="242"/>
      <c r="F1565" s="121"/>
      <c r="G1565" s="251" t="s">
        <v>1426</v>
      </c>
      <c r="H1565" s="242"/>
      <c r="I1565" s="316">
        <f t="shared" ref="I1565:Q1565" ca="1" si="167">SUMPRODUCT(I$1439:I$1444,$K$1251:$K$1256)</f>
        <v>2.3354809082024211E-5</v>
      </c>
      <c r="J1565" s="316">
        <f t="shared" ca="1" si="167"/>
        <v>2.2626372433206836E-5</v>
      </c>
      <c r="K1565" s="316">
        <f t="shared" ca="1" si="167"/>
        <v>2.1688187794869112E-5</v>
      </c>
      <c r="L1565" s="316">
        <f t="shared" ca="1" si="167"/>
        <v>2.0719293348402494E-5</v>
      </c>
      <c r="M1565" s="316">
        <f t="shared" ca="1" si="167"/>
        <v>1.9719689093806978E-5</v>
      </c>
      <c r="N1565" s="316">
        <f t="shared" ca="1" si="167"/>
        <v>1.8689375031082571E-5</v>
      </c>
      <c r="O1565" s="316">
        <f t="shared" ca="1" si="167"/>
        <v>1.7628351160229267E-5</v>
      </c>
      <c r="P1565" s="316">
        <f t="shared" ca="1" si="167"/>
        <v>1.6536617481247075E-5</v>
      </c>
      <c r="Q1565" s="316">
        <f t="shared" ca="1" si="167"/>
        <v>1.5414173994135978E-5</v>
      </c>
      <c r="R1565" s="248"/>
      <c r="U1565" s="179"/>
      <c r="W1565" s="179"/>
      <c r="X1565" s="179"/>
    </row>
    <row r="1566" spans="1:24" s="65" customFormat="1" ht="15" customHeight="1" outlineLevel="2">
      <c r="A1566" s="219"/>
      <c r="B1566" s="242"/>
      <c r="C1566" s="251" t="s">
        <v>1981</v>
      </c>
      <c r="D1566" s="242"/>
      <c r="E1566" s="242"/>
      <c r="F1566" s="121"/>
      <c r="G1566" s="251" t="s">
        <v>1457</v>
      </c>
      <c r="H1566" s="242"/>
      <c r="I1566" s="316">
        <f t="shared" ref="I1566:Q1566" ca="1" si="168">SUMPRODUCT(I$1445:I$1450,$K$1251:$K$1256)</f>
        <v>5.9622619136887557E-5</v>
      </c>
      <c r="J1566" s="316">
        <f t="shared" ca="1" si="168"/>
        <v>5.8934247470365762E-5</v>
      </c>
      <c r="K1566" s="316">
        <f t="shared" ca="1" si="168"/>
        <v>5.8036666861259943E-5</v>
      </c>
      <c r="L1566" s="316">
        <f t="shared" ca="1" si="168"/>
        <v>5.7097846223316835E-5</v>
      </c>
      <c r="M1566" s="316">
        <f t="shared" ca="1" si="168"/>
        <v>5.6117785556536437E-5</v>
      </c>
      <c r="N1566" s="316">
        <f t="shared" ca="1" si="168"/>
        <v>5.5096484860918737E-5</v>
      </c>
      <c r="O1566" s="316">
        <f t="shared" ca="1" si="168"/>
        <v>5.4033944136463769E-5</v>
      </c>
      <c r="P1566" s="316">
        <f t="shared" ca="1" si="168"/>
        <v>5.2930163383171504E-5</v>
      </c>
      <c r="Q1566" s="316">
        <f t="shared" ca="1" si="168"/>
        <v>5.1785142601041923E-5</v>
      </c>
      <c r="R1566" s="248"/>
      <c r="U1566" s="179"/>
      <c r="W1566" s="179"/>
      <c r="X1566" s="179"/>
    </row>
    <row r="1567" spans="1:24" s="65" customFormat="1" ht="15" customHeight="1" outlineLevel="2">
      <c r="A1567" s="219"/>
      <c r="B1567" s="242"/>
      <c r="C1567" s="334" t="s">
        <v>375</v>
      </c>
      <c r="D1567" s="335"/>
      <c r="E1567" s="335"/>
      <c r="F1567" s="336"/>
      <c r="G1567" s="334"/>
      <c r="H1567" s="335"/>
      <c r="I1567" s="339">
        <f ca="1">SUBTOTAL(109,G.30.assumptions.CombustionN2OEmissionsBiomassAtZeroAfterProductManufacturingEfficiency[2011])</f>
        <v>2.6541309562160546E-4</v>
      </c>
      <c r="J1567" s="339">
        <f ca="1">SUBTOTAL(109,G.30.assumptions.CombustionN2OEmissionsBiomassAtZeroAfterProductManufacturingEfficiency[2015])</f>
        <v>2.6646960598669396E-4</v>
      </c>
      <c r="K1567" s="339">
        <f ca="1">SUBTOTAL(109,G.30.assumptions.CombustionN2OEmissionsBiomassAtZeroAfterProductManufacturingEfficiency[2020])</f>
        <v>2.6774268341932586E-4</v>
      </c>
      <c r="L1567" s="339">
        <f ca="1">SUBTOTAL(109,G.30.assumptions.CombustionN2OEmissionsBiomassAtZeroAfterProductManufacturingEfficiency[2025])</f>
        <v>2.6896291582559275E-4</v>
      </c>
      <c r="M1567" s="339">
        <f ca="1">SUBTOTAL(109,G.30.assumptions.CombustionN2OEmissionsBiomassAtZeroAfterProductManufacturingEfficiency[2030])</f>
        <v>2.7013030320549429E-4</v>
      </c>
      <c r="N1567" s="339">
        <f ca="1">SUBTOTAL(109,G.30.assumptions.CombustionN2OEmissionsBiomassAtZeroAfterProductManufacturingEfficiency[2035])</f>
        <v>2.7124484555903069E-4</v>
      </c>
      <c r="O1567" s="339">
        <f ca="1">SUBTOTAL(109,G.30.assumptions.CombustionN2OEmissionsBiomassAtZeroAfterProductManufacturingEfficiency[2040])</f>
        <v>2.7230654288620197E-4</v>
      </c>
      <c r="P1567" s="339">
        <f ca="1">SUBTOTAL(109,G.30.assumptions.CombustionN2OEmissionsBiomassAtZeroAfterProductManufacturingEfficiency[2045])</f>
        <v>2.73315395187008E-4</v>
      </c>
      <c r="Q1567" s="339">
        <f ca="1">SUBTOTAL(109,G.30.assumptions.CombustionN2OEmissionsBiomassAtZeroAfterProductManufacturingEfficiency[2050])</f>
        <v>2.7427140246144886E-4</v>
      </c>
      <c r="R1567" s="248"/>
      <c r="U1567" s="179"/>
      <c r="W1567" s="179"/>
      <c r="X1567" s="179"/>
    </row>
    <row r="1568" spans="1:24" s="65" customFormat="1" ht="15" customHeight="1" outlineLevel="2">
      <c r="A1568" s="219"/>
      <c r="B1568" s="242"/>
      <c r="C1568" s="251"/>
      <c r="D1568" s="242"/>
      <c r="E1568" s="242"/>
      <c r="F1568" s="121"/>
      <c r="G1568" s="242"/>
      <c r="H1568" s="242"/>
      <c r="I1568" s="239"/>
      <c r="J1568" s="239"/>
      <c r="K1568" s="239"/>
      <c r="L1568" s="239"/>
      <c r="M1568" s="239"/>
      <c r="N1568" s="239"/>
      <c r="O1568" s="239"/>
      <c r="P1568" s="239"/>
      <c r="Q1568" s="239"/>
      <c r="R1568" s="248"/>
      <c r="U1568" s="179"/>
      <c r="W1568" s="179"/>
      <c r="X1568" s="179"/>
    </row>
    <row r="1569" spans="1:24" s="65" customFormat="1" ht="15" customHeight="1" outlineLevel="2">
      <c r="A1569" s="219"/>
      <c r="B1569" s="242"/>
      <c r="C1569" s="251"/>
      <c r="D1569" s="242"/>
      <c r="E1569" s="242"/>
      <c r="F1569" s="121"/>
      <c r="G1569" s="242"/>
      <c r="H1569" s="242"/>
      <c r="I1569" s="239"/>
      <c r="J1569" s="239"/>
      <c r="K1569" s="239"/>
      <c r="L1569" s="239"/>
      <c r="M1569" s="239"/>
      <c r="N1569" s="239"/>
      <c r="O1569" s="239"/>
      <c r="P1569" s="239"/>
      <c r="Q1569" s="239"/>
      <c r="R1569" s="248"/>
      <c r="U1569" s="179"/>
      <c r="W1569" s="179"/>
      <c r="X1569" s="179"/>
    </row>
    <row r="1570" spans="1:24" s="65" customFormat="1" ht="15" customHeight="1" outlineLevel="2">
      <c r="A1570" s="219"/>
      <c r="B1570" s="242"/>
      <c r="C1570" s="313" t="s">
        <v>1985</v>
      </c>
      <c r="D1570" s="242"/>
      <c r="E1570" s="242"/>
      <c r="F1570" s="121"/>
      <c r="G1570" s="242"/>
      <c r="H1570" s="242"/>
      <c r="I1570" s="239"/>
      <c r="J1570" s="239"/>
      <c r="K1570" s="239"/>
      <c r="L1570" s="239"/>
      <c r="M1570" s="239"/>
      <c r="N1570" s="239"/>
      <c r="O1570" s="239"/>
      <c r="P1570" s="239"/>
      <c r="Q1570" s="239"/>
      <c r="R1570" s="248"/>
      <c r="U1570" s="179"/>
      <c r="W1570" s="179"/>
      <c r="X1570" s="179"/>
    </row>
    <row r="1571" spans="1:24" s="65" customFormat="1" ht="15" customHeight="1" outlineLevel="2">
      <c r="A1571" s="219"/>
      <c r="B1571" s="242"/>
      <c r="C1571" s="301"/>
      <c r="D1571" s="242"/>
      <c r="E1571" s="242"/>
      <c r="F1571" s="121"/>
      <c r="G1571" s="242"/>
      <c r="H1571" s="242"/>
      <c r="I1571" s="239"/>
      <c r="J1571" s="239"/>
      <c r="K1571" s="239"/>
      <c r="L1571" s="239"/>
      <c r="M1571" s="239"/>
      <c r="N1571" s="239"/>
      <c r="O1571" s="239"/>
      <c r="P1571" s="239"/>
      <c r="Q1571" s="239"/>
      <c r="R1571" s="248"/>
      <c r="U1571" s="179"/>
      <c r="W1571" s="179"/>
      <c r="X1571" s="179"/>
    </row>
    <row r="1572" spans="1:24" s="65" customFormat="1" ht="15" customHeight="1" outlineLevel="2">
      <c r="A1572" s="219"/>
      <c r="B1572" s="242"/>
      <c r="C1572" s="258" t="s">
        <v>454</v>
      </c>
      <c r="D1572" s="258" t="s">
        <v>241</v>
      </c>
      <c r="E1572" s="258" t="s">
        <v>598</v>
      </c>
      <c r="F1572" s="258" t="s">
        <v>274</v>
      </c>
      <c r="G1572" s="258" t="s">
        <v>509</v>
      </c>
      <c r="H1572" s="258" t="s">
        <v>510</v>
      </c>
      <c r="I1572" s="258" t="s">
        <v>1107</v>
      </c>
      <c r="J1572" s="258" t="s">
        <v>210</v>
      </c>
      <c r="K1572" s="258" t="s">
        <v>211</v>
      </c>
      <c r="L1572" s="258" t="s">
        <v>212</v>
      </c>
      <c r="M1572" s="258" t="s">
        <v>213</v>
      </c>
      <c r="N1572" s="258" t="s">
        <v>214</v>
      </c>
      <c r="O1572" s="258" t="s">
        <v>215</v>
      </c>
      <c r="P1572" s="258" t="s">
        <v>216</v>
      </c>
      <c r="Q1572" s="258" t="s">
        <v>217</v>
      </c>
      <c r="R1572" s="248"/>
      <c r="T1572" s="179" t="str">
        <f>$T$6</f>
        <v>Source</v>
      </c>
      <c r="U1572" s="179" t="str">
        <f>$U$6</f>
        <v>Link</v>
      </c>
      <c r="V1572" s="179" t="str">
        <f>$V$6</f>
        <v>Risk (Green, Amber/Green, Amber, Red/Amber, Red)</v>
      </c>
      <c r="W1572" s="179" t="s">
        <v>869</v>
      </c>
      <c r="X1572" s="179" t="str">
        <f>$X$6</f>
        <v>Comment author</v>
      </c>
    </row>
    <row r="1573" spans="1:24" s="65" customFormat="1" ht="15" customHeight="1" outlineLevel="2">
      <c r="A1573" s="219"/>
      <c r="B1573" s="242"/>
      <c r="C1573" s="251" t="s">
        <v>1986</v>
      </c>
      <c r="D1573" s="251" t="s">
        <v>1986</v>
      </c>
      <c r="E1573" s="242"/>
      <c r="F1573" s="121"/>
      <c r="G1573" s="251" t="s">
        <v>1377</v>
      </c>
      <c r="H1573" s="242"/>
      <c r="I1573" s="316">
        <f t="shared" ref="I1573:Q1573" ca="1" si="169">$M1263/$I1337*I1337</f>
        <v>0.10030998914952237</v>
      </c>
      <c r="J1573" s="316">
        <f t="shared" ca="1" si="169"/>
        <v>9.9772537176738257E-2</v>
      </c>
      <c r="K1573" s="316">
        <f t="shared" ca="1" si="169"/>
        <v>9.9055999966567582E-2</v>
      </c>
      <c r="L1573" s="316">
        <f t="shared" ca="1" si="169"/>
        <v>9.8289771373962997E-2</v>
      </c>
      <c r="M1573" s="316">
        <f t="shared" ca="1" si="169"/>
        <v>9.7473851398924449E-2</v>
      </c>
      <c r="N1573" s="316">
        <f t="shared" ca="1" si="169"/>
        <v>9.6608240041451965E-2</v>
      </c>
      <c r="O1573" s="316">
        <f t="shared" ca="1" si="169"/>
        <v>9.5692937301545572E-2</v>
      </c>
      <c r="P1573" s="316">
        <f t="shared" ca="1" si="169"/>
        <v>9.4727943179205243E-2</v>
      </c>
      <c r="Q1573" s="316">
        <f t="shared" ca="1" si="169"/>
        <v>9.3713257674430936E-2</v>
      </c>
      <c r="R1573" s="248"/>
      <c r="U1573" s="179"/>
      <c r="W1573" s="179"/>
      <c r="X1573" s="179"/>
    </row>
    <row r="1574" spans="1:24" s="65" customFormat="1" ht="15" customHeight="1" outlineLevel="2" collapsed="1">
      <c r="A1574" s="219"/>
      <c r="B1574" s="242"/>
      <c r="C1574" s="251" t="s">
        <v>1987</v>
      </c>
      <c r="D1574" s="251" t="s">
        <v>1987</v>
      </c>
      <c r="E1574" s="242"/>
      <c r="F1574" s="121"/>
      <c r="G1574" s="315" t="s">
        <v>1380</v>
      </c>
      <c r="H1574" s="242"/>
      <c r="I1574" s="316">
        <f t="shared" ref="I1574:Q1586" ca="1" si="170">$M1264/$I1339*I1339</f>
        <v>0.81692123829171892</v>
      </c>
      <c r="J1574" s="316">
        <f t="shared" ca="1" si="170"/>
        <v>0.85599875293896976</v>
      </c>
      <c r="K1574" s="316">
        <f t="shared" ca="1" si="170"/>
        <v>0.90572219928585485</v>
      </c>
      <c r="L1574" s="316">
        <f t="shared" ca="1" si="170"/>
        <v>0.95641959345254224</v>
      </c>
      <c r="M1574" s="316">
        <f t="shared" ca="1" si="170"/>
        <v>1.0080909354390313</v>
      </c>
      <c r="N1574" s="316">
        <f t="shared" ca="1" si="170"/>
        <v>1.0607362252453225</v>
      </c>
      <c r="O1574" s="316">
        <f t="shared" ca="1" si="170"/>
        <v>1.1143554628714156</v>
      </c>
      <c r="P1574" s="316">
        <f t="shared" ca="1" si="170"/>
        <v>1.1689486483173106</v>
      </c>
      <c r="Q1574" s="316">
        <f t="shared" ca="1" si="170"/>
        <v>1.2245157815830074</v>
      </c>
      <c r="R1574" s="248"/>
      <c r="U1574" s="179"/>
      <c r="W1574" s="179"/>
      <c r="X1574" s="179"/>
    </row>
    <row r="1575" spans="1:24" s="65" customFormat="1" ht="15" customHeight="1" outlineLevel="2">
      <c r="A1575" s="219"/>
      <c r="B1575" s="242"/>
      <c r="C1575" s="251" t="s">
        <v>1988</v>
      </c>
      <c r="D1575" s="251" t="s">
        <v>1988</v>
      </c>
      <c r="E1575" s="242"/>
      <c r="F1575" s="121"/>
      <c r="G1575" s="315" t="s">
        <v>1625</v>
      </c>
      <c r="H1575" s="242"/>
      <c r="I1575" s="316">
        <f t="shared" ca="1" si="170"/>
        <v>-0.5438760438296899</v>
      </c>
      <c r="J1575" s="316">
        <f t="shared" ca="1" si="170"/>
        <v>-0.56372971509226089</v>
      </c>
      <c r="K1575" s="316">
        <f t="shared" ca="1" si="170"/>
        <v>-0.58895441552471295</v>
      </c>
      <c r="L1575" s="316">
        <f t="shared" ca="1" si="170"/>
        <v>-0.61463201746187335</v>
      </c>
      <c r="M1575" s="316">
        <f t="shared" ca="1" si="170"/>
        <v>-0.64076252090374297</v>
      </c>
      <c r="N1575" s="316">
        <f t="shared" ca="1" si="170"/>
        <v>-0.66734592585032093</v>
      </c>
      <c r="O1575" s="316">
        <f t="shared" ca="1" si="170"/>
        <v>-0.69438223230160823</v>
      </c>
      <c r="P1575" s="316">
        <f t="shared" ca="1" si="170"/>
        <v>-0.72187144025760397</v>
      </c>
      <c r="Q1575" s="316">
        <f t="shared" ca="1" si="170"/>
        <v>-0.74981354971830838</v>
      </c>
      <c r="R1575" s="248"/>
      <c r="U1575" s="179"/>
      <c r="W1575" s="179"/>
      <c r="X1575" s="179"/>
    </row>
    <row r="1576" spans="1:24" s="65" customFormat="1" ht="15" customHeight="1" outlineLevel="2">
      <c r="A1576" s="219"/>
      <c r="B1576" s="242"/>
      <c r="C1576" s="251" t="s">
        <v>1989</v>
      </c>
      <c r="D1576" s="251" t="s">
        <v>1989</v>
      </c>
      <c r="E1576" s="242"/>
      <c r="F1576" s="121"/>
      <c r="G1576" s="315" t="s">
        <v>1939</v>
      </c>
      <c r="H1576" s="242"/>
      <c r="I1576" s="316">
        <f t="shared" ca="1" si="170"/>
        <v>0.56612770196201156</v>
      </c>
      <c r="J1576" s="316">
        <f t="shared" ca="1" si="170"/>
        <v>0.58679364857779637</v>
      </c>
      <c r="K1576" s="316">
        <f t="shared" ca="1" si="170"/>
        <v>0.61305036984823347</v>
      </c>
      <c r="L1576" s="316">
        <f t="shared" ca="1" si="170"/>
        <v>0.63977852223056575</v>
      </c>
      <c r="M1576" s="316">
        <f t="shared" ca="1" si="170"/>
        <v>0.66697810572479377</v>
      </c>
      <c r="N1576" s="316">
        <f t="shared" ca="1" si="170"/>
        <v>0.69464912033091686</v>
      </c>
      <c r="O1576" s="316">
        <f t="shared" ca="1" si="170"/>
        <v>0.7227915660489358</v>
      </c>
      <c r="P1576" s="316">
        <f t="shared" ca="1" si="170"/>
        <v>0.75140544287884992</v>
      </c>
      <c r="Q1576" s="316">
        <f t="shared" ca="1" si="170"/>
        <v>0.78049075082065933</v>
      </c>
      <c r="R1576" s="248"/>
      <c r="U1576" s="179"/>
      <c r="W1576" s="179"/>
      <c r="X1576" s="179"/>
    </row>
    <row r="1577" spans="1:24" s="65" customFormat="1" ht="15" customHeight="1" outlineLevel="2">
      <c r="A1577" s="219"/>
      <c r="B1577" s="242"/>
      <c r="C1577" s="251" t="s">
        <v>1990</v>
      </c>
      <c r="D1577" s="251" t="s">
        <v>1990</v>
      </c>
      <c r="E1577" s="242"/>
      <c r="F1577" s="121"/>
      <c r="G1577" s="315" t="s">
        <v>1940</v>
      </c>
      <c r="H1577" s="242"/>
      <c r="I1577" s="316">
        <f t="shared" ca="1" si="170"/>
        <v>0.70378288474460216</v>
      </c>
      <c r="J1577" s="316">
        <f t="shared" ca="1" si="170"/>
        <v>0.69403606636115245</v>
      </c>
      <c r="K1577" s="316">
        <f t="shared" ca="1" si="170"/>
        <v>0.68136813367553506</v>
      </c>
      <c r="L1577" s="316">
        <f t="shared" ca="1" si="170"/>
        <v>0.66816196798291161</v>
      </c>
      <c r="M1577" s="316">
        <f t="shared" ca="1" si="170"/>
        <v>0.65441756928328221</v>
      </c>
      <c r="N1577" s="316">
        <f t="shared" ca="1" si="170"/>
        <v>0.64013493757664663</v>
      </c>
      <c r="O1577" s="316">
        <f t="shared" ca="1" si="170"/>
        <v>0.62531407286300511</v>
      </c>
      <c r="P1577" s="316">
        <f t="shared" ca="1" si="170"/>
        <v>0.60995497514235741</v>
      </c>
      <c r="Q1577" s="316">
        <f t="shared" ca="1" si="170"/>
        <v>0.59405764441470377</v>
      </c>
      <c r="R1577" s="248"/>
      <c r="U1577" s="179"/>
      <c r="W1577" s="179"/>
      <c r="X1577" s="179"/>
    </row>
    <row r="1578" spans="1:24" s="65" customFormat="1" ht="15" customHeight="1" outlineLevel="2">
      <c r="A1578" s="219"/>
      <c r="B1578" s="242"/>
      <c r="C1578" s="251" t="s">
        <v>1991</v>
      </c>
      <c r="D1578" s="251" t="s">
        <v>1991</v>
      </c>
      <c r="E1578" s="242"/>
      <c r="F1578" s="121"/>
      <c r="G1578" s="315" t="s">
        <v>1961</v>
      </c>
      <c r="H1578" s="242"/>
      <c r="I1578" s="316">
        <f t="shared" ca="1" si="170"/>
        <v>-3.293387109951563</v>
      </c>
      <c r="J1578" s="316">
        <f t="shared" ca="1" si="170"/>
        <v>-3.3271654392843995</v>
      </c>
      <c r="K1578" s="316">
        <f t="shared" ca="1" si="170"/>
        <v>-3.369388350950445</v>
      </c>
      <c r="L1578" s="316">
        <f t="shared" ca="1" si="170"/>
        <v>-3.4116112626164914</v>
      </c>
      <c r="M1578" s="316">
        <f t="shared" ca="1" si="170"/>
        <v>-3.4538341742825369</v>
      </c>
      <c r="N1578" s="316">
        <f t="shared" ca="1" si="170"/>
        <v>-3.4960570859485824</v>
      </c>
      <c r="O1578" s="316">
        <f t="shared" ca="1" si="170"/>
        <v>-3.5382799976146289</v>
      </c>
      <c r="P1578" s="316">
        <f t="shared" ca="1" si="170"/>
        <v>-3.5805029092806744</v>
      </c>
      <c r="Q1578" s="316">
        <f t="shared" ca="1" si="170"/>
        <v>-3.6227258209467199</v>
      </c>
      <c r="R1578" s="248"/>
      <c r="U1578" s="179"/>
      <c r="W1578" s="179"/>
      <c r="X1578" s="179"/>
    </row>
    <row r="1579" spans="1:24" s="65" customFormat="1" ht="15" customHeight="1" outlineLevel="2">
      <c r="A1579" s="219"/>
      <c r="B1579" s="242"/>
      <c r="C1579" s="251" t="s">
        <v>1992</v>
      </c>
      <c r="D1579" s="251" t="s">
        <v>1992</v>
      </c>
      <c r="E1579" s="242"/>
      <c r="F1579" s="121"/>
      <c r="G1579" s="315" t="s">
        <v>1962</v>
      </c>
      <c r="H1579" s="242"/>
      <c r="I1579" s="316">
        <f t="shared" ca="1" si="170"/>
        <v>-0.53299346790018109</v>
      </c>
      <c r="J1579" s="316">
        <f t="shared" ca="1" si="170"/>
        <v>-0.53846006757095211</v>
      </c>
      <c r="K1579" s="316">
        <f t="shared" ca="1" si="170"/>
        <v>-0.54529331715941598</v>
      </c>
      <c r="L1579" s="316">
        <f t="shared" ca="1" si="170"/>
        <v>-0.55212656674787997</v>
      </c>
      <c r="M1579" s="316">
        <f t="shared" ca="1" si="170"/>
        <v>-0.55895981633634373</v>
      </c>
      <c r="N1579" s="316">
        <f t="shared" ca="1" si="170"/>
        <v>-0.5657930659248076</v>
      </c>
      <c r="O1579" s="316">
        <f t="shared" ca="1" si="170"/>
        <v>-0.57262631551327159</v>
      </c>
      <c r="P1579" s="316">
        <f t="shared" ca="1" si="170"/>
        <v>-0.57945956510173535</v>
      </c>
      <c r="Q1579" s="316">
        <f t="shared" ca="1" si="170"/>
        <v>-0.58629281469019923</v>
      </c>
      <c r="R1579" s="248"/>
      <c r="U1579" s="179"/>
      <c r="W1579" s="179"/>
      <c r="X1579" s="179"/>
    </row>
    <row r="1580" spans="1:24" s="65" customFormat="1" ht="15" customHeight="1" outlineLevel="2">
      <c r="A1580" s="219"/>
      <c r="B1580" s="242"/>
      <c r="C1580" s="251" t="s">
        <v>1993</v>
      </c>
      <c r="D1580" s="251" t="s">
        <v>1993</v>
      </c>
      <c r="E1580" s="242"/>
      <c r="F1580" s="121"/>
      <c r="G1580" s="315" t="s">
        <v>1963</v>
      </c>
      <c r="H1580" s="242"/>
      <c r="I1580" s="316">
        <f t="shared" ca="1" si="170"/>
        <v>3.1222089796594057</v>
      </c>
      <c r="J1580" s="316">
        <f t="shared" ca="1" si="170"/>
        <v>3.1542316358610405</v>
      </c>
      <c r="K1580" s="316">
        <f t="shared" ca="1" si="170"/>
        <v>3.194259956113084</v>
      </c>
      <c r="L1580" s="316">
        <f t="shared" ca="1" si="170"/>
        <v>3.2342882763651284</v>
      </c>
      <c r="M1580" s="316">
        <f t="shared" ca="1" si="170"/>
        <v>3.2743165966171719</v>
      </c>
      <c r="N1580" s="316">
        <f t="shared" ca="1" si="170"/>
        <v>3.3143449168692154</v>
      </c>
      <c r="O1580" s="316">
        <f t="shared" ca="1" si="170"/>
        <v>3.3543732371212598</v>
      </c>
      <c r="P1580" s="316">
        <f t="shared" ca="1" si="170"/>
        <v>3.3944015573733033</v>
      </c>
      <c r="Q1580" s="316">
        <f t="shared" ca="1" si="170"/>
        <v>3.4344298776253468</v>
      </c>
      <c r="R1580" s="248"/>
      <c r="U1580" s="179"/>
      <c r="W1580" s="179"/>
      <c r="X1580" s="179"/>
    </row>
    <row r="1581" spans="1:24" s="65" customFormat="1" ht="15" customHeight="1" outlineLevel="2">
      <c r="A1581" s="219"/>
      <c r="B1581" s="242"/>
      <c r="C1581" s="251" t="s">
        <v>1994</v>
      </c>
      <c r="D1581" s="251" t="s">
        <v>1994</v>
      </c>
      <c r="E1581" s="242"/>
      <c r="F1581" s="121"/>
      <c r="G1581" s="251" t="s">
        <v>1964</v>
      </c>
      <c r="H1581" s="242"/>
      <c r="I1581" s="316">
        <f t="shared" ca="1" si="170"/>
        <v>-0.5970978743360067</v>
      </c>
      <c r="J1581" s="316">
        <f t="shared" ca="1" si="170"/>
        <v>-0.60322195509842724</v>
      </c>
      <c r="K1581" s="316">
        <f t="shared" ca="1" si="170"/>
        <v>-0.61087705605145293</v>
      </c>
      <c r="L1581" s="316">
        <f t="shared" ca="1" si="170"/>
        <v>-0.61853215700447872</v>
      </c>
      <c r="M1581" s="316">
        <f t="shared" ca="1" si="170"/>
        <v>-0.62618725795750441</v>
      </c>
      <c r="N1581" s="316">
        <f t="shared" ca="1" si="170"/>
        <v>-0.63384235891053009</v>
      </c>
      <c r="O1581" s="316">
        <f t="shared" ca="1" si="170"/>
        <v>-0.641497459863556</v>
      </c>
      <c r="P1581" s="316">
        <f t="shared" ca="1" si="170"/>
        <v>-0.64915256081658168</v>
      </c>
      <c r="Q1581" s="316">
        <f t="shared" ca="1" si="170"/>
        <v>-0.65680766176960736</v>
      </c>
      <c r="R1581" s="248"/>
      <c r="U1581" s="179"/>
      <c r="W1581" s="179"/>
      <c r="X1581" s="179"/>
    </row>
    <row r="1582" spans="1:24" s="65" customFormat="1" ht="15" customHeight="1" outlineLevel="2">
      <c r="A1582" s="219"/>
      <c r="B1582" s="242"/>
      <c r="C1582" s="251" t="s">
        <v>1995</v>
      </c>
      <c r="D1582" s="251" t="s">
        <v>1995</v>
      </c>
      <c r="E1582" s="242"/>
      <c r="F1582" s="121"/>
      <c r="G1582" s="315" t="s">
        <v>1954</v>
      </c>
      <c r="H1582" s="242"/>
      <c r="I1582" s="316">
        <f t="shared" ca="1" si="170"/>
        <v>-0.10236263666932323</v>
      </c>
      <c r="J1582" s="316">
        <f t="shared" ca="1" si="170"/>
        <v>-0.10341250986593167</v>
      </c>
      <c r="K1582" s="316">
        <f t="shared" ca="1" si="170"/>
        <v>-0.10472485136169223</v>
      </c>
      <c r="L1582" s="316">
        <f t="shared" ca="1" si="170"/>
        <v>-0.10603719285745282</v>
      </c>
      <c r="M1582" s="316">
        <f t="shared" ca="1" si="170"/>
        <v>-0.10734953435321336</v>
      </c>
      <c r="N1582" s="316">
        <f t="shared" ca="1" si="170"/>
        <v>-0.1086618758489739</v>
      </c>
      <c r="O1582" s="316">
        <f t="shared" ca="1" si="170"/>
        <v>-0.10997421734473448</v>
      </c>
      <c r="P1582" s="316">
        <f t="shared" ca="1" si="170"/>
        <v>-0.11128655884049503</v>
      </c>
      <c r="Q1582" s="316">
        <f t="shared" ca="1" si="170"/>
        <v>-0.11259890033625557</v>
      </c>
      <c r="R1582" s="248"/>
      <c r="U1582" s="179"/>
      <c r="W1582" s="179"/>
      <c r="X1582" s="179"/>
    </row>
    <row r="1583" spans="1:24" s="65" customFormat="1" ht="15" customHeight="1" outlineLevel="2">
      <c r="A1583" s="219"/>
      <c r="B1583" s="242"/>
      <c r="C1583" s="251" t="s">
        <v>1996</v>
      </c>
      <c r="D1583" s="251" t="s">
        <v>1996</v>
      </c>
      <c r="E1583" s="242"/>
      <c r="F1583" s="121"/>
      <c r="G1583" s="251" t="s">
        <v>1955</v>
      </c>
      <c r="H1583" s="242"/>
      <c r="I1583" s="316">
        <f t="shared" ca="1" si="170"/>
        <v>-1.4826754676830483</v>
      </c>
      <c r="J1583" s="316">
        <f t="shared" ca="1" si="170"/>
        <v>-1.4978823955567204</v>
      </c>
      <c r="K1583" s="316">
        <f t="shared" ca="1" si="170"/>
        <v>-1.5168910553988109</v>
      </c>
      <c r="L1583" s="316">
        <f t="shared" ca="1" si="170"/>
        <v>-1.5358997152409015</v>
      </c>
      <c r="M1583" s="316">
        <f t="shared" ca="1" si="170"/>
        <v>-1.5549083750829917</v>
      </c>
      <c r="N1583" s="316">
        <f t="shared" ca="1" si="170"/>
        <v>-1.5739170349250822</v>
      </c>
      <c r="O1583" s="316">
        <f t="shared" ca="1" si="170"/>
        <v>-1.5929256947671726</v>
      </c>
      <c r="P1583" s="316">
        <f t="shared" ca="1" si="170"/>
        <v>-1.611934354609263</v>
      </c>
      <c r="Q1583" s="316">
        <f t="shared" ca="1" si="170"/>
        <v>-1.630943014451353</v>
      </c>
      <c r="R1583" s="242"/>
      <c r="U1583" s="179"/>
      <c r="W1583" s="179"/>
      <c r="X1583" s="179"/>
    </row>
    <row r="1584" spans="1:24" s="65" customFormat="1" ht="15" customHeight="1" outlineLevel="2">
      <c r="A1584" s="219"/>
      <c r="B1584" s="242"/>
      <c r="C1584" s="251" t="s">
        <v>1997</v>
      </c>
      <c r="D1584" s="251" t="s">
        <v>1997</v>
      </c>
      <c r="E1584" s="242"/>
      <c r="F1584" s="121"/>
      <c r="G1584" s="251" t="s">
        <v>1956</v>
      </c>
      <c r="H1584" s="242"/>
      <c r="I1584" s="316">
        <f t="shared" ca="1" si="170"/>
        <v>-0.17297587734176467</v>
      </c>
      <c r="J1584" s="316">
        <f t="shared" ca="1" si="170"/>
        <v>-0.17474998890424429</v>
      </c>
      <c r="K1584" s="316">
        <f t="shared" ca="1" si="170"/>
        <v>-0.17696762835734386</v>
      </c>
      <c r="L1584" s="316">
        <f t="shared" ca="1" si="170"/>
        <v>-0.17918526781044344</v>
      </c>
      <c r="M1584" s="316">
        <f t="shared" ca="1" si="170"/>
        <v>-0.18140290726354297</v>
      </c>
      <c r="N1584" s="316">
        <f t="shared" ca="1" si="170"/>
        <v>-0.18362054671664252</v>
      </c>
      <c r="O1584" s="316">
        <f t="shared" ca="1" si="170"/>
        <v>-0.18583818616974207</v>
      </c>
      <c r="P1584" s="316">
        <f t="shared" ca="1" si="170"/>
        <v>-0.18805582562284162</v>
      </c>
      <c r="Q1584" s="316">
        <f t="shared" ca="1" si="170"/>
        <v>-0.19027346507594114</v>
      </c>
      <c r="R1584" s="242"/>
      <c r="U1584" s="179"/>
      <c r="W1584" s="179"/>
      <c r="X1584" s="179"/>
    </row>
    <row r="1585" spans="1:24" s="65" customFormat="1" ht="15" customHeight="1" outlineLevel="2">
      <c r="A1585" s="219"/>
      <c r="B1585" s="242"/>
      <c r="C1585" s="251" t="s">
        <v>1998</v>
      </c>
      <c r="D1585" s="251" t="s">
        <v>1998</v>
      </c>
      <c r="E1585" s="242"/>
      <c r="F1585" s="121"/>
      <c r="G1585" s="251" t="s">
        <v>1426</v>
      </c>
      <c r="H1585" s="242"/>
      <c r="I1585" s="316">
        <f t="shared" ca="1" si="170"/>
        <v>0.3454485798237234</v>
      </c>
      <c r="J1585" s="316">
        <f t="shared" ca="1" si="170"/>
        <v>0.33467403634782766</v>
      </c>
      <c r="K1585" s="316">
        <f t="shared" ca="1" si="170"/>
        <v>0.32079704211559257</v>
      </c>
      <c r="L1585" s="316">
        <f t="shared" ca="1" si="170"/>
        <v>0.30646580911961835</v>
      </c>
      <c r="M1585" s="316">
        <f t="shared" ca="1" si="170"/>
        <v>0.29168033735990473</v>
      </c>
      <c r="N1585" s="316">
        <f t="shared" ca="1" si="170"/>
        <v>0.27644062683645182</v>
      </c>
      <c r="O1585" s="316">
        <f t="shared" ca="1" si="170"/>
        <v>0.26074667754925962</v>
      </c>
      <c r="P1585" s="316">
        <f t="shared" ca="1" si="170"/>
        <v>0.24459848949832821</v>
      </c>
      <c r="Q1585" s="316">
        <f t="shared" ca="1" si="170"/>
        <v>0.22799606268365744</v>
      </c>
      <c r="R1585" s="242"/>
      <c r="U1585" s="179"/>
      <c r="W1585" s="179"/>
      <c r="X1585" s="179"/>
    </row>
    <row r="1586" spans="1:24" s="65" customFormat="1" ht="15" customHeight="1" outlineLevel="2">
      <c r="A1586" s="219"/>
      <c r="B1586" s="242"/>
      <c r="C1586" s="251" t="s">
        <v>1999</v>
      </c>
      <c r="D1586" s="251" t="s">
        <v>1999</v>
      </c>
      <c r="E1586" s="242"/>
      <c r="F1586" s="121"/>
      <c r="G1586" s="251" t="s">
        <v>1457</v>
      </c>
      <c r="H1586" s="242"/>
      <c r="I1586" s="316">
        <f t="shared" ca="1" si="170"/>
        <v>5.7114314498832863E-2</v>
      </c>
      <c r="J1586" s="316">
        <f t="shared" ca="1" si="170"/>
        <v>5.6454902409545961E-2</v>
      </c>
      <c r="K1586" s="316">
        <f t="shared" ca="1" si="170"/>
        <v>5.559508273139957E-2</v>
      </c>
      <c r="L1586" s="316">
        <f t="shared" ca="1" si="170"/>
        <v>5.4695757979322329E-2</v>
      </c>
      <c r="M1586" s="316">
        <f t="shared" ca="1" si="170"/>
        <v>5.3756928153314225E-2</v>
      </c>
      <c r="N1586" s="316">
        <f t="shared" ca="1" si="170"/>
        <v>5.2778593253375257E-2</v>
      </c>
      <c r="O1586" s="316">
        <f t="shared" ca="1" si="170"/>
        <v>5.1760753279505453E-2</v>
      </c>
      <c r="P1586" s="316">
        <f t="shared" ca="1" si="170"/>
        <v>5.0703408231704786E-2</v>
      </c>
      <c r="Q1586" s="316">
        <f t="shared" ca="1" si="170"/>
        <v>4.9606558109973255E-2</v>
      </c>
      <c r="R1586" s="239"/>
      <c r="U1586" s="179"/>
      <c r="W1586" s="179"/>
      <c r="X1586" s="179"/>
    </row>
    <row r="1587" spans="1:24" s="65" customFormat="1" ht="15" customHeight="1" outlineLevel="2">
      <c r="A1587" s="219"/>
      <c r="B1587" s="242"/>
      <c r="C1587" s="251"/>
      <c r="D1587" s="251"/>
      <c r="E1587" s="242"/>
      <c r="F1587" s="121"/>
      <c r="G1587" s="251"/>
      <c r="H1587" s="242"/>
      <c r="I1587" s="316"/>
      <c r="J1587" s="316"/>
      <c r="K1587" s="316"/>
      <c r="L1587" s="316"/>
      <c r="M1587" s="316"/>
      <c r="N1587" s="316"/>
      <c r="O1587" s="316"/>
      <c r="P1587" s="316"/>
      <c r="Q1587" s="316"/>
      <c r="R1587" s="239"/>
      <c r="U1587" s="179"/>
      <c r="W1587" s="179"/>
      <c r="X1587" s="179"/>
    </row>
    <row r="1588" spans="1:24" s="65" customFormat="1" ht="15" customHeight="1" outlineLevel="2">
      <c r="A1588" s="219"/>
      <c r="B1588" s="242"/>
      <c r="C1588" s="313" t="s">
        <v>2000</v>
      </c>
      <c r="D1588" s="242"/>
      <c r="E1588" s="242"/>
      <c r="F1588" s="121"/>
      <c r="G1588" s="242"/>
      <c r="H1588" s="242"/>
      <c r="I1588" s="239"/>
      <c r="J1588" s="239"/>
      <c r="K1588" s="239"/>
      <c r="L1588" s="239"/>
      <c r="M1588" s="239"/>
      <c r="N1588" s="239"/>
      <c r="O1588" s="239"/>
      <c r="P1588" s="239"/>
      <c r="Q1588" s="239"/>
      <c r="R1588" s="239"/>
      <c r="U1588" s="179"/>
      <c r="W1588" s="179"/>
      <c r="X1588" s="179"/>
    </row>
    <row r="1589" spans="1:24" s="65" customFormat="1" ht="15" customHeight="1" outlineLevel="2">
      <c r="A1589" s="219"/>
      <c r="B1589" s="242"/>
      <c r="C1589" s="301"/>
      <c r="D1589" s="242"/>
      <c r="E1589" s="242"/>
      <c r="F1589" s="121"/>
      <c r="G1589" s="242"/>
      <c r="H1589" s="242"/>
      <c r="I1589" s="239"/>
      <c r="J1589" s="239"/>
      <c r="K1589" s="239"/>
      <c r="L1589" s="239"/>
      <c r="M1589" s="239"/>
      <c r="N1589" s="239"/>
      <c r="O1589" s="239"/>
      <c r="P1589" s="239"/>
      <c r="Q1589" s="239"/>
      <c r="R1589" s="239"/>
      <c r="U1589" s="179"/>
      <c r="W1589" s="179"/>
      <c r="X1589" s="179"/>
    </row>
    <row r="1590" spans="1:24" s="65" customFormat="1" ht="15" customHeight="1" outlineLevel="2">
      <c r="A1590" s="219"/>
      <c r="B1590" s="242"/>
      <c r="C1590" s="258" t="s">
        <v>454</v>
      </c>
      <c r="D1590" s="258" t="s">
        <v>241</v>
      </c>
      <c r="E1590" s="258" t="s">
        <v>598</v>
      </c>
      <c r="F1590" s="258" t="s">
        <v>274</v>
      </c>
      <c r="G1590" s="258" t="s">
        <v>509</v>
      </c>
      <c r="H1590" s="258" t="s">
        <v>510</v>
      </c>
      <c r="I1590" s="258" t="s">
        <v>1107</v>
      </c>
      <c r="J1590" s="258" t="s">
        <v>210</v>
      </c>
      <c r="K1590" s="258" t="s">
        <v>211</v>
      </c>
      <c r="L1590" s="258" t="s">
        <v>212</v>
      </c>
      <c r="M1590" s="258" t="s">
        <v>213</v>
      </c>
      <c r="N1590" s="258" t="s">
        <v>214</v>
      </c>
      <c r="O1590" s="258" t="s">
        <v>215</v>
      </c>
      <c r="P1590" s="258" t="s">
        <v>216</v>
      </c>
      <c r="Q1590" s="258" t="s">
        <v>217</v>
      </c>
      <c r="R1590" s="239"/>
      <c r="U1590" s="179"/>
      <c r="W1590" s="179"/>
      <c r="X1590" s="179"/>
    </row>
    <row r="1591" spans="1:24" s="65" customFormat="1" ht="15" customHeight="1" outlineLevel="2">
      <c r="A1591" s="219"/>
      <c r="B1591" s="242"/>
      <c r="C1591" s="251" t="s">
        <v>1986</v>
      </c>
      <c r="D1591" s="251" t="s">
        <v>1986</v>
      </c>
      <c r="E1591" s="242"/>
      <c r="F1591" s="121"/>
      <c r="G1591" s="251" t="s">
        <v>1377</v>
      </c>
      <c r="H1591" s="242"/>
      <c r="I1591" s="316">
        <f t="shared" ref="I1591:Q1591" ca="1" si="171">$N1263/$I1337*I1337</f>
        <v>6.991054915141226E-2</v>
      </c>
      <c r="J1591" s="316">
        <f t="shared" ca="1" si="171"/>
        <v>6.9535974666075223E-2</v>
      </c>
      <c r="K1591" s="316">
        <f t="shared" ca="1" si="171"/>
        <v>6.9036587613248573E-2</v>
      </c>
      <c r="L1591" s="316">
        <f t="shared" ca="1" si="171"/>
        <v>6.8502568398027111E-2</v>
      </c>
      <c r="M1591" s="316">
        <f t="shared" ca="1" si="171"/>
        <v>6.7933917020410822E-2</v>
      </c>
      <c r="N1591" s="316">
        <f t="shared" ca="1" si="171"/>
        <v>6.7330633480399707E-2</v>
      </c>
      <c r="O1591" s="316">
        <f t="shared" ca="1" si="171"/>
        <v>6.6692717777993779E-2</v>
      </c>
      <c r="P1591" s="316">
        <f t="shared" ca="1" si="171"/>
        <v>6.6020169913193025E-2</v>
      </c>
      <c r="Q1591" s="316">
        <f t="shared" ca="1" si="171"/>
        <v>6.531298988599743E-2</v>
      </c>
      <c r="R1591" s="239"/>
      <c r="U1591" s="179"/>
      <c r="W1591" s="179"/>
      <c r="X1591" s="179"/>
    </row>
    <row r="1592" spans="1:24" s="65" customFormat="1" ht="15" customHeight="1" outlineLevel="2">
      <c r="A1592" s="219"/>
      <c r="B1592" s="242"/>
      <c r="C1592" s="251" t="s">
        <v>1987</v>
      </c>
      <c r="D1592" s="251" t="s">
        <v>1987</v>
      </c>
      <c r="E1592" s="242"/>
      <c r="F1592" s="121"/>
      <c r="G1592" s="315" t="s">
        <v>1380</v>
      </c>
      <c r="H1592" s="242"/>
      <c r="I1592" s="316">
        <f t="shared" ref="I1592:Q1604" ca="1" si="172">$N1264/$I1339*I1339</f>
        <v>0.15978180298922864</v>
      </c>
      <c r="J1592" s="316">
        <f t="shared" ca="1" si="172"/>
        <v>0.16742498259333888</v>
      </c>
      <c r="K1592" s="316">
        <f t="shared" ca="1" si="172"/>
        <v>0.17715040229812856</v>
      </c>
      <c r="L1592" s="316">
        <f t="shared" ca="1" si="172"/>
        <v>0.18706631666919826</v>
      </c>
      <c r="M1592" s="316">
        <f t="shared" ca="1" si="172"/>
        <v>0.19717272570654787</v>
      </c>
      <c r="N1592" s="316">
        <f t="shared" ca="1" si="172"/>
        <v>0.20746962941017746</v>
      </c>
      <c r="O1592" s="316">
        <f t="shared" ca="1" si="172"/>
        <v>0.21795702778008699</v>
      </c>
      <c r="P1592" s="316">
        <f t="shared" ca="1" si="172"/>
        <v>0.22863492081627643</v>
      </c>
      <c r="Q1592" s="316">
        <f t="shared" ca="1" si="172"/>
        <v>0.23950330851874582</v>
      </c>
      <c r="R1592" s="239"/>
      <c r="U1592" s="179"/>
      <c r="W1592" s="179"/>
      <c r="X1592" s="179"/>
    </row>
    <row r="1593" spans="1:24" s="65" customFormat="1" ht="15" customHeight="1" outlineLevel="2">
      <c r="A1593" s="219"/>
      <c r="B1593" s="242"/>
      <c r="C1593" s="251" t="s">
        <v>1988</v>
      </c>
      <c r="D1593" s="251" t="s">
        <v>1988</v>
      </c>
      <c r="E1593" s="242"/>
      <c r="F1593" s="121"/>
      <c r="G1593" s="315" t="s">
        <v>1625</v>
      </c>
      <c r="H1593" s="242"/>
      <c r="I1593" s="316">
        <f t="shared" ca="1" si="172"/>
        <v>2.678760405143514E-2</v>
      </c>
      <c r="J1593" s="316">
        <f t="shared" ca="1" si="172"/>
        <v>2.776545974260371E-2</v>
      </c>
      <c r="K1593" s="316">
        <f t="shared" ca="1" si="172"/>
        <v>2.9007855496501232E-2</v>
      </c>
      <c r="L1593" s="316">
        <f t="shared" ca="1" si="172"/>
        <v>3.0272558072550731E-2</v>
      </c>
      <c r="M1593" s="316">
        <f t="shared" ca="1" si="172"/>
        <v>3.1559567470752239E-2</v>
      </c>
      <c r="N1593" s="316">
        <f t="shared" ca="1" si="172"/>
        <v>3.2868883691105723E-2</v>
      </c>
      <c r="O1593" s="316">
        <f t="shared" ca="1" si="172"/>
        <v>3.4200506733611212E-2</v>
      </c>
      <c r="P1593" s="316">
        <f t="shared" ca="1" si="172"/>
        <v>3.5554436598268686E-2</v>
      </c>
      <c r="Q1593" s="316">
        <f t="shared" ca="1" si="172"/>
        <v>3.6930673285078153E-2</v>
      </c>
      <c r="R1593" s="239"/>
      <c r="U1593" s="179"/>
      <c r="W1593" s="179"/>
      <c r="X1593" s="179"/>
    </row>
    <row r="1594" spans="1:24" s="65" customFormat="1" ht="15" customHeight="1" outlineLevel="2">
      <c r="A1594" s="219"/>
      <c r="B1594" s="242"/>
      <c r="C1594" s="251" t="s">
        <v>1989</v>
      </c>
      <c r="D1594" s="251" t="s">
        <v>1989</v>
      </c>
      <c r="E1594" s="242"/>
      <c r="F1594" s="121"/>
      <c r="G1594" s="315" t="s">
        <v>1939</v>
      </c>
      <c r="H1594" s="242"/>
      <c r="I1594" s="316">
        <f t="shared" ca="1" si="172"/>
        <v>6.0696075758509341E-2</v>
      </c>
      <c r="J1594" s="316">
        <f t="shared" ca="1" si="172"/>
        <v>6.2911727557680888E-2</v>
      </c>
      <c r="K1594" s="316">
        <f t="shared" ca="1" si="172"/>
        <v>6.5726781365995413E-2</v>
      </c>
      <c r="L1594" s="316">
        <f t="shared" ca="1" si="172"/>
        <v>6.8592378573587784E-2</v>
      </c>
      <c r="M1594" s="316">
        <f t="shared" ca="1" si="172"/>
        <v>7.1508519180458044E-2</v>
      </c>
      <c r="N1594" s="316">
        <f t="shared" ca="1" si="172"/>
        <v>7.4475203186606109E-2</v>
      </c>
      <c r="O1594" s="316">
        <f t="shared" ca="1" si="172"/>
        <v>7.7492430592032105E-2</v>
      </c>
      <c r="P1594" s="316">
        <f t="shared" ca="1" si="172"/>
        <v>8.0560201396735906E-2</v>
      </c>
      <c r="Q1594" s="316">
        <f t="shared" ca="1" si="172"/>
        <v>8.3678515600717568E-2</v>
      </c>
      <c r="R1594" s="239"/>
      <c r="U1594" s="179"/>
      <c r="W1594" s="179"/>
      <c r="X1594" s="179"/>
    </row>
    <row r="1595" spans="1:24" s="65" customFormat="1" ht="15" customHeight="1" outlineLevel="2">
      <c r="A1595" s="219"/>
      <c r="B1595" s="242"/>
      <c r="C1595" s="251" t="s">
        <v>1990</v>
      </c>
      <c r="D1595" s="251" t="s">
        <v>1990</v>
      </c>
      <c r="E1595" s="242"/>
      <c r="F1595" s="121"/>
      <c r="G1595" s="315" t="s">
        <v>1940</v>
      </c>
      <c r="H1595" s="242"/>
      <c r="I1595" s="316">
        <f t="shared" ca="1" si="172"/>
        <v>5.8607565391460899E-2</v>
      </c>
      <c r="J1595" s="316">
        <f t="shared" ca="1" si="172"/>
        <v>5.7795898458165094E-2</v>
      </c>
      <c r="K1595" s="316">
        <f t="shared" ca="1" si="172"/>
        <v>5.6740975541822274E-2</v>
      </c>
      <c r="L1595" s="316">
        <f t="shared" ca="1" si="172"/>
        <v>5.5641231236898223E-2</v>
      </c>
      <c r="M1595" s="316">
        <f t="shared" ca="1" si="172"/>
        <v>5.4496665543392948E-2</v>
      </c>
      <c r="N1595" s="316">
        <f t="shared" ca="1" si="172"/>
        <v>5.3307278461306458E-2</v>
      </c>
      <c r="O1595" s="316">
        <f t="shared" ca="1" si="172"/>
        <v>5.2073069990638758E-2</v>
      </c>
      <c r="P1595" s="316">
        <f t="shared" ca="1" si="172"/>
        <v>5.0794040131389821E-2</v>
      </c>
      <c r="Q1595" s="316">
        <f t="shared" ca="1" si="172"/>
        <v>4.9470188883559675E-2</v>
      </c>
      <c r="R1595" s="239"/>
      <c r="U1595" s="179"/>
      <c r="W1595" s="179"/>
      <c r="X1595" s="179"/>
    </row>
    <row r="1596" spans="1:24" s="65" customFormat="1" ht="15" customHeight="1" outlineLevel="2">
      <c r="A1596" s="219"/>
      <c r="B1596" s="242"/>
      <c r="C1596" s="251" t="s">
        <v>1991</v>
      </c>
      <c r="D1596" s="251" t="s">
        <v>1991</v>
      </c>
      <c r="E1596" s="242"/>
      <c r="F1596" s="121"/>
      <c r="G1596" s="315" t="s">
        <v>1961</v>
      </c>
      <c r="H1596" s="242"/>
      <c r="I1596" s="316">
        <f t="shared" ca="1" si="172"/>
        <v>4.9054270827539291E-2</v>
      </c>
      <c r="J1596" s="316">
        <f t="shared" ca="1" si="172"/>
        <v>4.9557391553975587E-2</v>
      </c>
      <c r="K1596" s="316">
        <f t="shared" ca="1" si="172"/>
        <v>5.0186292462020957E-2</v>
      </c>
      <c r="L1596" s="316">
        <f t="shared" ca="1" si="172"/>
        <v>5.081519337006634E-2</v>
      </c>
      <c r="M1596" s="316">
        <f t="shared" ca="1" si="172"/>
        <v>5.1444094278111717E-2</v>
      </c>
      <c r="N1596" s="316">
        <f t="shared" ca="1" si="172"/>
        <v>5.2072995186157094E-2</v>
      </c>
      <c r="O1596" s="316">
        <f t="shared" ca="1" si="172"/>
        <v>5.2701896094202477E-2</v>
      </c>
      <c r="P1596" s="316">
        <f t="shared" ca="1" si="172"/>
        <v>5.3330797002247847E-2</v>
      </c>
      <c r="Q1596" s="316">
        <f t="shared" ca="1" si="172"/>
        <v>5.3959697910293224E-2</v>
      </c>
      <c r="R1596" s="239"/>
      <c r="U1596" s="179"/>
      <c r="W1596" s="179"/>
      <c r="X1596" s="179"/>
    </row>
    <row r="1597" spans="1:24" s="65" customFormat="1" ht="15" customHeight="1" outlineLevel="2">
      <c r="A1597" s="219"/>
      <c r="B1597" s="242"/>
      <c r="C1597" s="251" t="s">
        <v>1992</v>
      </c>
      <c r="D1597" s="251" t="s">
        <v>1992</v>
      </c>
      <c r="E1597" s="242"/>
      <c r="F1597" s="121"/>
      <c r="G1597" s="315" t="s">
        <v>1962</v>
      </c>
      <c r="H1597" s="242"/>
      <c r="I1597" s="316">
        <f t="shared" ca="1" si="172"/>
        <v>9.5889912282722256E-2</v>
      </c>
      <c r="J1597" s="316">
        <f t="shared" ca="1" si="172"/>
        <v>9.6873398562545038E-2</v>
      </c>
      <c r="K1597" s="316">
        <f t="shared" ca="1" si="172"/>
        <v>9.8102756412323522E-2</v>
      </c>
      <c r="L1597" s="316">
        <f t="shared" ca="1" si="172"/>
        <v>9.9332114262102034E-2</v>
      </c>
      <c r="M1597" s="316">
        <f t="shared" ca="1" si="172"/>
        <v>0.10056147211188052</v>
      </c>
      <c r="N1597" s="316">
        <f t="shared" ca="1" si="172"/>
        <v>0.101790829961659</v>
      </c>
      <c r="O1597" s="316">
        <f t="shared" ca="1" si="172"/>
        <v>0.10302018781143751</v>
      </c>
      <c r="P1597" s="316">
        <f t="shared" ca="1" si="172"/>
        <v>0.104249545661216</v>
      </c>
      <c r="Q1597" s="316">
        <f t="shared" ca="1" si="172"/>
        <v>0.1054789035109945</v>
      </c>
      <c r="R1597" s="239"/>
      <c r="U1597" s="179"/>
      <c r="W1597" s="179"/>
      <c r="X1597" s="179"/>
    </row>
    <row r="1598" spans="1:24" s="65" customFormat="1" ht="15" customHeight="1" outlineLevel="2">
      <c r="A1598" s="219"/>
      <c r="B1598" s="242"/>
      <c r="C1598" s="251" t="s">
        <v>1993</v>
      </c>
      <c r="D1598" s="251" t="s">
        <v>1993</v>
      </c>
      <c r="E1598" s="242"/>
      <c r="F1598" s="121"/>
      <c r="G1598" s="315" t="s">
        <v>1963</v>
      </c>
      <c r="H1598" s="242"/>
      <c r="I1598" s="316">
        <f t="shared" ca="1" si="172"/>
        <v>0.27131982684484707</v>
      </c>
      <c r="J1598" s="316">
        <f t="shared" ca="1" si="172"/>
        <v>0.27410259429966599</v>
      </c>
      <c r="K1598" s="316">
        <f t="shared" ca="1" si="172"/>
        <v>0.27758105361818969</v>
      </c>
      <c r="L1598" s="316">
        <f t="shared" ca="1" si="172"/>
        <v>0.28105951293671338</v>
      </c>
      <c r="M1598" s="316">
        <f t="shared" ca="1" si="172"/>
        <v>0.28453797225523708</v>
      </c>
      <c r="N1598" s="316">
        <f t="shared" ca="1" si="172"/>
        <v>0.28801643157376072</v>
      </c>
      <c r="O1598" s="316">
        <f t="shared" ca="1" si="172"/>
        <v>0.29149489089228448</v>
      </c>
      <c r="P1598" s="316">
        <f t="shared" ca="1" si="172"/>
        <v>0.29497335021080812</v>
      </c>
      <c r="Q1598" s="316">
        <f t="shared" ca="1" si="172"/>
        <v>0.29845180952933181</v>
      </c>
      <c r="R1598" s="239"/>
      <c r="U1598" s="179"/>
      <c r="W1598" s="179"/>
      <c r="X1598" s="179"/>
    </row>
    <row r="1599" spans="1:24" s="65" customFormat="1" ht="15" customHeight="1" outlineLevel="2">
      <c r="A1599" s="219"/>
      <c r="B1599" s="242"/>
      <c r="C1599" s="251" t="s">
        <v>1994</v>
      </c>
      <c r="D1599" s="251" t="s">
        <v>1994</v>
      </c>
      <c r="E1599" s="242"/>
      <c r="F1599" s="121"/>
      <c r="G1599" s="251" t="s">
        <v>1964</v>
      </c>
      <c r="H1599" s="242"/>
      <c r="I1599" s="316">
        <f t="shared" ca="1" si="172"/>
        <v>0.15720558668698606</v>
      </c>
      <c r="J1599" s="316">
        <f t="shared" ca="1" si="172"/>
        <v>0.15881795167864746</v>
      </c>
      <c r="K1599" s="316">
        <f t="shared" ca="1" si="172"/>
        <v>0.1608334079182242</v>
      </c>
      <c r="L1599" s="316">
        <f t="shared" ca="1" si="172"/>
        <v>0.16284886415780095</v>
      </c>
      <c r="M1599" s="316">
        <f t="shared" ca="1" si="172"/>
        <v>0.16486432039737769</v>
      </c>
      <c r="N1599" s="316">
        <f t="shared" ca="1" si="172"/>
        <v>0.16687977663695441</v>
      </c>
      <c r="O1599" s="316">
        <f t="shared" ca="1" si="172"/>
        <v>0.16889523287653121</v>
      </c>
      <c r="P1599" s="316">
        <f t="shared" ca="1" si="172"/>
        <v>0.17091068911610793</v>
      </c>
      <c r="Q1599" s="316">
        <f t="shared" ca="1" si="172"/>
        <v>0.17292614535568468</v>
      </c>
      <c r="R1599" s="239"/>
      <c r="U1599" s="179"/>
      <c r="W1599" s="179"/>
      <c r="X1599" s="179"/>
    </row>
    <row r="1600" spans="1:24" s="65" customFormat="1" ht="15" customHeight="1" outlineLevel="2">
      <c r="A1600" s="219"/>
      <c r="B1600" s="242"/>
      <c r="C1600" s="251" t="s">
        <v>1995</v>
      </c>
      <c r="D1600" s="251" t="s">
        <v>1995</v>
      </c>
      <c r="E1600" s="242"/>
      <c r="F1600" s="121"/>
      <c r="G1600" s="315" t="s">
        <v>1954</v>
      </c>
      <c r="H1600" s="242"/>
      <c r="I1600" s="316">
        <f t="shared" ca="1" si="172"/>
        <v>2.0903772272782294E-2</v>
      </c>
      <c r="J1600" s="316">
        <f t="shared" ca="1" si="172"/>
        <v>2.1118169937118524E-2</v>
      </c>
      <c r="K1600" s="316">
        <f t="shared" ca="1" si="172"/>
        <v>2.1386167017538808E-2</v>
      </c>
      <c r="L1600" s="316">
        <f t="shared" ca="1" si="172"/>
        <v>2.1654164097959103E-2</v>
      </c>
      <c r="M1600" s="316">
        <f t="shared" ca="1" si="172"/>
        <v>2.1922161178379383E-2</v>
      </c>
      <c r="N1600" s="316">
        <f t="shared" ca="1" si="172"/>
        <v>2.2190158258799667E-2</v>
      </c>
      <c r="O1600" s="316">
        <f t="shared" ca="1" si="172"/>
        <v>2.2458155339219958E-2</v>
      </c>
      <c r="P1600" s="316">
        <f t="shared" ca="1" si="172"/>
        <v>2.2726152419640246E-2</v>
      </c>
      <c r="Q1600" s="316">
        <f t="shared" ca="1" si="172"/>
        <v>2.2994149500060526E-2</v>
      </c>
      <c r="R1600" s="239"/>
      <c r="U1600" s="179"/>
      <c r="W1600" s="179"/>
      <c r="X1600" s="179"/>
    </row>
    <row r="1601" spans="1:24" s="65" customFormat="1" ht="15" customHeight="1" outlineLevel="2">
      <c r="A1601" s="219"/>
      <c r="B1601" s="242"/>
      <c r="C1601" s="251" t="s">
        <v>1996</v>
      </c>
      <c r="D1601" s="251" t="s">
        <v>1996</v>
      </c>
      <c r="E1601" s="242"/>
      <c r="F1601" s="121"/>
      <c r="G1601" s="251" t="s">
        <v>1955</v>
      </c>
      <c r="H1601" s="242"/>
      <c r="I1601" s="316">
        <f t="shared" ca="1" si="172"/>
        <v>9.4970983029639654E-3</v>
      </c>
      <c r="J1601" s="316">
        <f t="shared" ca="1" si="172"/>
        <v>9.5945044394046206E-3</v>
      </c>
      <c r="K1601" s="316">
        <f t="shared" ca="1" si="172"/>
        <v>9.7162621099554404E-3</v>
      </c>
      <c r="L1601" s="316">
        <f t="shared" ca="1" si="172"/>
        <v>9.8380197805062637E-3</v>
      </c>
      <c r="M1601" s="316">
        <f t="shared" ca="1" si="172"/>
        <v>9.9597774510570818E-3</v>
      </c>
      <c r="N1601" s="316">
        <f t="shared" ca="1" si="172"/>
        <v>1.0081535121607902E-2</v>
      </c>
      <c r="O1601" s="316">
        <f t="shared" ca="1" si="172"/>
        <v>1.0203292792158723E-2</v>
      </c>
      <c r="P1601" s="316">
        <f t="shared" ca="1" si="172"/>
        <v>1.0325050462709543E-2</v>
      </c>
      <c r="Q1601" s="316">
        <f t="shared" ca="1" si="172"/>
        <v>1.0446808133260361E-2</v>
      </c>
      <c r="R1601" s="239"/>
      <c r="U1601" s="179"/>
      <c r="W1601" s="179"/>
      <c r="X1601" s="179"/>
    </row>
    <row r="1602" spans="1:24" s="65" customFormat="1" ht="15" customHeight="1" outlineLevel="2">
      <c r="A1602" s="219"/>
      <c r="B1602" s="242"/>
      <c r="C1602" s="251" t="s">
        <v>1997</v>
      </c>
      <c r="D1602" s="251" t="s">
        <v>1997</v>
      </c>
      <c r="E1602" s="242"/>
      <c r="F1602" s="121"/>
      <c r="G1602" s="251" t="s">
        <v>1956</v>
      </c>
      <c r="H1602" s="242"/>
      <c r="I1602" s="316">
        <f t="shared" ca="1" si="172"/>
        <v>1.8757176046928597E-2</v>
      </c>
      <c r="J1602" s="316">
        <f t="shared" ca="1" si="172"/>
        <v>1.8949557339717607E-2</v>
      </c>
      <c r="K1602" s="316">
        <f t="shared" ca="1" si="172"/>
        <v>1.9190033955703872E-2</v>
      </c>
      <c r="L1602" s="316">
        <f t="shared" ca="1" si="172"/>
        <v>1.9430510571690138E-2</v>
      </c>
      <c r="M1602" s="316">
        <f t="shared" ca="1" si="172"/>
        <v>1.96709871876764E-2</v>
      </c>
      <c r="N1602" s="316">
        <f t="shared" ca="1" si="172"/>
        <v>1.9911463803662665E-2</v>
      </c>
      <c r="O1602" s="316">
        <f t="shared" ca="1" si="172"/>
        <v>2.015194041964893E-2</v>
      </c>
      <c r="P1602" s="316">
        <f t="shared" ca="1" si="172"/>
        <v>2.0392417035635196E-2</v>
      </c>
      <c r="Q1602" s="316">
        <f t="shared" ca="1" si="172"/>
        <v>2.0632893651621458E-2</v>
      </c>
      <c r="R1602" s="239"/>
      <c r="U1602" s="179"/>
      <c r="W1602" s="179"/>
      <c r="X1602" s="179"/>
    </row>
    <row r="1603" spans="1:24" s="65" customFormat="1" ht="15" customHeight="1" outlineLevel="2">
      <c r="A1603" s="219"/>
      <c r="B1603" s="242"/>
      <c r="C1603" s="251" t="s">
        <v>1998</v>
      </c>
      <c r="D1603" s="251" t="s">
        <v>1998</v>
      </c>
      <c r="E1603" s="242"/>
      <c r="F1603" s="121"/>
      <c r="G1603" s="251" t="s">
        <v>1426</v>
      </c>
      <c r="H1603" s="242"/>
      <c r="I1603" s="316">
        <f t="shared" ca="1" si="172"/>
        <v>3.0288469124250289E-2</v>
      </c>
      <c r="J1603" s="316">
        <f t="shared" ca="1" si="172"/>
        <v>2.9343771573129691E-2</v>
      </c>
      <c r="K1603" s="316">
        <f t="shared" ca="1" si="172"/>
        <v>2.8127055292070061E-2</v>
      </c>
      <c r="L1603" s="316">
        <f t="shared" ca="1" si="172"/>
        <v>2.6870511964167246E-2</v>
      </c>
      <c r="M1603" s="316">
        <f t="shared" ca="1" si="172"/>
        <v>2.5574141589421225E-2</v>
      </c>
      <c r="N1603" s="316">
        <f t="shared" ca="1" si="172"/>
        <v>2.423794416783201E-2</v>
      </c>
      <c r="O1603" s="316">
        <f t="shared" ca="1" si="172"/>
        <v>2.2861919699399599E-2</v>
      </c>
      <c r="P1603" s="316">
        <f t="shared" ca="1" si="172"/>
        <v>2.1446068184123996E-2</v>
      </c>
      <c r="Q1603" s="316">
        <f t="shared" ca="1" si="172"/>
        <v>1.9990389622005191E-2</v>
      </c>
      <c r="R1603" s="239"/>
      <c r="U1603" s="179"/>
      <c r="W1603" s="179"/>
      <c r="X1603" s="179"/>
    </row>
    <row r="1604" spans="1:24" s="65" customFormat="1" ht="15" customHeight="1" outlineLevel="2">
      <c r="A1604" s="219"/>
      <c r="B1604" s="242"/>
      <c r="C1604" s="251" t="s">
        <v>1999</v>
      </c>
      <c r="D1604" s="251" t="s">
        <v>1999</v>
      </c>
      <c r="E1604" s="242"/>
      <c r="F1604" s="121"/>
      <c r="G1604" s="251" t="s">
        <v>1457</v>
      </c>
      <c r="H1604" s="242"/>
      <c r="I1604" s="316">
        <f t="shared" ca="1" si="172"/>
        <v>0.1044634283309155</v>
      </c>
      <c r="J1604" s="316">
        <f t="shared" ca="1" si="172"/>
        <v>0.10325734806655079</v>
      </c>
      <c r="K1604" s="316">
        <f t="shared" ca="1" si="172"/>
        <v>0.1016847175952984</v>
      </c>
      <c r="L1604" s="316">
        <f t="shared" ca="1" si="172"/>
        <v>0.10003983141204992</v>
      </c>
      <c r="M1604" s="316">
        <f t="shared" ca="1" si="172"/>
        <v>9.8322689516805298E-2</v>
      </c>
      <c r="N1604" s="316">
        <f t="shared" ca="1" si="172"/>
        <v>9.6533291909564528E-2</v>
      </c>
      <c r="O1604" s="316">
        <f t="shared" ca="1" si="172"/>
        <v>9.4671638590327692E-2</v>
      </c>
      <c r="P1604" s="316">
        <f t="shared" ca="1" si="172"/>
        <v>9.2737729559094706E-2</v>
      </c>
      <c r="Q1604" s="316">
        <f t="shared" ca="1" si="172"/>
        <v>9.0731564815865598E-2</v>
      </c>
      <c r="R1604" s="239"/>
      <c r="U1604" s="179"/>
      <c r="W1604" s="179"/>
      <c r="X1604" s="179"/>
    </row>
    <row r="1605" spans="1:24" s="65" customFormat="1" ht="15" customHeight="1" outlineLevel="2">
      <c r="A1605" s="219"/>
      <c r="B1605" s="242"/>
      <c r="C1605" s="251"/>
      <c r="D1605" s="251"/>
      <c r="E1605" s="242"/>
      <c r="F1605" s="121"/>
      <c r="G1605" s="251"/>
      <c r="H1605" s="242"/>
      <c r="I1605" s="316"/>
      <c r="J1605" s="316"/>
      <c r="K1605" s="316"/>
      <c r="L1605" s="316"/>
      <c r="M1605" s="316"/>
      <c r="N1605" s="316"/>
      <c r="O1605" s="316"/>
      <c r="P1605" s="316"/>
      <c r="Q1605" s="316"/>
      <c r="R1605" s="239"/>
      <c r="U1605" s="179"/>
      <c r="W1605" s="179"/>
      <c r="X1605" s="179"/>
    </row>
    <row r="1606" spans="1:24" s="65" customFormat="1" ht="15" customHeight="1" outlineLevel="2">
      <c r="A1606" s="219"/>
      <c r="B1606" s="242"/>
      <c r="C1606" s="313" t="s">
        <v>2001</v>
      </c>
      <c r="D1606" s="242"/>
      <c r="E1606" s="242"/>
      <c r="F1606" s="121"/>
      <c r="G1606" s="242"/>
      <c r="H1606" s="242"/>
      <c r="I1606" s="239"/>
      <c r="J1606" s="239"/>
      <c r="K1606" s="239"/>
      <c r="L1606" s="239"/>
      <c r="M1606" s="239"/>
      <c r="N1606" s="239"/>
      <c r="O1606" s="239"/>
      <c r="P1606" s="239"/>
      <c r="Q1606" s="239"/>
      <c r="R1606" s="239"/>
      <c r="U1606" s="179"/>
      <c r="W1606" s="179"/>
      <c r="X1606" s="179"/>
    </row>
    <row r="1607" spans="1:24" s="65" customFormat="1" ht="15" customHeight="1" outlineLevel="2">
      <c r="A1607" s="219"/>
      <c r="B1607" s="242"/>
      <c r="C1607" s="301"/>
      <c r="D1607" s="242"/>
      <c r="E1607" s="242"/>
      <c r="F1607" s="121"/>
      <c r="G1607" s="242"/>
      <c r="H1607" s="242"/>
      <c r="I1607" s="239"/>
      <c r="J1607" s="239"/>
      <c r="K1607" s="239"/>
      <c r="L1607" s="239"/>
      <c r="M1607" s="239"/>
      <c r="N1607" s="239"/>
      <c r="O1607" s="239"/>
      <c r="P1607" s="239"/>
      <c r="Q1607" s="239"/>
      <c r="R1607" s="239"/>
      <c r="U1607" s="179"/>
      <c r="W1607" s="179"/>
      <c r="X1607" s="179"/>
    </row>
    <row r="1608" spans="1:24" s="65" customFormat="1" ht="15" customHeight="1" outlineLevel="2">
      <c r="A1608" s="219"/>
      <c r="B1608" s="242"/>
      <c r="C1608" s="258" t="s">
        <v>454</v>
      </c>
      <c r="D1608" s="258" t="s">
        <v>241</v>
      </c>
      <c r="E1608" s="258" t="s">
        <v>598</v>
      </c>
      <c r="F1608" s="258" t="s">
        <v>274</v>
      </c>
      <c r="G1608" s="258" t="s">
        <v>509</v>
      </c>
      <c r="H1608" s="258" t="s">
        <v>510</v>
      </c>
      <c r="I1608" s="258" t="s">
        <v>1107</v>
      </c>
      <c r="J1608" s="258" t="s">
        <v>210</v>
      </c>
      <c r="K1608" s="258" t="s">
        <v>211</v>
      </c>
      <c r="L1608" s="258" t="s">
        <v>212</v>
      </c>
      <c r="M1608" s="258" t="s">
        <v>213</v>
      </c>
      <c r="N1608" s="258" t="s">
        <v>214</v>
      </c>
      <c r="O1608" s="258" t="s">
        <v>215</v>
      </c>
      <c r="P1608" s="258" t="s">
        <v>216</v>
      </c>
      <c r="Q1608" s="258" t="s">
        <v>217</v>
      </c>
      <c r="R1608" s="239"/>
      <c r="U1608" s="179"/>
      <c r="W1608" s="179"/>
      <c r="X1608" s="179"/>
    </row>
    <row r="1609" spans="1:24" s="65" customFormat="1" ht="15" customHeight="1" outlineLevel="2">
      <c r="A1609" s="219"/>
      <c r="B1609" s="242"/>
      <c r="C1609" s="251" t="s">
        <v>1986</v>
      </c>
      <c r="D1609" s="251" t="s">
        <v>1986</v>
      </c>
      <c r="E1609" s="242"/>
      <c r="F1609" s="121"/>
      <c r="G1609" s="251" t="s">
        <v>1377</v>
      </c>
      <c r="H1609" s="242"/>
      <c r="I1609" s="316">
        <f t="shared" ref="I1609:Q1609" ca="1" si="173">$O1263/$I1337*I1337</f>
        <v>7.0548600439671469E-2</v>
      </c>
      <c r="J1609" s="316">
        <f t="shared" ca="1" si="173"/>
        <v>7.0170607332455198E-2</v>
      </c>
      <c r="K1609" s="316">
        <f t="shared" ca="1" si="173"/>
        <v>6.9666662533247437E-2</v>
      </c>
      <c r="L1609" s="316">
        <f t="shared" ca="1" si="173"/>
        <v>6.9127769494942579E-2</v>
      </c>
      <c r="M1609" s="316">
        <f t="shared" ca="1" si="173"/>
        <v>6.8553928217540597E-2</v>
      </c>
      <c r="N1609" s="316">
        <f t="shared" ca="1" si="173"/>
        <v>6.7945138701041505E-2</v>
      </c>
      <c r="O1609" s="316">
        <f t="shared" ca="1" si="173"/>
        <v>6.7301400945445303E-2</v>
      </c>
      <c r="P1609" s="316">
        <f t="shared" ca="1" si="173"/>
        <v>6.6622714950751977E-2</v>
      </c>
      <c r="Q1609" s="316">
        <f t="shared" ca="1" si="173"/>
        <v>6.5909080716961513E-2</v>
      </c>
      <c r="R1609" s="239"/>
      <c r="U1609" s="179"/>
      <c r="W1609" s="179"/>
      <c r="X1609" s="179"/>
    </row>
    <row r="1610" spans="1:24" s="65" customFormat="1" ht="15" customHeight="1" outlineLevel="2">
      <c r="A1610" s="219"/>
      <c r="B1610" s="242"/>
      <c r="C1610" s="251" t="s">
        <v>1987</v>
      </c>
      <c r="D1610" s="251" t="s">
        <v>1987</v>
      </c>
      <c r="E1610" s="242"/>
      <c r="F1610" s="121"/>
      <c r="G1610" s="315" t="s">
        <v>1380</v>
      </c>
      <c r="H1610" s="242"/>
      <c r="I1610" s="316">
        <f t="shared" ref="I1610:Q1622" ca="1" si="174">$O1264/$I1339*I1339</f>
        <v>0.15124463681852324</v>
      </c>
      <c r="J1610" s="316">
        <f t="shared" ca="1" si="174"/>
        <v>0.15847944016743978</v>
      </c>
      <c r="K1610" s="316">
        <f t="shared" ca="1" si="174"/>
        <v>0.16768522920999918</v>
      </c>
      <c r="L1610" s="316">
        <f t="shared" ca="1" si="174"/>
        <v>0.17707133475968506</v>
      </c>
      <c r="M1610" s="316">
        <f t="shared" ca="1" si="174"/>
        <v>0.18663775681649725</v>
      </c>
      <c r="N1610" s="316">
        <f t="shared" ca="1" si="174"/>
        <v>0.19638449538043593</v>
      </c>
      <c r="O1610" s="316">
        <f t="shared" ca="1" si="174"/>
        <v>0.20631155045150096</v>
      </c>
      <c r="P1610" s="316">
        <f t="shared" ca="1" si="174"/>
        <v>0.2164189220296924</v>
      </c>
      <c r="Q1610" s="316">
        <f t="shared" ca="1" si="174"/>
        <v>0.22670661011501023</v>
      </c>
      <c r="R1610" s="239"/>
      <c r="U1610" s="179"/>
      <c r="W1610" s="179"/>
      <c r="X1610" s="179"/>
    </row>
    <row r="1611" spans="1:24" s="65" customFormat="1" ht="15" customHeight="1" outlineLevel="2">
      <c r="A1611" s="219"/>
      <c r="B1611" s="242"/>
      <c r="C1611" s="251" t="s">
        <v>1988</v>
      </c>
      <c r="D1611" s="251" t="s">
        <v>1988</v>
      </c>
      <c r="E1611" s="242"/>
      <c r="F1611" s="121"/>
      <c r="G1611" s="315" t="s">
        <v>1625</v>
      </c>
      <c r="H1611" s="242"/>
      <c r="I1611" s="316">
        <f t="shared" ca="1" si="174"/>
        <v>2.5715808643469208E-2</v>
      </c>
      <c r="J1611" s="316">
        <f t="shared" ca="1" si="174"/>
        <v>2.6654539475339595E-2</v>
      </c>
      <c r="K1611" s="316">
        <f t="shared" ca="1" si="174"/>
        <v>2.784722589124082E-2</v>
      </c>
      <c r="L1611" s="316">
        <f t="shared" ca="1" si="174"/>
        <v>2.906132661387895E-2</v>
      </c>
      <c r="M1611" s="316">
        <f t="shared" ca="1" si="174"/>
        <v>3.0296841643254014E-2</v>
      </c>
      <c r="N1611" s="316">
        <f t="shared" ca="1" si="174"/>
        <v>3.1553770979365972E-2</v>
      </c>
      <c r="O1611" s="316">
        <f t="shared" ca="1" si="174"/>
        <v>3.2832114622214872E-2</v>
      </c>
      <c r="P1611" s="316">
        <f t="shared" ca="1" si="174"/>
        <v>3.4131872571800684E-2</v>
      </c>
      <c r="Q1611" s="316">
        <f t="shared" ca="1" si="174"/>
        <v>3.5453044828123406E-2</v>
      </c>
      <c r="R1611" s="239"/>
      <c r="U1611" s="179"/>
      <c r="W1611" s="179"/>
      <c r="X1611" s="179"/>
    </row>
    <row r="1612" spans="1:24" s="65" customFormat="1" ht="15" customHeight="1" outlineLevel="2">
      <c r="A1612" s="219"/>
      <c r="B1612" s="242"/>
      <c r="C1612" s="251" t="s">
        <v>1989</v>
      </c>
      <c r="D1612" s="251" t="s">
        <v>1989</v>
      </c>
      <c r="E1612" s="242"/>
      <c r="F1612" s="121"/>
      <c r="G1612" s="315" t="s">
        <v>1939</v>
      </c>
      <c r="H1612" s="242"/>
      <c r="I1612" s="316">
        <f t="shared" ca="1" si="174"/>
        <v>5.8120447217857286E-2</v>
      </c>
      <c r="J1612" s="316">
        <f t="shared" ca="1" si="174"/>
        <v>6.0242078177315923E-2</v>
      </c>
      <c r="K1612" s="316">
        <f t="shared" ca="1" si="174"/>
        <v>6.2937675614826286E-2</v>
      </c>
      <c r="L1612" s="316">
        <f t="shared" ca="1" si="174"/>
        <v>6.5681671650322238E-2</v>
      </c>
      <c r="M1612" s="316">
        <f t="shared" ca="1" si="174"/>
        <v>6.8474066283803814E-2</v>
      </c>
      <c r="N1612" s="316">
        <f t="shared" ca="1" si="174"/>
        <v>7.1314859515270959E-2</v>
      </c>
      <c r="O1612" s="316">
        <f t="shared" ca="1" si="174"/>
        <v>7.420405134472377E-2</v>
      </c>
      <c r="P1612" s="316">
        <f t="shared" ca="1" si="174"/>
        <v>7.7141641772162137E-2</v>
      </c>
      <c r="Q1612" s="316">
        <f t="shared" ca="1" si="174"/>
        <v>8.0127630797586114E-2</v>
      </c>
      <c r="R1612" s="239"/>
      <c r="U1612" s="179"/>
      <c r="W1612" s="179"/>
      <c r="X1612" s="179"/>
    </row>
    <row r="1613" spans="1:24" s="65" customFormat="1" ht="15" customHeight="1" outlineLevel="2">
      <c r="A1613" s="219"/>
      <c r="B1613" s="242"/>
      <c r="C1613" s="251" t="s">
        <v>1990</v>
      </c>
      <c r="D1613" s="251" t="s">
        <v>1990</v>
      </c>
      <c r="E1613" s="242"/>
      <c r="F1613" s="121"/>
      <c r="G1613" s="315" t="s">
        <v>1940</v>
      </c>
      <c r="H1613" s="242"/>
      <c r="I1613" s="316">
        <f t="shared" ca="1" si="174"/>
        <v>5.9722931127485113E-2</v>
      </c>
      <c r="J1613" s="316">
        <f t="shared" ca="1" si="174"/>
        <v>5.8895817289332998E-2</v>
      </c>
      <c r="K1613" s="316">
        <f t="shared" ca="1" si="174"/>
        <v>5.7820818042107355E-2</v>
      </c>
      <c r="L1613" s="316">
        <f t="shared" ca="1" si="174"/>
        <v>5.670014440650889E-2</v>
      </c>
      <c r="M1613" s="316">
        <f t="shared" ca="1" si="174"/>
        <v>5.5533796382537616E-2</v>
      </c>
      <c r="N1613" s="316">
        <f t="shared" ca="1" si="174"/>
        <v>5.4321773970193533E-2</v>
      </c>
      <c r="O1613" s="316">
        <f t="shared" ca="1" si="174"/>
        <v>5.3064077169476656E-2</v>
      </c>
      <c r="P1613" s="316">
        <f t="shared" ca="1" si="174"/>
        <v>5.1760705980386949E-2</v>
      </c>
      <c r="Q1613" s="316">
        <f t="shared" ca="1" si="174"/>
        <v>5.0411660402924441E-2</v>
      </c>
      <c r="R1613" s="239"/>
      <c r="U1613" s="179"/>
      <c r="W1613" s="179"/>
      <c r="X1613" s="179"/>
    </row>
    <row r="1614" spans="1:24" s="65" customFormat="1" ht="15" customHeight="1" outlineLevel="2">
      <c r="A1614" s="219"/>
      <c r="B1614" s="242"/>
      <c r="C1614" s="251" t="s">
        <v>1991</v>
      </c>
      <c r="D1614" s="251" t="s">
        <v>1991</v>
      </c>
      <c r="E1614" s="242"/>
      <c r="F1614" s="121"/>
      <c r="G1614" s="315" t="s">
        <v>1961</v>
      </c>
      <c r="H1614" s="242"/>
      <c r="I1614" s="316">
        <f t="shared" ca="1" si="174"/>
        <v>4.8452622785747169E-2</v>
      </c>
      <c r="J1614" s="316">
        <f t="shared" ca="1" si="174"/>
        <v>4.8949572763036873E-2</v>
      </c>
      <c r="K1614" s="316">
        <f t="shared" ca="1" si="174"/>
        <v>4.9570760234649021E-2</v>
      </c>
      <c r="L1614" s="316">
        <f t="shared" ca="1" si="174"/>
        <v>5.0191947706261168E-2</v>
      </c>
      <c r="M1614" s="316">
        <f t="shared" ca="1" si="174"/>
        <v>5.0813135177873309E-2</v>
      </c>
      <c r="N1614" s="316">
        <f t="shared" ca="1" si="174"/>
        <v>5.1434322649485456E-2</v>
      </c>
      <c r="O1614" s="316">
        <f t="shared" ca="1" si="174"/>
        <v>5.2055510121097603E-2</v>
      </c>
      <c r="P1614" s="316">
        <f t="shared" ca="1" si="174"/>
        <v>5.2676697592709751E-2</v>
      </c>
      <c r="Q1614" s="316">
        <f t="shared" ca="1" si="174"/>
        <v>5.3297885064321891E-2</v>
      </c>
      <c r="R1614" s="239"/>
      <c r="U1614" s="179"/>
      <c r="W1614" s="179"/>
      <c r="X1614" s="179"/>
    </row>
    <row r="1615" spans="1:24" s="65" customFormat="1" ht="15" customHeight="1" outlineLevel="2">
      <c r="A1615" s="219"/>
      <c r="B1615" s="242"/>
      <c r="C1615" s="251" t="s">
        <v>1992</v>
      </c>
      <c r="D1615" s="251" t="s">
        <v>1992</v>
      </c>
      <c r="E1615" s="242"/>
      <c r="F1615" s="121"/>
      <c r="G1615" s="315" t="s">
        <v>1962</v>
      </c>
      <c r="H1615" s="242"/>
      <c r="I1615" s="316">
        <f t="shared" ca="1" si="174"/>
        <v>9.4912618920537373E-2</v>
      </c>
      <c r="J1615" s="316">
        <f t="shared" ca="1" si="174"/>
        <v>9.5886081678696722E-2</v>
      </c>
      <c r="K1615" s="316">
        <f t="shared" ca="1" si="174"/>
        <v>9.7102910126395908E-2</v>
      </c>
      <c r="L1615" s="316">
        <f t="shared" ca="1" si="174"/>
        <v>9.8319738574095122E-2</v>
      </c>
      <c r="M1615" s="316">
        <f t="shared" ca="1" si="174"/>
        <v>9.9536567021794323E-2</v>
      </c>
      <c r="N1615" s="316">
        <f t="shared" ca="1" si="174"/>
        <v>0.10075339546949351</v>
      </c>
      <c r="O1615" s="316">
        <f t="shared" ca="1" si="174"/>
        <v>0.10197022391719272</v>
      </c>
      <c r="P1615" s="316">
        <f t="shared" ca="1" si="174"/>
        <v>0.10318705236489191</v>
      </c>
      <c r="Q1615" s="316">
        <f t="shared" ca="1" si="174"/>
        <v>0.10440388081259112</v>
      </c>
      <c r="R1615" s="239"/>
      <c r="U1615" s="179"/>
      <c r="W1615" s="179"/>
      <c r="X1615" s="179"/>
    </row>
    <row r="1616" spans="1:24" s="65" customFormat="1" ht="15" customHeight="1" outlineLevel="2">
      <c r="A1616" s="219"/>
      <c r="B1616" s="242"/>
      <c r="C1616" s="251" t="s">
        <v>1993</v>
      </c>
      <c r="D1616" s="251" t="s">
        <v>1993</v>
      </c>
      <c r="E1616" s="242"/>
      <c r="F1616" s="121"/>
      <c r="G1616" s="315" t="s">
        <v>1963</v>
      </c>
      <c r="H1616" s="242"/>
      <c r="I1616" s="316">
        <f t="shared" ca="1" si="174"/>
        <v>0.26812705990636193</v>
      </c>
      <c r="J1616" s="316">
        <f t="shared" ca="1" si="174"/>
        <v>0.27087708103360664</v>
      </c>
      <c r="K1616" s="316">
        <f t="shared" ca="1" si="174"/>
        <v>0.27431460744266256</v>
      </c>
      <c r="L1616" s="316">
        <f t="shared" ca="1" si="174"/>
        <v>0.27775213385171854</v>
      </c>
      <c r="M1616" s="316">
        <f t="shared" ca="1" si="174"/>
        <v>0.28118966026077447</v>
      </c>
      <c r="N1616" s="316">
        <f t="shared" ca="1" si="174"/>
        <v>0.28462718666983039</v>
      </c>
      <c r="O1616" s="316">
        <f t="shared" ca="1" si="174"/>
        <v>0.28806471307888637</v>
      </c>
      <c r="P1616" s="316">
        <f t="shared" ca="1" si="174"/>
        <v>0.29150223948794224</v>
      </c>
      <c r="Q1616" s="316">
        <f t="shared" ca="1" si="174"/>
        <v>0.29493976589699816</v>
      </c>
      <c r="R1616" s="239"/>
      <c r="U1616" s="179"/>
      <c r="W1616" s="179"/>
      <c r="X1616" s="179"/>
    </row>
    <row r="1617" spans="1:24" s="65" customFormat="1" ht="15" customHeight="1" outlineLevel="2">
      <c r="A1617" s="219"/>
      <c r="B1617" s="242"/>
      <c r="C1617" s="251" t="s">
        <v>1994</v>
      </c>
      <c r="D1617" s="251" t="s">
        <v>1994</v>
      </c>
      <c r="E1617" s="242"/>
      <c r="F1617" s="121"/>
      <c r="G1617" s="251" t="s">
        <v>1964</v>
      </c>
      <c r="H1617" s="242"/>
      <c r="I1617" s="316">
        <f t="shared" ca="1" si="174"/>
        <v>0.15555674848377091</v>
      </c>
      <c r="J1617" s="316">
        <f t="shared" ca="1" si="174"/>
        <v>0.15715220231437368</v>
      </c>
      <c r="K1617" s="316">
        <f t="shared" ca="1" si="174"/>
        <v>0.15914651960262716</v>
      </c>
      <c r="L1617" s="316">
        <f t="shared" ca="1" si="174"/>
        <v>0.16114083689088063</v>
      </c>
      <c r="M1617" s="316">
        <f t="shared" ca="1" si="174"/>
        <v>0.1631351541791341</v>
      </c>
      <c r="N1617" s="316">
        <f t="shared" ca="1" si="174"/>
        <v>0.16512947146738757</v>
      </c>
      <c r="O1617" s="316">
        <f t="shared" ca="1" si="174"/>
        <v>0.16712378875564107</v>
      </c>
      <c r="P1617" s="316">
        <f t="shared" ca="1" si="174"/>
        <v>0.16911810604389454</v>
      </c>
      <c r="Q1617" s="316">
        <f t="shared" ca="1" si="174"/>
        <v>0.17111242333214802</v>
      </c>
      <c r="R1617" s="239"/>
      <c r="U1617" s="179"/>
      <c r="W1617" s="179"/>
      <c r="X1617" s="179"/>
    </row>
    <row r="1618" spans="1:24" s="65" customFormat="1" ht="15" customHeight="1" outlineLevel="2">
      <c r="A1618" s="219"/>
      <c r="B1618" s="242"/>
      <c r="C1618" s="251" t="s">
        <v>1995</v>
      </c>
      <c r="D1618" s="251" t="s">
        <v>1995</v>
      </c>
      <c r="E1618" s="242"/>
      <c r="F1618" s="121"/>
      <c r="G1618" s="315" t="s">
        <v>1954</v>
      </c>
      <c r="H1618" s="242"/>
      <c r="I1618" s="316">
        <f t="shared" ca="1" si="174"/>
        <v>2.0686316931039065E-2</v>
      </c>
      <c r="J1618" s="316">
        <f t="shared" ca="1" si="174"/>
        <v>2.0898484284177926E-2</v>
      </c>
      <c r="K1618" s="316">
        <f t="shared" ca="1" si="174"/>
        <v>2.1163693475601503E-2</v>
      </c>
      <c r="L1618" s="316">
        <f t="shared" ca="1" si="174"/>
        <v>2.1428902667025091E-2</v>
      </c>
      <c r="M1618" s="316">
        <f t="shared" ca="1" si="174"/>
        <v>2.1694111858448665E-2</v>
      </c>
      <c r="N1618" s="316">
        <f t="shared" ca="1" si="174"/>
        <v>2.1959321049872239E-2</v>
      </c>
      <c r="O1618" s="316">
        <f t="shared" ca="1" si="174"/>
        <v>2.2224530241295823E-2</v>
      </c>
      <c r="P1618" s="316">
        <f t="shared" ca="1" si="174"/>
        <v>2.24897394327194E-2</v>
      </c>
      <c r="Q1618" s="316">
        <f t="shared" ca="1" si="174"/>
        <v>2.2754948624142974E-2</v>
      </c>
      <c r="R1618" s="239"/>
      <c r="U1618" s="179"/>
      <c r="W1618" s="179"/>
      <c r="X1618" s="179"/>
    </row>
    <row r="1619" spans="1:24" s="65" customFormat="1" ht="15" customHeight="1" outlineLevel="2">
      <c r="A1619" s="219"/>
      <c r="B1619" s="242"/>
      <c r="C1619" s="251" t="s">
        <v>1996</v>
      </c>
      <c r="D1619" s="251" t="s">
        <v>1996</v>
      </c>
      <c r="E1619" s="242"/>
      <c r="F1619" s="121"/>
      <c r="G1619" s="251" t="s">
        <v>1955</v>
      </c>
      <c r="H1619" s="242"/>
      <c r="I1619" s="316">
        <f t="shared" ca="1" si="174"/>
        <v>9.5505586136603697E-3</v>
      </c>
      <c r="J1619" s="316">
        <f t="shared" ca="1" si="174"/>
        <v>9.6485130609799633E-3</v>
      </c>
      <c r="K1619" s="316">
        <f t="shared" ca="1" si="174"/>
        <v>9.770956120129454E-3</v>
      </c>
      <c r="L1619" s="316">
        <f t="shared" ca="1" si="174"/>
        <v>9.89339917927895E-3</v>
      </c>
      <c r="M1619" s="316">
        <f t="shared" ca="1" si="174"/>
        <v>1.0015842238428439E-2</v>
      </c>
      <c r="N1619" s="316">
        <f t="shared" ca="1" si="174"/>
        <v>1.0138285297577931E-2</v>
      </c>
      <c r="O1619" s="316">
        <f t="shared" ca="1" si="174"/>
        <v>1.0260728356727424E-2</v>
      </c>
      <c r="P1619" s="316">
        <f t="shared" ca="1" si="174"/>
        <v>1.0383171415876916E-2</v>
      </c>
      <c r="Q1619" s="316">
        <f t="shared" ca="1" si="174"/>
        <v>1.0505614475026407E-2</v>
      </c>
      <c r="R1619" s="239"/>
      <c r="U1619" s="179"/>
      <c r="W1619" s="179"/>
      <c r="X1619" s="179"/>
    </row>
    <row r="1620" spans="1:24" s="65" customFormat="1" ht="15" customHeight="1" outlineLevel="2">
      <c r="A1620" s="219"/>
      <c r="B1620" s="242"/>
      <c r="C1620" s="251" t="s">
        <v>1997</v>
      </c>
      <c r="D1620" s="251" t="s">
        <v>1997</v>
      </c>
      <c r="E1620" s="242"/>
      <c r="F1620" s="121"/>
      <c r="G1620" s="251" t="s">
        <v>1956</v>
      </c>
      <c r="H1620" s="242"/>
      <c r="I1620" s="316">
        <f t="shared" ca="1" si="174"/>
        <v>1.8571081133721589E-2</v>
      </c>
      <c r="J1620" s="316">
        <f t="shared" ca="1" si="174"/>
        <v>1.8761553760734118E-2</v>
      </c>
      <c r="K1620" s="316">
        <f t="shared" ca="1" si="174"/>
        <v>1.8999644544499782E-2</v>
      </c>
      <c r="L1620" s="316">
        <f t="shared" ca="1" si="174"/>
        <v>1.9237735328265448E-2</v>
      </c>
      <c r="M1620" s="316">
        <f t="shared" ca="1" si="174"/>
        <v>1.9475826112031105E-2</v>
      </c>
      <c r="N1620" s="316">
        <f t="shared" ca="1" si="174"/>
        <v>1.9713916895796768E-2</v>
      </c>
      <c r="O1620" s="316">
        <f t="shared" ca="1" si="174"/>
        <v>1.9952007679562431E-2</v>
      </c>
      <c r="P1620" s="316">
        <f t="shared" ca="1" si="174"/>
        <v>2.0190098463328091E-2</v>
      </c>
      <c r="Q1620" s="316">
        <f t="shared" ca="1" si="174"/>
        <v>2.0428189247093751E-2</v>
      </c>
      <c r="R1620" s="239"/>
      <c r="U1620" s="179"/>
      <c r="W1620" s="179"/>
      <c r="X1620" s="179"/>
    </row>
    <row r="1621" spans="1:24" s="65" customFormat="1" ht="15" customHeight="1" outlineLevel="2">
      <c r="A1621" s="219"/>
      <c r="B1621" s="242"/>
      <c r="C1621" s="251" t="s">
        <v>1998</v>
      </c>
      <c r="D1621" s="251" t="s">
        <v>1998</v>
      </c>
      <c r="E1621" s="242"/>
      <c r="F1621" s="121"/>
      <c r="G1621" s="251" t="s">
        <v>1426</v>
      </c>
      <c r="H1621" s="242"/>
      <c r="I1621" s="316">
        <f t="shared" ca="1" si="174"/>
        <v>3.1621299966105854E-2</v>
      </c>
      <c r="J1621" s="316">
        <f t="shared" ca="1" si="174"/>
        <v>3.063503141226492E-2</v>
      </c>
      <c r="K1621" s="316">
        <f t="shared" ca="1" si="174"/>
        <v>2.936477406319913E-2</v>
      </c>
      <c r="L1621" s="316">
        <f t="shared" ca="1" si="174"/>
        <v>2.8052937095505985E-2</v>
      </c>
      <c r="M1621" s="316">
        <f t="shared" ca="1" si="174"/>
        <v>2.6699520509185479E-2</v>
      </c>
      <c r="N1621" s="316">
        <f t="shared" ca="1" si="174"/>
        <v>2.5304524304237613E-2</v>
      </c>
      <c r="O1621" s="316">
        <f t="shared" ca="1" si="174"/>
        <v>2.3867948480662388E-2</v>
      </c>
      <c r="P1621" s="316">
        <f t="shared" ca="1" si="174"/>
        <v>2.238979303845981E-2</v>
      </c>
      <c r="Q1621" s="316">
        <f t="shared" ca="1" si="174"/>
        <v>2.0870057977629863E-2</v>
      </c>
      <c r="R1621" s="239"/>
      <c r="U1621" s="179"/>
      <c r="W1621" s="179"/>
      <c r="X1621" s="179"/>
    </row>
    <row r="1622" spans="1:24" s="65" customFormat="1" ht="15" customHeight="1" outlineLevel="2">
      <c r="A1622" s="219"/>
      <c r="B1622" s="242"/>
      <c r="C1622" s="251" t="s">
        <v>1999</v>
      </c>
      <c r="D1622" s="251" t="s">
        <v>1999</v>
      </c>
      <c r="E1622" s="242"/>
      <c r="F1622" s="121"/>
      <c r="G1622" s="251" t="s">
        <v>1457</v>
      </c>
      <c r="H1622" s="242"/>
      <c r="I1622" s="316">
        <f t="shared" ca="1" si="174"/>
        <v>0.10621451857493569</v>
      </c>
      <c r="J1622" s="316">
        <f t="shared" ca="1" si="174"/>
        <v>0.10498822113583167</v>
      </c>
      <c r="K1622" s="316">
        <f t="shared" ca="1" si="174"/>
        <v>0.1033892291147081</v>
      </c>
      <c r="L1622" s="316">
        <f t="shared" ca="1" si="174"/>
        <v>0.10171677017998064</v>
      </c>
      <c r="M1622" s="316">
        <f t="shared" ca="1" si="174"/>
        <v>9.9970844331649239E-2</v>
      </c>
      <c r="N1622" s="316">
        <f t="shared" ca="1" si="174"/>
        <v>9.8151451569713902E-2</v>
      </c>
      <c r="O1622" s="316">
        <f t="shared" ca="1" si="174"/>
        <v>9.6258591894174669E-2</v>
      </c>
      <c r="P1622" s="316">
        <f t="shared" ca="1" si="174"/>
        <v>9.4292265305031486E-2</v>
      </c>
      <c r="Q1622" s="316">
        <f t="shared" ca="1" si="174"/>
        <v>9.225247180228438E-2</v>
      </c>
      <c r="R1622" s="239"/>
      <c r="U1622" s="179"/>
      <c r="W1622" s="179"/>
      <c r="X1622" s="179"/>
    </row>
    <row r="1623" spans="1:24" s="65" customFormat="1" ht="15" customHeight="1" outlineLevel="2">
      <c r="A1623" s="219"/>
      <c r="B1623" s="242"/>
      <c r="C1623" s="251"/>
      <c r="D1623" s="251"/>
      <c r="E1623" s="242"/>
      <c r="F1623" s="121"/>
      <c r="G1623" s="251"/>
      <c r="H1623" s="242"/>
      <c r="I1623" s="316"/>
      <c r="J1623" s="316"/>
      <c r="K1623" s="316"/>
      <c r="L1623" s="316"/>
      <c r="M1623" s="316"/>
      <c r="N1623" s="316"/>
      <c r="O1623" s="316"/>
      <c r="P1623" s="316"/>
      <c r="Q1623" s="316"/>
      <c r="R1623" s="239"/>
      <c r="U1623" s="179"/>
      <c r="W1623" s="179"/>
      <c r="X1623" s="179"/>
    </row>
    <row r="1624" spans="1:24" s="65" customFormat="1" ht="15" customHeight="1" outlineLevel="1">
      <c r="A1624" s="219"/>
      <c r="B1624" s="242"/>
      <c r="C1624" s="244" t="s">
        <v>1463</v>
      </c>
      <c r="D1624" s="242"/>
      <c r="E1624" s="242"/>
      <c r="F1624" s="242"/>
      <c r="G1624" s="242"/>
      <c r="H1624" s="242"/>
      <c r="I1624" s="242"/>
      <c r="J1624" s="242"/>
      <c r="K1624" s="242"/>
      <c r="L1624" s="242"/>
      <c r="M1624" s="242"/>
      <c r="N1624" s="242"/>
      <c r="O1624" s="242"/>
      <c r="P1624" s="242"/>
      <c r="Q1624" s="242"/>
      <c r="R1624" s="239"/>
      <c r="S1624" s="179"/>
      <c r="V1624" s="179"/>
      <c r="W1624" s="179"/>
    </row>
    <row r="1625" spans="1:24" s="65" customFormat="1" ht="15" customHeight="1" outlineLevel="1">
      <c r="A1625" s="219"/>
      <c r="B1625" s="242"/>
      <c r="C1625" s="244" t="s">
        <v>1646</v>
      </c>
      <c r="D1625" s="242"/>
      <c r="E1625" s="242"/>
      <c r="F1625" s="242"/>
      <c r="G1625" s="242"/>
      <c r="H1625" s="242"/>
      <c r="I1625" s="242"/>
      <c r="J1625" s="246"/>
      <c r="K1625" s="246"/>
      <c r="L1625" s="246"/>
      <c r="M1625" s="246"/>
      <c r="N1625" s="246"/>
      <c r="O1625" s="246"/>
      <c r="P1625" s="246"/>
      <c r="Q1625" s="246" t="s">
        <v>511</v>
      </c>
      <c r="R1625" s="246"/>
      <c r="S1625" s="179"/>
      <c r="V1625" s="179"/>
      <c r="W1625" s="179"/>
    </row>
    <row r="1626" spans="1:24" s="65" customFormat="1" ht="15" customHeight="1" outlineLevel="2">
      <c r="A1626" s="219"/>
      <c r="B1626" s="242"/>
      <c r="C1626" s="244"/>
      <c r="D1626" s="242"/>
      <c r="E1626" s="242"/>
      <c r="F1626" s="242"/>
      <c r="G1626" s="242"/>
      <c r="H1626" s="242"/>
      <c r="I1626" s="242"/>
      <c r="J1626" s="246"/>
      <c r="K1626" s="246"/>
      <c r="L1626" s="246"/>
      <c r="M1626" s="246"/>
      <c r="N1626" s="246"/>
      <c r="O1626" s="246"/>
      <c r="P1626" s="246"/>
      <c r="Q1626" s="246"/>
      <c r="R1626" s="246"/>
      <c r="S1626" s="179"/>
      <c r="V1626" s="179"/>
      <c r="W1626" s="179"/>
    </row>
    <row r="1627" spans="1:24" s="65" customFormat="1" ht="15" customHeight="1" outlineLevel="2">
      <c r="A1627" s="219"/>
      <c r="B1627" s="242"/>
      <c r="C1627" s="242" t="s">
        <v>454</v>
      </c>
      <c r="D1627" s="242" t="s">
        <v>241</v>
      </c>
      <c r="E1627" s="242" t="s">
        <v>1658</v>
      </c>
      <c r="F1627" s="242" t="s">
        <v>274</v>
      </c>
      <c r="G1627" s="242" t="s">
        <v>509</v>
      </c>
      <c r="H1627" s="242" t="s">
        <v>510</v>
      </c>
      <c r="I1627" s="183" t="s">
        <v>1107</v>
      </c>
      <c r="J1627" s="242" t="s">
        <v>210</v>
      </c>
      <c r="K1627" s="242" t="s">
        <v>211</v>
      </c>
      <c r="L1627" s="242" t="s">
        <v>212</v>
      </c>
      <c r="M1627" s="242" t="s">
        <v>213</v>
      </c>
      <c r="N1627" s="242" t="s">
        <v>214</v>
      </c>
      <c r="O1627" s="242" t="s">
        <v>215</v>
      </c>
      <c r="P1627" s="242" t="s">
        <v>216</v>
      </c>
      <c r="Q1627" s="121" t="s">
        <v>217</v>
      </c>
      <c r="R1627" s="246"/>
      <c r="S1627" s="179"/>
      <c r="T1627" s="179" t="str">
        <f>$T$6</f>
        <v>Source</v>
      </c>
      <c r="U1627" s="179" t="str">
        <f>$U$6</f>
        <v>Link</v>
      </c>
      <c r="V1627" s="179" t="str">
        <f>$V$6</f>
        <v>Risk (Green, Amber/Green, Amber, Red/Amber, Red)</v>
      </c>
      <c r="W1627" s="179" t="s">
        <v>869</v>
      </c>
      <c r="X1627" s="179" t="str">
        <f>$X$6</f>
        <v>Comment author</v>
      </c>
    </row>
    <row r="1628" spans="1:24" s="65" customFormat="1" ht="15" customHeight="1" outlineLevel="2">
      <c r="A1628" s="219"/>
      <c r="B1628" s="242"/>
      <c r="C1628" s="242" t="s">
        <v>1376</v>
      </c>
      <c r="D1628" s="121" t="str">
        <f>INDEX(Regional.Technologies[Description],MATCH($B$2&amp;"."&amp;G.30.assumptions.ProcessImprovements[[#This Row],[Technology code]],Regional.Technologies[Code],0))</f>
        <v>Global Electricity use in the Oxygen steel technology</v>
      </c>
      <c r="E1628" s="242">
        <f ca="1">INDEX(G.30.Levers[],MATCH(G.30.assumptions.ProcessImprovements[[#This Row],[.]],G.30.Levers[Lever code],0),4)</f>
        <v>1</v>
      </c>
      <c r="F1628" s="121" t="s">
        <v>1611</v>
      </c>
      <c r="G1628" s="242" t="str">
        <f t="shared" ref="G1628:G1633" si="175">"Process."&amp;LEFT(C1628,FIND("|",SUBSTITUTE(C1628,".","|",LEN(C1628)-LEN(SUBSTITUTE(C1628,".",""))))-1)</f>
        <v>Process.Steel.Oxygen</v>
      </c>
      <c r="H1628" s="121" t="s">
        <v>1377</v>
      </c>
      <c r="I1628" s="406">
        <f t="array" aca="1" ref="I1628" ca="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J1628" s="406">
        <f t="array" aca="1" ref="J1628" ca="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K1628" s="406">
        <f t="array" aca="1" ref="K1628" ca="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L1628" s="406">
        <f t="array" aca="1" ref="L1628" ca="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M1628" s="406">
        <f t="array" aca="1" ref="M1628" ca="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N1628" s="406">
        <f t="array" aca="1" ref="N1628" ca="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O1628" s="406">
        <f t="array" aca="1" ref="O1628" ca="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P1628" s="406">
        <f t="array" aca="1" ref="P1628" ca="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Q1628" s="406">
        <f t="array" aca="1" ref="Q1628" ca="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R1628" s="246"/>
      <c r="S1628" s="179"/>
      <c r="V1628" s="179"/>
      <c r="W1628" s="179"/>
      <c r="X1628" s="304">
        <f>LEN(C1628)-LEN(SUBSTITUTE(C1628,".",""))</f>
        <v>2</v>
      </c>
    </row>
    <row r="1629" spans="1:24" s="65" customFormat="1" ht="15" customHeight="1" outlineLevel="2">
      <c r="A1629" s="219"/>
      <c r="B1629" s="242"/>
      <c r="C1629" s="242" t="s">
        <v>1798</v>
      </c>
      <c r="D1629" s="121" t="str">
        <f>INDEX(Regional.Technologies[Description],MATCH($B$2&amp;"."&amp;G.30.assumptions.ProcessImprovements[[#This Row],[Technology code]],Regional.Technologies[Code],0))</f>
        <v>Global Coal use in the Oxygen steel technology</v>
      </c>
      <c r="E1629" s="242">
        <f ca="1">INDEX(G.30.Levers[],MATCH(G.30.assumptions.ProcessImprovements[[#This Row],[.]],G.30.Levers[Lever code],0),4)</f>
        <v>1</v>
      </c>
      <c r="F1629" s="121" t="s">
        <v>1611</v>
      </c>
      <c r="G1629" s="242" t="str">
        <f t="shared" si="175"/>
        <v>Process.Steel.Oxygen</v>
      </c>
      <c r="H1629" s="121" t="s">
        <v>2190</v>
      </c>
      <c r="I1629" s="406">
        <f t="array" aca="1" ref="I1629" ca="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J1629" s="406">
        <f t="array" aca="1" ref="J1629" ca="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K1629" s="406">
        <f t="array" aca="1" ref="K1629" ca="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L1629" s="406">
        <f t="array" aca="1" ref="L1629" ca="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M1629" s="406">
        <f t="array" aca="1" ref="M1629" ca="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N1629" s="406">
        <f t="array" aca="1" ref="N1629" ca="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O1629" s="406">
        <f t="array" aca="1" ref="O1629" ca="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P1629" s="406">
        <f t="array" aca="1" ref="P1629" ca="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Q1629" s="406">
        <f t="array" aca="1" ref="Q1629" ca="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R1629" s="246"/>
      <c r="S1629" s="179"/>
      <c r="V1629" s="179"/>
      <c r="W1629" s="179"/>
      <c r="X1629" s="309" t="str">
        <f>SUBSTITUTE(C1628,".","|",X1628)</f>
        <v>Steel.Oxygen|Electricity</v>
      </c>
    </row>
    <row r="1630" spans="1:24" s="65" customFormat="1" ht="15" customHeight="1" outlineLevel="2">
      <c r="A1630" s="219"/>
      <c r="B1630" s="242"/>
      <c r="C1630" s="242" t="s">
        <v>1799</v>
      </c>
      <c r="D1630" s="121" t="str">
        <f>INDEX(Regional.Technologies[Description],MATCH($B$2&amp;"."&amp;G.30.assumptions.ProcessImprovements[[#This Row],[Technology code]],Regional.Technologies[Code],0))</f>
        <v>Global Oil use in the Oxygen steel technology</v>
      </c>
      <c r="E1630" s="242">
        <f ca="1">INDEX(G.30.Levers[],MATCH(G.30.assumptions.ProcessImprovements[[#This Row],[.]],G.30.Levers[Lever code],0),4)</f>
        <v>1</v>
      </c>
      <c r="F1630" s="121" t="s">
        <v>1611</v>
      </c>
      <c r="G1630" s="242" t="str">
        <f t="shared" si="175"/>
        <v>Process.Steel.Oxygen</v>
      </c>
      <c r="H1630" s="121"/>
      <c r="I1630" s="406">
        <f t="array" aca="1" ref="I1630" ca="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J1630" s="406">
        <f t="array" aca="1" ref="J1630" ca="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K1630" s="406">
        <f t="array" aca="1" ref="K1630" ca="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L1630" s="406">
        <f t="array" aca="1" ref="L1630" ca="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M1630" s="406">
        <f t="array" aca="1" ref="M1630" ca="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N1630" s="406">
        <f t="array" aca="1" ref="N1630" ca="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O1630" s="406">
        <f t="array" aca="1" ref="O1630" ca="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P1630" s="406">
        <f t="array" aca="1" ref="P1630" ca="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Q1630" s="406">
        <f t="array" aca="1" ref="Q1630" ca="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R1630" s="246"/>
      <c r="S1630" s="179"/>
      <c r="V1630" s="179"/>
      <c r="W1630" s="179"/>
      <c r="X1630" s="309" t="str">
        <f>LEFT(C1628,FIND("|",X1629)-1)</f>
        <v>Steel.Oxygen</v>
      </c>
    </row>
    <row r="1631" spans="1:24" s="65" customFormat="1" ht="15" customHeight="1" outlineLevel="2">
      <c r="A1631" s="219"/>
      <c r="B1631" s="242"/>
      <c r="C1631" s="242" t="s">
        <v>1800</v>
      </c>
      <c r="D1631" s="121" t="str">
        <f>INDEX(Regional.Technologies[Description],MATCH($B$2&amp;"."&amp;G.30.assumptions.ProcessImprovements[[#This Row],[Technology code]],Regional.Technologies[Code],0))</f>
        <v>Global Natural Gas use in the Oxygen steel technology</v>
      </c>
      <c r="E1631" s="242">
        <f ca="1">INDEX(G.30.Levers[],MATCH(G.30.assumptions.ProcessImprovements[[#This Row],[.]],G.30.Levers[Lever code],0),4)</f>
        <v>1</v>
      </c>
      <c r="F1631" s="121" t="s">
        <v>1611</v>
      </c>
      <c r="G1631" s="242" t="str">
        <f t="shared" si="175"/>
        <v>Process.Steel.Oxygen</v>
      </c>
      <c r="H1631" s="121"/>
      <c r="I1631" s="406">
        <f t="array" aca="1" ref="I1631" ca="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J1631" s="406">
        <f t="array" aca="1" ref="J1631" ca="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K1631" s="406">
        <f t="array" aca="1" ref="K1631" ca="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L1631" s="406">
        <f t="array" aca="1" ref="L1631" ca="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M1631" s="406">
        <f t="array" aca="1" ref="M1631" ca="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N1631" s="406">
        <f t="array" aca="1" ref="N1631" ca="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O1631" s="406">
        <f t="array" aca="1" ref="O1631" ca="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P1631" s="406">
        <f t="array" aca="1" ref="P1631" ca="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Q1631" s="406">
        <f t="array" aca="1" ref="Q1631" ca="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R1631" s="246"/>
      <c r="T1631" s="251"/>
      <c r="U1631" s="179"/>
      <c r="W1631" s="179"/>
      <c r="X1631" s="179"/>
    </row>
    <row r="1632" spans="1:24" s="65" customFormat="1" ht="15" customHeight="1" outlineLevel="2">
      <c r="A1632" s="219"/>
      <c r="B1632" s="121"/>
      <c r="C1632" s="242" t="s">
        <v>1802</v>
      </c>
      <c r="D1632" s="121" t="str">
        <f>INDEX(Regional.Technologies[Description],MATCH($B$2&amp;"."&amp;G.30.assumptions.ProcessImprovements[[#This Row],[Technology code]],Regional.Technologies[Code],0))</f>
        <v>Global Solid Hydrocarbons use in the Oxygen steel technology</v>
      </c>
      <c r="E1632" s="242">
        <f ca="1">INDEX(G.30.Levers[],MATCH(G.30.assumptions.ProcessImprovements[[#This Row],[.]],G.30.Levers[Lever code],0),4)</f>
        <v>1</v>
      </c>
      <c r="F1632" s="121" t="s">
        <v>1611</v>
      </c>
      <c r="G1632" s="242" t="str">
        <f t="shared" si="175"/>
        <v>Process.Steel.Oxygen</v>
      </c>
      <c r="H1632" s="121"/>
      <c r="I1632" s="406">
        <f t="array" aca="1" ref="I1632" ca="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J1632" s="406">
        <f t="array" aca="1" ref="J1632" ca="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K1632" s="406">
        <f t="array" aca="1" ref="K1632" ca="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L1632" s="406">
        <f t="array" aca="1" ref="L1632" ca="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M1632" s="406">
        <f t="array" aca="1" ref="M1632" ca="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N1632" s="406">
        <f t="array" aca="1" ref="N1632" ca="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O1632" s="406">
        <f t="array" aca="1" ref="O1632" ca="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P1632" s="406">
        <f t="array" aca="1" ref="P1632" ca="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Q1632" s="406">
        <f t="array" aca="1" ref="Q1632" ca="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R1632" s="249"/>
      <c r="T1632" s="251"/>
      <c r="U1632" s="179"/>
      <c r="W1632" s="179"/>
      <c r="X1632" s="179"/>
    </row>
    <row r="1633" spans="1:24" s="65" customFormat="1" ht="15" customHeight="1" outlineLevel="2">
      <c r="A1633" s="219"/>
      <c r="B1633" s="121"/>
      <c r="C1633" s="242" t="s">
        <v>1635</v>
      </c>
      <c r="D1633" s="121" t="str">
        <f>INDEX(Regional.Technologies[Description],MATCH($B$2&amp;"."&amp;G.30.assumptions.ProcessImprovements[[#This Row],[Technology code]],Regional.Technologies[Code],0))</f>
        <v>Global Heat use in the Oxygen steel technology</v>
      </c>
      <c r="E1633" s="242">
        <f ca="1">INDEX(G.30.Levers[],MATCH(G.30.assumptions.ProcessImprovements[[#This Row],[.]],G.30.Levers[Lever code],0),4)</f>
        <v>1</v>
      </c>
      <c r="F1633" s="121" t="s">
        <v>1611</v>
      </c>
      <c r="G1633" s="242" t="str">
        <f t="shared" si="175"/>
        <v>Process.Steel.Oxygen</v>
      </c>
      <c r="H1633" s="121"/>
      <c r="I1633" s="406">
        <f t="array" aca="1" ref="I1633" ca="1">(SUMIFS(INDIRECT("G.30.levels.ProcessImprovements["&amp;I$1627&amp;"]"),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+(SUMIFS(INDIRECT("G.30.levels.ProcessImprovements["&amp;I$1627&amp;"]"),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J1633" s="406">
        <f t="array" aca="1" ref="J1633" ca="1">(SUMIFS(INDIRECT("G.30.levels.ProcessImprovements["&amp;J$1627&amp;"]"),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+(SUMIFS(INDIRECT("G.30.levels.ProcessImprovements["&amp;J$1627&amp;"]"),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K1633" s="406">
        <f t="array" aca="1" ref="K1633" ca="1">(SUMIFS(INDIRECT("G.30.levels.ProcessImprovements["&amp;K$1627&amp;"]"),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+(SUMIFS(INDIRECT("G.30.levels.ProcessImprovements["&amp;K$1627&amp;"]"),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L1633" s="406">
        <f t="array" aca="1" ref="L1633" ca="1">(SUMIFS(INDIRECT("G.30.levels.ProcessImprovements["&amp;L$1627&amp;"]"),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+(SUMIFS(INDIRECT("G.30.levels.ProcessImprovements["&amp;L$1627&amp;"]"),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M1633" s="406">
        <f t="array" aca="1" ref="M1633" ca="1">(SUMIFS(INDIRECT("G.30.levels.ProcessImprovements["&amp;M$1627&amp;"]"),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+(SUMIFS(INDIRECT("G.30.levels.ProcessImprovements["&amp;M$1627&amp;"]"),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N1633" s="406">
        <f t="array" aca="1" ref="N1633" ca="1">(SUMIFS(INDIRECT("G.30.levels.ProcessImprovements["&amp;N$1627&amp;"]"),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+(SUMIFS(INDIRECT("G.30.levels.ProcessImprovements["&amp;N$1627&amp;"]"),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O1633" s="406">
        <f t="array" aca="1" ref="O1633" ca="1">(SUMIFS(INDIRECT("G.30.levels.ProcessImprovements["&amp;O$1627&amp;"]"),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+(SUMIFS(INDIRECT("G.30.levels.ProcessImprovements["&amp;O$1627&amp;"]"),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P1633" s="406">
        <f t="array" aca="1" ref="P1633" ca="1">(SUMIFS(INDIRECT("G.30.levels.ProcessImprovements["&amp;P$1627&amp;"]"),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+(SUMIFS(INDIRECT("G.30.levels.ProcessImprovements["&amp;P$1627&amp;"]"),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Q1633" s="406">
        <f t="array" aca="1" ref="Q1633" ca="1">(SUMIFS(INDIRECT("G.30.levels.ProcessImprovements["&amp;Q$1627&amp;"]"),
         G.30.levels.ProcessImprovements[[Description]:[Description]],G.30.assumptions.ProcessImprovements[[#This Row],[Description]:[Description]],
         G.30.levels.ProcessImprovements[[Level]:[Level]],ROUNDDOWN(G.30.assumptions.ProcessImprovements[[#This Row],[level]:[level]],0))
*(1-MOD(G.30.assumptions.ProcessImprovements[[#This Row],[level]:[level]],1)))
+(SUMIFS(INDIRECT("G.30.levels.ProcessImprovements["&amp;Q$1627&amp;"]"),
         G.30.levels.ProcessImprovements[[Description]:[Description]],G.30.assumptions.ProcessImprovements[[#This Row],[Description]:[Description]],
         G.30.levels.ProcessImprovements[[Level]:[Level]],ROUNDUP(G.30.assumptions.ProcessImprovements[[#This Row],[level]:[level]],0))*MOD(G.30.assumptions.ProcessImprovements[[#This Row],[level]:[level]],1)
 )</f>
        <v>0</v>
      </c>
      <c r="R1633" s="249"/>
      <c r="T1633" s="251"/>
      <c r="U1633" s="179"/>
      <c r="W1633" s="179"/>
      <c r="X1633" s="179"/>
    </row>
    <row r="1634" spans="1:24" s="65" customFormat="1" ht="15" customHeight="1" outlineLevel="2">
      <c r="A1634" s="219"/>
      <c r="B1634" s="121"/>
      <c r="C1634" s="242"/>
      <c r="D1634" s="242"/>
      <c r="E1634" s="242"/>
      <c r="F1634" s="121"/>
      <c r="G1634" s="242"/>
      <c r="H1634" s="242"/>
      <c r="I1634" s="418"/>
      <c r="J1634" s="418"/>
      <c r="K1634" s="418"/>
      <c r="L1634" s="418"/>
      <c r="M1634" s="418"/>
      <c r="N1634" s="418"/>
      <c r="O1634" s="418"/>
      <c r="P1634" s="418"/>
      <c r="Q1634" s="418"/>
      <c r="R1634" s="121"/>
      <c r="U1634" s="179"/>
      <c r="W1634" s="179"/>
      <c r="X1634" s="179"/>
    </row>
    <row r="1635" spans="1:24" s="65" customFormat="1" ht="15" customHeight="1" outlineLevel="2">
      <c r="A1635" s="219"/>
      <c r="B1635" s="242"/>
      <c r="C1635" s="248" t="s">
        <v>2008</v>
      </c>
      <c r="D1635" s="242"/>
      <c r="E1635" s="242"/>
      <c r="F1635" s="242"/>
      <c r="G1635" s="242"/>
      <c r="H1635" s="242"/>
      <c r="I1635" s="242"/>
      <c r="J1635" s="242"/>
      <c r="K1635" s="242"/>
      <c r="L1635" s="242"/>
      <c r="M1635" s="242"/>
      <c r="N1635" s="242"/>
      <c r="O1635" s="242"/>
      <c r="P1635" s="242"/>
      <c r="Q1635" s="304" t="str">
        <f>Preferences.weight</f>
        <v>Gt</v>
      </c>
      <c r="R1635" s="242"/>
      <c r="T1635" s="179"/>
      <c r="U1635" s="179"/>
      <c r="W1635" s="179"/>
      <c r="X1635" s="179"/>
    </row>
    <row r="1636" spans="1:24" s="65" customFormat="1" ht="15" customHeight="1" outlineLevel="2">
      <c r="A1636" s="219"/>
      <c r="B1636" s="242"/>
      <c r="C1636" s="242"/>
      <c r="D1636" s="242"/>
      <c r="E1636" s="242"/>
      <c r="F1636" s="242"/>
      <c r="G1636" s="242"/>
      <c r="H1636" s="242"/>
      <c r="I1636" s="242"/>
      <c r="J1636" s="242"/>
      <c r="K1636" s="242"/>
      <c r="L1636" s="242"/>
      <c r="M1636" s="242"/>
      <c r="N1636" s="242"/>
      <c r="O1636" s="242"/>
      <c r="P1636" s="242"/>
      <c r="Q1636" s="248"/>
      <c r="R1636" s="242"/>
      <c r="S1636" s="179"/>
      <c r="T1636" s="179"/>
      <c r="V1636" s="179"/>
      <c r="W1636" s="179"/>
    </row>
    <row r="1637" spans="1:24" s="65" customFormat="1" ht="15" customHeight="1" outlineLevel="2">
      <c r="A1637" s="219"/>
      <c r="B1637" s="242"/>
      <c r="C1637" s="258" t="s">
        <v>454</v>
      </c>
      <c r="D1637" s="258" t="s">
        <v>241</v>
      </c>
      <c r="E1637" s="258" t="s">
        <v>394</v>
      </c>
      <c r="F1637" s="258" t="s">
        <v>274</v>
      </c>
      <c r="G1637" s="258" t="s">
        <v>509</v>
      </c>
      <c r="H1637" s="258" t="s">
        <v>510</v>
      </c>
      <c r="I1637" s="258" t="s">
        <v>1107</v>
      </c>
      <c r="J1637" s="258" t="s">
        <v>210</v>
      </c>
      <c r="K1637" s="258" t="s">
        <v>211</v>
      </c>
      <c r="L1637" s="258" t="s">
        <v>212</v>
      </c>
      <c r="M1637" s="258" t="s">
        <v>213</v>
      </c>
      <c r="N1637" s="258" t="s">
        <v>214</v>
      </c>
      <c r="O1637" s="258" t="s">
        <v>215</v>
      </c>
      <c r="P1637" s="258" t="s">
        <v>216</v>
      </c>
      <c r="Q1637" s="258" t="s">
        <v>217</v>
      </c>
      <c r="R1637" s="242"/>
      <c r="S1637" s="179"/>
      <c r="T1637" s="179" t="str">
        <f>$T$6</f>
        <v>Source</v>
      </c>
      <c r="U1637" s="179" t="str">
        <f>$U$6</f>
        <v>Link</v>
      </c>
      <c r="V1637" s="179" t="str">
        <f>$V$6</f>
        <v>Risk (Green, Amber/Green, Amber, Red/Amber, Red)</v>
      </c>
      <c r="W1637" s="179" t="s">
        <v>869</v>
      </c>
      <c r="X1637" s="179" t="str">
        <f>$X$6</f>
        <v>Comment author</v>
      </c>
    </row>
    <row r="1638" spans="1:24" s="65" customFormat="1" ht="15" customHeight="1" outlineLevel="2">
      <c r="A1638" s="219"/>
      <c r="B1638" s="242"/>
      <c r="C1638" s="121"/>
      <c r="D1638" s="121" t="s">
        <v>1377</v>
      </c>
      <c r="E1638" s="121"/>
      <c r="F1638" s="121" t="s">
        <v>1396</v>
      </c>
      <c r="G1638" s="121"/>
      <c r="H1638" s="121"/>
      <c r="I1638" s="318">
        <f t="array" aca="1" ref="I1638"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1.0726169999999999</v>
      </c>
      <c r="J1638" s="318">
        <f t="array" aca="1" ref="J1638"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1.066870013806706</v>
      </c>
      <c r="K1638" s="318">
        <f t="array" aca="1" ref="K1638"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1.0592080650887572</v>
      </c>
      <c r="L1638" s="318">
        <f t="array" aca="1" ref="L1638"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1.051014765285996</v>
      </c>
      <c r="M1638" s="318">
        <f t="array" aca="1" ref="M1638"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1.042290114398422</v>
      </c>
      <c r="N1638" s="318">
        <f t="array" aca="1" ref="N1638"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1.0330341124260354</v>
      </c>
      <c r="O1638" s="318">
        <f t="array" aca="1" ref="O1638"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1.0232467593688364</v>
      </c>
      <c r="P1638" s="318">
        <f t="array" aca="1" ref="P1638"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1.0129280552268247</v>
      </c>
      <c r="Q1638" s="318">
        <f t="array" aca="1" ref="Q1638"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1.002078</v>
      </c>
      <c r="R1638" s="242"/>
      <c r="S1638" s="179"/>
      <c r="T1638" s="179"/>
      <c r="V1638" s="179"/>
      <c r="W1638" s="179"/>
    </row>
    <row r="1639" spans="1:24" s="65" customFormat="1" ht="15" customHeight="1" outlineLevel="2">
      <c r="A1639" s="219"/>
      <c r="B1639" s="242"/>
      <c r="C1639" s="121"/>
      <c r="D1639" s="121" t="s">
        <v>2185</v>
      </c>
      <c r="E1639" s="121"/>
      <c r="F1639" s="121" t="s">
        <v>1396</v>
      </c>
      <c r="G1639" s="121"/>
      <c r="H1639" s="121" t="s">
        <v>2191</v>
      </c>
      <c r="I1639" s="318">
        <f t="shared" ref="I1639:Q1639" ca="1" si="176">I1337-I1638</f>
        <v>0</v>
      </c>
      <c r="J1639" s="318">
        <f t="shared" ca="1" si="176"/>
        <v>0</v>
      </c>
      <c r="K1639" s="318">
        <f t="shared" ca="1" si="176"/>
        <v>0</v>
      </c>
      <c r="L1639" s="318">
        <f t="shared" ca="1" si="176"/>
        <v>0</v>
      </c>
      <c r="M1639" s="318">
        <f t="shared" ca="1" si="176"/>
        <v>0</v>
      </c>
      <c r="N1639" s="318">
        <f t="shared" ca="1" si="176"/>
        <v>0</v>
      </c>
      <c r="O1639" s="318">
        <f t="shared" ca="1" si="176"/>
        <v>0</v>
      </c>
      <c r="P1639" s="318">
        <f t="shared" ca="1" si="176"/>
        <v>0</v>
      </c>
      <c r="Q1639" s="318">
        <f t="shared" ca="1" si="176"/>
        <v>0</v>
      </c>
      <c r="R1639" s="242"/>
      <c r="S1639" s="179"/>
      <c r="T1639" s="179"/>
      <c r="V1639" s="179"/>
      <c r="W1639" s="179"/>
    </row>
    <row r="1640" spans="1:24" s="65" customFormat="1" ht="15" customHeight="1" outlineLevel="2">
      <c r="A1640" s="219"/>
      <c r="B1640" s="242"/>
      <c r="C1640" s="121"/>
      <c r="D1640" s="121" t="s">
        <v>1380</v>
      </c>
      <c r="E1640" s="121"/>
      <c r="F1640" s="121" t="s">
        <v>1396</v>
      </c>
      <c r="G1640" s="121"/>
      <c r="H1640" s="121"/>
      <c r="I1640" s="318">
        <f t="array" aca="1" ref="I1640"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0.445683</v>
      </c>
      <c r="J1640" s="318">
        <f t="array" aca="1" ref="J1640"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0.46700229388560155</v>
      </c>
      <c r="K1640" s="318">
        <f t="array" aca="1" ref="K1640"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0.49412962721893477</v>
      </c>
      <c r="L1640" s="318">
        <f t="array" aca="1" ref="L1640"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0.52178831163708084</v>
      </c>
      <c r="M1640" s="318">
        <f t="array" aca="1" ref="M1640"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0.54997834714003935</v>
      </c>
      <c r="N1640" s="318">
        <f t="array" aca="1" ref="N1640"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0.57869973372781069</v>
      </c>
      <c r="O1640" s="318">
        <f t="array" aca="1" ref="O1640"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0.60795247140039455</v>
      </c>
      <c r="P1640" s="318">
        <f t="array" aca="1" ref="P1640"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0.63773656015779101</v>
      </c>
      <c r="Q1640" s="318">
        <f t="array" aca="1" ref="Q1640"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0.66805200000000009</v>
      </c>
      <c r="R1640" s="242"/>
      <c r="S1640" s="179"/>
      <c r="T1640" s="179"/>
      <c r="V1640" s="179"/>
      <c r="W1640" s="179"/>
    </row>
    <row r="1641" spans="1:24" s="65" customFormat="1" ht="15" customHeight="1" outlineLevel="2">
      <c r="A1641" s="219"/>
      <c r="B1641" s="242"/>
      <c r="C1641" s="121"/>
      <c r="D1641" s="121" t="s">
        <v>1625</v>
      </c>
      <c r="E1641" s="121"/>
      <c r="F1641" s="121" t="s">
        <v>1418</v>
      </c>
      <c r="G1641" s="121"/>
      <c r="H1641" s="121"/>
      <c r="I1641" s="318">
        <f t="array" aca="1" ref="I1641"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0.10017869700000002</v>
      </c>
      <c r="J1641" s="318">
        <f t="array" aca="1" ref="J1641"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0.10383562386838315</v>
      </c>
      <c r="K1641" s="318">
        <f t="array" aca="1" ref="K1641"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0.10848186201438555</v>
      </c>
      <c r="L1641" s="318">
        <f t="array" aca="1" ref="L1641"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0.11321152189430282</v>
      </c>
      <c r="M1641" s="318">
        <f t="array" aca="1" ref="M1641"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0.1180246035081351</v>
      </c>
      <c r="N1641" s="318">
        <f t="array" aca="1" ref="N1641"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0.12292110685588221</v>
      </c>
      <c r="O1641" s="318">
        <f t="array" aca="1" ref="O1641"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0.12790103193754435</v>
      </c>
      <c r="P1641" s="318">
        <f t="array" aca="1" ref="P1641"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0.13296437875312137</v>
      </c>
      <c r="Q1641" s="318">
        <f t="array" aca="1" ref="Q1641"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0.13811114730261331</v>
      </c>
      <c r="R1641" s="242"/>
      <c r="S1641" s="179"/>
      <c r="T1641" s="179"/>
      <c r="V1641" s="179"/>
      <c r="W1641" s="179"/>
    </row>
    <row r="1642" spans="1:24" s="65" customFormat="1" ht="15" customHeight="1" outlineLevel="2">
      <c r="A1642" s="219"/>
      <c r="B1642" s="242"/>
      <c r="C1642" s="121"/>
      <c r="D1642" s="121" t="s">
        <v>1939</v>
      </c>
      <c r="E1642" s="121"/>
      <c r="F1642" s="121" t="s">
        <v>1418</v>
      </c>
      <c r="G1642" s="121"/>
      <c r="H1642" s="121"/>
      <c r="I1642" s="318">
        <f t="array" aca="1" ref="I1642"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4.4359989000000009E-2</v>
      </c>
      <c r="J1642" s="318">
        <f t="array" aca="1" ref="J1642"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4.5979307682646485E-2</v>
      </c>
      <c r="K1642" s="318">
        <f t="array" aca="1" ref="K1642"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4.8036701911362063E-2</v>
      </c>
      <c r="L1642" s="318">
        <f t="array" aca="1" ref="L1642"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5.0131036001641475E-2</v>
      </c>
      <c r="M1642" s="318">
        <f t="array" aca="1" ref="M1642"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5.226230995348477E-2</v>
      </c>
      <c r="N1642" s="318">
        <f t="array" aca="1" ref="N1642"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5.4430523766891878E-2</v>
      </c>
      <c r="O1642" s="318">
        <f t="array" aca="1" ref="O1642"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5.6635677441862882E-2</v>
      </c>
      <c r="P1642" s="318">
        <f t="array" aca="1" ref="P1642"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5.8877770978397713E-2</v>
      </c>
      <c r="Q1642" s="318">
        <f t="array" aca="1" ref="Q1642"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6.1156804376496392E-2</v>
      </c>
      <c r="R1642" s="249"/>
      <c r="T1642" s="179"/>
      <c r="U1642" s="179"/>
      <c r="W1642" s="179"/>
      <c r="X1642" s="179"/>
    </row>
    <row r="1643" spans="1:24" s="65" customFormat="1" ht="15" customHeight="1" outlineLevel="2">
      <c r="A1643" s="219"/>
      <c r="B1643" s="242"/>
      <c r="C1643" s="121"/>
      <c r="D1643" s="121" t="s">
        <v>1940</v>
      </c>
      <c r="E1643" s="121"/>
      <c r="F1643" s="121" t="s">
        <v>1418</v>
      </c>
      <c r="G1643" s="121"/>
      <c r="H1643" s="121"/>
      <c r="I1643" s="318">
        <f t="array" aca="1" ref="I1643"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4.8301835812873305E-2</v>
      </c>
      <c r="J1643" s="318">
        <f t="array" aca="1" ref="J1643"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4.7632894820615258E-2</v>
      </c>
      <c r="K1643" s="318">
        <f t="array" aca="1" ref="K1643"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4.6763472704885255E-2</v>
      </c>
      <c r="L1643" s="318">
        <f t="array" aca="1" ref="L1643"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4.5857110727591389E-2</v>
      </c>
      <c r="M1643" s="318">
        <f t="array" aca="1" ref="M1643"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4.4913808888733669E-2</v>
      </c>
      <c r="N1643" s="318">
        <f t="array" aca="1" ref="N1643"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4.3933567188312095E-2</v>
      </c>
      <c r="O1643" s="318">
        <f t="array" aca="1" ref="O1643"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4.2916385626326679E-2</v>
      </c>
      <c r="P1643" s="318">
        <f t="array" aca="1" ref="P1643"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4.1862264202777395E-2</v>
      </c>
      <c r="Q1643" s="318">
        <f t="array" aca="1" ref="Q1643"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4.0771202917664263E-2</v>
      </c>
      <c r="R1643" s="249"/>
      <c r="T1643" s="179"/>
      <c r="U1643" s="179"/>
      <c r="W1643" s="179"/>
      <c r="X1643" s="179"/>
    </row>
    <row r="1644" spans="1:24" s="65" customFormat="1" ht="15" customHeight="1" outlineLevel="2">
      <c r="A1644" s="219"/>
      <c r="B1644" s="242"/>
      <c r="C1644" s="121"/>
      <c r="D1644" s="121" t="s">
        <v>1961</v>
      </c>
      <c r="E1644" s="121"/>
      <c r="F1644" s="121" t="s">
        <v>1435</v>
      </c>
      <c r="G1644" s="121"/>
      <c r="H1644" s="121"/>
      <c r="I1644" s="318">
        <f t="array" aca="1" ref="I1644"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0.31954321918044004</v>
      </c>
      <c r="J1644" s="318">
        <f t="array" aca="1" ref="J1644"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0.32282058553100862</v>
      </c>
      <c r="K1644" s="318">
        <f t="array" aca="1" ref="K1644"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0.32691729346921938</v>
      </c>
      <c r="L1644" s="318">
        <f t="array" aca="1" ref="L1644"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0.3310140014074302</v>
      </c>
      <c r="M1644" s="318">
        <f t="array" aca="1" ref="M1644"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0.33511070934564097</v>
      </c>
      <c r="N1644" s="318">
        <f t="array" aca="1" ref="N1644"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0.33920741728385173</v>
      </c>
      <c r="O1644" s="318">
        <f t="array" aca="1" ref="O1644"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0.34330412522206255</v>
      </c>
      <c r="P1644" s="318">
        <f t="array" aca="1" ref="P1644"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0.34740083316027331</v>
      </c>
      <c r="Q1644" s="318">
        <f t="array" aca="1" ref="Q1644"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0.35149754109848408</v>
      </c>
      <c r="R1644" s="249"/>
      <c r="T1644" s="179"/>
      <c r="U1644" s="179"/>
      <c r="W1644" s="179"/>
      <c r="X1644" s="179"/>
    </row>
    <row r="1645" spans="1:24" s="65" customFormat="1" ht="15" customHeight="1" outlineLevel="2">
      <c r="A1645" s="219"/>
      <c r="B1645" s="242"/>
      <c r="C1645" s="121"/>
      <c r="D1645" s="121" t="s">
        <v>1962</v>
      </c>
      <c r="E1645" s="121"/>
      <c r="F1645" s="121" t="s">
        <v>1435</v>
      </c>
      <c r="G1645" s="121"/>
      <c r="H1645" s="121"/>
      <c r="I1645" s="318">
        <f t="array" aca="1" ref="I1645"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0.163870192214286</v>
      </c>
      <c r="J1645" s="318">
        <f t="array" aca="1" ref="J1645"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0.16555091213443252</v>
      </c>
      <c r="K1645" s="318">
        <f t="array" aca="1" ref="K1645"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0.16765181203461565</v>
      </c>
      <c r="L1645" s="318">
        <f t="array" aca="1" ref="L1645"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0.16975271193479885</v>
      </c>
      <c r="M1645" s="318">
        <f t="array" aca="1" ref="M1645"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0.17185361183498199</v>
      </c>
      <c r="N1645" s="318">
        <f t="array" aca="1" ref="N1645"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0.17395451173516513</v>
      </c>
      <c r="O1645" s="318">
        <f t="array" aca="1" ref="O1645"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0.17605541163534832</v>
      </c>
      <c r="P1645" s="318">
        <f t="array" aca="1" ref="P1645"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0.17815631153553146</v>
      </c>
      <c r="Q1645" s="318">
        <f t="array" aca="1" ref="Q1645"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0.18025721143571463</v>
      </c>
      <c r="R1645" s="249"/>
      <c r="T1645" s="179"/>
      <c r="U1645" s="179"/>
      <c r="W1645" s="179"/>
      <c r="X1645" s="179"/>
    </row>
    <row r="1646" spans="1:24" s="65" customFormat="1" ht="15" customHeight="1" outlineLevel="2">
      <c r="A1646" s="219"/>
      <c r="B1646" s="242"/>
      <c r="C1646" s="121"/>
      <c r="D1646" s="121" t="s">
        <v>1963</v>
      </c>
      <c r="E1646" s="121"/>
      <c r="F1646" s="121" t="s">
        <v>1435</v>
      </c>
      <c r="G1646" s="121"/>
      <c r="H1646" s="121"/>
      <c r="I1646" s="318">
        <f t="array" aca="1" ref="I1646"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5.8019539949628197E-2</v>
      </c>
      <c r="J1646" s="318">
        <f t="array" aca="1" ref="J1646"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5.8614612154239763E-2</v>
      </c>
      <c r="K1646" s="318">
        <f t="array" aca="1" ref="K1646"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5.9358452410004231E-2</v>
      </c>
      <c r="L1646" s="318">
        <f t="array" aca="1" ref="L1646"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6.0102292665768706E-2</v>
      </c>
      <c r="M1646" s="318">
        <f t="array" aca="1" ref="M1646"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6.0846132921533166E-2</v>
      </c>
      <c r="N1646" s="318">
        <f t="array" aca="1" ref="N1646"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6.1589973177297627E-2</v>
      </c>
      <c r="O1646" s="318">
        <f t="array" aca="1" ref="O1646"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6.2333813433062102E-2</v>
      </c>
      <c r="P1646" s="318">
        <f t="array" aca="1" ref="P1646"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6.3077653688826563E-2</v>
      </c>
      <c r="Q1646" s="318">
        <f t="array" aca="1" ref="Q1646"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6.3821493944591023E-2</v>
      </c>
      <c r="R1646" s="249"/>
      <c r="T1646" s="179"/>
      <c r="U1646" s="179"/>
      <c r="W1646" s="179"/>
      <c r="X1646" s="179"/>
    </row>
    <row r="1647" spans="1:24" s="65" customFormat="1" ht="15" customHeight="1" outlineLevel="2">
      <c r="A1647" s="219"/>
      <c r="B1647" s="242"/>
      <c r="C1647" s="121"/>
      <c r="D1647" s="121" t="s">
        <v>1964</v>
      </c>
      <c r="E1647" s="121"/>
      <c r="F1647" s="121" t="s">
        <v>1435</v>
      </c>
      <c r="G1647" s="121"/>
      <c r="H1647" s="121"/>
      <c r="I1647" s="318">
        <f t="array" aca="1" ref="I1647"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0.1</v>
      </c>
      <c r="J1647" s="318">
        <f t="array" aca="1" ref="J1647"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0.10102564102564103</v>
      </c>
      <c r="K1647" s="318">
        <f t="array" aca="1" ref="K1647"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0.10230769230769231</v>
      </c>
      <c r="L1647" s="318">
        <f t="array" aca="1" ref="L1647"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0.1035897435897436</v>
      </c>
      <c r="M1647" s="318">
        <f t="array" aca="1" ref="M1647"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0.10487179487179488</v>
      </c>
      <c r="N1647" s="318">
        <f t="array" aca="1" ref="N1647"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0.10615384615384615</v>
      </c>
      <c r="O1647" s="318">
        <f t="array" aca="1" ref="O1647"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0.10743589743589746</v>
      </c>
      <c r="P1647" s="318">
        <f t="array" aca="1" ref="P1647"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0.10871794871794874</v>
      </c>
      <c r="Q1647" s="318">
        <f t="array" aca="1" ref="Q1647"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0.11000000000000001</v>
      </c>
      <c r="R1647" s="249"/>
      <c r="T1647" s="179"/>
      <c r="U1647" s="179"/>
      <c r="W1647" s="179"/>
      <c r="X1647" s="179"/>
    </row>
    <row r="1648" spans="1:24" s="65" customFormat="1" ht="15" customHeight="1" outlineLevel="2">
      <c r="A1648" s="219"/>
      <c r="B1648" s="242"/>
      <c r="C1648" s="121"/>
      <c r="D1648" s="121" t="s">
        <v>1954</v>
      </c>
      <c r="E1648" s="121"/>
      <c r="F1648" s="121" t="s">
        <v>1447</v>
      </c>
      <c r="G1648" s="121"/>
      <c r="H1648" s="121"/>
      <c r="I1648" s="318">
        <f t="array" aca="1" ref="I1648"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0.186797304</v>
      </c>
      <c r="J1648" s="318">
        <f t="array" aca="1" ref="J1648"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0.18871317378461538</v>
      </c>
      <c r="K1648" s="318">
        <f t="array" aca="1" ref="K1648"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0.1911080110153846</v>
      </c>
      <c r="L1648" s="318">
        <f t="array" aca="1" ref="L1648"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0.19350284824615391</v>
      </c>
      <c r="M1648" s="318">
        <f t="array" aca="1" ref="M1648"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0.1958976854769231</v>
      </c>
      <c r="N1648" s="318">
        <f t="array" aca="1" ref="N1648"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0.19829252270769232</v>
      </c>
      <c r="O1648" s="318">
        <f t="array" aca="1" ref="O1648"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0.2006873599384616</v>
      </c>
      <c r="P1648" s="318">
        <f t="array" aca="1" ref="P1648"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0.20308219716923082</v>
      </c>
      <c r="Q1648" s="318">
        <f t="array" aca="1" ref="Q1648"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0.20547703440000001</v>
      </c>
      <c r="R1648" s="249"/>
      <c r="T1648" s="179"/>
      <c r="U1648" s="179"/>
      <c r="W1648" s="179"/>
      <c r="X1648" s="179"/>
    </row>
    <row r="1649" spans="1:24" s="65" customFormat="1" ht="15" customHeight="1" outlineLevel="2">
      <c r="A1649" s="219"/>
      <c r="B1649" s="242"/>
      <c r="C1649" s="121"/>
      <c r="D1649" s="121" t="s">
        <v>1955</v>
      </c>
      <c r="E1649" s="121"/>
      <c r="F1649" s="121" t="s">
        <v>1447</v>
      </c>
      <c r="G1649" s="121"/>
      <c r="H1649" s="121"/>
      <c r="I1649" s="318">
        <f t="array" aca="1" ref="I1649"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0.40310187100000006</v>
      </c>
      <c r="J1649" s="318">
        <f t="array" aca="1" ref="J1649"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0.40723624916410261</v>
      </c>
      <c r="K1649" s="318">
        <f t="array" aca="1" ref="K1649"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0.41240422186923081</v>
      </c>
      <c r="L1649" s="318">
        <f t="array" aca="1" ref="L1649"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0.41757219457435912</v>
      </c>
      <c r="M1649" s="318">
        <f t="array" aca="1" ref="M1649"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0.42274016727948727</v>
      </c>
      <c r="N1649" s="318">
        <f t="array" aca="1" ref="N1649"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0.42790813998461547</v>
      </c>
      <c r="O1649" s="318">
        <f t="array" aca="1" ref="O1649"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0.43307611268974372</v>
      </c>
      <c r="P1649" s="318">
        <f t="array" aca="1" ref="P1649"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0.43824408539487192</v>
      </c>
      <c r="Q1649" s="318">
        <f t="array" aca="1" ref="Q1649"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0.44341205810000006</v>
      </c>
      <c r="R1649" s="249"/>
      <c r="T1649" s="179"/>
      <c r="U1649" s="179"/>
      <c r="W1649" s="179"/>
      <c r="X1649" s="179"/>
    </row>
    <row r="1650" spans="1:24" s="65" customFormat="1" ht="15" customHeight="1" outlineLevel="2">
      <c r="A1650" s="219"/>
      <c r="B1650" s="242"/>
      <c r="C1650" s="121"/>
      <c r="D1650" s="121" t="s">
        <v>1956</v>
      </c>
      <c r="E1650" s="121"/>
      <c r="F1650" s="121" t="s">
        <v>1447</v>
      </c>
      <c r="G1650" s="121"/>
      <c r="H1650" s="121"/>
      <c r="I1650" s="318">
        <f t="array" aca="1" ref="I1650"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0.20804958999999998</v>
      </c>
      <c r="J1650" s="318">
        <f t="array" aca="1" ref="J1650"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0.21018343194871791</v>
      </c>
      <c r="K1650" s="318">
        <f t="array" aca="1" ref="K1650"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0.21285073438461538</v>
      </c>
      <c r="L1650" s="318">
        <f t="array" aca="1" ref="L1650"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0.21551803682051285</v>
      </c>
      <c r="M1650" s="318">
        <f t="array" aca="1" ref="M1650"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0.21818533925641026</v>
      </c>
      <c r="N1650" s="318">
        <f t="array" aca="1" ref="N1650"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0.2208526416923077</v>
      </c>
      <c r="O1650" s="318">
        <f t="array" aca="1" ref="O1650"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0.22351994412820514</v>
      </c>
      <c r="P1650" s="318">
        <f t="array" aca="1" ref="P1650"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0.22618724656410258</v>
      </c>
      <c r="Q1650" s="318">
        <f t="array" aca="1" ref="Q1650"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0.22885454899999999</v>
      </c>
      <c r="R1650" s="249"/>
      <c r="T1650" s="179"/>
      <c r="U1650" s="179"/>
      <c r="W1650" s="179"/>
      <c r="X1650" s="179"/>
    </row>
    <row r="1651" spans="1:24" s="65" customFormat="1" ht="15" customHeight="1" outlineLevel="2">
      <c r="A1651" s="219"/>
      <c r="B1651" s="242"/>
      <c r="C1651" s="121"/>
      <c r="D1651" s="121" t="s">
        <v>1426</v>
      </c>
      <c r="E1651" s="121"/>
      <c r="F1651" s="121" t="s">
        <v>1426</v>
      </c>
      <c r="G1651" s="121"/>
      <c r="H1651" s="121"/>
      <c r="I1651" s="318">
        <f t="array" aca="1" ref="I1651"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3.6303640407050004</v>
      </c>
      <c r="J1651" s="318">
        <f t="array" aca="1" ref="J1651"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3.5171329624071404</v>
      </c>
      <c r="K1651" s="318">
        <f t="array" aca="1" ref="K1651"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3.371297825729247</v>
      </c>
      <c r="L1651" s="318">
        <f t="array" aca="1" ref="L1651"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3.2206890348229456</v>
      </c>
      <c r="M1651" s="318">
        <f t="array" aca="1" ref="M1651"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3.0653065896882343</v>
      </c>
      <c r="N1651" s="318">
        <f t="array" aca="1" ref="N1651"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2.9051504903251142</v>
      </c>
      <c r="O1651" s="318">
        <f t="array" aca="1" ref="O1651"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2.7402207367335851</v>
      </c>
      <c r="P1651" s="318">
        <f t="array" aca="1" ref="P1651"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2.5705173289136476</v>
      </c>
      <c r="Q1651" s="318">
        <f t="array" aca="1" ref="Q1651"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2.3960402668653003</v>
      </c>
      <c r="R1651" s="249"/>
      <c r="T1651" s="179"/>
      <c r="U1651" s="179"/>
      <c r="W1651" s="179"/>
      <c r="X1651" s="179"/>
    </row>
    <row r="1652" spans="1:24" s="65" customFormat="1" ht="15" customHeight="1" outlineLevel="2" thickBot="1">
      <c r="A1652" s="219"/>
      <c r="B1652" s="242"/>
      <c r="C1652" s="162"/>
      <c r="D1652" s="162" t="s">
        <v>1457</v>
      </c>
      <c r="E1652" s="162"/>
      <c r="F1652" s="162" t="s">
        <v>1457</v>
      </c>
      <c r="G1652" s="162"/>
      <c r="H1652" s="162"/>
      <c r="I1652" s="318">
        <f t="array" aca="1" ref="I1652" ca="1">SUM((G.30.assumptions.MaterialDemandAfterProcessImprovements[[#This Row],[Description]]=G.30.assumptions.MaterialDemandAfterMaterialsProductionEfficiency[Description])
   *INDIRECT("G.30.assumptions.MaterialDemandAfterMaterialsProductionEfficiency["&amp;I$1637&amp;"]"))
*(1-SUM((G.30.assumptions.MaterialDemandAfterProcessImprovements[[#This Row],[Description]]=G.30.assumptions.ProcessImprovements[..])
   *INDIRECT("G.30.assumptions.ProcessImprovements["&amp;I$1637&amp;"]")))</f>
        <v>1</v>
      </c>
      <c r="J1652" s="318">
        <f t="array" aca="1" ref="J1652" ca="1">SUM((G.30.assumptions.MaterialDemandAfterProcessImprovements[[#This Row],[Description]]=G.30.assumptions.MaterialDemandAfterMaterialsProductionEfficiency[Description])
   *INDIRECT("G.30.assumptions.MaterialDemandAfterMaterialsProductionEfficiency["&amp;J$1637&amp;"]"))
*(1-SUM((G.30.assumptions.MaterialDemandAfterProcessImprovements[[#This Row],[Description]]=G.30.assumptions.ProcessImprovements[..])
   *INDIRECT("G.30.assumptions.ProcessImprovements["&amp;J$1637&amp;"]")))</f>
        <v>0.98845452151403523</v>
      </c>
      <c r="K1652" s="318">
        <f t="array" aca="1" ref="K1652" ca="1">SUM((G.30.assumptions.MaterialDemandAfterProcessImprovements[[#This Row],[Description]]=G.30.assumptions.MaterialDemandAfterMaterialsProductionEfficiency[Description])
   *INDIRECT("G.30.assumptions.MaterialDemandAfterMaterialsProductionEfficiency["&amp;K$1637&amp;"]"))
*(1-SUM((G.30.assumptions.MaterialDemandAfterProcessImprovements[[#This Row],[Description]]=G.30.assumptions.ProcessImprovements[..])
   *INDIRECT("G.30.assumptions.ProcessImprovements["&amp;K$1637&amp;"]")))</f>
        <v>0.97340015754781861</v>
      </c>
      <c r="L1652" s="318">
        <f t="array" aca="1" ref="L1652" ca="1">SUM((G.30.assumptions.MaterialDemandAfterProcessImprovements[[#This Row],[Description]]=G.30.assumptions.MaterialDemandAfterMaterialsProductionEfficiency[Description])
   *INDIRECT("G.30.assumptions.MaterialDemandAfterMaterialsProductionEfficiency["&amp;L$1637&amp;"]"))
*(1-SUM((G.30.assumptions.MaterialDemandAfterProcessImprovements[[#This Row],[Description]]=G.30.assumptions.ProcessImprovements[..])
   *INDIRECT("G.30.assumptions.ProcessImprovements["&amp;L$1637&amp;"]")))</f>
        <v>0.95765410929409023</v>
      </c>
      <c r="M1652" s="318">
        <f t="array" aca="1" ref="M1652" ca="1">SUM((G.30.assumptions.MaterialDemandAfterProcessImprovements[[#This Row],[Description]]=G.30.assumptions.MaterialDemandAfterMaterialsProductionEfficiency[Description])
   *INDIRECT("G.30.assumptions.MaterialDemandAfterMaterialsProductionEfficiency["&amp;M$1637&amp;"]"))
*(1-SUM((G.30.assumptions.MaterialDemandAfterProcessImprovements[[#This Row],[Description]]=G.30.assumptions.ProcessImprovements[..])
   *INDIRECT("G.30.assumptions.ProcessImprovements["&amp;M$1637&amp;"]")))</f>
        <v>0.94121637675284986</v>
      </c>
      <c r="N1652" s="318">
        <f t="array" aca="1" ref="N1652" ca="1">SUM((G.30.assumptions.MaterialDemandAfterProcessImprovements[[#This Row],[Description]]=G.30.assumptions.MaterialDemandAfterMaterialsProductionEfficiency[Description])
   *INDIRECT("G.30.assumptions.MaterialDemandAfterMaterialsProductionEfficiency["&amp;N$1637&amp;"]"))
*(1-SUM((G.30.assumptions.MaterialDemandAfterProcessImprovements[[#This Row],[Description]]=G.30.assumptions.ProcessImprovements[..])
   *INDIRECT("G.30.assumptions.ProcessImprovements["&amp;N$1637&amp;"]")))</f>
        <v>0.9240869599240974</v>
      </c>
      <c r="O1652" s="318">
        <f t="array" aca="1" ref="O1652" ca="1">SUM((G.30.assumptions.MaterialDemandAfterProcessImprovements[[#This Row],[Description]]=G.30.assumptions.MaterialDemandAfterMaterialsProductionEfficiency[Description])
   *INDIRECT("G.30.assumptions.MaterialDemandAfterMaterialsProductionEfficiency["&amp;O$1637&amp;"]"))
*(1-SUM((G.30.assumptions.MaterialDemandAfterProcessImprovements[[#This Row],[Description]]=G.30.assumptions.ProcessImprovements[..])
   *INDIRECT("G.30.assumptions.ProcessImprovements["&amp;O$1637&amp;"]")))</f>
        <v>0.90626585880783339</v>
      </c>
      <c r="P1652" s="318">
        <f t="array" aca="1" ref="P1652" ca="1">SUM((G.30.assumptions.MaterialDemandAfterProcessImprovements[[#This Row],[Description]]=G.30.assumptions.MaterialDemandAfterMaterialsProductionEfficiency[Description])
   *INDIRECT("G.30.assumptions.MaterialDemandAfterMaterialsProductionEfficiency["&amp;P$1637&amp;"]"))
*(1-SUM((G.30.assumptions.MaterialDemandAfterProcessImprovements[[#This Row],[Description]]=G.30.assumptions.ProcessImprovements[..])
   *INDIRECT("G.30.assumptions.ProcessImprovements["&amp;P$1637&amp;"]")))</f>
        <v>0.88775307340405729</v>
      </c>
      <c r="Q1652" s="318">
        <f t="array" aca="1" ref="Q1652" ca="1">SUM((G.30.assumptions.MaterialDemandAfterProcessImprovements[[#This Row],[Description]]=G.30.assumptions.MaterialDemandAfterMaterialsProductionEfficiency[Description])
   *INDIRECT("G.30.assumptions.MaterialDemandAfterMaterialsProductionEfficiency["&amp;Q$1637&amp;"]"))
*(1-SUM((G.30.assumptions.MaterialDemandAfterProcessImprovements[[#This Row],[Description]]=G.30.assumptions.ProcessImprovements[..])
   *INDIRECT("G.30.assumptions.ProcessImprovements["&amp;Q$1637&amp;"]")))</f>
        <v>0.86854860371276921</v>
      </c>
      <c r="R1652" s="249"/>
      <c r="T1652" s="179"/>
      <c r="U1652" s="179"/>
      <c r="W1652" s="179"/>
      <c r="X1652" s="179"/>
    </row>
    <row r="1653" spans="1:24" s="65" customFormat="1" ht="15" customHeight="1" outlineLevel="2">
      <c r="A1653" s="219"/>
      <c r="B1653" s="242"/>
      <c r="C1653" s="409" t="s">
        <v>375</v>
      </c>
      <c r="D1653" s="409"/>
      <c r="E1653" s="409"/>
      <c r="F1653" s="409"/>
      <c r="G1653" s="409"/>
      <c r="H1653" s="409"/>
      <c r="I1653" s="410">
        <f ca="1">SUBTOTAL(109,G.30.assumptions.MaterialDemandAfterProcessImprovements[2011])</f>
        <v>7.7808862788622282</v>
      </c>
      <c r="J1653" s="410">
        <f ca="1">SUBTOTAL(109,G.30.assumptions.MaterialDemandAfterProcessImprovements[2015])</f>
        <v>7.691052223727886</v>
      </c>
      <c r="K1653" s="410">
        <f ca="1">SUBTOTAL(109,G.30.assumptions.MaterialDemandAfterProcessImprovements[2020])</f>
        <v>7.5739159297061533</v>
      </c>
      <c r="L1653" s="410">
        <f ca="1">SUBTOTAL(109,G.30.assumptions.MaterialDemandAfterProcessImprovements[2025])</f>
        <v>7.451397718902415</v>
      </c>
      <c r="M1653" s="410">
        <f ca="1">SUBTOTAL(109,G.30.assumptions.MaterialDemandAfterProcessImprovements[2030])</f>
        <v>7.3234975913166709</v>
      </c>
      <c r="N1653" s="410">
        <f ca="1">SUBTOTAL(109,G.30.assumptions.MaterialDemandAfterProcessImprovements[2035])</f>
        <v>7.1902155469489193</v>
      </c>
      <c r="O1653" s="410">
        <f ca="1">SUBTOTAL(109,G.30.assumptions.MaterialDemandAfterProcessImprovements[2040])</f>
        <v>7.0515515857991637</v>
      </c>
      <c r="P1653" s="410">
        <f ca="1">SUBTOTAL(109,G.30.assumptions.MaterialDemandAfterProcessImprovements[2045])</f>
        <v>6.9075057078674016</v>
      </c>
      <c r="Q1653" s="410">
        <f ca="1">SUBTOTAL(109,G.30.assumptions.MaterialDemandAfterProcessImprovements[2050])</f>
        <v>6.7580779131536328</v>
      </c>
      <c r="R1653" s="249"/>
      <c r="T1653" s="179"/>
      <c r="U1653" s="179"/>
      <c r="W1653" s="179"/>
      <c r="X1653" s="179"/>
    </row>
    <row r="1654" spans="1:24" s="65" customFormat="1" ht="15" customHeight="1" outlineLevel="2">
      <c r="A1654" s="219"/>
      <c r="B1654" s="242"/>
      <c r="C1654" s="336"/>
      <c r="D1654" s="336"/>
      <c r="E1654" s="336"/>
      <c r="F1654" s="336"/>
      <c r="G1654" s="336"/>
      <c r="H1654" s="336"/>
      <c r="I1654" s="359"/>
      <c r="J1654" s="359"/>
      <c r="K1654" s="359"/>
      <c r="L1654" s="359"/>
      <c r="M1654" s="359"/>
      <c r="N1654" s="359"/>
      <c r="O1654" s="359"/>
      <c r="P1654" s="359"/>
      <c r="Q1654" s="359"/>
      <c r="R1654" s="249"/>
      <c r="T1654" s="179"/>
      <c r="U1654" s="179"/>
      <c r="W1654" s="179"/>
      <c r="X1654" s="179"/>
    </row>
    <row r="1655" spans="1:24" s="65" customFormat="1" ht="15" customHeight="1" outlineLevel="2">
      <c r="A1655" s="219"/>
      <c r="B1655" s="121"/>
      <c r="C1655" s="248" t="s">
        <v>1655</v>
      </c>
      <c r="D1655" s="242"/>
      <c r="E1655" s="242"/>
      <c r="F1655" s="242"/>
      <c r="G1655" s="242"/>
      <c r="H1655" s="242"/>
      <c r="I1655" s="242"/>
      <c r="J1655" s="249"/>
      <c r="K1655" s="249"/>
      <c r="L1655" s="249"/>
      <c r="M1655" s="249"/>
      <c r="N1655" s="249"/>
      <c r="O1655" s="249"/>
      <c r="P1655" s="249"/>
      <c r="Q1655" s="317" t="str">
        <f>Preferences.energy</f>
        <v>EJ</v>
      </c>
      <c r="R1655" s="121"/>
      <c r="S1655" s="179"/>
      <c r="T1655" s="251"/>
      <c r="V1655" s="179"/>
      <c r="W1655" s="179"/>
    </row>
    <row r="1656" spans="1:24" s="65" customFormat="1" ht="15" customHeight="1" outlineLevel="2">
      <c r="A1656" s="219"/>
      <c r="B1656" s="121"/>
      <c r="C1656" s="248"/>
      <c r="D1656" s="242"/>
      <c r="E1656" s="242"/>
      <c r="F1656" s="242"/>
      <c r="G1656" s="242"/>
      <c r="H1656" s="242"/>
      <c r="I1656" s="242"/>
      <c r="J1656" s="249"/>
      <c r="K1656" s="249"/>
      <c r="L1656" s="249"/>
      <c r="M1656" s="249"/>
      <c r="N1656" s="249"/>
      <c r="O1656" s="249"/>
      <c r="P1656" s="249"/>
      <c r="Q1656" s="249"/>
      <c r="R1656" s="121"/>
      <c r="S1656" s="179"/>
      <c r="T1656" s="251"/>
      <c r="V1656" s="179"/>
      <c r="W1656" s="179"/>
    </row>
    <row r="1657" spans="1:24" s="65" customFormat="1" ht="15" customHeight="1" outlineLevel="2">
      <c r="A1657" s="219"/>
      <c r="B1657" s="121"/>
      <c r="C1657" s="258" t="s">
        <v>454</v>
      </c>
      <c r="D1657" s="258" t="s">
        <v>241</v>
      </c>
      <c r="E1657" s="258" t="s">
        <v>598</v>
      </c>
      <c r="F1657" s="258" t="s">
        <v>274</v>
      </c>
      <c r="G1657" s="258" t="s">
        <v>509</v>
      </c>
      <c r="H1657" s="258" t="s">
        <v>510</v>
      </c>
      <c r="I1657" s="258" t="s">
        <v>1107</v>
      </c>
      <c r="J1657" s="258" t="s">
        <v>210</v>
      </c>
      <c r="K1657" s="258" t="s">
        <v>211</v>
      </c>
      <c r="L1657" s="258" t="s">
        <v>212</v>
      </c>
      <c r="M1657" s="258" t="s">
        <v>213</v>
      </c>
      <c r="N1657" s="258" t="s">
        <v>214</v>
      </c>
      <c r="O1657" s="258" t="s">
        <v>215</v>
      </c>
      <c r="P1657" s="258" t="s">
        <v>216</v>
      </c>
      <c r="Q1657" s="258" t="s">
        <v>217</v>
      </c>
      <c r="R1657" s="121"/>
      <c r="S1657" s="179"/>
      <c r="T1657" s="179" t="str">
        <f>$T$6</f>
        <v>Source</v>
      </c>
      <c r="U1657" s="179" t="str">
        <f>$U$6</f>
        <v>Link</v>
      </c>
      <c r="V1657" s="179" t="str">
        <f>$V$6</f>
        <v>Risk (Green, Amber/Green, Amber, Red/Amber, Red)</v>
      </c>
      <c r="W1657" s="179" t="s">
        <v>869</v>
      </c>
      <c r="X1657" s="179" t="str">
        <f>$X$6</f>
        <v>Comment author</v>
      </c>
    </row>
    <row r="1658" spans="1:24" s="65" customFormat="1" ht="15" customHeight="1" outlineLevel="2">
      <c r="A1658" s="219"/>
      <c r="B1658" s="121"/>
      <c r="C1658" s="242" t="s">
        <v>1376</v>
      </c>
      <c r="D1658" s="121" t="str">
        <f>INDEX(Regional.Technologies[Description],MATCH($B$2&amp;"."&amp;G.30.assumptions.EnergyDemandAfterProcessImprovements[[#This Row],[Technology code]],Regional.Technologies[Code],0))</f>
        <v>Global Electricity use in the Oxygen steel technology</v>
      </c>
      <c r="E1658" s="242"/>
      <c r="F1658" s="242" t="s">
        <v>1349</v>
      </c>
      <c r="G1658" s="242" t="s">
        <v>1377</v>
      </c>
      <c r="H1658" s="242"/>
      <c r="I1658" s="318">
        <f t="array" aca="1" ref="I165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2.3089557437005142</v>
      </c>
      <c r="J1658" s="318">
        <f t="array" aca="1" ref="J165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2.296584564817489</v>
      </c>
      <c r="K1658" s="318">
        <f t="array" aca="1" ref="K165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2.2800911654957865</v>
      </c>
      <c r="L1658" s="318">
        <f t="array" aca="1" ref="L165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2.2624539598208386</v>
      </c>
      <c r="M1658" s="318">
        <f t="array" aca="1" ref="M165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2.243672947792644</v>
      </c>
      <c r="N1658" s="318">
        <f t="array" aca="1" ref="N165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2.223748129411204</v>
      </c>
      <c r="O1658" s="318">
        <f t="array" aca="1" ref="O165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2.2026795046765182</v>
      </c>
      <c r="P1658" s="318">
        <f t="array" aca="1" ref="P165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2.1804670735885865</v>
      </c>
      <c r="Q1658" s="318">
        <f t="array" aca="1" ref="Q165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2.1571108361474076</v>
      </c>
      <c r="R1658" s="121"/>
      <c r="S1658" s="179"/>
      <c r="T1658" s="251"/>
      <c r="V1658" s="179"/>
      <c r="W1658" s="179"/>
    </row>
    <row r="1659" spans="1:24" s="65" customFormat="1" ht="15" customHeight="1" outlineLevel="2">
      <c r="A1659" s="219"/>
      <c r="B1659" s="121"/>
      <c r="C1659" s="251" t="s">
        <v>1798</v>
      </c>
      <c r="D1659" s="121" t="str">
        <f>INDEX(Regional.Technologies[Description],MATCH($B$2&amp;"."&amp;G.30.assumptions.EnergyDemandAfterProcessImprovements[[#This Row],[Technology code]],Regional.Technologies[Code],0))</f>
        <v>Global Coal use in the Oxygen steel technology</v>
      </c>
      <c r="E1659" s="242"/>
      <c r="F1659" s="242" t="s">
        <v>626</v>
      </c>
      <c r="G1659" s="242" t="s">
        <v>1377</v>
      </c>
      <c r="H1659" s="242"/>
      <c r="I1659" s="318">
        <f t="array" aca="1" ref="I165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12.81129672330511</v>
      </c>
      <c r="J1659" s="318">
        <f t="array" aca="1" ref="J165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12.74265493841169</v>
      </c>
      <c r="K1659" s="318">
        <f t="array" aca="1" ref="K165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12.651140913830327</v>
      </c>
      <c r="L1659" s="318">
        <f t="array" aca="1" ref="L165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12.553280452066089</v>
      </c>
      <c r="M1659" s="318">
        <f t="array" aca="1" ref="M165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12.449073553118973</v>
      </c>
      <c r="N1659" s="318">
        <f t="array" aca="1" ref="N165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12.338520216988982</v>
      </c>
      <c r="O1659" s="318">
        <f t="array" aca="1" ref="O165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12.22162044367612</v>
      </c>
      <c r="P1659" s="318">
        <f t="array" aca="1" ref="P165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12.09837423318038</v>
      </c>
      <c r="Q1659" s="318">
        <f t="array" aca="1" ref="Q165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11.968781585501759</v>
      </c>
      <c r="R1659" s="121"/>
      <c r="S1659" s="179"/>
      <c r="T1659" s="251"/>
      <c r="V1659" s="179"/>
      <c r="W1659" s="179"/>
    </row>
    <row r="1660" spans="1:24" s="65" customFormat="1" ht="15" customHeight="1" outlineLevel="2">
      <c r="A1660" s="219"/>
      <c r="B1660" s="121"/>
      <c r="C1660" s="251" t="s">
        <v>1799</v>
      </c>
      <c r="D1660" s="121" t="str">
        <f>INDEX(Regional.Technologies[Description],MATCH($B$2&amp;"."&amp;G.30.assumptions.EnergyDemandAfterProcessImprovements[[#This Row],[Technology code]],Regional.Technologies[Code],0))</f>
        <v>Global Oil use in the Oxygen steel technology</v>
      </c>
      <c r="E1660" s="242"/>
      <c r="F1660" s="242" t="s">
        <v>627</v>
      </c>
      <c r="G1660" s="242" t="s">
        <v>1377</v>
      </c>
      <c r="H1660" s="242"/>
      <c r="I1660" s="318">
        <f t="array" aca="1" ref="I166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0.6053795859240001</v>
      </c>
      <c r="J1660" s="318">
        <f t="array" aca="1" ref="J166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0.60213601611109646</v>
      </c>
      <c r="K1660" s="318">
        <f t="array" aca="1" ref="K166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0.59781165117725454</v>
      </c>
      <c r="L1660" s="318">
        <f t="array" aca="1" ref="L166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0.5931873943903988</v>
      </c>
      <c r="M1660" s="318">
        <f t="array" aca="1" ref="M166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0.58826324575052924</v>
      </c>
      <c r="N1660" s="318">
        <f t="array" aca="1" ref="N166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0.58303920525764585</v>
      </c>
      <c r="O1660" s="318">
        <f t="array" aca="1" ref="O166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0.57751527291174864</v>
      </c>
      <c r="P1660" s="318">
        <f t="array" aca="1" ref="P166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0.57169144871283772</v>
      </c>
      <c r="Q1660" s="318">
        <f t="array" aca="1" ref="Q166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0.56556773266091265</v>
      </c>
      <c r="R1660" s="121"/>
      <c r="S1660" s="179"/>
      <c r="T1660" s="251"/>
      <c r="V1660" s="179"/>
      <c r="W1660" s="179"/>
    </row>
    <row r="1661" spans="1:24" s="65" customFormat="1" ht="15" customHeight="1" outlineLevel="2">
      <c r="A1661" s="219"/>
      <c r="B1661" s="121"/>
      <c r="C1661" s="251" t="s">
        <v>1800</v>
      </c>
      <c r="D1661" s="121" t="str">
        <f>INDEX(Regional.Technologies[Description],MATCH($B$2&amp;"."&amp;G.30.assumptions.EnergyDemandAfterProcessImprovements[[#This Row],[Technology code]],Regional.Technologies[Code],0))</f>
        <v>Global Natural Gas use in the Oxygen steel technology</v>
      </c>
      <c r="E1661" s="242"/>
      <c r="F1661" s="242" t="s">
        <v>628</v>
      </c>
      <c r="G1661" s="242" t="s">
        <v>1377</v>
      </c>
      <c r="H1661" s="242"/>
      <c r="I1661" s="318">
        <f t="array" aca="1" ref="I166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1.0517591114635876</v>
      </c>
      <c r="J1661" s="318">
        <f t="array" aca="1" ref="J166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1.0461238799762511</v>
      </c>
      <c r="K1661" s="318">
        <f t="array" aca="1" ref="K166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1.0386109239298065</v>
      </c>
      <c r="L1661" s="318">
        <f t="array" aca="1" ref="L166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1.0305769493419461</v>
      </c>
      <c r="M1661" s="318">
        <f t="array" aca="1" ref="M166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1.02202195621267</v>
      </c>
      <c r="N1661" s="318">
        <f t="array" aca="1" ref="N166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1.0129459445419779</v>
      </c>
      <c r="O1661" s="318">
        <f t="array" aca="1" ref="O166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1.0033489143298706</v>
      </c>
      <c r="P1661" s="318">
        <f t="array" aca="1" ref="P166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0.99323086557634732</v>
      </c>
      <c r="Q1661" s="318">
        <f t="array" aca="1" ref="Q166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0.98259179828140797</v>
      </c>
      <c r="R1661" s="121"/>
      <c r="S1661" s="179"/>
      <c r="T1661" s="251"/>
      <c r="V1661" s="179"/>
      <c r="W1661" s="179"/>
    </row>
    <row r="1662" spans="1:24" s="65" customFormat="1" ht="15" customHeight="1" outlineLevel="2">
      <c r="A1662" s="219"/>
      <c r="B1662" s="121"/>
      <c r="C1662" s="251" t="s">
        <v>1802</v>
      </c>
      <c r="D1662" s="121" t="str">
        <f>INDEX(Regional.Technologies[Description],MATCH($B$2&amp;"."&amp;G.30.assumptions.EnergyDemandAfterProcessImprovements[[#This Row],[Technology code]],Regional.Technologies[Code],0))</f>
        <v>Global Solid Hydrocarbons use in the Oxygen steel technology</v>
      </c>
      <c r="E1662" s="242"/>
      <c r="F1662" s="242" t="s">
        <v>370</v>
      </c>
      <c r="G1662" s="242" t="s">
        <v>1377</v>
      </c>
      <c r="H1662" s="242"/>
      <c r="I1662" s="318">
        <f t="array" aca="1" ref="I166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0.17590630860000006</v>
      </c>
      <c r="J1662" s="318">
        <f t="array" aca="1" ref="J166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0.17496381829186816</v>
      </c>
      <c r="K1662" s="318">
        <f t="array" aca="1" ref="K166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0.17370727927033774</v>
      </c>
      <c r="L1662" s="318">
        <f t="array" aca="1" ref="L166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0.17236360009729013</v>
      </c>
      <c r="M1662" s="318">
        <f t="array" aca="1" ref="M166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0.1709327807727252</v>
      </c>
      <c r="N1662" s="318">
        <f t="array" aca="1" ref="N166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0.16941482129664301</v>
      </c>
      <c r="O1662" s="318">
        <f t="array" aca="1" ref="O166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0.16780972166904359</v>
      </c>
      <c r="P1662" s="318">
        <f t="array" aca="1" ref="P166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0.16611748188992692</v>
      </c>
      <c r="Q1662" s="318">
        <f t="array" aca="1" ref="Q166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0.16433810195929288</v>
      </c>
      <c r="R1662" s="121"/>
      <c r="S1662" s="179"/>
      <c r="T1662" s="251"/>
      <c r="V1662" s="179"/>
      <c r="W1662" s="179"/>
    </row>
    <row r="1663" spans="1:24" s="65" customFormat="1" ht="15" customHeight="1" outlineLevel="2">
      <c r="A1663" s="219"/>
      <c r="B1663" s="121"/>
      <c r="C1663" s="251" t="s">
        <v>1635</v>
      </c>
      <c r="D1663" s="121" t="str">
        <f>INDEX(Regional.Technologies[Description],MATCH($B$2&amp;"."&amp;G.30.assumptions.EnergyDemandAfterProcessImprovements[[#This Row],[Technology code]],Regional.Technologies[Code],0))</f>
        <v>Global Heat use in the Oxygen steel technology</v>
      </c>
      <c r="E1663" s="242"/>
      <c r="F1663" s="242" t="s">
        <v>323</v>
      </c>
      <c r="G1663" s="242" t="s">
        <v>1377</v>
      </c>
      <c r="H1663" s="242"/>
      <c r="I1663" s="318">
        <f t="array" aca="1" ref="I166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0.80340865264799999</v>
      </c>
      <c r="J1663" s="318">
        <f t="array" aca="1" ref="J166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0.7991040607626011</v>
      </c>
      <c r="K1663" s="318">
        <f t="array" aca="1" ref="K166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0.79336512888277322</v>
      </c>
      <c r="L1663" s="318">
        <f t="array" aca="1" ref="L166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0.78722820586619091</v>
      </c>
      <c r="M1663" s="318">
        <f t="array" aca="1" ref="M166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0.78069329171285384</v>
      </c>
      <c r="N1663" s="318">
        <f t="array" aca="1" ref="N166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0.77376038642276201</v>
      </c>
      <c r="O1663" s="318">
        <f t="array" aca="1" ref="O166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0.76642948999591576</v>
      </c>
      <c r="P1663" s="318">
        <f t="array" aca="1" ref="P166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0.75870060243231485</v>
      </c>
      <c r="Q1663" s="318">
        <f t="array" aca="1" ref="Q166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0.75057372373195896</v>
      </c>
      <c r="R1663" s="121"/>
      <c r="S1663" s="179"/>
      <c r="T1663" s="251"/>
      <c r="V1663" s="179"/>
      <c r="W1663" s="179"/>
    </row>
    <row r="1664" spans="1:24" s="65" customFormat="1" ht="15" customHeight="1" outlineLevel="2">
      <c r="A1664" s="219"/>
      <c r="B1664" s="121"/>
      <c r="C1664" s="242" t="s">
        <v>2053</v>
      </c>
      <c r="D1664" s="121" t="str">
        <f>INDEX(Regional.Technologies[Description],MATCH($B$2&amp;"."&amp;G.30.assumptions.EnergyDemandAfterProcessImprovements[[#This Row],[Technology code]],Regional.Technologies[Code],0))</f>
        <v>Global Electricity use in the Hisarna Oxygen steel technology</v>
      </c>
      <c r="E1664" s="242"/>
      <c r="F1664" s="242" t="s">
        <v>1349</v>
      </c>
      <c r="G1664" s="242" t="s">
        <v>2185</v>
      </c>
      <c r="H1664" s="242" t="s">
        <v>2191</v>
      </c>
      <c r="I1664" s="318">
        <f t="shared" ref="I1664:Q1669" ca="1" si="177">I1367-I1658</f>
        <v>0</v>
      </c>
      <c r="J1664" s="318">
        <f t="shared" ca="1" si="177"/>
        <v>0</v>
      </c>
      <c r="K1664" s="318">
        <f t="shared" ca="1" si="177"/>
        <v>0</v>
      </c>
      <c r="L1664" s="318">
        <f t="shared" ca="1" si="177"/>
        <v>0</v>
      </c>
      <c r="M1664" s="318">
        <f t="shared" ca="1" si="177"/>
        <v>0</v>
      </c>
      <c r="N1664" s="318">
        <f t="shared" ca="1" si="177"/>
        <v>0</v>
      </c>
      <c r="O1664" s="318">
        <f t="shared" ca="1" si="177"/>
        <v>0</v>
      </c>
      <c r="P1664" s="318">
        <f t="shared" ca="1" si="177"/>
        <v>0</v>
      </c>
      <c r="Q1664" s="318">
        <f t="shared" ca="1" si="177"/>
        <v>0</v>
      </c>
      <c r="R1664" s="121"/>
      <c r="S1664" s="179"/>
      <c r="T1664" s="251"/>
      <c r="V1664" s="179"/>
      <c r="W1664" s="179"/>
    </row>
    <row r="1665" spans="1:23" s="65" customFormat="1" ht="15" customHeight="1" outlineLevel="2">
      <c r="A1665" s="219"/>
      <c r="B1665" s="121"/>
      <c r="C1665" s="251" t="s">
        <v>2054</v>
      </c>
      <c r="D1665" s="121" t="str">
        <f>INDEX(Regional.Technologies[Description],MATCH($B$2&amp;"."&amp;G.30.assumptions.EnergyDemandAfterProcessImprovements[[#This Row],[Technology code]],Regional.Technologies[Code],0))</f>
        <v>Global Coal use in the Hisarna Oxygen steel technology</v>
      </c>
      <c r="E1665" s="242"/>
      <c r="F1665" s="242" t="s">
        <v>626</v>
      </c>
      <c r="G1665" s="242" t="s">
        <v>2185</v>
      </c>
      <c r="H1665" s="242" t="s">
        <v>2191</v>
      </c>
      <c r="I1665" s="318">
        <f t="shared" ca="1" si="177"/>
        <v>0</v>
      </c>
      <c r="J1665" s="318">
        <f t="shared" ca="1" si="177"/>
        <v>0</v>
      </c>
      <c r="K1665" s="318">
        <f t="shared" ca="1" si="177"/>
        <v>0</v>
      </c>
      <c r="L1665" s="318">
        <f t="shared" ca="1" si="177"/>
        <v>0</v>
      </c>
      <c r="M1665" s="318">
        <f t="shared" ca="1" si="177"/>
        <v>0</v>
      </c>
      <c r="N1665" s="318">
        <f t="shared" ca="1" si="177"/>
        <v>0</v>
      </c>
      <c r="O1665" s="318">
        <f t="shared" ca="1" si="177"/>
        <v>0</v>
      </c>
      <c r="P1665" s="318">
        <f t="shared" ca="1" si="177"/>
        <v>0</v>
      </c>
      <c r="Q1665" s="318">
        <f t="shared" ca="1" si="177"/>
        <v>0</v>
      </c>
      <c r="R1665" s="121"/>
      <c r="S1665" s="179"/>
      <c r="T1665" s="251"/>
      <c r="V1665" s="179"/>
      <c r="W1665" s="179"/>
    </row>
    <row r="1666" spans="1:23" s="65" customFormat="1" ht="15" customHeight="1" outlineLevel="2">
      <c r="A1666" s="219"/>
      <c r="B1666" s="121"/>
      <c r="C1666" s="251" t="s">
        <v>2055</v>
      </c>
      <c r="D1666" s="121" t="str">
        <f>INDEX(Regional.Technologies[Description],MATCH($B$2&amp;"."&amp;G.30.assumptions.EnergyDemandAfterProcessImprovements[[#This Row],[Technology code]],Regional.Technologies[Code],0))</f>
        <v>Global Oil use in the Hisarna Oxygen steel technology</v>
      </c>
      <c r="E1666" s="242"/>
      <c r="F1666" s="242" t="s">
        <v>627</v>
      </c>
      <c r="G1666" s="242" t="s">
        <v>2185</v>
      </c>
      <c r="H1666" s="242" t="s">
        <v>2191</v>
      </c>
      <c r="I1666" s="318">
        <f t="shared" ca="1" si="177"/>
        <v>0</v>
      </c>
      <c r="J1666" s="318">
        <f t="shared" ca="1" si="177"/>
        <v>0</v>
      </c>
      <c r="K1666" s="318">
        <f t="shared" ca="1" si="177"/>
        <v>0</v>
      </c>
      <c r="L1666" s="318">
        <f t="shared" ca="1" si="177"/>
        <v>0</v>
      </c>
      <c r="M1666" s="318">
        <f t="shared" ca="1" si="177"/>
        <v>0</v>
      </c>
      <c r="N1666" s="318">
        <f t="shared" ca="1" si="177"/>
        <v>0</v>
      </c>
      <c r="O1666" s="318">
        <f t="shared" ca="1" si="177"/>
        <v>0</v>
      </c>
      <c r="P1666" s="318">
        <f t="shared" ca="1" si="177"/>
        <v>0</v>
      </c>
      <c r="Q1666" s="318">
        <f t="shared" ca="1" si="177"/>
        <v>0</v>
      </c>
      <c r="R1666" s="121"/>
      <c r="S1666" s="179"/>
      <c r="T1666" s="251"/>
      <c r="V1666" s="179"/>
      <c r="W1666" s="179"/>
    </row>
    <row r="1667" spans="1:23" s="65" customFormat="1" ht="15" customHeight="1" outlineLevel="2">
      <c r="A1667" s="219"/>
      <c r="B1667" s="121"/>
      <c r="C1667" s="251" t="s">
        <v>2056</v>
      </c>
      <c r="D1667" s="121" t="str">
        <f>INDEX(Regional.Technologies[Description],MATCH($B$2&amp;"."&amp;G.30.assumptions.EnergyDemandAfterProcessImprovements[[#This Row],[Technology code]],Regional.Technologies[Code],0))</f>
        <v>Global Natural Gas use in the Hisarna Oxygen steel technology</v>
      </c>
      <c r="E1667" s="242"/>
      <c r="F1667" s="242" t="s">
        <v>628</v>
      </c>
      <c r="G1667" s="242" t="s">
        <v>2185</v>
      </c>
      <c r="H1667" s="242" t="s">
        <v>2191</v>
      </c>
      <c r="I1667" s="318">
        <f t="shared" ca="1" si="177"/>
        <v>0</v>
      </c>
      <c r="J1667" s="318">
        <f t="shared" ca="1" si="177"/>
        <v>0</v>
      </c>
      <c r="K1667" s="318">
        <f t="shared" ca="1" si="177"/>
        <v>0</v>
      </c>
      <c r="L1667" s="318">
        <f t="shared" ca="1" si="177"/>
        <v>0</v>
      </c>
      <c r="M1667" s="318">
        <f t="shared" ca="1" si="177"/>
        <v>0</v>
      </c>
      <c r="N1667" s="318">
        <f t="shared" ca="1" si="177"/>
        <v>0</v>
      </c>
      <c r="O1667" s="318">
        <f t="shared" ca="1" si="177"/>
        <v>0</v>
      </c>
      <c r="P1667" s="318">
        <f t="shared" ca="1" si="177"/>
        <v>0</v>
      </c>
      <c r="Q1667" s="318">
        <f t="shared" ca="1" si="177"/>
        <v>0</v>
      </c>
      <c r="R1667" s="121"/>
      <c r="S1667" s="179"/>
      <c r="T1667" s="251"/>
      <c r="V1667" s="179"/>
      <c r="W1667" s="179"/>
    </row>
    <row r="1668" spans="1:23" s="65" customFormat="1" ht="15" customHeight="1" outlineLevel="2">
      <c r="A1668" s="219"/>
      <c r="B1668" s="121"/>
      <c r="C1668" s="251" t="s">
        <v>2057</v>
      </c>
      <c r="D1668" s="121" t="str">
        <f>INDEX(Regional.Technologies[Description],MATCH($B$2&amp;"."&amp;G.30.assumptions.EnergyDemandAfterProcessImprovements[[#This Row],[Technology code]],Regional.Technologies[Code],0))</f>
        <v>Global Solid Hydrocarbons use in the Hisarna Oxygen steel technology</v>
      </c>
      <c r="E1668" s="242"/>
      <c r="F1668" s="242" t="s">
        <v>370</v>
      </c>
      <c r="G1668" s="242" t="s">
        <v>2185</v>
      </c>
      <c r="H1668" s="242" t="s">
        <v>2191</v>
      </c>
      <c r="I1668" s="318">
        <f t="shared" ca="1" si="177"/>
        <v>0</v>
      </c>
      <c r="J1668" s="318">
        <f t="shared" ca="1" si="177"/>
        <v>0</v>
      </c>
      <c r="K1668" s="318">
        <f t="shared" ca="1" si="177"/>
        <v>0</v>
      </c>
      <c r="L1668" s="318">
        <f t="shared" ca="1" si="177"/>
        <v>0</v>
      </c>
      <c r="M1668" s="318">
        <f t="shared" ca="1" si="177"/>
        <v>0</v>
      </c>
      <c r="N1668" s="318">
        <f t="shared" ca="1" si="177"/>
        <v>0</v>
      </c>
      <c r="O1668" s="318">
        <f t="shared" ca="1" si="177"/>
        <v>0</v>
      </c>
      <c r="P1668" s="318">
        <f t="shared" ca="1" si="177"/>
        <v>0</v>
      </c>
      <c r="Q1668" s="318">
        <f t="shared" ca="1" si="177"/>
        <v>0</v>
      </c>
      <c r="R1668" s="121"/>
      <c r="S1668" s="179"/>
      <c r="T1668" s="251"/>
      <c r="V1668" s="179"/>
      <c r="W1668" s="179"/>
    </row>
    <row r="1669" spans="1:23" s="65" customFormat="1" ht="15" customHeight="1" outlineLevel="2">
      <c r="A1669" s="219"/>
      <c r="B1669" s="121"/>
      <c r="C1669" s="251" t="s">
        <v>2058</v>
      </c>
      <c r="D1669" s="121" t="str">
        <f>INDEX(Regional.Technologies[Description],MATCH($B$2&amp;"."&amp;G.30.assumptions.EnergyDemandAfterProcessImprovements[[#This Row],[Technology code]],Regional.Technologies[Code],0))</f>
        <v>Global Heat use in the Hisarna Oxygen steel technology</v>
      </c>
      <c r="E1669" s="242"/>
      <c r="F1669" s="242" t="s">
        <v>323</v>
      </c>
      <c r="G1669" s="242" t="s">
        <v>2185</v>
      </c>
      <c r="H1669" s="242" t="s">
        <v>2191</v>
      </c>
      <c r="I1669" s="318">
        <f t="shared" ca="1" si="177"/>
        <v>0</v>
      </c>
      <c r="J1669" s="318">
        <f t="shared" ca="1" si="177"/>
        <v>0</v>
      </c>
      <c r="K1669" s="318">
        <f t="shared" ca="1" si="177"/>
        <v>0</v>
      </c>
      <c r="L1669" s="318">
        <f t="shared" ca="1" si="177"/>
        <v>0</v>
      </c>
      <c r="M1669" s="318">
        <f t="shared" ca="1" si="177"/>
        <v>0</v>
      </c>
      <c r="N1669" s="318">
        <f t="shared" ca="1" si="177"/>
        <v>0</v>
      </c>
      <c r="O1669" s="318">
        <f t="shared" ca="1" si="177"/>
        <v>0</v>
      </c>
      <c r="P1669" s="318">
        <f t="shared" ca="1" si="177"/>
        <v>0</v>
      </c>
      <c r="Q1669" s="318">
        <f t="shared" ca="1" si="177"/>
        <v>0</v>
      </c>
      <c r="R1669" s="121"/>
      <c r="S1669" s="179"/>
      <c r="T1669" s="251"/>
      <c r="V1669" s="179"/>
      <c r="W1669" s="179"/>
    </row>
    <row r="1670" spans="1:23" s="65" customFormat="1" ht="15" customHeight="1" outlineLevel="2">
      <c r="A1670" s="219"/>
      <c r="B1670" s="121"/>
      <c r="C1670" s="251" t="s">
        <v>1379</v>
      </c>
      <c r="D1670" s="121" t="str">
        <f>INDEX(Regional.Technologies[Description],MATCH($B$2&amp;"."&amp;G.30.assumptions.EnergyDemandAfterProcessImprovements[[#This Row],[Technology code]],Regional.Technologies[Code],0))</f>
        <v>Global Electricity use in the Electric steel technology</v>
      </c>
      <c r="E1670" s="242"/>
      <c r="F1670" s="242" t="s">
        <v>1349</v>
      </c>
      <c r="G1670" s="242" t="s">
        <v>1380</v>
      </c>
      <c r="H1670" s="242"/>
      <c r="I1670" s="318">
        <f t="array" aca="1" ref="I167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1.6352704427314861</v>
      </c>
      <c r="J1670" s="318">
        <f t="array" aca="1" ref="J167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1.7134937789391276</v>
      </c>
      <c r="K1670" s="318">
        <f t="array" aca="1" ref="K167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1.8130275874759676</v>
      </c>
      <c r="L1670" s="318">
        <f t="array" aca="1" ref="L167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1.9145109940986842</v>
      </c>
      <c r="M1670" s="318">
        <f t="array" aca="1" ref="M167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2.0179439988072758</v>
      </c>
      <c r="N1670" s="318">
        <f t="array" aca="1" ref="N167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2.123326601601744</v>
      </c>
      <c r="O1670" s="318">
        <f t="array" aca="1" ref="O167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2.2306588024820879</v>
      </c>
      <c r="P1670" s="318">
        <f t="array" aca="1" ref="P167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2.3399406014483071</v>
      </c>
      <c r="Q1670" s="318">
        <f t="array" aca="1" ref="Q167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2.4511719985004023</v>
      </c>
      <c r="R1670" s="121"/>
      <c r="S1670" s="179"/>
      <c r="T1670" s="251"/>
      <c r="V1670" s="179"/>
      <c r="W1670" s="179"/>
    </row>
    <row r="1671" spans="1:23" s="65" customFormat="1" ht="15" customHeight="1" outlineLevel="2">
      <c r="A1671" s="219"/>
      <c r="B1671" s="121"/>
      <c r="C1671" s="251" t="s">
        <v>1803</v>
      </c>
      <c r="D1671" s="121" t="str">
        <f>INDEX(Regional.Technologies[Description],MATCH($B$2&amp;"."&amp;G.30.assumptions.EnergyDemandAfterProcessImprovements[[#This Row],[Technology code]],Regional.Technologies[Code],0))</f>
        <v>Global Coal use in the Electric steel technology</v>
      </c>
      <c r="E1671" s="242"/>
      <c r="F1671" s="242" t="s">
        <v>626</v>
      </c>
      <c r="G1671" s="242" t="s">
        <v>1380</v>
      </c>
      <c r="H1671" s="242"/>
      <c r="I1671" s="318">
        <f t="array" aca="1" ref="I167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10.424196405786889</v>
      </c>
      <c r="J1671" s="318">
        <f t="array" aca="1" ref="J167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10.922838953732855</v>
      </c>
      <c r="K1671" s="318">
        <f t="array" aca="1" ref="K167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11.557327257374491</v>
      </c>
      <c r="L1671" s="318">
        <f t="array" aca="1" ref="L167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12.204243470692997</v>
      </c>
      <c r="M1671" s="318">
        <f t="array" aca="1" ref="M167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12.863587593688365</v>
      </c>
      <c r="N1671" s="318">
        <f t="array" aca="1" ref="N167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13.535359626360606</v>
      </c>
      <c r="O1671" s="318">
        <f t="array" aca="1" ref="O167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14.219559568709709</v>
      </c>
      <c r="P1671" s="318">
        <f t="array" aca="1" ref="P167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14.916187420735676</v>
      </c>
      <c r="Q1671" s="318">
        <f t="array" aca="1" ref="Q167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15.625243182438512</v>
      </c>
      <c r="R1671" s="121"/>
      <c r="S1671" s="179"/>
      <c r="T1671" s="251"/>
      <c r="V1671" s="179"/>
      <c r="W1671" s="179"/>
    </row>
    <row r="1672" spans="1:23" s="65" customFormat="1" ht="15" customHeight="1" outlineLevel="2">
      <c r="A1672" s="219"/>
      <c r="B1672" s="121"/>
      <c r="C1672" s="251" t="s">
        <v>1804</v>
      </c>
      <c r="D1672" s="121" t="str">
        <f>INDEX(Regional.Technologies[Description],MATCH($B$2&amp;"."&amp;G.30.assumptions.EnergyDemandAfterProcessImprovements[[#This Row],[Technology code]],Regional.Technologies[Code],0))</f>
        <v>Global Oil use in the Electric steel technology</v>
      </c>
      <c r="E1672" s="242"/>
      <c r="F1672" s="242" t="s">
        <v>627</v>
      </c>
      <c r="G1672" s="242" t="s">
        <v>1380</v>
      </c>
      <c r="H1672" s="242"/>
      <c r="I1672" s="318">
        <f t="array" aca="1" ref="I167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72" s="318">
        <f t="array" aca="1" ref="J167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72" s="318">
        <f t="array" aca="1" ref="K167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72" s="318">
        <f t="array" aca="1" ref="L167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72" s="318">
        <f t="array" aca="1" ref="M167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72" s="318">
        <f t="array" aca="1" ref="N167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72" s="318">
        <f t="array" aca="1" ref="O167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72" s="318">
        <f t="array" aca="1" ref="P167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72" s="318">
        <f t="array" aca="1" ref="Q167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72" s="121"/>
      <c r="S1672" s="179"/>
      <c r="T1672" s="251"/>
      <c r="V1672" s="179"/>
      <c r="W1672" s="179"/>
    </row>
    <row r="1673" spans="1:23" s="65" customFormat="1" ht="15" customHeight="1" outlineLevel="2">
      <c r="A1673" s="219"/>
      <c r="B1673" s="121"/>
      <c r="C1673" s="251" t="s">
        <v>1805</v>
      </c>
      <c r="D1673" s="121" t="str">
        <f>INDEX(Regional.Technologies[Description],MATCH($B$2&amp;"."&amp;G.30.assumptions.EnergyDemandAfterProcessImprovements[[#This Row],[Technology code]],Regional.Technologies[Code],0))</f>
        <v>Global Natural Gas use in the Electric steel technology</v>
      </c>
      <c r="E1673" s="242"/>
      <c r="F1673" s="242" t="s">
        <v>628</v>
      </c>
      <c r="G1673" s="242" t="s">
        <v>1380</v>
      </c>
      <c r="H1673" s="242"/>
      <c r="I1673" s="318">
        <f t="array" aca="1" ref="I167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1.2528070032244127</v>
      </c>
      <c r="J1673" s="318">
        <f t="array" aca="1" ref="J167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1.3127351599718791</v>
      </c>
      <c r="K1673" s="318">
        <f t="array" aca="1" ref="K167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1.3889896125285235</v>
      </c>
      <c r="L1673" s="318">
        <f t="array" aca="1" ref="L167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1.4667376835544035</v>
      </c>
      <c r="M1673" s="318">
        <f t="array" aca="1" ref="M167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1.5459793730495184</v>
      </c>
      <c r="N1673" s="318">
        <f t="array" aca="1" ref="N167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1.6267146810138688</v>
      </c>
      <c r="O1673" s="318">
        <f t="array" aca="1" ref="O167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1.7089436074474544</v>
      </c>
      <c r="P1673" s="318">
        <f t="array" aca="1" ref="P167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1.7926661523502749</v>
      </c>
      <c r="Q1673" s="318">
        <f t="array" aca="1" ref="Q167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1.8778823157223308</v>
      </c>
      <c r="R1673" s="121"/>
      <c r="S1673" s="179"/>
      <c r="T1673" s="251"/>
      <c r="V1673" s="179"/>
      <c r="W1673" s="179"/>
    </row>
    <row r="1674" spans="1:23" s="65" customFormat="1" ht="15" customHeight="1" outlineLevel="2">
      <c r="A1674" s="219"/>
      <c r="B1674" s="121"/>
      <c r="C1674" s="251" t="s">
        <v>1806</v>
      </c>
      <c r="D1674" s="121" t="str">
        <f>INDEX(Regional.Technologies[Description],MATCH($B$2&amp;"."&amp;G.30.assumptions.EnergyDemandAfterProcessImprovements[[#This Row],[Technology code]],Regional.Technologies[Code],0))</f>
        <v>Global Solid Hydrocarbons use in the Electric steel technology</v>
      </c>
      <c r="E1674" s="242"/>
      <c r="F1674" s="242" t="s">
        <v>370</v>
      </c>
      <c r="G1674" s="242" t="s">
        <v>1380</v>
      </c>
      <c r="H1674" s="242"/>
      <c r="I1674" s="318">
        <f t="array" aca="1" ref="I167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74" s="318">
        <f t="array" aca="1" ref="J167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74" s="318">
        <f t="array" aca="1" ref="K167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74" s="318">
        <f t="array" aca="1" ref="L167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74" s="318">
        <f t="array" aca="1" ref="M167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74" s="318">
        <f t="array" aca="1" ref="N167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74" s="318">
        <f t="array" aca="1" ref="O167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74" s="318">
        <f t="array" aca="1" ref="P167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74" s="318">
        <f t="array" aca="1" ref="Q167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74" s="121"/>
      <c r="S1674" s="179"/>
      <c r="T1674" s="251"/>
      <c r="V1674" s="179"/>
      <c r="W1674" s="179"/>
    </row>
    <row r="1675" spans="1:23" s="65" customFormat="1" ht="15" customHeight="1" outlineLevel="2">
      <c r="A1675" s="219"/>
      <c r="B1675" s="121"/>
      <c r="C1675" s="251" t="s">
        <v>1636</v>
      </c>
      <c r="D1675" s="121" t="str">
        <f>INDEX(Regional.Technologies[Description],MATCH($B$2&amp;"."&amp;G.30.assumptions.EnergyDemandAfterProcessImprovements[[#This Row],[Technology code]],Regional.Technologies[Code],0))</f>
        <v>Global Heat use in the Electric steel technology</v>
      </c>
      <c r="E1675" s="242"/>
      <c r="F1675" s="242" t="s">
        <v>323</v>
      </c>
      <c r="G1675" s="242" t="s">
        <v>1380</v>
      </c>
      <c r="H1675" s="242"/>
      <c r="I1675" s="318">
        <f t="array" aca="1" ref="I167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75" s="318">
        <f t="array" aca="1" ref="J167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75" s="318">
        <f t="array" aca="1" ref="K167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75" s="318">
        <f t="array" aca="1" ref="L167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75" s="318">
        <f t="array" aca="1" ref="M167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75" s="318">
        <f t="array" aca="1" ref="N167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75" s="318">
        <f t="array" aca="1" ref="O167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75" s="318">
        <f t="array" aca="1" ref="P167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75" s="318">
        <f t="array" aca="1" ref="Q167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75" s="121"/>
      <c r="S1675" s="179"/>
      <c r="T1675" s="251"/>
      <c r="V1675" s="179"/>
      <c r="W1675" s="179"/>
    </row>
    <row r="1676" spans="1:23" s="65" customFormat="1" ht="15" customHeight="1" outlineLevel="2">
      <c r="A1676" s="219"/>
      <c r="B1676" s="121"/>
      <c r="C1676" s="251" t="s">
        <v>1807</v>
      </c>
      <c r="D1676" s="121" t="str">
        <f>INDEX(Regional.Technologies[Description],MATCH($B$2&amp;"."&amp;G.30.assumptions.EnergyDemandAfterProcessImprovements[[#This Row],[Technology code]],Regional.Technologies[Code],0))</f>
        <v>Global Electricity use in the Alumina Aluminium technology</v>
      </c>
      <c r="E1676" s="242"/>
      <c r="F1676" s="242" t="s">
        <v>1349</v>
      </c>
      <c r="G1676" s="242" t="s">
        <v>1625</v>
      </c>
      <c r="H1676" s="242"/>
      <c r="I1676" s="318">
        <f t="array" aca="1" ref="I167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5.7780487765234236E-2</v>
      </c>
      <c r="J1676" s="318">
        <f t="array" aca="1" ref="J167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5.9889708832233816E-2</v>
      </c>
      <c r="K1676" s="318">
        <f t="array" aca="1" ref="K167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6.2569539119400122E-2</v>
      </c>
      <c r="L1676" s="318">
        <f t="array" aca="1" ref="L167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6.529748491036283E-2</v>
      </c>
      <c r="M1676" s="318">
        <f t="array" aca="1" ref="M167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6.8073546205122029E-2</v>
      </c>
      <c r="N1676" s="318">
        <f t="array" aca="1" ref="N167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7.0897723003677623E-2</v>
      </c>
      <c r="O1676" s="318">
        <f t="array" aca="1" ref="O167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7.377001530602971E-2</v>
      </c>
      <c r="P1676" s="318">
        <f t="array" aca="1" ref="P167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7.6690423112178219E-2</v>
      </c>
      <c r="Q1676" s="318">
        <f t="array" aca="1" ref="Q167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7.9658946422123164E-2</v>
      </c>
      <c r="R1676" s="121"/>
      <c r="S1676" s="179"/>
      <c r="T1676" s="251"/>
      <c r="V1676" s="179"/>
      <c r="W1676" s="179"/>
    </row>
    <row r="1677" spans="1:23" s="65" customFormat="1" ht="15" customHeight="1" outlineLevel="2">
      <c r="A1677" s="219"/>
      <c r="B1677" s="121"/>
      <c r="C1677" s="251" t="s">
        <v>1808</v>
      </c>
      <c r="D1677" s="121" t="str">
        <f>INDEX(Regional.Technologies[Description],MATCH($B$2&amp;"."&amp;G.30.assumptions.EnergyDemandAfterProcessImprovements[[#This Row],[Technology code]],Regional.Technologies[Code],0))</f>
        <v>Global Coal use in the Alumina Aluminium technology</v>
      </c>
      <c r="E1677" s="242"/>
      <c r="F1677" s="242" t="s">
        <v>626</v>
      </c>
      <c r="G1677" s="242" t="s">
        <v>1625</v>
      </c>
      <c r="H1677" s="242"/>
      <c r="I1677" s="318">
        <f t="array" aca="1" ref="I167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0.61777191351520944</v>
      </c>
      <c r="J1677" s="318">
        <f t="array" aca="1" ref="J167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0.64032308234371016</v>
      </c>
      <c r="K1677" s="318">
        <f t="array" aca="1" ref="K167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0.66897503646229151</v>
      </c>
      <c r="L1677" s="318">
        <f t="array" aca="1" ref="L167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0.69814142733971141</v>
      </c>
      <c r="M1677" s="318">
        <f t="array" aca="1" ref="M167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0.72782225497597053</v>
      </c>
      <c r="N1677" s="318">
        <f t="array" aca="1" ref="N167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0.75801751937106809</v>
      </c>
      <c r="O1677" s="318">
        <f t="array" aca="1" ref="O167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0.7887272205250051</v>
      </c>
      <c r="P1677" s="318">
        <f t="array" aca="1" ref="P167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0.81995135843778066</v>
      </c>
      <c r="Q1677" s="318">
        <f t="array" aca="1" ref="Q167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0.85168993310939511</v>
      </c>
      <c r="R1677" s="121"/>
      <c r="S1677" s="179"/>
      <c r="T1677" s="251"/>
      <c r="V1677" s="179"/>
      <c r="W1677" s="179"/>
    </row>
    <row r="1678" spans="1:23" s="65" customFormat="1" ht="15" customHeight="1" outlineLevel="2">
      <c r="A1678" s="219"/>
      <c r="B1678" s="121"/>
      <c r="C1678" s="251" t="s">
        <v>1809</v>
      </c>
      <c r="D1678" s="121" t="str">
        <f>INDEX(Regional.Technologies[Description],MATCH($B$2&amp;"."&amp;G.30.assumptions.EnergyDemandAfterProcessImprovements[[#This Row],[Technology code]],Regional.Technologies[Code],0))</f>
        <v>Global Oil use in the Alumina Aluminium technology</v>
      </c>
      <c r="E1678" s="242"/>
      <c r="F1678" s="242" t="s">
        <v>627</v>
      </c>
      <c r="G1678" s="242" t="s">
        <v>1625</v>
      </c>
      <c r="H1678" s="242"/>
      <c r="I1678" s="318">
        <f t="array" aca="1" ref="I167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0.36003980562967391</v>
      </c>
      <c r="J1678" s="318">
        <f t="array" aca="1" ref="J167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0.37318271203915326</v>
      </c>
      <c r="K1678" s="318">
        <f t="array" aca="1" ref="K167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0.38988117916930454</v>
      </c>
      <c r="L1678" s="318">
        <f t="array" aca="1" ref="L167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0.40687946198645758</v>
      </c>
      <c r="M1678" s="318">
        <f t="array" aca="1" ref="M167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0.42417756049061289</v>
      </c>
      <c r="N1678" s="318">
        <f t="array" aca="1" ref="N167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0.44177547468176992</v>
      </c>
      <c r="O1678" s="318">
        <f t="array" aca="1" ref="O167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0.45967320455992927</v>
      </c>
      <c r="P1678" s="318">
        <f t="array" aca="1" ref="P167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0.47787075012509045</v>
      </c>
      <c r="Q1678" s="318">
        <f t="array" aca="1" ref="Q167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0.49636811137725367</v>
      </c>
      <c r="R1678" s="121"/>
      <c r="S1678" s="179"/>
      <c r="T1678" s="251"/>
      <c r="V1678" s="179"/>
      <c r="W1678" s="179"/>
    </row>
    <row r="1679" spans="1:23" s="65" customFormat="1" ht="15" customHeight="1" outlineLevel="2">
      <c r="A1679" s="219"/>
      <c r="B1679" s="121"/>
      <c r="C1679" s="251" t="s">
        <v>1810</v>
      </c>
      <c r="D1679" s="121" t="str">
        <f>INDEX(Regional.Technologies[Description],MATCH($B$2&amp;"."&amp;G.30.assumptions.EnergyDemandAfterProcessImprovements[[#This Row],[Technology code]],Regional.Technologies[Code],0))</f>
        <v>Global Natural Gas use in the Alumina Aluminium technology</v>
      </c>
      <c r="E1679" s="242"/>
      <c r="F1679" s="242" t="s">
        <v>628</v>
      </c>
      <c r="G1679" s="242" t="s">
        <v>1625</v>
      </c>
      <c r="H1679" s="242"/>
      <c r="I1679" s="318">
        <f t="array" aca="1" ref="I167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0.33333998618469551</v>
      </c>
      <c r="J1679" s="318">
        <f t="array" aca="1" ref="J167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0.3455082413955341</v>
      </c>
      <c r="K1679" s="318">
        <f t="array" aca="1" ref="K167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0.36096838417817828</v>
      </c>
      <c r="L1679" s="318">
        <f t="array" aca="1" ref="L167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0.3767061089264841</v>
      </c>
      <c r="M1679" s="318">
        <f t="array" aca="1" ref="M167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0.39272141564045204</v>
      </c>
      <c r="N1679" s="318">
        <f t="array" aca="1" ref="N167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0.40901430432008162</v>
      </c>
      <c r="O1679" s="318">
        <f t="array" aca="1" ref="O167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0.42558477496537334</v>
      </c>
      <c r="P1679" s="318">
        <f t="array" aca="1" ref="P167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0.44243282757632679</v>
      </c>
      <c r="Q1679" s="318">
        <f t="array" aca="1" ref="Q167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0.4595584621529421</v>
      </c>
      <c r="R1679" s="121"/>
      <c r="S1679" s="179"/>
      <c r="T1679" s="251"/>
      <c r="V1679" s="179"/>
      <c r="W1679" s="179"/>
    </row>
    <row r="1680" spans="1:23" s="65" customFormat="1" ht="15" customHeight="1" outlineLevel="2">
      <c r="A1680" s="219"/>
      <c r="B1680" s="121"/>
      <c r="C1680" s="251" t="s">
        <v>1811</v>
      </c>
      <c r="D1680" s="121" t="str">
        <f>INDEX(Regional.Technologies[Description],MATCH($B$2&amp;"."&amp;G.30.assumptions.EnergyDemandAfterProcessImprovements[[#This Row],[Technology code]],Regional.Technologies[Code],0))</f>
        <v>Global Solid Hydrocarbons use in the Alumina Aluminium technology</v>
      </c>
      <c r="E1680" s="242"/>
      <c r="F1680" s="242" t="s">
        <v>370</v>
      </c>
      <c r="G1680" s="242" t="s">
        <v>1625</v>
      </c>
      <c r="H1680" s="242"/>
      <c r="I1680" s="318">
        <f t="array" aca="1" ref="I168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80" s="318">
        <f t="array" aca="1" ref="J168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80" s="318">
        <f t="array" aca="1" ref="K168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80" s="318">
        <f t="array" aca="1" ref="L168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80" s="318">
        <f t="array" aca="1" ref="M168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80" s="318">
        <f t="array" aca="1" ref="N168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80" s="318">
        <f t="array" aca="1" ref="O168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80" s="318">
        <f t="array" aca="1" ref="P168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80" s="318">
        <f t="array" aca="1" ref="Q168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80" s="121"/>
      <c r="S1680" s="179"/>
      <c r="T1680" s="251"/>
      <c r="V1680" s="179"/>
      <c r="W1680" s="179"/>
    </row>
    <row r="1681" spans="1:23" s="65" customFormat="1" ht="15" customHeight="1" outlineLevel="2">
      <c r="A1681" s="219"/>
      <c r="B1681" s="121"/>
      <c r="C1681" s="251" t="s">
        <v>1812</v>
      </c>
      <c r="D1681" s="121" t="str">
        <f>INDEX(Regional.Technologies[Description],MATCH($B$2&amp;"."&amp;G.30.assumptions.EnergyDemandAfterProcessImprovements[[#This Row],[Technology code]],Regional.Technologies[Code],0))</f>
        <v>Global Heat use in the Alumina Aluminium technology</v>
      </c>
      <c r="E1681" s="242"/>
      <c r="F1681" s="242" t="s">
        <v>323</v>
      </c>
      <c r="G1681" s="242" t="s">
        <v>1625</v>
      </c>
      <c r="H1681" s="242"/>
      <c r="I1681" s="318">
        <f t="array" aca="1" ref="I168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81" s="318">
        <f t="array" aca="1" ref="J168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81" s="318">
        <f t="array" aca="1" ref="K168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81" s="318">
        <f t="array" aca="1" ref="L168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81" s="318">
        <f t="array" aca="1" ref="M168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81" s="318">
        <f t="array" aca="1" ref="N168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81" s="318">
        <f t="array" aca="1" ref="O168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81" s="318">
        <f t="array" aca="1" ref="P168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81" s="318">
        <f t="array" aca="1" ref="Q168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81" s="121"/>
      <c r="S1681" s="179"/>
      <c r="T1681" s="251"/>
      <c r="V1681" s="179"/>
      <c r="W1681" s="179"/>
    </row>
    <row r="1682" spans="1:23" s="65" customFormat="1" ht="15" customHeight="1" outlineLevel="2">
      <c r="A1682" s="219"/>
      <c r="B1682" s="121"/>
      <c r="C1682" s="251" t="s">
        <v>1639</v>
      </c>
      <c r="D1682" s="121" t="str">
        <f>INDEX(Regional.Technologies[Description],MATCH($B$2&amp;"."&amp;G.30.assumptions.EnergyDemandAfterProcessImprovements[[#This Row],[Technology code]],Regional.Technologies[Code],0))</f>
        <v>Global Electricity use in the Primary Aluminium technology</v>
      </c>
      <c r="E1682" s="242"/>
      <c r="F1682" s="121"/>
      <c r="G1682" s="242" t="s">
        <v>1939</v>
      </c>
      <c r="H1682" s="242"/>
      <c r="I1682" s="318">
        <f t="array" aca="1" ref="I168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2.4796561054672224</v>
      </c>
      <c r="J1682" s="318">
        <f t="array" aca="1" ref="J168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2.5701735638489516</v>
      </c>
      <c r="K1682" s="318">
        <f t="array" aca="1" ref="K168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2.6851787808382439</v>
      </c>
      <c r="L1682" s="318">
        <f t="array" aca="1" ref="L168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2.8022488800632344</v>
      </c>
      <c r="M1682" s="318">
        <f t="array" aca="1" ref="M168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2.9213838615239256</v>
      </c>
      <c r="N1682" s="318">
        <f t="array" aca="1" ref="N168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3.0425837252203145</v>
      </c>
      <c r="O1682" s="318">
        <f t="array" aca="1" ref="O168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3.1658484711524051</v>
      </c>
      <c r="P1682" s="318">
        <f t="array" aca="1" ref="P168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3.2911780993201933</v>
      </c>
      <c r="Q1682" s="318">
        <f t="array" aca="1" ref="Q168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3.418572609723681</v>
      </c>
      <c r="R1682" s="121"/>
      <c r="S1682" s="179"/>
      <c r="T1682" s="251"/>
      <c r="V1682" s="179"/>
      <c r="W1682" s="179"/>
    </row>
    <row r="1683" spans="1:23" s="65" customFormat="1" ht="15" customHeight="1" outlineLevel="2">
      <c r="A1683" s="219"/>
      <c r="B1683" s="121"/>
      <c r="C1683" s="251" t="s">
        <v>1813</v>
      </c>
      <c r="D1683" s="121" t="str">
        <f>INDEX(Regional.Technologies[Description],MATCH($B$2&amp;"."&amp;G.30.assumptions.EnergyDemandAfterProcessImprovements[[#This Row],[Technology code]],Regional.Technologies[Code],0))</f>
        <v>Global Coal use in the Primary Aluminium technology</v>
      </c>
      <c r="E1683" s="242"/>
      <c r="F1683" s="121"/>
      <c r="G1683" s="242" t="s">
        <v>1939</v>
      </c>
      <c r="H1683" s="242"/>
      <c r="I1683" s="318">
        <f t="array" aca="1" ref="I168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0.11615556705932623</v>
      </c>
      <c r="J1683" s="318">
        <f t="array" aca="1" ref="J168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0.1203957141845332</v>
      </c>
      <c r="K1683" s="318">
        <f t="array" aca="1" ref="K168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0.12578295161827202</v>
      </c>
      <c r="L1683" s="318">
        <f t="array" aca="1" ref="L168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0.13126691519337758</v>
      </c>
      <c r="M1683" s="318">
        <f t="array" aca="1" ref="M168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0.13684760490984998</v>
      </c>
      <c r="N1683" s="318">
        <f t="array" aca="1" ref="N168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0.14252502076768905</v>
      </c>
      <c r="O1683" s="318">
        <f t="array" aca="1" ref="O168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0.148299162766895</v>
      </c>
      <c r="P1683" s="318">
        <f t="array" aca="1" ref="P168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0.15417003090746767</v>
      </c>
      <c r="Q1683" s="318">
        <f t="array" aca="1" ref="Q168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0.16013762518940708</v>
      </c>
      <c r="R1683" s="121"/>
      <c r="S1683" s="179"/>
      <c r="T1683" s="251"/>
      <c r="V1683" s="179"/>
      <c r="W1683" s="179"/>
    </row>
    <row r="1684" spans="1:23" s="65" customFormat="1" ht="15" customHeight="1" outlineLevel="2">
      <c r="A1684" s="219"/>
      <c r="B1684" s="121"/>
      <c r="C1684" s="251" t="s">
        <v>1814</v>
      </c>
      <c r="D1684" s="121" t="str">
        <f>INDEX(Regional.Technologies[Description],MATCH($B$2&amp;"."&amp;G.30.assumptions.EnergyDemandAfterProcessImprovements[[#This Row],[Technology code]],Regional.Technologies[Code],0))</f>
        <v>Global Oil use in the Primary Aluminium technology</v>
      </c>
      <c r="E1684" s="242"/>
      <c r="F1684" s="121"/>
      <c r="G1684" s="242" t="s">
        <v>1939</v>
      </c>
      <c r="H1684" s="242"/>
      <c r="I1684" s="318">
        <f t="array" aca="1" ref="I168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0.18032133468483588</v>
      </c>
      <c r="J1684" s="318">
        <f t="array" aca="1" ref="J168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0.18690379136973051</v>
      </c>
      <c r="K1684" s="318">
        <f t="array" aca="1" ref="K168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0.1952670051950286</v>
      </c>
      <c r="L1684" s="318">
        <f t="array" aca="1" ref="L168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0.20378037787497078</v>
      </c>
      <c r="M1684" s="318">
        <f t="array" aca="1" ref="M168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0.21244390940955721</v>
      </c>
      <c r="N1684" s="318">
        <f t="array" aca="1" ref="N168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0.22125759979878762</v>
      </c>
      <c r="O1684" s="318">
        <f t="array" aca="1" ref="O168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0.23022144904266237</v>
      </c>
      <c r="P1684" s="318">
        <f t="array" aca="1" ref="P168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0.23933545714118118</v>
      </c>
      <c r="Q1684" s="318">
        <f t="array" aca="1" ref="Q168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0.24859962409434408</v>
      </c>
      <c r="R1684" s="121"/>
      <c r="S1684" s="179"/>
      <c r="T1684" s="251"/>
      <c r="V1684" s="179"/>
      <c r="W1684" s="179"/>
    </row>
    <row r="1685" spans="1:23" s="65" customFormat="1" ht="15" customHeight="1" outlineLevel="2">
      <c r="A1685" s="219"/>
      <c r="B1685" s="121"/>
      <c r="C1685" s="251" t="s">
        <v>1815</v>
      </c>
      <c r="D1685" s="121" t="str">
        <f>INDEX(Regional.Technologies[Description],MATCH($B$2&amp;"."&amp;G.30.assumptions.EnergyDemandAfterProcessImprovements[[#This Row],[Technology code]],Regional.Technologies[Code],0))</f>
        <v>Global Natural Gas use in the Primary Aluminium technology</v>
      </c>
      <c r="E1685" s="242"/>
      <c r="F1685" s="121"/>
      <c r="G1685" s="242" t="s">
        <v>1939</v>
      </c>
      <c r="H1685" s="242"/>
      <c r="I1685" s="318">
        <f t="array" aca="1" ref="I168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-1.7654944667345952E-2</v>
      </c>
      <c r="J1685" s="318">
        <f t="array" aca="1" ref="J168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-1.8299421421858288E-2</v>
      </c>
      <c r="K1685" s="318">
        <f t="array" aca="1" ref="K168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-1.9118248975374823E-2</v>
      </c>
      <c r="L1685" s="318">
        <f t="array" aca="1" ref="L168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-1.9951778318198138E-2</v>
      </c>
      <c r="M1685" s="318">
        <f t="array" aca="1" ref="M168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-2.0800009450328245E-2</v>
      </c>
      <c r="N1685" s="318">
        <f t="array" aca="1" ref="N168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-2.166294237176512E-2</v>
      </c>
      <c r="O1685" s="318">
        <f t="array" aca="1" ref="O168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-2.2540577082508794E-2</v>
      </c>
      <c r="P1685" s="318">
        <f t="array" aca="1" ref="P168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-2.3432913582559244E-2</v>
      </c>
      <c r="Q1685" s="318">
        <f t="array" aca="1" ref="Q168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-2.4339951871916475E-2</v>
      </c>
      <c r="R1685" s="121"/>
      <c r="S1685" s="179"/>
      <c r="T1685" s="251"/>
      <c r="V1685" s="179"/>
      <c r="W1685" s="179"/>
    </row>
    <row r="1686" spans="1:23" s="65" customFormat="1" ht="15" customHeight="1" outlineLevel="2">
      <c r="A1686" s="219"/>
      <c r="B1686" s="121"/>
      <c r="C1686" s="251" t="s">
        <v>1816</v>
      </c>
      <c r="D1686" s="121" t="str">
        <f>INDEX(Regional.Technologies[Description],MATCH($B$2&amp;"."&amp;G.30.assumptions.EnergyDemandAfterProcessImprovements[[#This Row],[Technology code]],Regional.Technologies[Code],0))</f>
        <v>Global Solid Hydrocarbons use in the Primary Aluminium technology</v>
      </c>
      <c r="E1686" s="242"/>
      <c r="F1686" s="121"/>
      <c r="G1686" s="242" t="s">
        <v>1939</v>
      </c>
      <c r="H1686" s="242"/>
      <c r="I1686" s="318">
        <f t="array" aca="1" ref="I168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86" s="318">
        <f t="array" aca="1" ref="J168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86" s="318">
        <f t="array" aca="1" ref="K168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86" s="318">
        <f t="array" aca="1" ref="L168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86" s="318">
        <f t="array" aca="1" ref="M168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86" s="318">
        <f t="array" aca="1" ref="N168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86" s="318">
        <f t="array" aca="1" ref="O168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86" s="318">
        <f t="array" aca="1" ref="P168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86" s="318">
        <f t="array" aca="1" ref="Q168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86" s="121"/>
      <c r="S1686" s="179"/>
      <c r="T1686" s="251"/>
      <c r="V1686" s="179"/>
      <c r="W1686" s="179"/>
    </row>
    <row r="1687" spans="1:23" s="65" customFormat="1" ht="15" customHeight="1" outlineLevel="2">
      <c r="A1687" s="219"/>
      <c r="B1687" s="121"/>
      <c r="C1687" s="251" t="s">
        <v>1640</v>
      </c>
      <c r="D1687" s="121" t="str">
        <f>INDEX(Regional.Technologies[Description],MATCH($B$2&amp;"."&amp;G.30.assumptions.EnergyDemandAfterProcessImprovements[[#This Row],[Technology code]],Regional.Technologies[Code],0))</f>
        <v>Global Heat use in the Primary Aluminium technology</v>
      </c>
      <c r="E1687" s="242"/>
      <c r="F1687" s="121"/>
      <c r="G1687" s="242" t="s">
        <v>1939</v>
      </c>
      <c r="H1687" s="242"/>
      <c r="I1687" s="318">
        <f t="array" aca="1" ref="I168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87" s="318">
        <f t="array" aca="1" ref="J168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87" s="318">
        <f t="array" aca="1" ref="K168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87" s="318">
        <f t="array" aca="1" ref="L168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87" s="318">
        <f t="array" aca="1" ref="M168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87" s="318">
        <f t="array" aca="1" ref="N168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87" s="318">
        <f t="array" aca="1" ref="O168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87" s="318">
        <f t="array" aca="1" ref="P168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87" s="318">
        <f t="array" aca="1" ref="Q168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87" s="121"/>
      <c r="S1687" s="179"/>
      <c r="T1687" s="251"/>
      <c r="V1687" s="179"/>
      <c r="W1687" s="179"/>
    </row>
    <row r="1688" spans="1:23" s="65" customFormat="1" ht="15" customHeight="1" outlineLevel="2">
      <c r="A1688" s="219"/>
      <c r="B1688" s="121"/>
      <c r="C1688" s="251" t="s">
        <v>1641</v>
      </c>
      <c r="D1688" s="121" t="str">
        <f>INDEX(Regional.Technologies[Description],MATCH($B$2&amp;"."&amp;G.30.assumptions.EnergyDemandAfterProcessImprovements[[#This Row],[Technology code]],Regional.Technologies[Code],0))</f>
        <v>Global Electricity use in the Secondary Aluminium technology</v>
      </c>
      <c r="E1688" s="242"/>
      <c r="F1688" s="121"/>
      <c r="G1688" s="242" t="s">
        <v>1940</v>
      </c>
      <c r="H1688" s="242"/>
      <c r="I1688" s="318">
        <f t="array" aca="1" ref="I168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2.0996808027856011E-2</v>
      </c>
      <c r="J1688" s="318">
        <f t="array" aca="1" ref="J168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2.0706019378521439E-2</v>
      </c>
      <c r="K1688" s="318">
        <f t="array" aca="1" ref="K168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2.0328081584813605E-2</v>
      </c>
      <c r="L1688" s="318">
        <f t="array" aca="1" ref="L168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1.9934086033283963E-2</v>
      </c>
      <c r="M1688" s="318">
        <f t="array" aca="1" ref="M168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1.9524032723932511E-2</v>
      </c>
      <c r="N1688" s="318">
        <f t="array" aca="1" ref="N168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1.9097921656759255E-2</v>
      </c>
      <c r="O1688" s="318">
        <f t="array" aca="1" ref="O168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1.8655752831764193E-2</v>
      </c>
      <c r="P1688" s="318">
        <f t="array" aca="1" ref="P168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1.819752624894732E-2</v>
      </c>
      <c r="Q1688" s="318">
        <f t="array" aca="1" ref="Q168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1.7723241908308644E-2</v>
      </c>
      <c r="R1688" s="121"/>
      <c r="S1688" s="179"/>
      <c r="T1688" s="251"/>
      <c r="V1688" s="179"/>
      <c r="W1688" s="179"/>
    </row>
    <row r="1689" spans="1:23" s="65" customFormat="1" ht="15" customHeight="1" outlineLevel="2">
      <c r="A1689" s="219"/>
      <c r="B1689" s="121"/>
      <c r="C1689" s="251" t="s">
        <v>1817</v>
      </c>
      <c r="D1689" s="121" t="str">
        <f>INDEX(Regional.Technologies[Description],MATCH($B$2&amp;"."&amp;G.30.assumptions.EnergyDemandAfterProcessImprovements[[#This Row],[Technology code]],Regional.Technologies[Code],0))</f>
        <v>Global Coal use in the Secondary Aluminium technology</v>
      </c>
      <c r="E1689" s="242"/>
      <c r="F1689" s="121"/>
      <c r="G1689" s="242" t="s">
        <v>1940</v>
      </c>
      <c r="H1689" s="242"/>
      <c r="I1689" s="318">
        <f t="array" aca="1" ref="I168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89" s="318">
        <f t="array" aca="1" ref="J168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89" s="318">
        <f t="array" aca="1" ref="K168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89" s="318">
        <f t="array" aca="1" ref="L168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89" s="318">
        <f t="array" aca="1" ref="M168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89" s="318">
        <f t="array" aca="1" ref="N168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89" s="318">
        <f t="array" aca="1" ref="O168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89" s="318">
        <f t="array" aca="1" ref="P168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89" s="318">
        <f t="array" aca="1" ref="Q168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89" s="121"/>
      <c r="S1689" s="179"/>
      <c r="T1689" s="251"/>
      <c r="V1689" s="179"/>
      <c r="W1689" s="179"/>
    </row>
    <row r="1690" spans="1:23" s="65" customFormat="1" ht="15" customHeight="1" outlineLevel="2">
      <c r="A1690" s="219"/>
      <c r="B1690" s="121"/>
      <c r="C1690" s="251" t="s">
        <v>1818</v>
      </c>
      <c r="D1690" s="121" t="str">
        <f>INDEX(Regional.Technologies[Description],MATCH($B$2&amp;"."&amp;G.30.assumptions.EnergyDemandAfterProcessImprovements[[#This Row],[Technology code]],Regional.Technologies[Code],0))</f>
        <v>Global Oil use in the Secondary Aluminium technology</v>
      </c>
      <c r="E1690" s="242"/>
      <c r="F1690" s="121"/>
      <c r="G1690" s="242" t="s">
        <v>1940</v>
      </c>
      <c r="H1690" s="242"/>
      <c r="I1690" s="318">
        <f t="array" aca="1" ref="I169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1.8172055149596165E-4</v>
      </c>
      <c r="J1690" s="318">
        <f t="array" aca="1" ref="J169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1.7920387021489552E-4</v>
      </c>
      <c r="K1690" s="318">
        <f t="array" aca="1" ref="K169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1.7593294140454306E-4</v>
      </c>
      <c r="L1690" s="318">
        <f t="array" aca="1" ref="L169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1.7252303791750177E-4</v>
      </c>
      <c r="M1690" s="318">
        <f t="array" aca="1" ref="M169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1.6897415975377175E-4</v>
      </c>
      <c r="N1690" s="318">
        <f t="array" aca="1" ref="N169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1.6528630691335294E-4</v>
      </c>
      <c r="O1690" s="318">
        <f t="array" aca="1" ref="O169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1.6145947939624541E-4</v>
      </c>
      <c r="P1690" s="318">
        <f t="array" aca="1" ref="P169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1.5749367720244904E-4</v>
      </c>
      <c r="Q1690" s="318">
        <f t="array" aca="1" ref="Q169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1.5338890033196395E-4</v>
      </c>
      <c r="R1690" s="121"/>
      <c r="S1690" s="179"/>
      <c r="T1690" s="251"/>
      <c r="V1690" s="179"/>
      <c r="W1690" s="179"/>
    </row>
    <row r="1691" spans="1:23" s="65" customFormat="1" ht="15" customHeight="1" outlineLevel="2">
      <c r="A1691" s="219"/>
      <c r="B1691" s="121"/>
      <c r="C1691" s="251" t="s">
        <v>1819</v>
      </c>
      <c r="D1691" s="121" t="str">
        <f>INDEX(Regional.Technologies[Description],MATCH($B$2&amp;"."&amp;G.30.assumptions.EnergyDemandAfterProcessImprovements[[#This Row],[Technology code]],Regional.Technologies[Code],0))</f>
        <v>Global Natural Gas use in the Secondary Aluminium technology</v>
      </c>
      <c r="E1691" s="242"/>
      <c r="F1691" s="121"/>
      <c r="G1691" s="242" t="s">
        <v>1940</v>
      </c>
      <c r="H1691" s="242"/>
      <c r="I1691" s="318">
        <f t="array" aca="1" ref="I169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0.24244140449555465</v>
      </c>
      <c r="J1691" s="318">
        <f t="array" aca="1" ref="J169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0.23908378897311383</v>
      </c>
      <c r="K1691" s="318">
        <f t="array" aca="1" ref="K169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0.23471989854763023</v>
      </c>
      <c r="L1691" s="318">
        <f t="array" aca="1" ref="L169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0.23017059587499916</v>
      </c>
      <c r="M1691" s="318">
        <f t="array" aca="1" ref="M169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0.2254358809552206</v>
      </c>
      <c r="N1691" s="318">
        <f t="array" aca="1" ref="N169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0.22051575378829461</v>
      </c>
      <c r="O1691" s="318">
        <f t="array" aca="1" ref="O169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0.2154102143742212</v>
      </c>
      <c r="P1691" s="318">
        <f t="array" aca="1" ref="P169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0.2101192627130003</v>
      </c>
      <c r="Q1691" s="318">
        <f t="array" aca="1" ref="Q169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0.20464289880463196</v>
      </c>
      <c r="R1691" s="121"/>
      <c r="S1691" s="179"/>
      <c r="T1691" s="251"/>
      <c r="V1691" s="179"/>
      <c r="W1691" s="179"/>
    </row>
    <row r="1692" spans="1:23" s="65" customFormat="1" ht="15" customHeight="1" outlineLevel="2">
      <c r="A1692" s="219"/>
      <c r="B1692" s="121"/>
      <c r="C1692" s="251" t="s">
        <v>1820</v>
      </c>
      <c r="D1692" s="121" t="str">
        <f>INDEX(Regional.Technologies[Description],MATCH($B$2&amp;"."&amp;G.30.assumptions.EnergyDemandAfterProcessImprovements[[#This Row],[Technology code]],Regional.Technologies[Code],0))</f>
        <v>Global Solid Hydrocarbons use in the Secondary Aluminium technology</v>
      </c>
      <c r="E1692" s="242"/>
      <c r="F1692" s="121"/>
      <c r="G1692" s="242" t="s">
        <v>1940</v>
      </c>
      <c r="H1692" s="242"/>
      <c r="I1692" s="318">
        <f t="array" aca="1" ref="I169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92" s="318">
        <f t="array" aca="1" ref="J169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92" s="318">
        <f t="array" aca="1" ref="K169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92" s="318">
        <f t="array" aca="1" ref="L169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92" s="318">
        <f t="array" aca="1" ref="M169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92" s="318">
        <f t="array" aca="1" ref="N169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92" s="318">
        <f t="array" aca="1" ref="O169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92" s="318">
        <f t="array" aca="1" ref="P169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92" s="318">
        <f t="array" aca="1" ref="Q169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92" s="121"/>
      <c r="S1692" s="179"/>
      <c r="T1692" s="251"/>
      <c r="V1692" s="179"/>
      <c r="W1692" s="179"/>
    </row>
    <row r="1693" spans="1:23" s="65" customFormat="1" ht="15" customHeight="1" outlineLevel="2">
      <c r="A1693" s="219"/>
      <c r="B1693" s="121"/>
      <c r="C1693" s="251" t="s">
        <v>1642</v>
      </c>
      <c r="D1693" s="121" t="str">
        <f>INDEX(Regional.Technologies[Description],MATCH($B$2&amp;"."&amp;G.30.assumptions.EnergyDemandAfterProcessImprovements[[#This Row],[Technology code]],Regional.Technologies[Code],0))</f>
        <v>Global Heat use in the Secondary Aluminium technology</v>
      </c>
      <c r="E1693" s="242"/>
      <c r="F1693" s="121"/>
      <c r="G1693" s="242" t="s">
        <v>1940</v>
      </c>
      <c r="H1693" s="242"/>
      <c r="I1693" s="318">
        <f t="array" aca="1" ref="I169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93" s="318">
        <f t="array" aca="1" ref="J169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93" s="318">
        <f t="array" aca="1" ref="K169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93" s="318">
        <f t="array" aca="1" ref="L169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93" s="318">
        <f t="array" aca="1" ref="M169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93" s="318">
        <f t="array" aca="1" ref="N169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93" s="318">
        <f t="array" aca="1" ref="O169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93" s="318">
        <f t="array" aca="1" ref="P169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93" s="318">
        <f t="array" aca="1" ref="Q169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93" s="121"/>
      <c r="S1693" s="179"/>
      <c r="T1693" s="251"/>
      <c r="V1693" s="179"/>
      <c r="W1693" s="179"/>
    </row>
    <row r="1694" spans="1:23" s="65" customFormat="1" ht="15" customHeight="1" outlineLevel="2">
      <c r="A1694" s="219"/>
      <c r="B1694" s="121"/>
      <c r="C1694" s="413" t="s">
        <v>1821</v>
      </c>
      <c r="D1694" s="121" t="str">
        <f>INDEX(Regional.Technologies[Description],MATCH($B$2&amp;"."&amp;G.30.assumptions.EnergyDemandAfterProcessImprovements[[#This Row],[Technology code]],Regional.Technologies[Code],0))</f>
        <v>Global Electricity use in the Chemicals: High Value Chemicals  technology</v>
      </c>
      <c r="E1694" s="242"/>
      <c r="F1694" s="121"/>
      <c r="G1694" s="242" t="s">
        <v>1961</v>
      </c>
      <c r="H1694" s="242"/>
      <c r="I1694" s="318">
        <f t="array" aca="1" ref="I169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94" s="318">
        <f t="array" aca="1" ref="J169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94" s="318">
        <f t="array" aca="1" ref="K169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94" s="318">
        <f t="array" aca="1" ref="L169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94" s="318">
        <f t="array" aca="1" ref="M169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94" s="318">
        <f t="array" aca="1" ref="N169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94" s="318">
        <f t="array" aca="1" ref="O169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94" s="318">
        <f t="array" aca="1" ref="P169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94" s="318">
        <f t="array" aca="1" ref="Q169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94" s="121"/>
      <c r="S1694" s="179"/>
      <c r="T1694" s="251"/>
      <c r="V1694" s="179"/>
      <c r="W1694" s="179"/>
    </row>
    <row r="1695" spans="1:23" s="65" customFormat="1" ht="15" customHeight="1" outlineLevel="2">
      <c r="A1695" s="219"/>
      <c r="B1695" s="121"/>
      <c r="C1695" s="413" t="s">
        <v>1822</v>
      </c>
      <c r="D1695" s="121" t="str">
        <f>INDEX(Regional.Technologies[Description],MATCH($B$2&amp;"."&amp;G.30.assumptions.EnergyDemandAfterProcessImprovements[[#This Row],[Technology code]],Regional.Technologies[Code],0))</f>
        <v>Global Coal use in the Chemicals: High Value Chemicals  technology</v>
      </c>
      <c r="E1695" s="242"/>
      <c r="F1695" s="121"/>
      <c r="G1695" s="242" t="s">
        <v>1961</v>
      </c>
      <c r="H1695" s="242"/>
      <c r="I1695" s="318">
        <f t="array" aca="1" ref="I169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0.24646345986547152</v>
      </c>
      <c r="J1695" s="318">
        <f t="array" aca="1" ref="J169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0.24899129022306607</v>
      </c>
      <c r="K1695" s="318">
        <f t="array" aca="1" ref="K169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0.25215107817005933</v>
      </c>
      <c r="L1695" s="318">
        <f t="array" aca="1" ref="L169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0.25531086611705256</v>
      </c>
      <c r="M1695" s="318">
        <f t="array" aca="1" ref="M169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0.25847065406404579</v>
      </c>
      <c r="N1695" s="318">
        <f t="array" aca="1" ref="N169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0.26163044201103902</v>
      </c>
      <c r="O1695" s="318">
        <f t="array" aca="1" ref="O169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0.26479022995803225</v>
      </c>
      <c r="P1695" s="318">
        <f t="array" aca="1" ref="P169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0.26795001790502548</v>
      </c>
      <c r="Q1695" s="318">
        <f t="array" aca="1" ref="Q169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0.27110980585201871</v>
      </c>
      <c r="R1695" s="121"/>
      <c r="S1695" s="179"/>
      <c r="T1695" s="251"/>
      <c r="V1695" s="179"/>
      <c r="W1695" s="179"/>
    </row>
    <row r="1696" spans="1:23" s="65" customFormat="1" ht="15" customHeight="1" outlineLevel="2">
      <c r="A1696" s="219"/>
      <c r="B1696" s="121"/>
      <c r="C1696" s="413" t="s">
        <v>1823</v>
      </c>
      <c r="D1696" s="121" t="str">
        <f>INDEX(Regional.Technologies[Description],MATCH($B$2&amp;"."&amp;G.30.assumptions.EnergyDemandAfterProcessImprovements[[#This Row],[Technology code]],Regional.Technologies[Code],0))</f>
        <v>Global Oil use in the Chemicals: High Value Chemicals  technology</v>
      </c>
      <c r="E1696" s="242"/>
      <c r="F1696" s="121"/>
      <c r="G1696" s="242" t="s">
        <v>1961</v>
      </c>
      <c r="H1696" s="242"/>
      <c r="I1696" s="318">
        <f t="array" aca="1" ref="I169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19.210879294175736</v>
      </c>
      <c r="J1696" s="318">
        <f t="array" aca="1" ref="J169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19.407913953603178</v>
      </c>
      <c r="K1696" s="318">
        <f t="array" aca="1" ref="K169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19.654207277887483</v>
      </c>
      <c r="L1696" s="318">
        <f t="array" aca="1" ref="L169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19.900500602171789</v>
      </c>
      <c r="M1696" s="318">
        <f t="array" aca="1" ref="M169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20.146793926456095</v>
      </c>
      <c r="N1696" s="318">
        <f t="array" aca="1" ref="N169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20.393087250740397</v>
      </c>
      <c r="O1696" s="318">
        <f t="array" aca="1" ref="O169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20.639380575024706</v>
      </c>
      <c r="P1696" s="318">
        <f t="array" aca="1" ref="P169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20.885673899309008</v>
      </c>
      <c r="Q1696" s="318">
        <f t="array" aca="1" ref="Q169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21.131967223593314</v>
      </c>
      <c r="R1696" s="121"/>
      <c r="S1696" s="179"/>
      <c r="T1696" s="251"/>
      <c r="V1696" s="179"/>
      <c r="W1696" s="179"/>
    </row>
    <row r="1697" spans="1:23" s="65" customFormat="1" ht="15" customHeight="1" outlineLevel="2">
      <c r="A1697" s="219"/>
      <c r="B1697" s="121"/>
      <c r="C1697" s="413" t="s">
        <v>1824</v>
      </c>
      <c r="D1697" s="121" t="str">
        <f>INDEX(Regional.Technologies[Description],MATCH($B$2&amp;"."&amp;G.30.assumptions.EnergyDemandAfterProcessImprovements[[#This Row],[Technology code]],Regional.Technologies[Code],0))</f>
        <v>Global Natural Gas use in the Chemicals: High Value Chemicals  technology</v>
      </c>
      <c r="E1697" s="242"/>
      <c r="F1697" s="121"/>
      <c r="G1697" s="242" t="s">
        <v>1961</v>
      </c>
      <c r="H1697" s="242"/>
      <c r="I1697" s="318">
        <f t="array" aca="1" ref="I169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3.4032396515371989E-3</v>
      </c>
      <c r="J1697" s="318">
        <f t="array" aca="1" ref="J169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3.4381446736042463E-3</v>
      </c>
      <c r="K1697" s="318">
        <f t="array" aca="1" ref="K169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3.4817759511880566E-3</v>
      </c>
      <c r="L1697" s="318">
        <f t="array" aca="1" ref="L169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3.5254072287718677E-3</v>
      </c>
      <c r="M1697" s="318">
        <f t="array" aca="1" ref="M169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3.5690385063556775E-3</v>
      </c>
      <c r="N1697" s="318">
        <f t="array" aca="1" ref="N169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3.6126697839394878E-3</v>
      </c>
      <c r="O1697" s="318">
        <f t="array" aca="1" ref="O169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3.6563010615232984E-3</v>
      </c>
      <c r="P1697" s="318">
        <f t="array" aca="1" ref="P169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3.6999323391071087E-3</v>
      </c>
      <c r="Q1697" s="318">
        <f t="array" aca="1" ref="Q169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3.7435636166909189E-3</v>
      </c>
      <c r="R1697" s="121"/>
      <c r="S1697" s="179"/>
      <c r="T1697" s="251"/>
      <c r="V1697" s="179"/>
      <c r="W1697" s="179"/>
    </row>
    <row r="1698" spans="1:23" s="65" customFormat="1" ht="15" customHeight="1" outlineLevel="2">
      <c r="A1698" s="219"/>
      <c r="B1698" s="121"/>
      <c r="C1698" s="413" t="s">
        <v>1825</v>
      </c>
      <c r="D1698" s="121" t="str">
        <f>INDEX(Regional.Technologies[Description],MATCH($B$2&amp;"."&amp;G.30.assumptions.EnergyDemandAfterProcessImprovements[[#This Row],[Technology code]],Regional.Technologies[Code],0))</f>
        <v>Global Solid Hydrocarbons use in the Chemicals: High Value Chemicals  technology</v>
      </c>
      <c r="E1698" s="242"/>
      <c r="F1698" s="121"/>
      <c r="G1698" s="242" t="s">
        <v>1961</v>
      </c>
      <c r="H1698" s="242"/>
      <c r="I1698" s="318">
        <f t="array" aca="1" ref="I169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98" s="318">
        <f t="array" aca="1" ref="J169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98" s="318">
        <f t="array" aca="1" ref="K169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98" s="318">
        <f t="array" aca="1" ref="L169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98" s="318">
        <f t="array" aca="1" ref="M169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98" s="318">
        <f t="array" aca="1" ref="N169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98" s="318">
        <f t="array" aca="1" ref="O169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98" s="318">
        <f t="array" aca="1" ref="P169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98" s="318">
        <f t="array" aca="1" ref="Q169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98" s="121"/>
      <c r="S1698" s="179"/>
      <c r="T1698" s="251"/>
      <c r="V1698" s="179"/>
      <c r="W1698" s="179"/>
    </row>
    <row r="1699" spans="1:23" s="65" customFormat="1" ht="15" customHeight="1" outlineLevel="2">
      <c r="A1699" s="219"/>
      <c r="B1699" s="121"/>
      <c r="C1699" s="413" t="s">
        <v>1826</v>
      </c>
      <c r="D1699" s="121" t="str">
        <f>INDEX(Regional.Technologies[Description],MATCH($B$2&amp;"."&amp;G.30.assumptions.EnergyDemandAfterProcessImprovements[[#This Row],[Technology code]],Regional.Technologies[Code],0))</f>
        <v>Global Heat use in the Chemicals: High Value Chemicals  technology</v>
      </c>
      <c r="E1699" s="242"/>
      <c r="F1699" s="121"/>
      <c r="G1699" s="242" t="s">
        <v>1961</v>
      </c>
      <c r="H1699" s="242"/>
      <c r="I1699" s="318">
        <f t="array" aca="1" ref="I169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699" s="318">
        <f t="array" aca="1" ref="J169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699" s="318">
        <f t="array" aca="1" ref="K169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699" s="318">
        <f t="array" aca="1" ref="L169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699" s="318">
        <f t="array" aca="1" ref="M169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699" s="318">
        <f t="array" aca="1" ref="N169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699" s="318">
        <f t="array" aca="1" ref="O169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699" s="318">
        <f t="array" aca="1" ref="P169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699" s="318">
        <f t="array" aca="1" ref="Q169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699" s="121"/>
      <c r="S1699" s="179"/>
      <c r="T1699" s="251"/>
      <c r="V1699" s="179"/>
      <c r="W1699" s="179"/>
    </row>
    <row r="1700" spans="1:23" s="65" customFormat="1" ht="15" customHeight="1" outlineLevel="2">
      <c r="A1700" s="219"/>
      <c r="B1700" s="121"/>
      <c r="C1700" s="413" t="s">
        <v>1827</v>
      </c>
      <c r="D1700" s="121" t="str">
        <f>INDEX(Regional.Technologies[Description],MATCH($B$2&amp;"."&amp;G.30.assumptions.EnergyDemandAfterProcessImprovements[[#This Row],[Technology code]],Regional.Technologies[Code],0))</f>
        <v>Global Electricity use in the Chemicals: Ammonia technology</v>
      </c>
      <c r="E1700" s="242"/>
      <c r="F1700" s="121"/>
      <c r="G1700" s="242" t="s">
        <v>1962</v>
      </c>
      <c r="H1700" s="242"/>
      <c r="I1700" s="318">
        <f t="array" aca="1" ref="I170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00" s="318">
        <f t="array" aca="1" ref="J170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00" s="318">
        <f t="array" aca="1" ref="K170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00" s="318">
        <f t="array" aca="1" ref="L170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00" s="318">
        <f t="array" aca="1" ref="M170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00" s="318">
        <f t="array" aca="1" ref="N170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00" s="318">
        <f t="array" aca="1" ref="O170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00" s="318">
        <f t="array" aca="1" ref="P170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00" s="318">
        <f t="array" aca="1" ref="Q170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00" s="121"/>
      <c r="S1700" s="179"/>
      <c r="T1700" s="251"/>
      <c r="V1700" s="179"/>
      <c r="W1700" s="179"/>
    </row>
    <row r="1701" spans="1:23" s="65" customFormat="1" ht="15" customHeight="1" outlineLevel="2">
      <c r="A1701" s="219"/>
      <c r="B1701" s="121"/>
      <c r="C1701" s="413" t="s">
        <v>1828</v>
      </c>
      <c r="D1701" s="121" t="str">
        <f>INDEX(Regional.Technologies[Description],MATCH($B$2&amp;"."&amp;G.30.assumptions.EnergyDemandAfterProcessImprovements[[#This Row],[Technology code]],Regional.Technologies[Code],0))</f>
        <v>Global Coal use in the Chemicals: Ammonia technology</v>
      </c>
      <c r="E1701" s="242"/>
      <c r="F1701" s="121"/>
      <c r="G1701" s="242" t="s">
        <v>1962</v>
      </c>
      <c r="H1701" s="242"/>
      <c r="I1701" s="318">
        <f t="array" aca="1" ref="I170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1.4435125863870015</v>
      </c>
      <c r="J1701" s="318">
        <f t="array" aca="1" ref="J170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1.4583178436832782</v>
      </c>
      <c r="K1701" s="318">
        <f t="array" aca="1" ref="K170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1.4768244153036243</v>
      </c>
      <c r="L1701" s="318">
        <f t="array" aca="1" ref="L170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1.4953309869239708</v>
      </c>
      <c r="M1701" s="318">
        <f t="array" aca="1" ref="M170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1.5138375585443169</v>
      </c>
      <c r="N1701" s="318">
        <f t="array" aca="1" ref="N170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1.532344130164663</v>
      </c>
      <c r="O1701" s="318">
        <f t="array" aca="1" ref="O170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1.5508507017850095</v>
      </c>
      <c r="P1701" s="318">
        <f t="array" aca="1" ref="P170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1.5693572734053556</v>
      </c>
      <c r="Q1701" s="318">
        <f t="array" aca="1" ref="Q170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1.5878638450257019</v>
      </c>
      <c r="R1701" s="121"/>
      <c r="S1701" s="179"/>
      <c r="T1701" s="251"/>
      <c r="V1701" s="179"/>
      <c r="W1701" s="179"/>
    </row>
    <row r="1702" spans="1:23" s="65" customFormat="1" ht="15" customHeight="1" outlineLevel="2">
      <c r="A1702" s="219"/>
      <c r="B1702" s="121"/>
      <c r="C1702" s="413" t="s">
        <v>1829</v>
      </c>
      <c r="D1702" s="121" t="str">
        <f>INDEX(Regional.Technologies[Description],MATCH($B$2&amp;"."&amp;G.30.assumptions.EnergyDemandAfterProcessImprovements[[#This Row],[Technology code]],Regional.Technologies[Code],0))</f>
        <v>Global Oil use in the Chemicals: Ammonia technology</v>
      </c>
      <c r="E1702" s="242"/>
      <c r="F1702" s="121"/>
      <c r="G1702" s="242" t="s">
        <v>1962</v>
      </c>
      <c r="H1702" s="242"/>
      <c r="I1702" s="318">
        <f t="array" aca="1" ref="I170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02" s="318">
        <f t="array" aca="1" ref="J170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02" s="318">
        <f t="array" aca="1" ref="K170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02" s="318">
        <f t="array" aca="1" ref="L170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02" s="318">
        <f t="array" aca="1" ref="M170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02" s="318">
        <f t="array" aca="1" ref="N170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02" s="318">
        <f t="array" aca="1" ref="O170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02" s="318">
        <f t="array" aca="1" ref="P170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02" s="318">
        <f t="array" aca="1" ref="Q170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02" s="121"/>
      <c r="S1702" s="179"/>
      <c r="T1702" s="251"/>
      <c r="V1702" s="179"/>
      <c r="W1702" s="179"/>
    </row>
    <row r="1703" spans="1:23" s="65" customFormat="1" ht="15" customHeight="1" outlineLevel="2">
      <c r="A1703" s="219"/>
      <c r="B1703" s="121"/>
      <c r="C1703" s="413" t="s">
        <v>1830</v>
      </c>
      <c r="D1703" s="121" t="str">
        <f>INDEX(Regional.Technologies[Description],MATCH($B$2&amp;"."&amp;G.30.assumptions.EnergyDemandAfterProcessImprovements[[#This Row],[Technology code]],Regional.Technologies[Code],0))</f>
        <v>Global Natural Gas use in the Chemicals: Ammonia technology</v>
      </c>
      <c r="E1703" s="242"/>
      <c r="F1703" s="121"/>
      <c r="G1703" s="242" t="s">
        <v>1962</v>
      </c>
      <c r="H1703" s="242"/>
      <c r="I1703" s="318">
        <f t="array" aca="1" ref="I170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4.5138365842133039</v>
      </c>
      <c r="J1703" s="318">
        <f t="array" aca="1" ref="J170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4.5601323440513886</v>
      </c>
      <c r="K1703" s="318">
        <f t="array" aca="1" ref="K170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4.6180020438489944</v>
      </c>
      <c r="L1703" s="318">
        <f t="array" aca="1" ref="L170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4.675871743646602</v>
      </c>
      <c r="M1703" s="318">
        <f t="array" aca="1" ref="M170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4.7337414434442087</v>
      </c>
      <c r="N1703" s="318">
        <f t="array" aca="1" ref="N170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4.7916111432418145</v>
      </c>
      <c r="O1703" s="318">
        <f t="array" aca="1" ref="O170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4.8494808430394221</v>
      </c>
      <c r="P1703" s="318">
        <f t="array" aca="1" ref="P170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4.9073505428370279</v>
      </c>
      <c r="Q1703" s="318">
        <f t="array" aca="1" ref="Q170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4.9652202426346346</v>
      </c>
      <c r="R1703" s="121"/>
      <c r="S1703" s="179"/>
      <c r="T1703" s="251"/>
      <c r="V1703" s="179"/>
      <c r="W1703" s="179"/>
    </row>
    <row r="1704" spans="1:23" s="65" customFormat="1" ht="15" customHeight="1" outlineLevel="2">
      <c r="A1704" s="219"/>
      <c r="B1704" s="121"/>
      <c r="C1704" s="413" t="s">
        <v>1831</v>
      </c>
      <c r="D1704" s="121" t="str">
        <f>INDEX(Regional.Technologies[Description],MATCH($B$2&amp;"."&amp;G.30.assumptions.EnergyDemandAfterProcessImprovements[[#This Row],[Technology code]],Regional.Technologies[Code],0))</f>
        <v>Global Solid Hydrocarbons use in the Chemicals: Ammonia technology</v>
      </c>
      <c r="E1704" s="242"/>
      <c r="F1704" s="121"/>
      <c r="G1704" s="242" t="s">
        <v>1962</v>
      </c>
      <c r="H1704" s="242"/>
      <c r="I1704" s="318">
        <f t="array" aca="1" ref="I170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04" s="318">
        <f t="array" aca="1" ref="J170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04" s="318">
        <f t="array" aca="1" ref="K170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04" s="318">
        <f t="array" aca="1" ref="L170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04" s="318">
        <f t="array" aca="1" ref="M170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04" s="318">
        <f t="array" aca="1" ref="N170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04" s="318">
        <f t="array" aca="1" ref="O170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04" s="318">
        <f t="array" aca="1" ref="P170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04" s="318">
        <f t="array" aca="1" ref="Q170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04" s="121"/>
      <c r="S1704" s="179"/>
      <c r="T1704" s="251"/>
      <c r="V1704" s="179"/>
      <c r="W1704" s="179"/>
    </row>
    <row r="1705" spans="1:23" s="65" customFormat="1" ht="15" customHeight="1" outlineLevel="2">
      <c r="A1705" s="219"/>
      <c r="B1705" s="121"/>
      <c r="C1705" s="413" t="s">
        <v>1832</v>
      </c>
      <c r="D1705" s="121" t="str">
        <f>INDEX(Regional.Technologies[Description],MATCH($B$2&amp;"."&amp;G.30.assumptions.EnergyDemandAfterProcessImprovements[[#This Row],[Technology code]],Regional.Technologies[Code],0))</f>
        <v>Global Heat use in the Chemicals: Ammonia technology</v>
      </c>
      <c r="E1705" s="242"/>
      <c r="F1705" s="121"/>
      <c r="G1705" s="242" t="s">
        <v>1962</v>
      </c>
      <c r="H1705" s="242"/>
      <c r="I1705" s="318">
        <f t="array" aca="1" ref="I170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05" s="318">
        <f t="array" aca="1" ref="J170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05" s="318">
        <f t="array" aca="1" ref="K170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05" s="318">
        <f t="array" aca="1" ref="L170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05" s="318">
        <f t="array" aca="1" ref="M170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05" s="318">
        <f t="array" aca="1" ref="N170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05" s="318">
        <f t="array" aca="1" ref="O170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05" s="318">
        <f t="array" aca="1" ref="P170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05" s="318">
        <f t="array" aca="1" ref="Q170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05" s="121"/>
      <c r="S1705" s="179"/>
      <c r="T1705" s="251"/>
      <c r="V1705" s="179"/>
      <c r="W1705" s="179"/>
    </row>
    <row r="1706" spans="1:23" s="65" customFormat="1" ht="15" customHeight="1" outlineLevel="2">
      <c r="A1706" s="219"/>
      <c r="B1706" s="121"/>
      <c r="C1706" s="413" t="s">
        <v>1833</v>
      </c>
      <c r="D1706" s="121" t="str">
        <f>INDEX(Regional.Technologies[Description],MATCH($B$2&amp;"."&amp;G.30.assumptions.EnergyDemandAfterProcessImprovements[[#This Row],[Technology code]],Regional.Technologies[Code],0))</f>
        <v>Global Electricity use in the Chemicals: Methanol technology</v>
      </c>
      <c r="E1706" s="242"/>
      <c r="F1706" s="121"/>
      <c r="G1706" s="242" t="s">
        <v>1963</v>
      </c>
      <c r="H1706" s="242"/>
      <c r="I1706" s="318">
        <f t="array" aca="1" ref="I170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06" s="318">
        <f t="array" aca="1" ref="J170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06" s="318">
        <f t="array" aca="1" ref="K170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06" s="318">
        <f t="array" aca="1" ref="L170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06" s="318">
        <f t="array" aca="1" ref="M170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06" s="318">
        <f t="array" aca="1" ref="N170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06" s="318">
        <f t="array" aca="1" ref="O170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06" s="318">
        <f t="array" aca="1" ref="P170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06" s="318">
        <f t="array" aca="1" ref="Q170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06" s="121"/>
      <c r="S1706" s="179"/>
      <c r="T1706" s="251"/>
      <c r="V1706" s="179"/>
      <c r="W1706" s="179"/>
    </row>
    <row r="1707" spans="1:23" s="65" customFormat="1" ht="15" customHeight="1" outlineLevel="2">
      <c r="A1707" s="219"/>
      <c r="B1707" s="121"/>
      <c r="C1707" s="413" t="s">
        <v>1834</v>
      </c>
      <c r="D1707" s="121" t="str">
        <f>INDEX(Regional.Technologies[Description],MATCH($B$2&amp;"."&amp;G.30.assumptions.EnergyDemandAfterProcessImprovements[[#This Row],[Technology code]],Regional.Technologies[Code],0))</f>
        <v>Global Coal use in the Chemicals: Methanol technology</v>
      </c>
      <c r="E1707" s="242"/>
      <c r="F1707" s="121"/>
      <c r="G1707" s="242" t="s">
        <v>1963</v>
      </c>
      <c r="H1707" s="242"/>
      <c r="I1707" s="318">
        <f t="array" aca="1" ref="I170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0.726021750603001</v>
      </c>
      <c r="J1707" s="318">
        <f t="array" aca="1" ref="J170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0.73346812753226254</v>
      </c>
      <c r="K1707" s="318">
        <f t="array" aca="1" ref="K170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0.74277609869383954</v>
      </c>
      <c r="L1707" s="318">
        <f t="array" aca="1" ref="L170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0.75208406985541654</v>
      </c>
      <c r="M1707" s="318">
        <f t="array" aca="1" ref="M170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0.76139204101699343</v>
      </c>
      <c r="N1707" s="318">
        <f t="array" aca="1" ref="N170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0.77070001217857032</v>
      </c>
      <c r="O1707" s="318">
        <f t="array" aca="1" ref="O170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0.78000798334014743</v>
      </c>
      <c r="P1707" s="318">
        <f t="array" aca="1" ref="P170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0.78931595450172432</v>
      </c>
      <c r="Q1707" s="318">
        <f t="array" aca="1" ref="Q170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0.7986239256633012</v>
      </c>
      <c r="R1707" s="121"/>
      <c r="S1707" s="179"/>
      <c r="T1707" s="251"/>
      <c r="V1707" s="179"/>
      <c r="W1707" s="179"/>
    </row>
    <row r="1708" spans="1:23" s="65" customFormat="1" ht="15" customHeight="1" outlineLevel="2">
      <c r="A1708" s="219"/>
      <c r="B1708" s="121"/>
      <c r="C1708" s="413" t="s">
        <v>1835</v>
      </c>
      <c r="D1708" s="121" t="str">
        <f>INDEX(Regional.Technologies[Description],MATCH($B$2&amp;"."&amp;G.30.assumptions.EnergyDemandAfterProcessImprovements[[#This Row],[Technology code]],Regional.Technologies[Code],0))</f>
        <v>Global Oil use in the Chemicals: Methanol technology</v>
      </c>
      <c r="E1708" s="242"/>
      <c r="F1708" s="121"/>
      <c r="G1708" s="242" t="s">
        <v>1963</v>
      </c>
      <c r="H1708" s="242"/>
      <c r="I1708" s="318">
        <f t="array" aca="1" ref="I170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08" s="318">
        <f t="array" aca="1" ref="J170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08" s="318">
        <f t="array" aca="1" ref="K170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08" s="318">
        <f t="array" aca="1" ref="L170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08" s="318">
        <f t="array" aca="1" ref="M170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08" s="318">
        <f t="array" aca="1" ref="N170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08" s="318">
        <f t="array" aca="1" ref="O170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08" s="318">
        <f t="array" aca="1" ref="P170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08" s="318">
        <f t="array" aca="1" ref="Q170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08" s="121"/>
      <c r="S1708" s="179"/>
      <c r="T1708" s="251"/>
      <c r="V1708" s="179"/>
      <c r="W1708" s="179"/>
    </row>
    <row r="1709" spans="1:23" s="65" customFormat="1" ht="15" customHeight="1" outlineLevel="2">
      <c r="A1709" s="219"/>
      <c r="B1709" s="121"/>
      <c r="C1709" s="413" t="s">
        <v>1836</v>
      </c>
      <c r="D1709" s="121" t="str">
        <f>INDEX(Regional.Technologies[Description],MATCH($B$2&amp;"."&amp;G.30.assumptions.EnergyDemandAfterProcessImprovements[[#This Row],[Technology code]],Regional.Technologies[Code],0))</f>
        <v>Global Natural Gas use in the Chemicals: Methanol technology</v>
      </c>
      <c r="E1709" s="242"/>
      <c r="F1709" s="121"/>
      <c r="G1709" s="242" t="s">
        <v>1963</v>
      </c>
      <c r="H1709" s="242"/>
      <c r="I1709" s="318">
        <f t="array" aca="1" ref="I170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0.937789568259083</v>
      </c>
      <c r="J1709" s="318">
        <f t="array" aca="1" ref="J170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0.94740792280532993</v>
      </c>
      <c r="K1709" s="318">
        <f t="array" aca="1" ref="K170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0.95943086598813876</v>
      </c>
      <c r="L1709" s="318">
        <f t="array" aca="1" ref="L170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0.97145380917094759</v>
      </c>
      <c r="M1709" s="318">
        <f t="array" aca="1" ref="M170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0.98347675235375631</v>
      </c>
      <c r="N1709" s="318">
        <f t="array" aca="1" ref="N170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0.99549969553656503</v>
      </c>
      <c r="O1709" s="318">
        <f t="array" aca="1" ref="O170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1.0075226387193739</v>
      </c>
      <c r="P1709" s="318">
        <f t="array" aca="1" ref="P170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1.0195455819021826</v>
      </c>
      <c r="Q1709" s="318">
        <f t="array" aca="1" ref="Q170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1.0315685250849913</v>
      </c>
      <c r="R1709" s="121"/>
      <c r="S1709" s="179"/>
      <c r="T1709" s="251"/>
      <c r="V1709" s="179"/>
      <c r="W1709" s="179"/>
    </row>
    <row r="1710" spans="1:23" s="65" customFormat="1" ht="15" customHeight="1" outlineLevel="2">
      <c r="A1710" s="219"/>
      <c r="B1710" s="121"/>
      <c r="C1710" s="413" t="s">
        <v>1837</v>
      </c>
      <c r="D1710" s="121" t="str">
        <f>INDEX(Regional.Technologies[Description],MATCH($B$2&amp;"."&amp;G.30.assumptions.EnergyDemandAfterProcessImprovements[[#This Row],[Technology code]],Regional.Technologies[Code],0))</f>
        <v>Global Solid Hydrocarbons use in the Chemicals: Methanol technology</v>
      </c>
      <c r="E1710" s="242"/>
      <c r="F1710" s="121"/>
      <c r="G1710" s="242" t="s">
        <v>1963</v>
      </c>
      <c r="H1710" s="242"/>
      <c r="I1710" s="318">
        <f t="array" aca="1" ref="I171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10" s="318">
        <f t="array" aca="1" ref="J171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10" s="318">
        <f t="array" aca="1" ref="K171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10" s="318">
        <f t="array" aca="1" ref="L171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10" s="318">
        <f t="array" aca="1" ref="M171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10" s="318">
        <f t="array" aca="1" ref="N171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10" s="318">
        <f t="array" aca="1" ref="O171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10" s="318">
        <f t="array" aca="1" ref="P171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10" s="318">
        <f t="array" aca="1" ref="Q171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10" s="121"/>
      <c r="S1710" s="179"/>
      <c r="T1710" s="251"/>
      <c r="V1710" s="179"/>
      <c r="W1710" s="179"/>
    </row>
    <row r="1711" spans="1:23" s="65" customFormat="1" ht="15" customHeight="1" outlineLevel="2">
      <c r="A1711" s="219"/>
      <c r="B1711" s="121"/>
      <c r="C1711" s="413" t="s">
        <v>1838</v>
      </c>
      <c r="D1711" s="121" t="str">
        <f>INDEX(Regional.Technologies[Description],MATCH($B$2&amp;"."&amp;G.30.assumptions.EnergyDemandAfterProcessImprovements[[#This Row],[Technology code]],Regional.Technologies[Code],0))</f>
        <v>Global Heat use in the Chemicals: Methanol technology</v>
      </c>
      <c r="E1711" s="242"/>
      <c r="F1711" s="121"/>
      <c r="G1711" s="242" t="s">
        <v>1963</v>
      </c>
      <c r="H1711" s="242"/>
      <c r="I1711" s="318">
        <f t="array" aca="1" ref="I171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11" s="318">
        <f t="array" aca="1" ref="J171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11" s="318">
        <f t="array" aca="1" ref="K171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11" s="318">
        <f t="array" aca="1" ref="L171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11" s="318">
        <f t="array" aca="1" ref="M171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11" s="318">
        <f t="array" aca="1" ref="N171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11" s="318">
        <f t="array" aca="1" ref="O171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11" s="318">
        <f t="array" aca="1" ref="P171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11" s="318">
        <f t="array" aca="1" ref="Q171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11" s="121"/>
      <c r="S1711" s="179"/>
      <c r="T1711" s="251"/>
      <c r="V1711" s="179"/>
      <c r="W1711" s="179"/>
    </row>
    <row r="1712" spans="1:23" s="65" customFormat="1" ht="15" customHeight="1" outlineLevel="2">
      <c r="A1712" s="219"/>
      <c r="B1712" s="121"/>
      <c r="C1712" s="413" t="s">
        <v>1839</v>
      </c>
      <c r="D1712" s="121" t="str">
        <f>INDEX(Regional.Technologies[Description],MATCH($B$2&amp;"."&amp;G.30.assumptions.EnergyDemandAfterProcessImprovements[[#This Row],[Technology code]],Regional.Technologies[Code],0))</f>
        <v>Global Electricity use in the Chemicals: Others technology</v>
      </c>
      <c r="E1712" s="242"/>
      <c r="F1712" s="121"/>
      <c r="G1712" s="242" t="s">
        <v>1964</v>
      </c>
      <c r="H1712" s="242"/>
      <c r="I1712" s="318">
        <f t="array" aca="1" ref="I171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4.3950447458562465</v>
      </c>
      <c r="J1712" s="318">
        <f t="array" aca="1" ref="J171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4.4401221278650285</v>
      </c>
      <c r="K1712" s="318">
        <f t="array" aca="1" ref="K171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4.4964688553760057</v>
      </c>
      <c r="L1712" s="318">
        <f t="array" aca="1" ref="L171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4.5528155828869838</v>
      </c>
      <c r="M1712" s="318">
        <f t="array" aca="1" ref="M171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4.6091623103979611</v>
      </c>
      <c r="N1712" s="318">
        <f t="array" aca="1" ref="N171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4.6655090379089383</v>
      </c>
      <c r="O1712" s="318">
        <f t="array" aca="1" ref="O171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4.7218557654199174</v>
      </c>
      <c r="P1712" s="318">
        <f t="array" aca="1" ref="P171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4.7782024929308946</v>
      </c>
      <c r="Q1712" s="318">
        <f t="array" aca="1" ref="Q171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4.8345492204418719</v>
      </c>
      <c r="R1712" s="121"/>
      <c r="S1712" s="179"/>
      <c r="T1712" s="251"/>
      <c r="V1712" s="179"/>
      <c r="W1712" s="179"/>
    </row>
    <row r="1713" spans="1:23" s="65" customFormat="1" ht="15" customHeight="1" outlineLevel="2">
      <c r="A1713" s="219"/>
      <c r="B1713" s="121"/>
      <c r="C1713" s="413" t="s">
        <v>1840</v>
      </c>
      <c r="D1713" s="121" t="str">
        <f>INDEX(Regional.Technologies[Description],MATCH($B$2&amp;"."&amp;G.30.assumptions.EnergyDemandAfterProcessImprovements[[#This Row],[Technology code]],Regional.Technologies[Code],0))</f>
        <v>Global Coal use in the Chemicals: Others technology</v>
      </c>
      <c r="E1713" s="242"/>
      <c r="F1713" s="121"/>
      <c r="G1713" s="242" t="s">
        <v>1964</v>
      </c>
      <c r="H1713" s="242"/>
      <c r="I1713" s="318">
        <f t="array" aca="1" ref="I171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0.37414965620854634</v>
      </c>
      <c r="J1713" s="318">
        <f t="array" aca="1" ref="J171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0.37798708857991603</v>
      </c>
      <c r="K1713" s="318">
        <f t="array" aca="1" ref="K171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0.38278387904412814</v>
      </c>
      <c r="L1713" s="318">
        <f t="array" aca="1" ref="L171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0.3875806695083403</v>
      </c>
      <c r="M1713" s="318">
        <f t="array" aca="1" ref="M171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0.39237745997255247</v>
      </c>
      <c r="N1713" s="318">
        <f t="array" aca="1" ref="N171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0.39717425043676458</v>
      </c>
      <c r="O1713" s="318">
        <f t="array" aca="1" ref="O171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0.40197104090097679</v>
      </c>
      <c r="P1713" s="318">
        <f t="array" aca="1" ref="P171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0.4067678313651889</v>
      </c>
      <c r="Q1713" s="318">
        <f t="array" aca="1" ref="Q171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0.41156462182940101</v>
      </c>
      <c r="R1713" s="121"/>
      <c r="S1713" s="179"/>
      <c r="T1713" s="251"/>
      <c r="V1713" s="179"/>
      <c r="W1713" s="179"/>
    </row>
    <row r="1714" spans="1:23" s="65" customFormat="1" ht="15" customHeight="1" outlineLevel="2">
      <c r="A1714" s="219"/>
      <c r="B1714" s="121"/>
      <c r="C1714" s="413" t="s">
        <v>1841</v>
      </c>
      <c r="D1714" s="121" t="str">
        <f>INDEX(Regional.Technologies[Description],MATCH($B$2&amp;"."&amp;G.30.assumptions.EnergyDemandAfterProcessImprovements[[#This Row],[Technology code]],Regional.Technologies[Code],0))</f>
        <v>Global Oil use in the Chemicals: Others technology</v>
      </c>
      <c r="E1714" s="242"/>
      <c r="F1714" s="121"/>
      <c r="G1714" s="242" t="s">
        <v>1964</v>
      </c>
      <c r="H1714" s="242"/>
      <c r="I1714" s="318">
        <f t="array" aca="1" ref="I171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-2.3799202608643097E-15</v>
      </c>
      <c r="J1714" s="318">
        <f t="array" aca="1" ref="J171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-2.4043296994372769E-15</v>
      </c>
      <c r="K1714" s="318">
        <f t="array" aca="1" ref="K171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-2.434841497653486E-15</v>
      </c>
      <c r="L1714" s="318">
        <f t="array" aca="1" ref="L171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-2.4653532958696954E-15</v>
      </c>
      <c r="M1714" s="318">
        <f t="array" aca="1" ref="M171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-2.4958650940859044E-15</v>
      </c>
      <c r="N1714" s="318">
        <f t="array" aca="1" ref="N171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-2.5263768923021135E-15</v>
      </c>
      <c r="O1714" s="318">
        <f t="array" aca="1" ref="O171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-2.5568886905183229E-15</v>
      </c>
      <c r="P1714" s="318">
        <f t="array" aca="1" ref="P171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-2.5874004887345319E-15</v>
      </c>
      <c r="Q1714" s="318">
        <f t="array" aca="1" ref="Q171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-2.617912286950741E-15</v>
      </c>
      <c r="R1714" s="121"/>
      <c r="S1714" s="179"/>
      <c r="T1714" s="251"/>
      <c r="V1714" s="179"/>
      <c r="W1714" s="179"/>
    </row>
    <row r="1715" spans="1:23" s="65" customFormat="1" ht="15" customHeight="1" outlineLevel="2">
      <c r="A1715" s="219"/>
      <c r="B1715" s="121"/>
      <c r="C1715" s="413" t="s">
        <v>1842</v>
      </c>
      <c r="D1715" s="121" t="str">
        <f>INDEX(Regional.Technologies[Description],MATCH($B$2&amp;"."&amp;G.30.assumptions.EnergyDemandAfterProcessImprovements[[#This Row],[Technology code]],Regional.Technologies[Code],0))</f>
        <v>Global Natural Gas use in the Chemicals: Others technology</v>
      </c>
      <c r="E1715" s="242"/>
      <c r="F1715" s="121"/>
      <c r="G1715" s="242" t="s">
        <v>1964</v>
      </c>
      <c r="H1715" s="242"/>
      <c r="I1715" s="318">
        <f t="array" aca="1" ref="I171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5.824527824760918</v>
      </c>
      <c r="J1715" s="318">
        <f t="array" aca="1" ref="J171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5.8842665716815432</v>
      </c>
      <c r="K1715" s="318">
        <f t="array" aca="1" ref="K171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5.958940005332324</v>
      </c>
      <c r="L1715" s="318">
        <f t="array" aca="1" ref="L171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6.0336134389831049</v>
      </c>
      <c r="M1715" s="318">
        <f t="array" aca="1" ref="M171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6.1082868726338857</v>
      </c>
      <c r="N1715" s="318">
        <f t="array" aca="1" ref="N171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6.1829603062846665</v>
      </c>
      <c r="O1715" s="318">
        <f t="array" aca="1" ref="O171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6.2576337399354491</v>
      </c>
      <c r="P1715" s="318">
        <f t="array" aca="1" ref="P171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6.33230717358623</v>
      </c>
      <c r="Q1715" s="318">
        <f t="array" aca="1" ref="Q171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6.4069806072370108</v>
      </c>
      <c r="R1715" s="121"/>
      <c r="S1715" s="179"/>
      <c r="T1715" s="251"/>
      <c r="V1715" s="179"/>
      <c r="W1715" s="179"/>
    </row>
    <row r="1716" spans="1:23" s="65" customFormat="1" ht="15" customHeight="1" outlineLevel="2">
      <c r="A1716" s="219"/>
      <c r="B1716" s="121"/>
      <c r="C1716" s="413" t="s">
        <v>1843</v>
      </c>
      <c r="D1716" s="121" t="str">
        <f>INDEX(Regional.Technologies[Description],MATCH($B$2&amp;"."&amp;G.30.assumptions.EnergyDemandAfterProcessImprovements[[#This Row],[Technology code]],Regional.Technologies[Code],0))</f>
        <v>Global Solid Hydrocarbons use in the Chemicals: Others technology</v>
      </c>
      <c r="E1716" s="242"/>
      <c r="F1716" s="121"/>
      <c r="G1716" s="242" t="s">
        <v>1964</v>
      </c>
      <c r="H1716" s="242"/>
      <c r="I1716" s="318">
        <f t="array" aca="1" ref="I171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0.16313870478909601</v>
      </c>
      <c r="J1716" s="318">
        <f t="array" aca="1" ref="J171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0.16481192227411237</v>
      </c>
      <c r="K1716" s="318">
        <f t="array" aca="1" ref="K171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0.16690344413038283</v>
      </c>
      <c r="L1716" s="318">
        <f t="array" aca="1" ref="L171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0.16899496598665331</v>
      </c>
      <c r="M1716" s="318">
        <f t="array" aca="1" ref="M171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0.17108648784292377</v>
      </c>
      <c r="N1716" s="318">
        <f t="array" aca="1" ref="N171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0.17317800969919422</v>
      </c>
      <c r="O1716" s="318">
        <f t="array" aca="1" ref="O171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0.17526953155546471</v>
      </c>
      <c r="P1716" s="318">
        <f t="array" aca="1" ref="P171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0.17736105341173516</v>
      </c>
      <c r="Q1716" s="318">
        <f t="array" aca="1" ref="Q171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0.17945257526800562</v>
      </c>
      <c r="R1716" s="121"/>
      <c r="S1716" s="179"/>
      <c r="T1716" s="251"/>
      <c r="V1716" s="179"/>
      <c r="W1716" s="179"/>
    </row>
    <row r="1717" spans="1:23" s="65" customFormat="1" ht="15" customHeight="1" outlineLevel="2">
      <c r="A1717" s="219"/>
      <c r="B1717" s="121"/>
      <c r="C1717" s="413" t="s">
        <v>1844</v>
      </c>
      <c r="D1717" s="121" t="str">
        <f>INDEX(Regional.Technologies[Description],MATCH($B$2&amp;"."&amp;G.30.assumptions.EnergyDemandAfterProcessImprovements[[#This Row],[Technology code]],Regional.Technologies[Code],0))</f>
        <v>Global Heat use in the Chemicals: Others technology</v>
      </c>
      <c r="E1717" s="242"/>
      <c r="F1717" s="121"/>
      <c r="G1717" s="242" t="s">
        <v>1964</v>
      </c>
      <c r="H1717" s="242"/>
      <c r="I1717" s="318">
        <f t="array" aca="1" ref="I171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1.9701384317850921</v>
      </c>
      <c r="J1717" s="318">
        <f t="array" aca="1" ref="J171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1.9903449798034007</v>
      </c>
      <c r="K1717" s="318">
        <f t="array" aca="1" ref="K171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2.0156031648262864</v>
      </c>
      <c r="L1717" s="318">
        <f t="array" aca="1" ref="L171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2.0408613498491723</v>
      </c>
      <c r="M1717" s="318">
        <f t="array" aca="1" ref="M171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2.0661195348720582</v>
      </c>
      <c r="N1717" s="318">
        <f t="array" aca="1" ref="N171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2.0913777198949437</v>
      </c>
      <c r="O1717" s="318">
        <f t="array" aca="1" ref="O171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2.11663590491783</v>
      </c>
      <c r="P1717" s="318">
        <f t="array" aca="1" ref="P171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2.141894089940716</v>
      </c>
      <c r="Q1717" s="318">
        <f t="array" aca="1" ref="Q171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2.1671522749636014</v>
      </c>
      <c r="R1717" s="121"/>
      <c r="S1717" s="179"/>
      <c r="T1717" s="251"/>
      <c r="V1717" s="179"/>
      <c r="W1717" s="179"/>
    </row>
    <row r="1718" spans="1:23" s="65" customFormat="1" ht="15" customHeight="1" outlineLevel="2">
      <c r="A1718" s="219"/>
      <c r="B1718" s="121"/>
      <c r="C1718" s="413" t="s">
        <v>1845</v>
      </c>
      <c r="D1718" s="121" t="str">
        <f>INDEX(Regional.Technologies[Description],MATCH($B$2&amp;"."&amp;G.30.assumptions.EnergyDemandAfterProcessImprovements[[#This Row],[Technology code]],Regional.Technologies[Code],0))</f>
        <v>Global Electricity use in the Pulp &amp; paper: Pulp technology</v>
      </c>
      <c r="E1718" s="242"/>
      <c r="F1718" s="121"/>
      <c r="G1718" s="242" t="s">
        <v>1954</v>
      </c>
      <c r="H1718" s="242"/>
      <c r="I1718" s="318">
        <f t="array" aca="1" ref="I171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0.6926252422696052</v>
      </c>
      <c r="J1718" s="318">
        <f t="array" aca="1" ref="J171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0.69972909090826785</v>
      </c>
      <c r="K1718" s="318">
        <f t="array" aca="1" ref="K171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0.70860890170659607</v>
      </c>
      <c r="L1718" s="318">
        <f t="array" aca="1" ref="L171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0.71748871250492463</v>
      </c>
      <c r="M1718" s="318">
        <f t="array" aca="1" ref="M171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0.72636852330325274</v>
      </c>
      <c r="N1718" s="318">
        <f t="array" aca="1" ref="N171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0.73524833410158097</v>
      </c>
      <c r="O1718" s="318">
        <f t="array" aca="1" ref="O171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0.74412814489990942</v>
      </c>
      <c r="P1718" s="318">
        <f t="array" aca="1" ref="P171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0.75300795569823764</v>
      </c>
      <c r="Q1718" s="318">
        <f t="array" aca="1" ref="Q171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0.76188776649656575</v>
      </c>
      <c r="R1718" s="121"/>
      <c r="S1718" s="179"/>
      <c r="T1718" s="251"/>
      <c r="V1718" s="179"/>
      <c r="W1718" s="179"/>
    </row>
    <row r="1719" spans="1:23" s="65" customFormat="1" ht="15" customHeight="1" outlineLevel="2">
      <c r="A1719" s="219"/>
      <c r="B1719" s="121"/>
      <c r="C1719" s="413" t="s">
        <v>1846</v>
      </c>
      <c r="D1719" s="121" t="str">
        <f>INDEX(Regional.Technologies[Description],MATCH($B$2&amp;"."&amp;G.30.assumptions.EnergyDemandAfterProcessImprovements[[#This Row],[Technology code]],Regional.Technologies[Code],0))</f>
        <v>Global Coal use in the Pulp &amp; paper: Pulp technology</v>
      </c>
      <c r="E1719" s="242"/>
      <c r="F1719" s="121"/>
      <c r="G1719" s="242" t="s">
        <v>1954</v>
      </c>
      <c r="H1719" s="242"/>
      <c r="I1719" s="318">
        <f t="array" aca="1" ref="I171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0.59772552046925542</v>
      </c>
      <c r="J1719" s="318">
        <f t="array" aca="1" ref="J171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0.60385603862791448</v>
      </c>
      <c r="K1719" s="318">
        <f t="array" aca="1" ref="K171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0.61151918632623825</v>
      </c>
      <c r="L1719" s="318">
        <f t="array" aca="1" ref="L171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0.61918233402456224</v>
      </c>
      <c r="M1719" s="318">
        <f t="array" aca="1" ref="M171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0.6268454817228859</v>
      </c>
      <c r="N1719" s="318">
        <f t="array" aca="1" ref="N171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0.63450862942120967</v>
      </c>
      <c r="O1719" s="318">
        <f t="array" aca="1" ref="O171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0.64217177711953355</v>
      </c>
      <c r="P1719" s="318">
        <f t="array" aca="1" ref="P171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0.64983492481785732</v>
      </c>
      <c r="Q1719" s="318">
        <f t="array" aca="1" ref="Q171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0.65749807251618098</v>
      </c>
      <c r="R1719" s="121"/>
      <c r="S1719" s="179"/>
      <c r="T1719" s="251"/>
      <c r="V1719" s="179"/>
      <c r="W1719" s="179"/>
    </row>
    <row r="1720" spans="1:23" s="65" customFormat="1" ht="15" customHeight="1" outlineLevel="2">
      <c r="A1720" s="219"/>
      <c r="B1720" s="121"/>
      <c r="C1720" s="413" t="s">
        <v>1847</v>
      </c>
      <c r="D1720" s="121" t="str">
        <f>INDEX(Regional.Technologies[Description],MATCH($B$2&amp;"."&amp;G.30.assumptions.EnergyDemandAfterProcessImprovements[[#This Row],[Technology code]],Regional.Technologies[Code],0))</f>
        <v>Global Oil use in the Pulp &amp; paper: Pulp technology</v>
      </c>
      <c r="E1720" s="242"/>
      <c r="F1720" s="121"/>
      <c r="G1720" s="242" t="s">
        <v>1954</v>
      </c>
      <c r="H1720" s="242"/>
      <c r="I1720" s="318">
        <f t="array" aca="1" ref="I172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0.18690202814673121</v>
      </c>
      <c r="J1720" s="318">
        <f t="array" aca="1" ref="J172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0.18881897202515924</v>
      </c>
      <c r="K1720" s="318">
        <f t="array" aca="1" ref="K172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0.19121515187319424</v>
      </c>
      <c r="L1720" s="318">
        <f t="array" aca="1" ref="L172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0.19361133172122932</v>
      </c>
      <c r="M1720" s="318">
        <f t="array" aca="1" ref="M172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0.1960075115692643</v>
      </c>
      <c r="N1720" s="318">
        <f t="array" aca="1" ref="N172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0.1984036914172993</v>
      </c>
      <c r="O1720" s="318">
        <f t="array" aca="1" ref="O172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0.20079987126533438</v>
      </c>
      <c r="P1720" s="318">
        <f t="array" aca="1" ref="P172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0.20319605111336939</v>
      </c>
      <c r="Q1720" s="318">
        <f t="array" aca="1" ref="Q172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0.20559223096140436</v>
      </c>
      <c r="R1720" s="121"/>
      <c r="S1720" s="179"/>
      <c r="T1720" s="251"/>
      <c r="V1720" s="179"/>
      <c r="W1720" s="179"/>
    </row>
    <row r="1721" spans="1:23" s="65" customFormat="1" ht="15" customHeight="1" outlineLevel="2">
      <c r="A1721" s="219"/>
      <c r="B1721" s="121"/>
      <c r="C1721" s="413" t="s">
        <v>1848</v>
      </c>
      <c r="D1721" s="121" t="str">
        <f>INDEX(Regional.Technologies[Description],MATCH($B$2&amp;"."&amp;G.30.assumptions.EnergyDemandAfterProcessImprovements[[#This Row],[Technology code]],Regional.Technologies[Code],0))</f>
        <v>Global Natural Gas use in the Pulp &amp; paper: Pulp technology</v>
      </c>
      <c r="E1721" s="242"/>
      <c r="F1721" s="121"/>
      <c r="G1721" s="242" t="s">
        <v>1954</v>
      </c>
      <c r="H1721" s="242"/>
      <c r="I1721" s="318">
        <f t="array" aca="1" ref="I172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0.44180526117246138</v>
      </c>
      <c r="J1721" s="318">
        <f t="array" aca="1" ref="J172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0.44633659718448665</v>
      </c>
      <c r="K1721" s="318">
        <f t="array" aca="1" ref="K172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0.45200076719951815</v>
      </c>
      <c r="L1721" s="318">
        <f t="array" aca="1" ref="L172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0.45766493721454987</v>
      </c>
      <c r="M1721" s="318">
        <f t="array" aca="1" ref="M172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0.46332910722958137</v>
      </c>
      <c r="N1721" s="318">
        <f t="array" aca="1" ref="N172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0.46899327724461287</v>
      </c>
      <c r="O1721" s="318">
        <f t="array" aca="1" ref="O172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0.47465744725964454</v>
      </c>
      <c r="P1721" s="318">
        <f t="array" aca="1" ref="P172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0.48032161727467609</v>
      </c>
      <c r="Q1721" s="318">
        <f t="array" aca="1" ref="Q172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0.48598578728970754</v>
      </c>
      <c r="R1721" s="121"/>
      <c r="S1721" s="179"/>
      <c r="T1721" s="251"/>
      <c r="V1721" s="179"/>
      <c r="W1721" s="179"/>
    </row>
    <row r="1722" spans="1:23" s="65" customFormat="1" ht="15" customHeight="1" outlineLevel="2">
      <c r="A1722" s="219"/>
      <c r="B1722" s="121"/>
      <c r="C1722" s="413" t="s">
        <v>1849</v>
      </c>
      <c r="D1722" s="121" t="str">
        <f>INDEX(Regional.Technologies[Description],MATCH($B$2&amp;"."&amp;G.30.assumptions.EnergyDemandAfterProcessImprovements[[#This Row],[Technology code]],Regional.Technologies[Code],0))</f>
        <v>Global Solid Hydrocarbons use in the Pulp &amp; paper: Pulp technology</v>
      </c>
      <c r="E1722" s="242"/>
      <c r="F1722" s="121"/>
      <c r="G1722" s="242" t="s">
        <v>1954</v>
      </c>
      <c r="H1722" s="242"/>
      <c r="I1722" s="318">
        <f t="array" aca="1" ref="I172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1.1015070797346034</v>
      </c>
      <c r="J1722" s="318">
        <f t="array" aca="1" ref="J172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1.1128045882447017</v>
      </c>
      <c r="K1722" s="318">
        <f t="array" aca="1" ref="K172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1.1269264738823248</v>
      </c>
      <c r="L1722" s="318">
        <f t="array" aca="1" ref="L172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1.1410483595199483</v>
      </c>
      <c r="M1722" s="318">
        <f t="array" aca="1" ref="M172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1.1551702451575714</v>
      </c>
      <c r="N1722" s="318">
        <f t="array" aca="1" ref="N172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1.1692921307951945</v>
      </c>
      <c r="O1722" s="318">
        <f t="array" aca="1" ref="O172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1.1834140164328177</v>
      </c>
      <c r="P1722" s="318">
        <f t="array" aca="1" ref="P172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1.1975359020704408</v>
      </c>
      <c r="Q1722" s="318">
        <f t="array" aca="1" ref="Q172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1.2116577877080636</v>
      </c>
      <c r="R1722" s="121"/>
      <c r="S1722" s="179"/>
      <c r="T1722" s="251"/>
      <c r="V1722" s="179"/>
      <c r="W1722" s="179"/>
    </row>
    <row r="1723" spans="1:23" s="65" customFormat="1" ht="15" customHeight="1" outlineLevel="2">
      <c r="A1723" s="219"/>
      <c r="B1723" s="121"/>
      <c r="C1723" s="413" t="s">
        <v>1850</v>
      </c>
      <c r="D1723" s="121" t="str">
        <f>INDEX(Regional.Technologies[Description],MATCH($B$2&amp;"."&amp;G.30.assumptions.EnergyDemandAfterProcessImprovements[[#This Row],[Technology code]],Regional.Technologies[Code],0))</f>
        <v>Global Heat use in the Pulp &amp; paper: Pulp technology</v>
      </c>
      <c r="E1723" s="242"/>
      <c r="F1723" s="121"/>
      <c r="G1723" s="242" t="s">
        <v>1954</v>
      </c>
      <c r="H1723" s="242"/>
      <c r="I1723" s="318">
        <f t="array" aca="1" ref="I172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23" s="318">
        <f t="array" aca="1" ref="J172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23" s="318">
        <f t="array" aca="1" ref="K172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23" s="318">
        <f t="array" aca="1" ref="L172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23" s="318">
        <f t="array" aca="1" ref="M172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23" s="318">
        <f t="array" aca="1" ref="N172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23" s="318">
        <f t="array" aca="1" ref="O172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23" s="318">
        <f t="array" aca="1" ref="P172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23" s="318">
        <f t="array" aca="1" ref="Q172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23" s="121"/>
      <c r="S1723" s="179"/>
      <c r="T1723" s="251"/>
      <c r="V1723" s="179"/>
      <c r="W1723" s="179"/>
    </row>
    <row r="1724" spans="1:23" s="65" customFormat="1" ht="15" customHeight="1" outlineLevel="2">
      <c r="A1724" s="219"/>
      <c r="B1724" s="121"/>
      <c r="C1724" s="413" t="s">
        <v>1631</v>
      </c>
      <c r="D1724" s="121" t="str">
        <f>INDEX(Regional.Technologies[Description],MATCH($B$2&amp;"."&amp;G.30.assumptions.EnergyDemandAfterProcessImprovements[[#This Row],[Technology code]],Regional.Technologies[Code],0))</f>
        <v>Global Electricity use in the Pulp &amp; paper: Virgin technology</v>
      </c>
      <c r="E1724" s="242"/>
      <c r="F1724" s="121"/>
      <c r="G1724" s="242" t="s">
        <v>1955</v>
      </c>
      <c r="H1724" s="242"/>
      <c r="I1724" s="318">
        <f t="array" aca="1" ref="I172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0.96830205621334242</v>
      </c>
      <c r="J1724" s="318">
        <f t="array" aca="1" ref="J172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0.97823335935399203</v>
      </c>
      <c r="K1724" s="318">
        <f t="array" aca="1" ref="K172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0.99064748827980409</v>
      </c>
      <c r="L1724" s="318">
        <f t="array" aca="1" ref="L172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1.0030616172056164</v>
      </c>
      <c r="M1724" s="318">
        <f t="array" aca="1" ref="M172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1.0154757461314283</v>
      </c>
      <c r="N1724" s="318">
        <f t="array" aca="1" ref="N172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1.0278898750572405</v>
      </c>
      <c r="O1724" s="318">
        <f t="array" aca="1" ref="O172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1.0403040039830527</v>
      </c>
      <c r="P1724" s="318">
        <f t="array" aca="1" ref="P172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1.0527181329088646</v>
      </c>
      <c r="Q1724" s="318">
        <f t="array" aca="1" ref="Q172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1.0651322618346766</v>
      </c>
      <c r="R1724" s="121"/>
      <c r="S1724" s="179"/>
      <c r="T1724" s="251"/>
      <c r="V1724" s="179"/>
      <c r="W1724" s="179"/>
    </row>
    <row r="1725" spans="1:23" s="65" customFormat="1" ht="15" customHeight="1" outlineLevel="2">
      <c r="A1725" s="219"/>
      <c r="B1725" s="121"/>
      <c r="C1725" s="413" t="s">
        <v>1851</v>
      </c>
      <c r="D1725" s="121" t="str">
        <f>INDEX(Regional.Technologies[Description],MATCH($B$2&amp;"."&amp;G.30.assumptions.EnergyDemandAfterProcessImprovements[[#This Row],[Technology code]],Regional.Technologies[Code],0))</f>
        <v>Global Coal use in the Pulp &amp; paper: Virgin technology</v>
      </c>
      <c r="E1725" s="242"/>
      <c r="F1725" s="121"/>
      <c r="G1725" s="242" t="s">
        <v>1955</v>
      </c>
      <c r="H1725" s="242"/>
      <c r="I1725" s="318">
        <f t="array" aca="1" ref="I172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0.77413991162387541</v>
      </c>
      <c r="J1725" s="318">
        <f t="array" aca="1" ref="J172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0.7820798081533511</v>
      </c>
      <c r="K1725" s="318">
        <f t="array" aca="1" ref="K172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0.79200467881519554</v>
      </c>
      <c r="L1725" s="318">
        <f t="array" aca="1" ref="L172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0.80192954947704032</v>
      </c>
      <c r="M1725" s="318">
        <f t="array" aca="1" ref="M172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0.81185442013888476</v>
      </c>
      <c r="N1725" s="318">
        <f t="array" aca="1" ref="N172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0.82177929080072931</v>
      </c>
      <c r="O1725" s="318">
        <f t="array" aca="1" ref="O172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0.83170416146257398</v>
      </c>
      <c r="P1725" s="318">
        <f t="array" aca="1" ref="P172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0.84162903212441853</v>
      </c>
      <c r="Q1725" s="318">
        <f t="array" aca="1" ref="Q172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0.85155390278626297</v>
      </c>
      <c r="R1725" s="121"/>
      <c r="S1725" s="179"/>
      <c r="T1725" s="251"/>
      <c r="V1725" s="179"/>
      <c r="W1725" s="179"/>
    </row>
    <row r="1726" spans="1:23" s="65" customFormat="1" ht="15" customHeight="1" outlineLevel="2">
      <c r="A1726" s="219"/>
      <c r="B1726" s="121"/>
      <c r="C1726" s="413" t="s">
        <v>1852</v>
      </c>
      <c r="D1726" s="121" t="str">
        <f>INDEX(Regional.Technologies[Description],MATCH($B$2&amp;"."&amp;G.30.assumptions.EnergyDemandAfterProcessImprovements[[#This Row],[Technology code]],Regional.Technologies[Code],0))</f>
        <v>Global Oil use in the Pulp &amp; paper: Virgin technology</v>
      </c>
      <c r="E1726" s="242"/>
      <c r="F1726" s="121"/>
      <c r="G1726" s="242" t="s">
        <v>1955</v>
      </c>
      <c r="H1726" s="242"/>
      <c r="I1726" s="318">
        <f t="array" aca="1" ref="I172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0.17969717966158166</v>
      </c>
      <c r="J1726" s="318">
        <f t="array" aca="1" ref="J172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0.1815402276581107</v>
      </c>
      <c r="K1726" s="318">
        <f t="array" aca="1" ref="K172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0.18384403765377202</v>
      </c>
      <c r="L1726" s="318">
        <f t="array" aca="1" ref="L172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0.18614784764943337</v>
      </c>
      <c r="M1726" s="318">
        <f t="array" aca="1" ref="M172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0.18845165764509464</v>
      </c>
      <c r="N1726" s="318">
        <f t="array" aca="1" ref="N172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0.19075546764075593</v>
      </c>
      <c r="O1726" s="318">
        <f t="array" aca="1" ref="O172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0.19305927763641725</v>
      </c>
      <c r="P1726" s="318">
        <f t="array" aca="1" ref="P172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0.19536308763207857</v>
      </c>
      <c r="Q1726" s="318">
        <f t="array" aca="1" ref="Q172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0.19766689762773984</v>
      </c>
      <c r="R1726" s="121"/>
      <c r="S1726" s="179"/>
      <c r="T1726" s="251"/>
      <c r="V1726" s="179"/>
      <c r="W1726" s="179"/>
    </row>
    <row r="1727" spans="1:23" s="65" customFormat="1" ht="15" customHeight="1" outlineLevel="2">
      <c r="A1727" s="219"/>
      <c r="B1727" s="121"/>
      <c r="C1727" s="413" t="s">
        <v>1853</v>
      </c>
      <c r="D1727" s="121" t="str">
        <f>INDEX(Regional.Technologies[Description],MATCH($B$2&amp;"."&amp;G.30.assumptions.EnergyDemandAfterProcessImprovements[[#This Row],[Technology code]],Regional.Technologies[Code],0))</f>
        <v>Global Natural Gas use in the Pulp &amp; paper: Virgin technology</v>
      </c>
      <c r="E1727" s="242"/>
      <c r="F1727" s="121"/>
      <c r="G1727" s="242" t="s">
        <v>1955</v>
      </c>
      <c r="H1727" s="242"/>
      <c r="I1727" s="318">
        <f t="array" aca="1" ref="I172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0.45387282618987917</v>
      </c>
      <c r="J1727" s="318">
        <f t="array" aca="1" ref="J172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0.45852793209951892</v>
      </c>
      <c r="K1727" s="318">
        <f t="array" aca="1" ref="K172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0.46434681448656867</v>
      </c>
      <c r="L1727" s="318">
        <f t="array" aca="1" ref="L172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0.47016569687361848</v>
      </c>
      <c r="M1727" s="318">
        <f t="array" aca="1" ref="M172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0.47598457926066817</v>
      </c>
      <c r="N1727" s="318">
        <f t="array" aca="1" ref="N172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0.48180346164771787</v>
      </c>
      <c r="O1727" s="318">
        <f t="array" aca="1" ref="O172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0.48762234403476767</v>
      </c>
      <c r="P1727" s="318">
        <f t="array" aca="1" ref="P172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0.49344122642181742</v>
      </c>
      <c r="Q1727" s="318">
        <f t="array" aca="1" ref="Q172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0.49926010880886706</v>
      </c>
      <c r="R1727" s="121"/>
      <c r="S1727" s="179"/>
      <c r="T1727" s="251"/>
      <c r="V1727" s="179"/>
      <c r="W1727" s="179"/>
    </row>
    <row r="1728" spans="1:23" s="65" customFormat="1" ht="15" customHeight="1" outlineLevel="2">
      <c r="A1728" s="219"/>
      <c r="B1728" s="121"/>
      <c r="C1728" s="413" t="s">
        <v>1854</v>
      </c>
      <c r="D1728" s="121" t="str">
        <f>INDEX(Regional.Technologies[Description],MATCH($B$2&amp;"."&amp;G.30.assumptions.EnergyDemandAfterProcessImprovements[[#This Row],[Technology code]],Regional.Technologies[Code],0))</f>
        <v>Global Solid Hydrocarbons use in the Pulp &amp; paper: Virgin technology</v>
      </c>
      <c r="E1728" s="242"/>
      <c r="F1728" s="121"/>
      <c r="G1728" s="242" t="s">
        <v>1955</v>
      </c>
      <c r="H1728" s="242"/>
      <c r="I1728" s="318">
        <f t="array" aca="1" ref="I172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0.68393967671459854</v>
      </c>
      <c r="J1728" s="318">
        <f t="array" aca="1" ref="J172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0.69095444262962002</v>
      </c>
      <c r="K1728" s="318">
        <f t="array" aca="1" ref="K172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0.69972290002339688</v>
      </c>
      <c r="L1728" s="318">
        <f t="array" aca="1" ref="L172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0.70849135741717395</v>
      </c>
      <c r="M1728" s="318">
        <f t="array" aca="1" ref="M172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0.7172598148109508</v>
      </c>
      <c r="N1728" s="318">
        <f t="array" aca="1" ref="N172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0.72602827220472765</v>
      </c>
      <c r="O1728" s="318">
        <f t="array" aca="1" ref="O172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0.73479672959850462</v>
      </c>
      <c r="P1728" s="318">
        <f t="array" aca="1" ref="P172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0.74356518699228158</v>
      </c>
      <c r="Q1728" s="318">
        <f t="array" aca="1" ref="Q172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0.75233364438605832</v>
      </c>
      <c r="R1728" s="121"/>
      <c r="S1728" s="179"/>
      <c r="T1728" s="251"/>
      <c r="V1728" s="179"/>
      <c r="W1728" s="179"/>
    </row>
    <row r="1729" spans="1:23" s="65" customFormat="1" ht="15" customHeight="1" outlineLevel="2">
      <c r="A1729" s="219"/>
      <c r="B1729" s="121"/>
      <c r="C1729" s="413" t="s">
        <v>1855</v>
      </c>
      <c r="D1729" s="121" t="str">
        <f>INDEX(Regional.Technologies[Description],MATCH($B$2&amp;"."&amp;G.30.assumptions.EnergyDemandAfterProcessImprovements[[#This Row],[Technology code]],Regional.Technologies[Code],0))</f>
        <v>Global Heat use in the Pulp &amp; paper: Virgin technology</v>
      </c>
      <c r="E1729" s="242"/>
      <c r="F1729" s="121"/>
      <c r="G1729" s="242" t="s">
        <v>1955</v>
      </c>
      <c r="H1729" s="242"/>
      <c r="I1729" s="318">
        <f t="array" aca="1" ref="I172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29" s="318">
        <f t="array" aca="1" ref="J172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29" s="318">
        <f t="array" aca="1" ref="K172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29" s="318">
        <f t="array" aca="1" ref="L172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29" s="318">
        <f t="array" aca="1" ref="M172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29" s="318">
        <f t="array" aca="1" ref="N172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29" s="318">
        <f t="array" aca="1" ref="O172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29" s="318">
        <f t="array" aca="1" ref="P172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29" s="318">
        <f t="array" aca="1" ref="Q172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29" s="121"/>
      <c r="S1729" s="179"/>
      <c r="T1729" s="251"/>
      <c r="V1729" s="179"/>
      <c r="W1729" s="179"/>
    </row>
    <row r="1730" spans="1:23" s="65" customFormat="1" ht="15" customHeight="1" outlineLevel="2">
      <c r="A1730" s="219"/>
      <c r="B1730" s="121"/>
      <c r="C1730" s="413" t="s">
        <v>1632</v>
      </c>
      <c r="D1730" s="121" t="str">
        <f>INDEX(Regional.Technologies[Description],MATCH($B$2&amp;"."&amp;G.30.assumptions.EnergyDemandAfterProcessImprovements[[#This Row],[Technology code]],Regional.Technologies[Code],0))</f>
        <v>Global Electricity use in the Pulp &amp; paper: Recycled technology</v>
      </c>
      <c r="E1730" s="242"/>
      <c r="F1730" s="121"/>
      <c r="G1730" s="242" t="s">
        <v>1956</v>
      </c>
      <c r="H1730" s="242"/>
      <c r="I1730" s="318">
        <f t="array" aca="1" ref="I173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0.23830379865832832</v>
      </c>
      <c r="J1730" s="318">
        <f t="array" aca="1" ref="J173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0.24074794018302911</v>
      </c>
      <c r="K1730" s="318">
        <f t="array" aca="1" ref="K173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0.24380311708890515</v>
      </c>
      <c r="L1730" s="318">
        <f t="array" aca="1" ref="L173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0.24685829399478118</v>
      </c>
      <c r="M1730" s="318">
        <f t="array" aca="1" ref="M173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0.24991347090065716</v>
      </c>
      <c r="N1730" s="318">
        <f t="array" aca="1" ref="N173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0.25296864780653316</v>
      </c>
      <c r="O1730" s="318">
        <f t="array" aca="1" ref="O173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0.2560238247124092</v>
      </c>
      <c r="P1730" s="318">
        <f t="array" aca="1" ref="P173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0.25907900161828518</v>
      </c>
      <c r="Q1730" s="318">
        <f t="array" aca="1" ref="Q173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0.26213417852416115</v>
      </c>
      <c r="R1730" s="121"/>
      <c r="S1730" s="179"/>
      <c r="T1730" s="251"/>
      <c r="V1730" s="179"/>
      <c r="W1730" s="179"/>
    </row>
    <row r="1731" spans="1:23" s="65" customFormat="1" ht="15" customHeight="1" outlineLevel="2">
      <c r="A1731" s="219"/>
      <c r="B1731" s="121"/>
      <c r="C1731" s="413" t="s">
        <v>1856</v>
      </c>
      <c r="D1731" s="121" t="str">
        <f>INDEX(Regional.Technologies[Description],MATCH($B$2&amp;"."&amp;G.30.assumptions.EnergyDemandAfterProcessImprovements[[#This Row],[Technology code]],Regional.Technologies[Code],0))</f>
        <v>Global Coal use in the Pulp &amp; paper: Recycled technology</v>
      </c>
      <c r="E1731" s="242"/>
      <c r="F1731" s="121"/>
      <c r="G1731" s="242" t="s">
        <v>1956</v>
      </c>
      <c r="H1731" s="242"/>
      <c r="I1731" s="318">
        <f t="array" aca="1" ref="I173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0.1463956553457503</v>
      </c>
      <c r="J1731" s="318">
        <f t="array" aca="1" ref="J173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0.14789714924673236</v>
      </c>
      <c r="K1731" s="318">
        <f t="array" aca="1" ref="K173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0.14977401662295994</v>
      </c>
      <c r="L1731" s="318">
        <f t="array" aca="1" ref="L173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0.15165088399918752</v>
      </c>
      <c r="M1731" s="318">
        <f t="array" aca="1" ref="M173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0.15352775137541508</v>
      </c>
      <c r="N1731" s="318">
        <f t="array" aca="1" ref="N173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0.15540461875164266</v>
      </c>
      <c r="O1731" s="318">
        <f t="array" aca="1" ref="O173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0.15728148612787021</v>
      </c>
      <c r="P1731" s="318">
        <f t="array" aca="1" ref="P173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0.15915835350409779</v>
      </c>
      <c r="Q1731" s="318">
        <f t="array" aca="1" ref="Q173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0.16103522088032535</v>
      </c>
      <c r="R1731" s="121"/>
      <c r="S1731" s="179"/>
      <c r="T1731" s="251"/>
      <c r="V1731" s="179"/>
      <c r="W1731" s="179"/>
    </row>
    <row r="1732" spans="1:23" s="65" customFormat="1" ht="15" customHeight="1" outlineLevel="2">
      <c r="A1732" s="219"/>
      <c r="B1732" s="121"/>
      <c r="C1732" s="413" t="s">
        <v>1857</v>
      </c>
      <c r="D1732" s="121" t="str">
        <f>INDEX(Regional.Technologies[Description],MATCH($B$2&amp;"."&amp;G.30.assumptions.EnergyDemandAfterProcessImprovements[[#This Row],[Technology code]],Regional.Technologies[Code],0))</f>
        <v>Global Oil use in the Pulp &amp; paper: Recycled technology</v>
      </c>
      <c r="E1732" s="242"/>
      <c r="F1732" s="121"/>
      <c r="G1732" s="242" t="s">
        <v>1956</v>
      </c>
      <c r="H1732" s="242"/>
      <c r="I1732" s="318">
        <f t="array" aca="1" ref="I173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3.8700157409069846E-2</v>
      </c>
      <c r="J1732" s="318">
        <f t="array" aca="1" ref="J173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3.9097082100444921E-2</v>
      </c>
      <c r="K1732" s="318">
        <f t="array" aca="1" ref="K173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3.9593237964663769E-2</v>
      </c>
      <c r="L1732" s="318">
        <f t="array" aca="1" ref="L173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4.0089393828882623E-2</v>
      </c>
      <c r="M1732" s="318">
        <f t="array" aca="1" ref="M173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4.0585549693101464E-2</v>
      </c>
      <c r="N1732" s="318">
        <f t="array" aca="1" ref="N173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4.1081705557320304E-2</v>
      </c>
      <c r="O1732" s="318">
        <f t="array" aca="1" ref="O173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4.1577861421539151E-2</v>
      </c>
      <c r="P1732" s="318">
        <f t="array" aca="1" ref="P173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4.2074017285757999E-2</v>
      </c>
      <c r="Q1732" s="318">
        <f t="array" aca="1" ref="Q173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4.2570173149976832E-2</v>
      </c>
      <c r="R1732" s="121"/>
      <c r="S1732" s="179"/>
      <c r="T1732" s="251"/>
      <c r="V1732" s="179"/>
      <c r="W1732" s="179"/>
    </row>
    <row r="1733" spans="1:23" s="65" customFormat="1" ht="15" customHeight="1" outlineLevel="2">
      <c r="A1733" s="219"/>
      <c r="B1733" s="121"/>
      <c r="C1733" s="413" t="s">
        <v>1858</v>
      </c>
      <c r="D1733" s="121" t="str">
        <f>INDEX(Regional.Technologies[Description],MATCH($B$2&amp;"."&amp;G.30.assumptions.EnergyDemandAfterProcessImprovements[[#This Row],[Technology code]],Regional.Technologies[Code],0))</f>
        <v>Global Natural Gas use in the Pulp &amp; paper: Recycled technology</v>
      </c>
      <c r="E1733" s="242"/>
      <c r="F1733" s="121"/>
      <c r="G1733" s="242" t="s">
        <v>1956</v>
      </c>
      <c r="H1733" s="242"/>
      <c r="I1733" s="318">
        <f t="array" aca="1" ref="I173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0.10744951136080463</v>
      </c>
      <c r="J1733" s="318">
        <f t="array" aca="1" ref="J173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0.10855155763117186</v>
      </c>
      <c r="K1733" s="318">
        <f t="array" aca="1" ref="K173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0.10992911546913091</v>
      </c>
      <c r="L1733" s="318">
        <f t="array" aca="1" ref="L173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0.11130667330708996</v>
      </c>
      <c r="M1733" s="318">
        <f t="array" aca="1" ref="M173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0.11268423114504898</v>
      </c>
      <c r="N1733" s="318">
        <f t="array" aca="1" ref="N173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0.11406178898300802</v>
      </c>
      <c r="O1733" s="318">
        <f t="array" aca="1" ref="O173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0.11543934682096706</v>
      </c>
      <c r="P1733" s="318">
        <f t="array" aca="1" ref="P173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0.11681690465892609</v>
      </c>
      <c r="Q1733" s="318">
        <f t="array" aca="1" ref="Q173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0.11819446249688512</v>
      </c>
      <c r="R1733" s="121"/>
      <c r="S1733" s="179"/>
      <c r="T1733" s="251"/>
      <c r="V1733" s="179"/>
      <c r="W1733" s="179"/>
    </row>
    <row r="1734" spans="1:23" s="65" customFormat="1" ht="15" customHeight="1" outlineLevel="2">
      <c r="A1734" s="219"/>
      <c r="B1734" s="121"/>
      <c r="C1734" s="413" t="s">
        <v>1859</v>
      </c>
      <c r="D1734" s="121" t="str">
        <f>INDEX(Regional.Technologies[Description],MATCH($B$2&amp;"."&amp;G.30.assumptions.EnergyDemandAfterProcessImprovements[[#This Row],[Technology code]],Regional.Technologies[Code],0))</f>
        <v>Global Solid Hydrocarbons use in the Pulp &amp; paper: Recycled technology</v>
      </c>
      <c r="E1734" s="242"/>
      <c r="F1734" s="121"/>
      <c r="G1734" s="242" t="s">
        <v>1956</v>
      </c>
      <c r="H1734" s="242"/>
      <c r="I1734" s="318">
        <f t="array" aca="1" ref="I173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34" s="318">
        <f t="array" aca="1" ref="J173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34" s="318">
        <f t="array" aca="1" ref="K173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34" s="318">
        <f t="array" aca="1" ref="L173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34" s="318">
        <f t="array" aca="1" ref="M173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34" s="318">
        <f t="array" aca="1" ref="N173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34" s="318">
        <f t="array" aca="1" ref="O173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34" s="318">
        <f t="array" aca="1" ref="P173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34" s="318">
        <f t="array" aca="1" ref="Q173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34" s="121"/>
      <c r="S1734" s="179"/>
      <c r="T1734" s="251"/>
      <c r="V1734" s="179"/>
      <c r="W1734" s="179"/>
    </row>
    <row r="1735" spans="1:23" s="65" customFormat="1" ht="15" customHeight="1" outlineLevel="2">
      <c r="A1735" s="219"/>
      <c r="B1735" s="121"/>
      <c r="C1735" s="413" t="s">
        <v>1860</v>
      </c>
      <c r="D1735" s="121" t="str">
        <f>INDEX(Regional.Technologies[Description],MATCH($B$2&amp;"."&amp;G.30.assumptions.EnergyDemandAfterProcessImprovements[[#This Row],[Technology code]],Regional.Technologies[Code],0))</f>
        <v>Global Heat use in the Pulp &amp; paper: Recycled technology</v>
      </c>
      <c r="E1735" s="242"/>
      <c r="F1735" s="121"/>
      <c r="G1735" s="242" t="s">
        <v>1956</v>
      </c>
      <c r="H1735" s="242"/>
      <c r="I1735" s="318">
        <f t="array" aca="1" ref="I173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35" s="318">
        <f t="array" aca="1" ref="J173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35" s="318">
        <f t="array" aca="1" ref="K173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35" s="318">
        <f t="array" aca="1" ref="L173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35" s="318">
        <f t="array" aca="1" ref="M173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35" s="318">
        <f t="array" aca="1" ref="N173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35" s="318">
        <f t="array" aca="1" ref="O173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35" s="318">
        <f t="array" aca="1" ref="P173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35" s="318">
        <f t="array" aca="1" ref="Q173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35" s="121"/>
      <c r="S1735" s="179"/>
      <c r="T1735" s="251"/>
      <c r="V1735" s="179"/>
      <c r="W1735" s="179"/>
    </row>
    <row r="1736" spans="1:23" s="65" customFormat="1" ht="15" customHeight="1" outlineLevel="2">
      <c r="A1736" s="219"/>
      <c r="B1736" s="121"/>
      <c r="C1736" s="413" t="s">
        <v>1633</v>
      </c>
      <c r="D1736" s="121" t="str">
        <f>INDEX(Regional.Technologies[Description],MATCH($B$2&amp;"."&amp;G.30.assumptions.EnergyDemandAfterProcessImprovements[[#This Row],[Technology code]],Regional.Technologies[Code],0))</f>
        <v>Global Electricity use in the Cement technology</v>
      </c>
      <c r="E1736" s="242"/>
      <c r="F1736" s="121"/>
      <c r="G1736" s="242" t="s">
        <v>1426</v>
      </c>
      <c r="H1736" s="242"/>
      <c r="I1736" s="318">
        <f t="array" aca="1" ref="I173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1.2878995795200781</v>
      </c>
      <c r="J1736" s="318">
        <f t="array" aca="1" ref="J173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1.247729983167394</v>
      </c>
      <c r="K1736" s="318">
        <f t="array" aca="1" ref="K173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1.1959938462123139</v>
      </c>
      <c r="L1736" s="318">
        <f t="array" aca="1" ref="L173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1.1425642186858731</v>
      </c>
      <c r="M1736" s="318">
        <f t="array" aca="1" ref="M173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1.0874411005880709</v>
      </c>
      <c r="N1736" s="318">
        <f t="array" aca="1" ref="N173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1.0306244919189076</v>
      </c>
      <c r="O1736" s="318">
        <f t="array" aca="1" ref="O173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0.97211439267838329</v>
      </c>
      <c r="P1736" s="318">
        <f t="array" aca="1" ref="P173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0.91191080286649806</v>
      </c>
      <c r="Q1736" s="318">
        <f t="array" aca="1" ref="Q173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0.85001372248325158</v>
      </c>
      <c r="R1736" s="121"/>
      <c r="S1736" s="179"/>
      <c r="T1736" s="251"/>
      <c r="V1736" s="179"/>
      <c r="W1736" s="179"/>
    </row>
    <row r="1737" spans="1:23" s="65" customFormat="1" ht="15" customHeight="1" outlineLevel="2">
      <c r="A1737" s="219"/>
      <c r="B1737" s="121"/>
      <c r="C1737" s="413" t="s">
        <v>1861</v>
      </c>
      <c r="D1737" s="121" t="str">
        <f>INDEX(Regional.Technologies[Description],MATCH($B$2&amp;"."&amp;G.30.assumptions.EnergyDemandAfterProcessImprovements[[#This Row],[Technology code]],Regional.Technologies[Code],0))</f>
        <v>Global Coal use in the Cement technology</v>
      </c>
      <c r="E1737" s="242"/>
      <c r="F1737" s="121"/>
      <c r="G1737" s="242" t="s">
        <v>1426</v>
      </c>
      <c r="H1737" s="242"/>
      <c r="I1737" s="318">
        <f t="array" aca="1" ref="I173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6.8409905230434287</v>
      </c>
      <c r="J1737" s="318">
        <f t="array" aca="1" ref="J173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6.627619983652778</v>
      </c>
      <c r="K1737" s="318">
        <f t="array" aca="1" ref="K173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6.3528109626416311</v>
      </c>
      <c r="L1737" s="318">
        <f t="array" aca="1" ref="L173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6.0690065563273388</v>
      </c>
      <c r="M1737" s="318">
        <f t="array" aca="1" ref="M173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5.7762067647098982</v>
      </c>
      <c r="N1737" s="318">
        <f t="array" aca="1" ref="N173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5.4744115877893096</v>
      </c>
      <c r="O1737" s="318">
        <f t="array" aca="1" ref="O173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5.1636210255655746</v>
      </c>
      <c r="P1737" s="318">
        <f t="array" aca="1" ref="P173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4.8438350780386932</v>
      </c>
      <c r="Q1737" s="318">
        <f t="array" aca="1" ref="Q173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4.5150537452086628</v>
      </c>
      <c r="R1737" s="121"/>
      <c r="S1737" s="179"/>
      <c r="T1737" s="251"/>
      <c r="V1737" s="179"/>
      <c r="W1737" s="179"/>
    </row>
    <row r="1738" spans="1:23" s="65" customFormat="1" ht="15" customHeight="1" outlineLevel="2">
      <c r="A1738" s="219"/>
      <c r="B1738" s="121"/>
      <c r="C1738" s="413" t="s">
        <v>1862</v>
      </c>
      <c r="D1738" s="121" t="str">
        <f>INDEX(Regional.Technologies[Description],MATCH($B$2&amp;"."&amp;G.30.assumptions.EnergyDemandAfterProcessImprovements[[#This Row],[Technology code]],Regional.Technologies[Code],0))</f>
        <v>Global Oil use in the Cement technology</v>
      </c>
      <c r="E1738" s="242"/>
      <c r="F1738" s="121"/>
      <c r="G1738" s="242" t="s">
        <v>1426</v>
      </c>
      <c r="H1738" s="242"/>
      <c r="I1738" s="318">
        <f t="array" aca="1" ref="I1738"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1.1283944201925584</v>
      </c>
      <c r="J1738" s="318">
        <f t="array" aca="1" ref="J1738"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1.0931997908079858</v>
      </c>
      <c r="K1738" s="318">
        <f t="array" aca="1" ref="K1738"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1.0478711260652078</v>
      </c>
      <c r="L1738" s="318">
        <f t="array" aca="1" ref="L1738"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1.0010587079756941</v>
      </c>
      <c r="M1738" s="318">
        <f t="array" aca="1" ref="M1738"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0.95276253653944454</v>
      </c>
      <c r="N1738" s="318">
        <f t="array" aca="1" ref="N1738"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0.90298261175645922</v>
      </c>
      <c r="O1738" s="318">
        <f t="array" aca="1" ref="O1738"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0.85171893362673812</v>
      </c>
      <c r="P1738" s="318">
        <f t="array" aca="1" ref="P1738"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0.79897150215028134</v>
      </c>
      <c r="Q1738" s="318">
        <f t="array" aca="1" ref="Q1738"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0.74474031732708856</v>
      </c>
      <c r="R1738" s="121"/>
      <c r="S1738" s="179"/>
      <c r="T1738" s="251"/>
      <c r="V1738" s="179"/>
      <c r="W1738" s="179"/>
    </row>
    <row r="1739" spans="1:23" s="65" customFormat="1" ht="15" customHeight="1" outlineLevel="2">
      <c r="A1739" s="219"/>
      <c r="B1739" s="121"/>
      <c r="C1739" s="413" t="s">
        <v>1863</v>
      </c>
      <c r="D1739" s="121" t="str">
        <f>INDEX(Regional.Technologies[Description],MATCH($B$2&amp;"."&amp;G.30.assumptions.EnergyDemandAfterProcessImprovements[[#This Row],[Technology code]],Regional.Technologies[Code],0))</f>
        <v>Global Natural Gas use in the Cement technology</v>
      </c>
      <c r="E1739" s="242"/>
      <c r="F1739" s="121"/>
      <c r="G1739" s="242" t="s">
        <v>1426</v>
      </c>
      <c r="H1739" s="242"/>
      <c r="I1739" s="318">
        <f t="array" aca="1" ref="I1739"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0.82844526016904629</v>
      </c>
      <c r="J1739" s="318">
        <f t="array" aca="1" ref="J1739"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0.80260604705765937</v>
      </c>
      <c r="K1739" s="318">
        <f t="array" aca="1" ref="K1739"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0.76932662207650959</v>
      </c>
      <c r="L1739" s="318">
        <f t="array" aca="1" ref="L1739"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0.73495785421545334</v>
      </c>
      <c r="M1739" s="318">
        <f t="array" aca="1" ref="M1739"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0.69949974347449018</v>
      </c>
      <c r="N1739" s="318">
        <f t="array" aca="1" ref="N1739"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0.66295228985362031</v>
      </c>
      <c r="O1739" s="318">
        <f t="array" aca="1" ref="O1739"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0.62531549335284375</v>
      </c>
      <c r="P1739" s="318">
        <f t="array" aca="1" ref="P1739"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0.58658935397216061</v>
      </c>
      <c r="Q1739" s="318">
        <f t="array" aca="1" ref="Q1739"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0.54677387171157055</v>
      </c>
      <c r="R1739" s="121"/>
      <c r="S1739" s="179"/>
      <c r="T1739" s="251"/>
      <c r="V1739" s="179"/>
      <c r="W1739" s="179"/>
    </row>
    <row r="1740" spans="1:23" s="65" customFormat="1" ht="15" customHeight="1" outlineLevel="2">
      <c r="A1740" s="219"/>
      <c r="B1740" s="121"/>
      <c r="C1740" s="413" t="s">
        <v>1864</v>
      </c>
      <c r="D1740" s="121" t="str">
        <f>INDEX(Regional.Technologies[Description],MATCH($B$2&amp;"."&amp;G.30.assumptions.EnergyDemandAfterProcessImprovements[[#This Row],[Technology code]],Regional.Technologies[Code],0))</f>
        <v>Global Solid Hydrocarbons use in the Cement technology</v>
      </c>
      <c r="E1740" s="242"/>
      <c r="F1740" s="121"/>
      <c r="G1740" s="242" t="s">
        <v>1426</v>
      </c>
      <c r="H1740" s="242"/>
      <c r="I1740" s="318">
        <f t="array" aca="1" ref="I1740"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0.49199351442122363</v>
      </c>
      <c r="J1740" s="318">
        <f t="array" aca="1" ref="J1740"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0.47664823347175428</v>
      </c>
      <c r="K1740" s="318">
        <f t="array" aca="1" ref="K1740"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0.4568843914394487</v>
      </c>
      <c r="L1740" s="318">
        <f t="array" aca="1" ref="L1740"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0.43647361513440003</v>
      </c>
      <c r="M1740" s="318">
        <f t="array" aca="1" ref="M1740"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0.41541590455660798</v>
      </c>
      <c r="N1740" s="318">
        <f t="array" aca="1" ref="N1740"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0.39371125970607268</v>
      </c>
      <c r="O1740" s="318">
        <f t="array" aca="1" ref="O1740"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0.37135968058279423</v>
      </c>
      <c r="P1740" s="318">
        <f t="array" aca="1" ref="P1740"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0.34836116718677257</v>
      </c>
      <c r="Q1740" s="318">
        <f t="array" aca="1" ref="Q1740"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0.3247157195180076</v>
      </c>
      <c r="R1740" s="121"/>
      <c r="S1740" s="179"/>
      <c r="T1740" s="251"/>
      <c r="V1740" s="179"/>
      <c r="W1740" s="179"/>
    </row>
    <row r="1741" spans="1:23" s="65" customFormat="1" ht="15" customHeight="1" outlineLevel="2">
      <c r="A1741" s="219"/>
      <c r="B1741" s="121"/>
      <c r="C1741" s="413" t="s">
        <v>1638</v>
      </c>
      <c r="D1741" s="121" t="str">
        <f>INDEX(Regional.Technologies[Description],MATCH($B$2&amp;"."&amp;G.30.assumptions.EnergyDemandAfterProcessImprovements[[#This Row],[Technology code]],Regional.Technologies[Code],0))</f>
        <v>Global Heat use in the Cement technology</v>
      </c>
      <c r="E1741" s="242"/>
      <c r="F1741" s="121"/>
      <c r="G1741" s="242" t="s">
        <v>1426</v>
      </c>
      <c r="H1741" s="242"/>
      <c r="I1741" s="318">
        <f t="array" aca="1" ref="I1741"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0</v>
      </c>
      <c r="J1741" s="318">
        <f t="array" aca="1" ref="J1741"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0</v>
      </c>
      <c r="K1741" s="318">
        <f t="array" aca="1" ref="K1741"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0</v>
      </c>
      <c r="L1741" s="318">
        <f t="array" aca="1" ref="L1741"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0</v>
      </c>
      <c r="M1741" s="318">
        <f t="array" aca="1" ref="M1741"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0</v>
      </c>
      <c r="N1741" s="318">
        <f t="array" aca="1" ref="N1741"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0</v>
      </c>
      <c r="O1741" s="318">
        <f t="array" aca="1" ref="O1741"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0</v>
      </c>
      <c r="P1741" s="318">
        <f t="array" aca="1" ref="P1741"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0</v>
      </c>
      <c r="Q1741" s="318">
        <f t="array" aca="1" ref="Q1741"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0</v>
      </c>
      <c r="R1741" s="121"/>
      <c r="S1741" s="179"/>
      <c r="T1741" s="251"/>
      <c r="V1741" s="179"/>
      <c r="W1741" s="179"/>
    </row>
    <row r="1742" spans="1:23" s="65" customFormat="1" ht="15" customHeight="1" outlineLevel="2">
      <c r="A1742" s="219"/>
      <c r="B1742" s="121"/>
      <c r="C1742" s="413" t="s">
        <v>1634</v>
      </c>
      <c r="D1742" s="121" t="str">
        <f>INDEX(Regional.Technologies[Description],MATCH($B$2&amp;"."&amp;G.30.assumptions.EnergyDemandAfterProcessImprovements[[#This Row],[Technology code]],Regional.Technologies[Code],0))</f>
        <v>Global Electricity use in the Other industries technology</v>
      </c>
      <c r="E1742" s="242"/>
      <c r="F1742" s="121"/>
      <c r="G1742" s="242" t="s">
        <v>1457</v>
      </c>
      <c r="H1742" s="242"/>
      <c r="I1742" s="318">
        <f t="array" aca="1" ref="I1742"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15.255453009293019</v>
      </c>
      <c r="J1742" s="318">
        <f t="array" aca="1" ref="J1742"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15.07932150478058</v>
      </c>
      <c r="K1742" s="318">
        <f t="array" aca="1" ref="K1742"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14.849660362709168</v>
      </c>
      <c r="L1742" s="318">
        <f t="array" aca="1" ref="L1742"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14.609447263492354</v>
      </c>
      <c r="M1742" s="318">
        <f t="array" aca="1" ref="M1742"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14.358682207130135</v>
      </c>
      <c r="N1742" s="318">
        <f t="array" aca="1" ref="N1742"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14.097365193622508</v>
      </c>
      <c r="O1742" s="318">
        <f t="array" aca="1" ref="O1742"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13.825496222969484</v>
      </c>
      <c r="P1742" s="318">
        <f t="array" aca="1" ref="P1742"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13.543075295171052</v>
      </c>
      <c r="Q1742" s="318">
        <f t="array" aca="1" ref="Q1742"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13.250102410227214</v>
      </c>
      <c r="R1742" s="121"/>
      <c r="S1742" s="179"/>
      <c r="T1742" s="251"/>
      <c r="V1742" s="179"/>
      <c r="W1742" s="179"/>
    </row>
    <row r="1743" spans="1:23" s="65" customFormat="1" ht="15" customHeight="1" outlineLevel="2">
      <c r="A1743" s="219"/>
      <c r="B1743" s="121"/>
      <c r="C1743" s="413" t="s">
        <v>1865</v>
      </c>
      <c r="D1743" s="121" t="str">
        <f>INDEX(Regional.Technologies[Description],MATCH($B$2&amp;"."&amp;G.30.assumptions.EnergyDemandAfterProcessImprovements[[#This Row],[Technology code]],Regional.Technologies[Code],0))</f>
        <v>Global Coal use in the Other industries technology</v>
      </c>
      <c r="E1743" s="242"/>
      <c r="F1743" s="121"/>
      <c r="G1743" s="242" t="s">
        <v>1457</v>
      </c>
      <c r="H1743" s="242"/>
      <c r="I1743" s="318">
        <f t="array" aca="1" ref="I1743"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7.1683560026671582</v>
      </c>
      <c r="J1743" s="318">
        <f t="array" aca="1" ref="J1743"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7.0855939026586281</v>
      </c>
      <c r="K1743" s="318">
        <f t="array" aca="1" ref="K1743"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6.977678862355063</v>
      </c>
      <c r="L1743" s="318">
        <f t="array" aca="1" ref="L1743"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6.8648055828371621</v>
      </c>
      <c r="M1743" s="318">
        <f t="array" aca="1" ref="M1743"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6.7469740641049247</v>
      </c>
      <c r="N1743" s="318">
        <f t="array" aca="1" ref="N1743"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6.624184306158349</v>
      </c>
      <c r="O1743" s="318">
        <f t="array" aca="1" ref="O1743"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6.4964363089974402</v>
      </c>
      <c r="P1743" s="318">
        <f t="array" aca="1" ref="P1743"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6.3637300726221921</v>
      </c>
      <c r="Q1743" s="318">
        <f t="array" aca="1" ref="Q1743"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6.2260655970326075</v>
      </c>
      <c r="R1743" s="121"/>
      <c r="S1743" s="179"/>
      <c r="T1743" s="251"/>
      <c r="V1743" s="179"/>
      <c r="W1743" s="179"/>
    </row>
    <row r="1744" spans="1:23" s="65" customFormat="1" ht="15" customHeight="1" outlineLevel="2">
      <c r="A1744" s="219"/>
      <c r="B1744" s="121"/>
      <c r="C1744" s="413" t="s">
        <v>1866</v>
      </c>
      <c r="D1744" s="121" t="str">
        <f>INDEX(Regional.Technologies[Description],MATCH($B$2&amp;"."&amp;G.30.assumptions.EnergyDemandAfterProcessImprovements[[#This Row],[Technology code]],Regional.Technologies[Code],0))</f>
        <v>Global Oil use in the Other industries technology</v>
      </c>
      <c r="E1744" s="242"/>
      <c r="F1744" s="121"/>
      <c r="G1744" s="242" t="s">
        <v>1457</v>
      </c>
      <c r="H1744" s="242"/>
      <c r="I1744" s="318">
        <f t="array" aca="1" ref="I1744"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8.9190113729480487</v>
      </c>
      <c r="J1744" s="318">
        <f t="array" aca="1" ref="J1744"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8.8160371190256015</v>
      </c>
      <c r="K1744" s="318">
        <f t="array" aca="1" ref="K1744"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8.6817670755984171</v>
      </c>
      <c r="L1744" s="318">
        <f t="array" aca="1" ref="L1744"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8.5413278921444249</v>
      </c>
      <c r="M1744" s="318">
        <f t="array" aca="1" ref="M1744"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8.3947195686636231</v>
      </c>
      <c r="N1744" s="318">
        <f t="array" aca="1" ref="N1744"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8.2419421051560118</v>
      </c>
      <c r="O1744" s="318">
        <f t="array" aca="1" ref="O1744"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8.0829955016215962</v>
      </c>
      <c r="P1744" s="318">
        <f t="array" aca="1" ref="P1744"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7.917879758060371</v>
      </c>
      <c r="Q1744" s="318">
        <f t="array" aca="1" ref="Q1744"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7.7465948744723363</v>
      </c>
      <c r="R1744" s="121"/>
      <c r="S1744" s="179"/>
      <c r="T1744" s="251"/>
      <c r="V1744" s="179"/>
      <c r="W1744" s="179"/>
    </row>
    <row r="1745" spans="1:24" s="65" customFormat="1" ht="15" customHeight="1" outlineLevel="2">
      <c r="A1745" s="219"/>
      <c r="B1745" s="121"/>
      <c r="C1745" s="413" t="s">
        <v>1867</v>
      </c>
      <c r="D1745" s="121" t="str">
        <f>INDEX(Regional.Technologies[Description],MATCH($B$2&amp;"."&amp;G.30.assumptions.EnergyDemandAfterProcessImprovements[[#This Row],[Technology code]],Regional.Technologies[Code],0))</f>
        <v>Global Natural Gas use in the Other industries technology</v>
      </c>
      <c r="E1745" s="242"/>
      <c r="F1745" s="121"/>
      <c r="G1745" s="242" t="s">
        <v>1457</v>
      </c>
      <c r="H1745" s="242"/>
      <c r="I1745" s="318">
        <f t="array" aca="1" ref="I1745"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11.204548951236234</v>
      </c>
      <c r="J1745" s="318">
        <f t="array" aca="1" ref="J1745"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11.075187072374797</v>
      </c>
      <c r="K1745" s="318">
        <f t="array" aca="1" ref="K1745"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10.906509714385596</v>
      </c>
      <c r="L1745" s="318">
        <f t="array" aca="1" ref="L1745"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10.730082345938168</v>
      </c>
      <c r="M1745" s="318">
        <f t="array" aca="1" ref="M1745"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10.545904967032511</v>
      </c>
      <c r="N1745" s="318">
        <f t="array" aca="1" ref="N1745"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10.353977577668624</v>
      </c>
      <c r="O1745" s="318">
        <f t="array" aca="1" ref="O1745"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10.154300177846514</v>
      </c>
      <c r="P1745" s="318">
        <f t="array" aca="1" ref="P1745"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9.9468727675661732</v>
      </c>
      <c r="Q1745" s="318">
        <f t="array" aca="1" ref="Q1745"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9.7316953468276033</v>
      </c>
      <c r="R1745" s="121"/>
      <c r="S1745" s="179"/>
      <c r="T1745" s="251"/>
      <c r="V1745" s="179"/>
      <c r="W1745" s="179"/>
    </row>
    <row r="1746" spans="1:24" s="65" customFormat="1" ht="15" customHeight="1" outlineLevel="2">
      <c r="A1746" s="219"/>
      <c r="B1746" s="121"/>
      <c r="C1746" s="413" t="s">
        <v>1868</v>
      </c>
      <c r="D1746" s="121" t="str">
        <f>INDEX(Regional.Technologies[Description],MATCH($B$2&amp;"."&amp;G.30.assumptions.EnergyDemandAfterProcessImprovements[[#This Row],[Technology code]],Regional.Technologies[Code],0))</f>
        <v>Global Solid Hydrocarbons use in the Other industries technology</v>
      </c>
      <c r="E1746" s="242"/>
      <c r="F1746" s="121"/>
      <c r="G1746" s="242" t="s">
        <v>1457</v>
      </c>
      <c r="H1746" s="242"/>
      <c r="I1746" s="318">
        <f t="array" aca="1" ref="I1746"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5.4326469694895918</v>
      </c>
      <c r="J1746" s="318">
        <f t="array" aca="1" ref="J1746"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5.3699244607815082</v>
      </c>
      <c r="K1746" s="318">
        <f t="array" aca="1" ref="K1746"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5.2881394160028483</v>
      </c>
      <c r="L1746" s="318">
        <f t="array" aca="1" ref="L1746"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5.202596694675794</v>
      </c>
      <c r="M1746" s="318">
        <f t="array" aca="1" ref="M1746"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5.1132962968003435</v>
      </c>
      <c r="N1746" s="318">
        <f t="array" aca="1" ref="N1746"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5.0202382223764976</v>
      </c>
      <c r="O1746" s="318">
        <f t="array" aca="1" ref="O1746"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4.9234224714042583</v>
      </c>
      <c r="P1746" s="318">
        <f t="array" aca="1" ref="P1746"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4.8228490438836227</v>
      </c>
      <c r="Q1746" s="318">
        <f t="array" aca="1" ref="Q1746"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4.7185179398145918</v>
      </c>
      <c r="R1746" s="121"/>
      <c r="S1746" s="179"/>
      <c r="T1746" s="251"/>
      <c r="V1746" s="179"/>
      <c r="W1746" s="179"/>
    </row>
    <row r="1747" spans="1:24" s="65" customFormat="1" ht="15" customHeight="1" outlineLevel="2">
      <c r="A1747" s="219"/>
      <c r="B1747" s="121"/>
      <c r="C1747" s="413" t="s">
        <v>1869</v>
      </c>
      <c r="D1747" s="121" t="str">
        <f>INDEX(Regional.Technologies[Description],MATCH($B$2&amp;"."&amp;G.30.assumptions.EnergyDemandAfterProcessImprovements[[#This Row],[Technology code]],Regional.Technologies[Code],0))</f>
        <v>Global Heat use in the Other industries technology</v>
      </c>
      <c r="E1747" s="242"/>
      <c r="F1747" s="121"/>
      <c r="G1747" s="242" t="s">
        <v>1457</v>
      </c>
      <c r="H1747" s="242"/>
      <c r="I1747" s="318">
        <f t="array" aca="1" ref="I1747" ca="1">SUM((G.30.assumptions.EnergyDemandAfterProcessImprovements[[#This Row],[Technology code]]=G.30.assumptions.EnergyDemandAfterProductManufacturingEfficiency[Technology code])
   *INDIRECT("G.30.assumptions.EnergyDemandAfterProductManufacturingEfficiency["&amp;I$1657&amp;"]"))
*(1-SUM((G.30.assumptions.EnergyDemandAfterProcessImprovements[[#This Row],[Technology code]]=G.30.assumptions.ProcessImprovements[Technology code])
   *INDIRECT("G.30.assumptions.ProcessImprovements["&amp;I$1657&amp;"]")))</f>
        <v>2.5365553629120043</v>
      </c>
      <c r="J1747" s="318">
        <f t="array" aca="1" ref="J1747" ca="1">SUM((G.30.assumptions.EnergyDemandAfterProcessImprovements[[#This Row],[Technology code]]=G.30.assumptions.EnergyDemandAfterProductManufacturingEfficiency[Technology code])
   *INDIRECT("G.30.assumptions.EnergyDemandAfterProductManufacturingEfficiency["&amp;J$1657&amp;"]"))
*(1-SUM((G.30.assumptions.EnergyDemandAfterProcessImprovements[[#This Row],[Technology code]]=G.30.assumptions.ProcessImprovements[Technology code])
   *INDIRECT("G.30.assumptions.ProcessImprovements["&amp;J$1657&amp;"]")))</f>
        <v>2.5072696175410454</v>
      </c>
      <c r="K1747" s="318">
        <f t="array" aca="1" ref="K1747" ca="1">SUM((G.30.assumptions.EnergyDemandAfterProcessImprovements[[#This Row],[Technology code]]=G.30.assumptions.EnergyDemandAfterProductManufacturingEfficiency[Technology code])
   *INDIRECT("G.30.assumptions.EnergyDemandAfterProductManufacturingEfficiency["&amp;K$1657&amp;"]"))
*(1-SUM((G.30.assumptions.EnergyDemandAfterProcessImprovements[[#This Row],[Technology code]]=G.30.assumptions.ProcessImprovements[Technology code])
   *INDIRECT("G.30.assumptions.ProcessImprovements["&amp;K$1657&amp;"]")))</f>
        <v>2.469083389887309</v>
      </c>
      <c r="L1747" s="318">
        <f t="array" aca="1" ref="L1747" ca="1">SUM((G.30.assumptions.EnergyDemandAfterProcessImprovements[[#This Row],[Technology code]]=G.30.assumptions.EnergyDemandAfterProductManufacturingEfficiency[Technology code])
   *INDIRECT("G.30.assumptions.EnergyDemandAfterProductManufacturingEfficiency["&amp;L$1657&amp;"]"))
*(1-SUM((G.30.assumptions.EnergyDemandAfterProcessImprovements[[#This Row],[Technology code]]=G.30.assumptions.ProcessImprovements[Technology code])
   *INDIRECT("G.30.assumptions.ProcessImprovements["&amp;L$1657&amp;"]")))</f>
        <v>2.4291426667446432</v>
      </c>
      <c r="M1747" s="318">
        <f t="array" aca="1" ref="M1747" ca="1">SUM((G.30.assumptions.EnergyDemandAfterProcessImprovements[[#This Row],[Technology code]]=G.30.assumptions.EnergyDemandAfterProductManufacturingEfficiency[Technology code])
   *INDIRECT("G.30.assumptions.EnergyDemandAfterProductManufacturingEfficiency["&amp;M$1657&amp;"]"))
*(1-SUM((G.30.assumptions.EnergyDemandAfterProcessImprovements[[#This Row],[Technology code]]=G.30.assumptions.ProcessImprovements[Technology code])
   *INDIRECT("G.30.assumptions.ProcessImprovements["&amp;M$1657&amp;"]")))</f>
        <v>2.387447448113047</v>
      </c>
      <c r="N1747" s="318">
        <f t="array" aca="1" ref="N1747" ca="1">SUM((G.30.assumptions.EnergyDemandAfterProcessImprovements[[#This Row],[Technology code]]=G.30.assumptions.EnergyDemandAfterProductManufacturingEfficiency[Technology code])
   *INDIRECT("G.30.assumptions.EnergyDemandAfterProductManufacturingEfficiency["&amp;N$1657&amp;"]"))
*(1-SUM((G.30.assumptions.EnergyDemandAfterProcessImprovements[[#This Row],[Technology code]]=G.30.assumptions.ProcessImprovements[Technology code])
   *INDIRECT("G.30.assumptions.ProcessImprovements["&amp;N$1657&amp;"]")))</f>
        <v>2.3439977339925195</v>
      </c>
      <c r="O1747" s="318">
        <f t="array" aca="1" ref="O1747" ca="1">SUM((G.30.assumptions.EnergyDemandAfterProcessImprovements[[#This Row],[Technology code]]=G.30.assumptions.EnergyDemandAfterProductManufacturingEfficiency[Technology code])
   *INDIRECT("G.30.assumptions.EnergyDemandAfterProductManufacturingEfficiency["&amp;O$1657&amp;"]"))
*(1-SUM((G.30.assumptions.EnergyDemandAfterProcessImprovements[[#This Row],[Technology code]]=G.30.assumptions.ProcessImprovements[Technology code])
   *INDIRECT("G.30.assumptions.ProcessImprovements["&amp;O$1657&amp;"]")))</f>
        <v>2.2987935243830631</v>
      </c>
      <c r="P1747" s="318">
        <f t="array" aca="1" ref="P1747" ca="1">SUM((G.30.assumptions.EnergyDemandAfterProcessImprovements[[#This Row],[Technology code]]=G.30.assumptions.EnergyDemandAfterProductManufacturingEfficiency[Technology code])
   *INDIRECT("G.30.assumptions.EnergyDemandAfterProductManufacturingEfficiency["&amp;P$1657&amp;"]"))
*(1-SUM((G.30.assumptions.EnergyDemandAfterProcessImprovements[[#This Row],[Technology code]]=G.30.assumptions.ProcessImprovements[Technology code])
   *INDIRECT("G.30.assumptions.ProcessImprovements["&amp;P$1657&amp;"]")))</f>
        <v>2.2518348192846758</v>
      </c>
      <c r="Q1747" s="318">
        <f t="array" aca="1" ref="Q1747" ca="1">SUM((G.30.assumptions.EnergyDemandAfterProcessImprovements[[#This Row],[Technology code]]=G.30.assumptions.EnergyDemandAfterProductManufacturingEfficiency[Technology code])
   *INDIRECT("G.30.assumptions.EnergyDemandAfterProductManufacturingEfficiency["&amp;Q$1657&amp;"]"))
*(1-SUM((G.30.assumptions.EnergyDemandAfterProcessImprovements[[#This Row],[Technology code]]=G.30.assumptions.ProcessImprovements[Technology code])
   *INDIRECT("G.30.assumptions.ProcessImprovements["&amp;Q$1657&amp;"]")))</f>
        <v>2.2031216186973581</v>
      </c>
      <c r="R1747" s="121"/>
      <c r="S1747" s="179"/>
      <c r="T1747" s="251"/>
      <c r="V1747" s="179"/>
      <c r="W1747" s="179"/>
    </row>
    <row r="1748" spans="1:24" s="65" customFormat="1" ht="15" customHeight="1" outlineLevel="2">
      <c r="A1748" s="219"/>
      <c r="B1748" s="121"/>
      <c r="C1748" s="310" t="s">
        <v>375</v>
      </c>
      <c r="D1748" s="311"/>
      <c r="E1748" s="312"/>
      <c r="F1748" s="307"/>
      <c r="G1748" s="312"/>
      <c r="H1748" s="312"/>
      <c r="I1748" s="341">
        <f ca="1">SUBTOTAL(109,G.30.assumptions.EnergyDemandAfterProcessImprovements[2011])</f>
        <v>142.97457688351503</v>
      </c>
      <c r="J1748" s="341">
        <f ca="1">SUBTOTAL(109,G.30.assumptions.EnergyDemandAfterProcessImprovements[2015])</f>
        <v>143.22619639397101</v>
      </c>
      <c r="K1748" s="341">
        <f ca="1">SUBTOTAL(109,G.30.assumptions.EnergyDemandAfterProcessImprovements[2020])</f>
        <v>143.5060346219627</v>
      </c>
      <c r="L1748" s="341">
        <f ca="1">SUBTOTAL(109,G.30.assumptions.EnergyDemandAfterProcessImprovements[2025])</f>
        <v>143.74733267208956</v>
      </c>
      <c r="M1748" s="341">
        <f ca="1">SUBTOTAL(109,G.30.assumptions.EnergyDemandAfterProcessImprovements[2030])</f>
        <v>143.95009054435164</v>
      </c>
      <c r="N1748" s="341">
        <f ca="1">SUBTOTAL(109,G.30.assumptions.EnergyDemandAfterProcessImprovements[2035])</f>
        <v>144.11430823874898</v>
      </c>
      <c r="O1748" s="341">
        <f ca="1">SUBTOTAL(109,G.30.assumptions.EnergyDemandAfterProcessImprovements[2040])</f>
        <v>144.23998575528151</v>
      </c>
      <c r="P1748" s="341"/>
      <c r="Q1748" s="341">
        <f ca="1">SUBTOTAL(109,G.30.assumptions.EnergyDemandAfterProcessImprovements[2050])</f>
        <v>144.3757202547522</v>
      </c>
      <c r="R1748" s="121"/>
      <c r="S1748" s="179"/>
      <c r="T1748" s="251"/>
      <c r="V1748" s="179"/>
      <c r="W1748" s="179"/>
    </row>
    <row r="1749" spans="1:24" s="65" customFormat="1" ht="15" customHeight="1" outlineLevel="2">
      <c r="A1749" s="219"/>
      <c r="B1749" s="121"/>
      <c r="C1749" s="251"/>
      <c r="D1749" s="251"/>
      <c r="E1749" s="242"/>
      <c r="F1749" s="121"/>
      <c r="G1749" s="242"/>
      <c r="H1749" s="242"/>
      <c r="I1749" s="239"/>
      <c r="J1749" s="239"/>
      <c r="K1749" s="239"/>
      <c r="L1749" s="239"/>
      <c r="M1749" s="239"/>
      <c r="N1749" s="239"/>
      <c r="O1749" s="239"/>
      <c r="P1749" s="239"/>
      <c r="Q1749" s="239"/>
      <c r="R1749" s="121"/>
      <c r="S1749" s="179"/>
      <c r="T1749" s="251"/>
      <c r="V1749" s="179"/>
      <c r="W1749" s="179"/>
    </row>
    <row r="1750" spans="1:24" s="65" customFormat="1" ht="15" customHeight="1" outlineLevel="2">
      <c r="A1750" s="219"/>
      <c r="B1750" s="121"/>
      <c r="C1750" s="251"/>
      <c r="D1750" s="251"/>
      <c r="E1750" s="242"/>
      <c r="F1750" s="121"/>
      <c r="G1750" s="242"/>
      <c r="H1750" s="242"/>
      <c r="I1750" s="239"/>
      <c r="J1750" s="239"/>
      <c r="K1750" s="239"/>
      <c r="L1750" s="239"/>
      <c r="M1750" s="239"/>
      <c r="N1750" s="239"/>
      <c r="O1750" s="239"/>
      <c r="P1750" s="239"/>
      <c r="Q1750" s="239"/>
      <c r="R1750" s="121"/>
      <c r="S1750" s="179"/>
      <c r="T1750" s="251"/>
      <c r="V1750" s="179"/>
      <c r="W1750" s="179"/>
    </row>
    <row r="1751" spans="1:24" s="65" customFormat="1" ht="15" customHeight="1" outlineLevel="2">
      <c r="A1751" s="219"/>
      <c r="B1751" s="121"/>
      <c r="C1751" s="313" t="s">
        <v>2002</v>
      </c>
      <c r="D1751" s="242"/>
      <c r="E1751" s="242"/>
      <c r="F1751" s="121"/>
      <c r="G1751" s="242"/>
      <c r="H1751" s="242"/>
      <c r="I1751" s="239"/>
      <c r="J1751" s="239"/>
      <c r="K1751" s="239"/>
      <c r="L1751" s="239"/>
      <c r="M1751" s="239"/>
      <c r="N1751" s="239"/>
      <c r="O1751" s="239"/>
      <c r="P1751" s="239"/>
      <c r="Q1751" s="239"/>
      <c r="R1751" s="121"/>
      <c r="S1751" s="179"/>
      <c r="T1751" s="251"/>
      <c r="V1751" s="179"/>
      <c r="W1751" s="179"/>
    </row>
    <row r="1752" spans="1:24" s="65" customFormat="1" ht="15" customHeight="1" outlineLevel="2">
      <c r="A1752" s="219"/>
      <c r="B1752" s="121"/>
      <c r="C1752" s="313" t="s">
        <v>242</v>
      </c>
      <c r="D1752" s="242"/>
      <c r="E1752" s="242"/>
      <c r="F1752" s="121"/>
      <c r="G1752" s="242"/>
      <c r="H1752" s="242"/>
      <c r="I1752" s="239"/>
      <c r="J1752" s="239"/>
      <c r="K1752" s="239"/>
      <c r="L1752" s="239"/>
      <c r="M1752" s="239"/>
      <c r="N1752" s="239"/>
      <c r="O1752" s="239"/>
      <c r="P1752" s="239"/>
      <c r="Q1752" s="239"/>
      <c r="R1752" s="121"/>
      <c r="S1752" s="179"/>
      <c r="T1752" s="251"/>
      <c r="V1752" s="179"/>
      <c r="W1752" s="179"/>
    </row>
    <row r="1753" spans="1:24" s="65" customFormat="1" ht="15" customHeight="1" outlineLevel="2">
      <c r="A1753" s="219"/>
      <c r="B1753" s="121"/>
      <c r="C1753" s="301"/>
      <c r="D1753" s="242"/>
      <c r="E1753" s="242"/>
      <c r="F1753" s="121"/>
      <c r="G1753" s="242"/>
      <c r="H1753" s="242"/>
      <c r="I1753" s="239"/>
      <c r="J1753" s="239"/>
      <c r="K1753" s="239"/>
      <c r="L1753" s="239"/>
      <c r="M1753" s="239"/>
      <c r="N1753" s="239"/>
      <c r="O1753" s="239"/>
      <c r="P1753" s="239"/>
      <c r="Q1753" s="239"/>
      <c r="R1753" s="121"/>
      <c r="S1753" s="179"/>
      <c r="T1753" s="251"/>
      <c r="V1753" s="179"/>
      <c r="W1753" s="179"/>
    </row>
    <row r="1754" spans="1:24" s="65" customFormat="1" ht="15" customHeight="1" outlineLevel="2">
      <c r="A1754" s="219"/>
      <c r="B1754" s="121"/>
      <c r="C1754" s="258" t="s">
        <v>454</v>
      </c>
      <c r="D1754" s="258" t="s">
        <v>241</v>
      </c>
      <c r="E1754" s="258" t="s">
        <v>598</v>
      </c>
      <c r="F1754" s="258" t="s">
        <v>274</v>
      </c>
      <c r="G1754" s="258" t="s">
        <v>509</v>
      </c>
      <c r="H1754" s="258" t="s">
        <v>510</v>
      </c>
      <c r="I1754" s="258" t="s">
        <v>1107</v>
      </c>
      <c r="J1754" s="258" t="s">
        <v>210</v>
      </c>
      <c r="K1754" s="258" t="s">
        <v>211</v>
      </c>
      <c r="L1754" s="258" t="s">
        <v>212</v>
      </c>
      <c r="M1754" s="258" t="s">
        <v>213</v>
      </c>
      <c r="N1754" s="258" t="s">
        <v>214</v>
      </c>
      <c r="O1754" s="258" t="s">
        <v>215</v>
      </c>
      <c r="P1754" s="258" t="s">
        <v>216</v>
      </c>
      <c r="Q1754" s="258" t="s">
        <v>217</v>
      </c>
      <c r="R1754" s="121"/>
      <c r="S1754" s="179"/>
      <c r="T1754" s="179" t="str">
        <f>$T$6</f>
        <v>Source</v>
      </c>
      <c r="U1754" s="179" t="str">
        <f>$U$6</f>
        <v>Link</v>
      </c>
      <c r="V1754" s="179" t="str">
        <f>$V$6</f>
        <v>Risk (Green, Amber/Green, Amber, Red/Amber, Red)</v>
      </c>
      <c r="W1754" s="179" t="s">
        <v>869</v>
      </c>
      <c r="X1754" s="179" t="str">
        <f>$X$6</f>
        <v>Comment author</v>
      </c>
    </row>
    <row r="1755" spans="1:24" s="65" customFormat="1" ht="15" customHeight="1" outlineLevel="2">
      <c r="A1755" s="219"/>
      <c r="B1755" s="121"/>
      <c r="C1755" s="251"/>
      <c r="D1755" s="251" t="s">
        <v>1986</v>
      </c>
      <c r="E1755" s="242"/>
      <c r="F1755" s="121"/>
      <c r="G1755" s="251" t="s">
        <v>1377</v>
      </c>
      <c r="H1755" s="242"/>
      <c r="I1755" s="319">
        <f t="array" aca="1" ref="I1755" ca="1">SUM((G.30.assumptions.SpecificProcessCO2EmissionsAfterProcessImprovements[[#This Row],[Description]]=G.30.assumptions.SpecificProcessCO2EmissionsAfterProductManufacturingEfficiency[Description])
        *INDIRECT("G.30.assumptions.SpecificProcessCO2EmissionsAfterProductManufacturingEfficiency["&amp;I$1754&amp;"]"))</f>
        <v>0.10030998914952237</v>
      </c>
      <c r="J1755" s="319">
        <f t="array" aca="1" ref="J1755" ca="1">SUM((G.30.assumptions.SpecificProcessCO2EmissionsAfterProcessImprovements[[#This Row],[Description]]=G.30.assumptions.SpecificProcessCO2EmissionsAfterProductManufacturingEfficiency[Description])
        *INDIRECT("G.30.assumptions.SpecificProcessCO2EmissionsAfterProductManufacturingEfficiency["&amp;J$1754&amp;"]"))</f>
        <v>9.9772537176738257E-2</v>
      </c>
      <c r="K1755" s="319">
        <f t="array" aca="1" ref="K1755" ca="1">SUM((G.30.assumptions.SpecificProcessCO2EmissionsAfterProcessImprovements[[#This Row],[Description]]=G.30.assumptions.SpecificProcessCO2EmissionsAfterProductManufacturingEfficiency[Description])
        *INDIRECT("G.30.assumptions.SpecificProcessCO2EmissionsAfterProductManufacturingEfficiency["&amp;K$1754&amp;"]"))</f>
        <v>9.9055999966567582E-2</v>
      </c>
      <c r="L1755" s="319">
        <f t="array" aca="1" ref="L1755" ca="1">SUM((G.30.assumptions.SpecificProcessCO2EmissionsAfterProcessImprovements[[#This Row],[Description]]=G.30.assumptions.SpecificProcessCO2EmissionsAfterProductManufacturingEfficiency[Description])
        *INDIRECT("G.30.assumptions.SpecificProcessCO2EmissionsAfterProductManufacturingEfficiency["&amp;L$1754&amp;"]"))</f>
        <v>9.8289771373962997E-2</v>
      </c>
      <c r="M1755" s="319">
        <f t="array" aca="1" ref="M1755" ca="1">SUM((G.30.assumptions.SpecificProcessCO2EmissionsAfterProcessImprovements[[#This Row],[Description]]=G.30.assumptions.SpecificProcessCO2EmissionsAfterProductManufacturingEfficiency[Description])
        *INDIRECT("G.30.assumptions.SpecificProcessCO2EmissionsAfterProductManufacturingEfficiency["&amp;M$1754&amp;"]"))</f>
        <v>9.7473851398924449E-2</v>
      </c>
      <c r="N1755" s="319">
        <f t="array" aca="1" ref="N1755" ca="1">SUM((G.30.assumptions.SpecificProcessCO2EmissionsAfterProcessImprovements[[#This Row],[Description]]=G.30.assumptions.SpecificProcessCO2EmissionsAfterProductManufacturingEfficiency[Description])
        *INDIRECT("G.30.assumptions.SpecificProcessCO2EmissionsAfterProductManufacturingEfficiency["&amp;N$1754&amp;"]"))</f>
        <v>9.6608240041451965E-2</v>
      </c>
      <c r="O1755" s="319">
        <f t="array" aca="1" ref="O1755" ca="1">SUM((G.30.assumptions.SpecificProcessCO2EmissionsAfterProcessImprovements[[#This Row],[Description]]=G.30.assumptions.SpecificProcessCO2EmissionsAfterProductManufacturingEfficiency[Description])
        *INDIRECT("G.30.assumptions.SpecificProcessCO2EmissionsAfterProductManufacturingEfficiency["&amp;O$1754&amp;"]"))</f>
        <v>9.5692937301545572E-2</v>
      </c>
      <c r="P1755" s="319">
        <f t="array" aca="1" ref="P1755" ca="1">SUM((G.30.assumptions.SpecificProcessCO2EmissionsAfterProcessImprovements[[#This Row],[Description]]=G.30.assumptions.SpecificProcessCO2EmissionsAfterProductManufacturingEfficiency[Description])
        *INDIRECT("G.30.assumptions.SpecificProcessCO2EmissionsAfterProductManufacturingEfficiency["&amp;P$1754&amp;"]"))</f>
        <v>9.4727943179205243E-2</v>
      </c>
      <c r="Q1755" s="319">
        <f t="array" aca="1" ref="Q1755" ca="1">SUM((G.30.assumptions.SpecificProcessCO2EmissionsAfterProcessImprovements[[#This Row],[Description]]=G.30.assumptions.SpecificProcessCO2EmissionsAfterProductManufacturingEfficiency[Description])
        *INDIRECT("G.30.assumptions.SpecificProcessCO2EmissionsAfterProductManufacturingEfficiency["&amp;Q$1754&amp;"]"))</f>
        <v>9.3713257674430936E-2</v>
      </c>
      <c r="R1755" s="121"/>
      <c r="S1755" s="179"/>
      <c r="T1755" s="251"/>
      <c r="V1755" s="179"/>
      <c r="W1755" s="179"/>
    </row>
    <row r="1756" spans="1:24" s="65" customFormat="1" ht="15" customHeight="1" outlineLevel="2">
      <c r="A1756" s="219"/>
      <c r="B1756" s="121"/>
      <c r="C1756" s="251"/>
      <c r="D1756" s="251" t="s">
        <v>2192</v>
      </c>
      <c r="E1756" s="242"/>
      <c r="F1756" s="121"/>
      <c r="G1756" s="251" t="s">
        <v>2193</v>
      </c>
      <c r="H1756" s="242" t="s">
        <v>2191</v>
      </c>
      <c r="I1756" s="362">
        <f ca="1">I1755</f>
        <v>0.10030998914952237</v>
      </c>
      <c r="J1756" s="362">
        <f t="shared" ref="J1756:Q1756" ca="1" si="178">J1755</f>
        <v>9.9772537176738257E-2</v>
      </c>
      <c r="K1756" s="362">
        <f t="shared" ca="1" si="178"/>
        <v>9.9055999966567582E-2</v>
      </c>
      <c r="L1756" s="362">
        <f t="shared" ca="1" si="178"/>
        <v>9.8289771373962997E-2</v>
      </c>
      <c r="M1756" s="362">
        <f t="shared" ca="1" si="178"/>
        <v>9.7473851398924449E-2</v>
      </c>
      <c r="N1756" s="362">
        <f t="shared" ca="1" si="178"/>
        <v>9.6608240041451965E-2</v>
      </c>
      <c r="O1756" s="362">
        <f t="shared" ca="1" si="178"/>
        <v>9.5692937301545572E-2</v>
      </c>
      <c r="P1756" s="362">
        <f t="shared" ca="1" si="178"/>
        <v>9.4727943179205243E-2</v>
      </c>
      <c r="Q1756" s="362">
        <f t="shared" ca="1" si="178"/>
        <v>9.3713257674430936E-2</v>
      </c>
      <c r="R1756" s="121"/>
      <c r="S1756" s="179"/>
      <c r="T1756" s="251"/>
      <c r="V1756" s="179"/>
      <c r="W1756" s="179"/>
    </row>
    <row r="1757" spans="1:24" s="65" customFormat="1" ht="15" customHeight="1" outlineLevel="2">
      <c r="A1757" s="219"/>
      <c r="B1757" s="121"/>
      <c r="C1757" s="251"/>
      <c r="D1757" s="251" t="s">
        <v>1987</v>
      </c>
      <c r="E1757" s="242"/>
      <c r="F1757" s="121"/>
      <c r="G1757" s="315" t="s">
        <v>1380</v>
      </c>
      <c r="H1757" s="242"/>
      <c r="I1757" s="319">
        <f t="array" aca="1" ref="I1757" ca="1">SUM((G.30.assumptions.SpecificProcessCO2EmissionsAfterProcessImprovements[[#This Row],[Description]]=G.30.assumptions.SpecificProcessCO2EmissionsAfterProductManufacturingEfficiency[Description])
        *INDIRECT("G.30.assumptions.SpecificProcessCO2EmissionsAfterProductManufacturingEfficiency["&amp;I$1754&amp;"]"))</f>
        <v>0.81692123829171892</v>
      </c>
      <c r="J1757" s="319">
        <f t="array" aca="1" ref="J1757" ca="1">SUM((G.30.assumptions.SpecificProcessCO2EmissionsAfterProcessImprovements[[#This Row],[Description]]=G.30.assumptions.SpecificProcessCO2EmissionsAfterProductManufacturingEfficiency[Description])
        *INDIRECT("G.30.assumptions.SpecificProcessCO2EmissionsAfterProductManufacturingEfficiency["&amp;J$1754&amp;"]"))</f>
        <v>0.85599875293896976</v>
      </c>
      <c r="K1757" s="319">
        <f t="array" aca="1" ref="K1757" ca="1">SUM((G.30.assumptions.SpecificProcessCO2EmissionsAfterProcessImprovements[[#This Row],[Description]]=G.30.assumptions.SpecificProcessCO2EmissionsAfterProductManufacturingEfficiency[Description])
        *INDIRECT("G.30.assumptions.SpecificProcessCO2EmissionsAfterProductManufacturingEfficiency["&amp;K$1754&amp;"]"))</f>
        <v>0.90572219928585485</v>
      </c>
      <c r="L1757" s="319">
        <f t="array" aca="1" ref="L1757" ca="1">SUM((G.30.assumptions.SpecificProcessCO2EmissionsAfterProcessImprovements[[#This Row],[Description]]=G.30.assumptions.SpecificProcessCO2EmissionsAfterProductManufacturingEfficiency[Description])
        *INDIRECT("G.30.assumptions.SpecificProcessCO2EmissionsAfterProductManufacturingEfficiency["&amp;L$1754&amp;"]"))</f>
        <v>0.95641959345254224</v>
      </c>
      <c r="M1757" s="319">
        <f t="array" aca="1" ref="M1757" ca="1">SUM((G.30.assumptions.SpecificProcessCO2EmissionsAfterProcessImprovements[[#This Row],[Description]]=G.30.assumptions.SpecificProcessCO2EmissionsAfterProductManufacturingEfficiency[Description])
        *INDIRECT("G.30.assumptions.SpecificProcessCO2EmissionsAfterProductManufacturingEfficiency["&amp;M$1754&amp;"]"))</f>
        <v>1.0080909354390313</v>
      </c>
      <c r="N1757" s="319">
        <f t="array" aca="1" ref="N1757" ca="1">SUM((G.30.assumptions.SpecificProcessCO2EmissionsAfterProcessImprovements[[#This Row],[Description]]=G.30.assumptions.SpecificProcessCO2EmissionsAfterProductManufacturingEfficiency[Description])
        *INDIRECT("G.30.assumptions.SpecificProcessCO2EmissionsAfterProductManufacturingEfficiency["&amp;N$1754&amp;"]"))</f>
        <v>1.0607362252453225</v>
      </c>
      <c r="O1757" s="319">
        <f t="array" aca="1" ref="O1757" ca="1">SUM((G.30.assumptions.SpecificProcessCO2EmissionsAfterProcessImprovements[[#This Row],[Description]]=G.30.assumptions.SpecificProcessCO2EmissionsAfterProductManufacturingEfficiency[Description])
        *INDIRECT("G.30.assumptions.SpecificProcessCO2EmissionsAfterProductManufacturingEfficiency["&amp;O$1754&amp;"]"))</f>
        <v>1.1143554628714156</v>
      </c>
      <c r="P1757" s="319">
        <f t="array" aca="1" ref="P1757" ca="1">SUM((G.30.assumptions.SpecificProcessCO2EmissionsAfterProcessImprovements[[#This Row],[Description]]=G.30.assumptions.SpecificProcessCO2EmissionsAfterProductManufacturingEfficiency[Description])
        *INDIRECT("G.30.assumptions.SpecificProcessCO2EmissionsAfterProductManufacturingEfficiency["&amp;P$1754&amp;"]"))</f>
        <v>1.1689486483173106</v>
      </c>
      <c r="Q1757" s="319">
        <f t="array" aca="1" ref="Q1757" ca="1">SUM((G.30.assumptions.SpecificProcessCO2EmissionsAfterProcessImprovements[[#This Row],[Description]]=G.30.assumptions.SpecificProcessCO2EmissionsAfterProductManufacturingEfficiency[Description])
        *INDIRECT("G.30.assumptions.SpecificProcessCO2EmissionsAfterProductManufacturingEfficiency["&amp;Q$1754&amp;"]"))</f>
        <v>1.2245157815830074</v>
      </c>
      <c r="R1757" s="121"/>
      <c r="S1757" s="179"/>
      <c r="T1757" s="251"/>
      <c r="V1757" s="179"/>
      <c r="W1757" s="179"/>
    </row>
    <row r="1758" spans="1:24" s="65" customFormat="1" ht="15" customHeight="1" outlineLevel="2">
      <c r="A1758" s="219"/>
      <c r="B1758" s="121"/>
      <c r="C1758" s="251"/>
      <c r="D1758" s="251" t="s">
        <v>1988</v>
      </c>
      <c r="E1758" s="242"/>
      <c r="F1758" s="121"/>
      <c r="G1758" s="315" t="s">
        <v>1625</v>
      </c>
      <c r="H1758" s="242"/>
      <c r="I1758" s="319">
        <f t="array" aca="1" ref="I1758" ca="1">SUM((G.30.assumptions.SpecificProcessCO2EmissionsAfterProcessImprovements[[#This Row],[Description]]=G.30.assumptions.SpecificProcessCO2EmissionsAfterProductManufacturingEfficiency[Description])
        *INDIRECT("G.30.assumptions.SpecificProcessCO2EmissionsAfterProductManufacturingEfficiency["&amp;I$1754&amp;"]"))</f>
        <v>-0.5438760438296899</v>
      </c>
      <c r="J1758" s="319">
        <f t="array" aca="1" ref="J1758" ca="1">SUM((G.30.assumptions.SpecificProcessCO2EmissionsAfterProcessImprovements[[#This Row],[Description]]=G.30.assumptions.SpecificProcessCO2EmissionsAfterProductManufacturingEfficiency[Description])
        *INDIRECT("G.30.assumptions.SpecificProcessCO2EmissionsAfterProductManufacturingEfficiency["&amp;J$1754&amp;"]"))</f>
        <v>-0.56372971509226089</v>
      </c>
      <c r="K1758" s="319">
        <f t="array" aca="1" ref="K1758" ca="1">SUM((G.30.assumptions.SpecificProcessCO2EmissionsAfterProcessImprovements[[#This Row],[Description]]=G.30.assumptions.SpecificProcessCO2EmissionsAfterProductManufacturingEfficiency[Description])
        *INDIRECT("G.30.assumptions.SpecificProcessCO2EmissionsAfterProductManufacturingEfficiency["&amp;K$1754&amp;"]"))</f>
        <v>-0.58895441552471295</v>
      </c>
      <c r="L1758" s="319">
        <f t="array" aca="1" ref="L1758" ca="1">SUM((G.30.assumptions.SpecificProcessCO2EmissionsAfterProcessImprovements[[#This Row],[Description]]=G.30.assumptions.SpecificProcessCO2EmissionsAfterProductManufacturingEfficiency[Description])
        *INDIRECT("G.30.assumptions.SpecificProcessCO2EmissionsAfterProductManufacturingEfficiency["&amp;L$1754&amp;"]"))</f>
        <v>-0.61463201746187335</v>
      </c>
      <c r="M1758" s="319">
        <f t="array" aca="1" ref="M1758" ca="1">SUM((G.30.assumptions.SpecificProcessCO2EmissionsAfterProcessImprovements[[#This Row],[Description]]=G.30.assumptions.SpecificProcessCO2EmissionsAfterProductManufacturingEfficiency[Description])
        *INDIRECT("G.30.assumptions.SpecificProcessCO2EmissionsAfterProductManufacturingEfficiency["&amp;M$1754&amp;"]"))</f>
        <v>-0.64076252090374297</v>
      </c>
      <c r="N1758" s="319">
        <f t="array" aca="1" ref="N1758" ca="1">SUM((G.30.assumptions.SpecificProcessCO2EmissionsAfterProcessImprovements[[#This Row],[Description]]=G.30.assumptions.SpecificProcessCO2EmissionsAfterProductManufacturingEfficiency[Description])
        *INDIRECT("G.30.assumptions.SpecificProcessCO2EmissionsAfterProductManufacturingEfficiency["&amp;N$1754&amp;"]"))</f>
        <v>-0.66734592585032093</v>
      </c>
      <c r="O1758" s="319">
        <f t="array" aca="1" ref="O1758" ca="1">SUM((G.30.assumptions.SpecificProcessCO2EmissionsAfterProcessImprovements[[#This Row],[Description]]=G.30.assumptions.SpecificProcessCO2EmissionsAfterProductManufacturingEfficiency[Description])
        *INDIRECT("G.30.assumptions.SpecificProcessCO2EmissionsAfterProductManufacturingEfficiency["&amp;O$1754&amp;"]"))</f>
        <v>-0.69438223230160823</v>
      </c>
      <c r="P1758" s="319">
        <f t="array" aca="1" ref="P1758" ca="1">SUM((G.30.assumptions.SpecificProcessCO2EmissionsAfterProcessImprovements[[#This Row],[Description]]=G.30.assumptions.SpecificProcessCO2EmissionsAfterProductManufacturingEfficiency[Description])
        *INDIRECT("G.30.assumptions.SpecificProcessCO2EmissionsAfterProductManufacturingEfficiency["&amp;P$1754&amp;"]"))</f>
        <v>-0.72187144025760397</v>
      </c>
      <c r="Q1758" s="319">
        <f t="array" aca="1" ref="Q1758" ca="1">SUM((G.30.assumptions.SpecificProcessCO2EmissionsAfterProcessImprovements[[#This Row],[Description]]=G.30.assumptions.SpecificProcessCO2EmissionsAfterProductManufacturingEfficiency[Description])
        *INDIRECT("G.30.assumptions.SpecificProcessCO2EmissionsAfterProductManufacturingEfficiency["&amp;Q$1754&amp;"]"))</f>
        <v>-0.74981354971830838</v>
      </c>
      <c r="R1758" s="121"/>
      <c r="S1758" s="179"/>
      <c r="T1758" s="251"/>
      <c r="V1758" s="179"/>
      <c r="W1758" s="179"/>
    </row>
    <row r="1759" spans="1:24" s="65" customFormat="1" ht="15" customHeight="1" outlineLevel="2">
      <c r="A1759" s="219"/>
      <c r="B1759" s="121"/>
      <c r="C1759" s="251"/>
      <c r="D1759" s="251" t="s">
        <v>1989</v>
      </c>
      <c r="E1759" s="242"/>
      <c r="F1759" s="121"/>
      <c r="G1759" s="315" t="s">
        <v>1939</v>
      </c>
      <c r="H1759" s="242"/>
      <c r="I1759" s="319">
        <f t="array" aca="1" ref="I1759" ca="1">SUM((G.30.assumptions.SpecificProcessCO2EmissionsAfterProcessImprovements[[#This Row],[Description]]=G.30.assumptions.SpecificProcessCO2EmissionsAfterProductManufacturingEfficiency[Description])
        *INDIRECT("G.30.assumptions.SpecificProcessCO2EmissionsAfterProductManufacturingEfficiency["&amp;I$1754&amp;"]"))</f>
        <v>0.56612770196201156</v>
      </c>
      <c r="J1759" s="319">
        <f t="array" aca="1" ref="J1759" ca="1">SUM((G.30.assumptions.SpecificProcessCO2EmissionsAfterProcessImprovements[[#This Row],[Description]]=G.30.assumptions.SpecificProcessCO2EmissionsAfterProductManufacturingEfficiency[Description])
        *INDIRECT("G.30.assumptions.SpecificProcessCO2EmissionsAfterProductManufacturingEfficiency["&amp;J$1754&amp;"]"))</f>
        <v>0.58679364857779637</v>
      </c>
      <c r="K1759" s="319">
        <f t="array" aca="1" ref="K1759" ca="1">SUM((G.30.assumptions.SpecificProcessCO2EmissionsAfterProcessImprovements[[#This Row],[Description]]=G.30.assumptions.SpecificProcessCO2EmissionsAfterProductManufacturingEfficiency[Description])
        *INDIRECT("G.30.assumptions.SpecificProcessCO2EmissionsAfterProductManufacturingEfficiency["&amp;K$1754&amp;"]"))</f>
        <v>0.61305036984823347</v>
      </c>
      <c r="L1759" s="319">
        <f t="array" aca="1" ref="L1759" ca="1">SUM((G.30.assumptions.SpecificProcessCO2EmissionsAfterProcessImprovements[[#This Row],[Description]]=G.30.assumptions.SpecificProcessCO2EmissionsAfterProductManufacturingEfficiency[Description])
        *INDIRECT("G.30.assumptions.SpecificProcessCO2EmissionsAfterProductManufacturingEfficiency["&amp;L$1754&amp;"]"))</f>
        <v>0.63977852223056575</v>
      </c>
      <c r="M1759" s="319">
        <f t="array" aca="1" ref="M1759" ca="1">SUM((G.30.assumptions.SpecificProcessCO2EmissionsAfterProcessImprovements[[#This Row],[Description]]=G.30.assumptions.SpecificProcessCO2EmissionsAfterProductManufacturingEfficiency[Description])
        *INDIRECT("G.30.assumptions.SpecificProcessCO2EmissionsAfterProductManufacturingEfficiency["&amp;M$1754&amp;"]"))</f>
        <v>0.66697810572479377</v>
      </c>
      <c r="N1759" s="319">
        <f t="array" aca="1" ref="N1759" ca="1">SUM((G.30.assumptions.SpecificProcessCO2EmissionsAfterProcessImprovements[[#This Row],[Description]]=G.30.assumptions.SpecificProcessCO2EmissionsAfterProductManufacturingEfficiency[Description])
        *INDIRECT("G.30.assumptions.SpecificProcessCO2EmissionsAfterProductManufacturingEfficiency["&amp;N$1754&amp;"]"))</f>
        <v>0.69464912033091686</v>
      </c>
      <c r="O1759" s="319">
        <f t="array" aca="1" ref="O1759" ca="1">SUM((G.30.assumptions.SpecificProcessCO2EmissionsAfterProcessImprovements[[#This Row],[Description]]=G.30.assumptions.SpecificProcessCO2EmissionsAfterProductManufacturingEfficiency[Description])
        *INDIRECT("G.30.assumptions.SpecificProcessCO2EmissionsAfterProductManufacturingEfficiency["&amp;O$1754&amp;"]"))</f>
        <v>0.7227915660489358</v>
      </c>
      <c r="P1759" s="319">
        <f t="array" aca="1" ref="P1759" ca="1">SUM((G.30.assumptions.SpecificProcessCO2EmissionsAfterProcessImprovements[[#This Row],[Description]]=G.30.assumptions.SpecificProcessCO2EmissionsAfterProductManufacturingEfficiency[Description])
        *INDIRECT("G.30.assumptions.SpecificProcessCO2EmissionsAfterProductManufacturingEfficiency["&amp;P$1754&amp;"]"))</f>
        <v>0.75140544287884992</v>
      </c>
      <c r="Q1759" s="319">
        <f t="array" aca="1" ref="Q1759" ca="1">SUM((G.30.assumptions.SpecificProcessCO2EmissionsAfterProcessImprovements[[#This Row],[Description]]=G.30.assumptions.SpecificProcessCO2EmissionsAfterProductManufacturingEfficiency[Description])
        *INDIRECT("G.30.assumptions.SpecificProcessCO2EmissionsAfterProductManufacturingEfficiency["&amp;Q$1754&amp;"]"))</f>
        <v>0.78049075082065933</v>
      </c>
      <c r="R1759" s="121"/>
      <c r="S1759" s="179"/>
      <c r="T1759" s="251"/>
      <c r="V1759" s="179"/>
      <c r="W1759" s="179"/>
    </row>
    <row r="1760" spans="1:24" s="65" customFormat="1" ht="15" customHeight="1" outlineLevel="2">
      <c r="A1760" s="219"/>
      <c r="B1760" s="121"/>
      <c r="C1760" s="251"/>
      <c r="D1760" s="251" t="s">
        <v>1990</v>
      </c>
      <c r="E1760" s="242"/>
      <c r="F1760" s="121"/>
      <c r="G1760" s="315" t="s">
        <v>1940</v>
      </c>
      <c r="H1760" s="242"/>
      <c r="I1760" s="319">
        <f t="array" aca="1" ref="I1760" ca="1">SUM((G.30.assumptions.SpecificProcessCO2EmissionsAfterProcessImprovements[[#This Row],[Description]]=G.30.assumptions.SpecificProcessCO2EmissionsAfterProductManufacturingEfficiency[Description])
        *INDIRECT("G.30.assumptions.SpecificProcessCO2EmissionsAfterProductManufacturingEfficiency["&amp;I$1754&amp;"]"))</f>
        <v>0.70378288474460216</v>
      </c>
      <c r="J1760" s="319">
        <f t="array" aca="1" ref="J1760" ca="1">SUM((G.30.assumptions.SpecificProcessCO2EmissionsAfterProcessImprovements[[#This Row],[Description]]=G.30.assumptions.SpecificProcessCO2EmissionsAfterProductManufacturingEfficiency[Description])
        *INDIRECT("G.30.assumptions.SpecificProcessCO2EmissionsAfterProductManufacturingEfficiency["&amp;J$1754&amp;"]"))</f>
        <v>0.69403606636115245</v>
      </c>
      <c r="K1760" s="319">
        <f t="array" aca="1" ref="K1760" ca="1">SUM((G.30.assumptions.SpecificProcessCO2EmissionsAfterProcessImprovements[[#This Row],[Description]]=G.30.assumptions.SpecificProcessCO2EmissionsAfterProductManufacturingEfficiency[Description])
        *INDIRECT("G.30.assumptions.SpecificProcessCO2EmissionsAfterProductManufacturingEfficiency["&amp;K$1754&amp;"]"))</f>
        <v>0.68136813367553506</v>
      </c>
      <c r="L1760" s="319">
        <f t="array" aca="1" ref="L1760" ca="1">SUM((G.30.assumptions.SpecificProcessCO2EmissionsAfterProcessImprovements[[#This Row],[Description]]=G.30.assumptions.SpecificProcessCO2EmissionsAfterProductManufacturingEfficiency[Description])
        *INDIRECT("G.30.assumptions.SpecificProcessCO2EmissionsAfterProductManufacturingEfficiency["&amp;L$1754&amp;"]"))</f>
        <v>0.66816196798291161</v>
      </c>
      <c r="M1760" s="319">
        <f t="array" aca="1" ref="M1760" ca="1">SUM((G.30.assumptions.SpecificProcessCO2EmissionsAfterProcessImprovements[[#This Row],[Description]]=G.30.assumptions.SpecificProcessCO2EmissionsAfterProductManufacturingEfficiency[Description])
        *INDIRECT("G.30.assumptions.SpecificProcessCO2EmissionsAfterProductManufacturingEfficiency["&amp;M$1754&amp;"]"))</f>
        <v>0.65441756928328221</v>
      </c>
      <c r="N1760" s="319">
        <f t="array" aca="1" ref="N1760" ca="1">SUM((G.30.assumptions.SpecificProcessCO2EmissionsAfterProcessImprovements[[#This Row],[Description]]=G.30.assumptions.SpecificProcessCO2EmissionsAfterProductManufacturingEfficiency[Description])
        *INDIRECT("G.30.assumptions.SpecificProcessCO2EmissionsAfterProductManufacturingEfficiency["&amp;N$1754&amp;"]"))</f>
        <v>0.64013493757664663</v>
      </c>
      <c r="O1760" s="319">
        <f t="array" aca="1" ref="O1760" ca="1">SUM((G.30.assumptions.SpecificProcessCO2EmissionsAfterProcessImprovements[[#This Row],[Description]]=G.30.assumptions.SpecificProcessCO2EmissionsAfterProductManufacturingEfficiency[Description])
        *INDIRECT("G.30.assumptions.SpecificProcessCO2EmissionsAfterProductManufacturingEfficiency["&amp;O$1754&amp;"]"))</f>
        <v>0.62531407286300511</v>
      </c>
      <c r="P1760" s="319">
        <f t="array" aca="1" ref="P1760" ca="1">SUM((G.30.assumptions.SpecificProcessCO2EmissionsAfterProcessImprovements[[#This Row],[Description]]=G.30.assumptions.SpecificProcessCO2EmissionsAfterProductManufacturingEfficiency[Description])
        *INDIRECT("G.30.assumptions.SpecificProcessCO2EmissionsAfterProductManufacturingEfficiency["&amp;P$1754&amp;"]"))</f>
        <v>0.60995497514235741</v>
      </c>
      <c r="Q1760" s="319">
        <f t="array" aca="1" ref="Q1760" ca="1">SUM((G.30.assumptions.SpecificProcessCO2EmissionsAfterProcessImprovements[[#This Row],[Description]]=G.30.assumptions.SpecificProcessCO2EmissionsAfterProductManufacturingEfficiency[Description])
        *INDIRECT("G.30.assumptions.SpecificProcessCO2EmissionsAfterProductManufacturingEfficiency["&amp;Q$1754&amp;"]"))</f>
        <v>0.59405764441470377</v>
      </c>
      <c r="R1760" s="121"/>
      <c r="S1760" s="179"/>
      <c r="T1760" s="251"/>
      <c r="V1760" s="179"/>
      <c r="W1760" s="179"/>
    </row>
    <row r="1761" spans="1:24" s="65" customFormat="1" ht="15" customHeight="1" outlineLevel="2">
      <c r="A1761" s="219"/>
      <c r="B1761" s="121"/>
      <c r="C1761" s="251"/>
      <c r="D1761" s="251" t="s">
        <v>1991</v>
      </c>
      <c r="E1761" s="242"/>
      <c r="F1761" s="121"/>
      <c r="G1761" s="315" t="s">
        <v>1961</v>
      </c>
      <c r="H1761" s="242"/>
      <c r="I1761" s="319">
        <f t="array" aca="1" ref="I1761" ca="1">SUM((G.30.assumptions.SpecificProcessCO2EmissionsAfterProcessImprovements[[#This Row],[Description]]=G.30.assumptions.SpecificProcessCO2EmissionsAfterProductManufacturingEfficiency[Description])
        *INDIRECT("G.30.assumptions.SpecificProcessCO2EmissionsAfterProductManufacturingEfficiency["&amp;I$1754&amp;"]"))</f>
        <v>-3.293387109951563</v>
      </c>
      <c r="J1761" s="319">
        <f t="array" aca="1" ref="J1761" ca="1">SUM((G.30.assumptions.SpecificProcessCO2EmissionsAfterProcessImprovements[[#This Row],[Description]]=G.30.assumptions.SpecificProcessCO2EmissionsAfterProductManufacturingEfficiency[Description])
        *INDIRECT("G.30.assumptions.SpecificProcessCO2EmissionsAfterProductManufacturingEfficiency["&amp;J$1754&amp;"]"))</f>
        <v>-3.3271654392843995</v>
      </c>
      <c r="K1761" s="319">
        <f t="array" aca="1" ref="K1761" ca="1">SUM((G.30.assumptions.SpecificProcessCO2EmissionsAfterProcessImprovements[[#This Row],[Description]]=G.30.assumptions.SpecificProcessCO2EmissionsAfterProductManufacturingEfficiency[Description])
        *INDIRECT("G.30.assumptions.SpecificProcessCO2EmissionsAfterProductManufacturingEfficiency["&amp;K$1754&amp;"]"))</f>
        <v>-3.369388350950445</v>
      </c>
      <c r="L1761" s="319">
        <f t="array" aca="1" ref="L1761" ca="1">SUM((G.30.assumptions.SpecificProcessCO2EmissionsAfterProcessImprovements[[#This Row],[Description]]=G.30.assumptions.SpecificProcessCO2EmissionsAfterProductManufacturingEfficiency[Description])
        *INDIRECT("G.30.assumptions.SpecificProcessCO2EmissionsAfterProductManufacturingEfficiency["&amp;L$1754&amp;"]"))</f>
        <v>-3.4116112626164914</v>
      </c>
      <c r="M1761" s="319">
        <f t="array" aca="1" ref="M1761" ca="1">SUM((G.30.assumptions.SpecificProcessCO2EmissionsAfterProcessImprovements[[#This Row],[Description]]=G.30.assumptions.SpecificProcessCO2EmissionsAfterProductManufacturingEfficiency[Description])
        *INDIRECT("G.30.assumptions.SpecificProcessCO2EmissionsAfterProductManufacturingEfficiency["&amp;M$1754&amp;"]"))</f>
        <v>-3.4538341742825369</v>
      </c>
      <c r="N1761" s="319">
        <f t="array" aca="1" ref="N1761" ca="1">SUM((G.30.assumptions.SpecificProcessCO2EmissionsAfterProcessImprovements[[#This Row],[Description]]=G.30.assumptions.SpecificProcessCO2EmissionsAfterProductManufacturingEfficiency[Description])
        *INDIRECT("G.30.assumptions.SpecificProcessCO2EmissionsAfterProductManufacturingEfficiency["&amp;N$1754&amp;"]"))</f>
        <v>-3.4960570859485824</v>
      </c>
      <c r="O1761" s="319">
        <f t="array" aca="1" ref="O1761" ca="1">SUM((G.30.assumptions.SpecificProcessCO2EmissionsAfterProcessImprovements[[#This Row],[Description]]=G.30.assumptions.SpecificProcessCO2EmissionsAfterProductManufacturingEfficiency[Description])
        *INDIRECT("G.30.assumptions.SpecificProcessCO2EmissionsAfterProductManufacturingEfficiency["&amp;O$1754&amp;"]"))</f>
        <v>-3.5382799976146289</v>
      </c>
      <c r="P1761" s="319">
        <f t="array" aca="1" ref="P1761" ca="1">SUM((G.30.assumptions.SpecificProcessCO2EmissionsAfterProcessImprovements[[#This Row],[Description]]=G.30.assumptions.SpecificProcessCO2EmissionsAfterProductManufacturingEfficiency[Description])
        *INDIRECT("G.30.assumptions.SpecificProcessCO2EmissionsAfterProductManufacturingEfficiency["&amp;P$1754&amp;"]"))</f>
        <v>-3.5805029092806744</v>
      </c>
      <c r="Q1761" s="319">
        <f t="array" aca="1" ref="Q1761" ca="1">SUM((G.30.assumptions.SpecificProcessCO2EmissionsAfterProcessImprovements[[#This Row],[Description]]=G.30.assumptions.SpecificProcessCO2EmissionsAfterProductManufacturingEfficiency[Description])
        *INDIRECT("G.30.assumptions.SpecificProcessCO2EmissionsAfterProductManufacturingEfficiency["&amp;Q$1754&amp;"]"))</f>
        <v>-3.6227258209467199</v>
      </c>
      <c r="R1761" s="121"/>
      <c r="S1761" s="179"/>
      <c r="T1761" s="251"/>
      <c r="V1761" s="179"/>
      <c r="W1761" s="179"/>
    </row>
    <row r="1762" spans="1:24" s="65" customFormat="1" ht="15" customHeight="1" outlineLevel="2">
      <c r="A1762" s="219"/>
      <c r="B1762" s="121"/>
      <c r="C1762" s="251"/>
      <c r="D1762" s="251" t="s">
        <v>1992</v>
      </c>
      <c r="E1762" s="242"/>
      <c r="F1762" s="121"/>
      <c r="G1762" s="315" t="s">
        <v>1962</v>
      </c>
      <c r="H1762" s="242"/>
      <c r="I1762" s="319">
        <f t="array" aca="1" ref="I1762" ca="1">SUM((G.30.assumptions.SpecificProcessCO2EmissionsAfterProcessImprovements[[#This Row],[Description]]=G.30.assumptions.SpecificProcessCO2EmissionsAfterProductManufacturingEfficiency[Description])
        *INDIRECT("G.30.assumptions.SpecificProcessCO2EmissionsAfterProductManufacturingEfficiency["&amp;I$1754&amp;"]"))</f>
        <v>-0.53299346790018109</v>
      </c>
      <c r="J1762" s="319">
        <f t="array" aca="1" ref="J1762" ca="1">SUM((G.30.assumptions.SpecificProcessCO2EmissionsAfterProcessImprovements[[#This Row],[Description]]=G.30.assumptions.SpecificProcessCO2EmissionsAfterProductManufacturingEfficiency[Description])
        *INDIRECT("G.30.assumptions.SpecificProcessCO2EmissionsAfterProductManufacturingEfficiency["&amp;J$1754&amp;"]"))</f>
        <v>-0.53846006757095211</v>
      </c>
      <c r="K1762" s="319">
        <f t="array" aca="1" ref="K1762" ca="1">SUM((G.30.assumptions.SpecificProcessCO2EmissionsAfterProcessImprovements[[#This Row],[Description]]=G.30.assumptions.SpecificProcessCO2EmissionsAfterProductManufacturingEfficiency[Description])
        *INDIRECT("G.30.assumptions.SpecificProcessCO2EmissionsAfterProductManufacturingEfficiency["&amp;K$1754&amp;"]"))</f>
        <v>-0.54529331715941598</v>
      </c>
      <c r="L1762" s="319">
        <f t="array" aca="1" ref="L1762" ca="1">SUM((G.30.assumptions.SpecificProcessCO2EmissionsAfterProcessImprovements[[#This Row],[Description]]=G.30.assumptions.SpecificProcessCO2EmissionsAfterProductManufacturingEfficiency[Description])
        *INDIRECT("G.30.assumptions.SpecificProcessCO2EmissionsAfterProductManufacturingEfficiency["&amp;L$1754&amp;"]"))</f>
        <v>-0.55212656674787997</v>
      </c>
      <c r="M1762" s="319">
        <f t="array" aca="1" ref="M1762" ca="1">SUM((G.30.assumptions.SpecificProcessCO2EmissionsAfterProcessImprovements[[#This Row],[Description]]=G.30.assumptions.SpecificProcessCO2EmissionsAfterProductManufacturingEfficiency[Description])
        *INDIRECT("G.30.assumptions.SpecificProcessCO2EmissionsAfterProductManufacturingEfficiency["&amp;M$1754&amp;"]"))</f>
        <v>-0.55895981633634373</v>
      </c>
      <c r="N1762" s="319">
        <f t="array" aca="1" ref="N1762" ca="1">SUM((G.30.assumptions.SpecificProcessCO2EmissionsAfterProcessImprovements[[#This Row],[Description]]=G.30.assumptions.SpecificProcessCO2EmissionsAfterProductManufacturingEfficiency[Description])
        *INDIRECT("G.30.assumptions.SpecificProcessCO2EmissionsAfterProductManufacturingEfficiency["&amp;N$1754&amp;"]"))</f>
        <v>-0.5657930659248076</v>
      </c>
      <c r="O1762" s="319">
        <f t="array" aca="1" ref="O1762" ca="1">SUM((G.30.assumptions.SpecificProcessCO2EmissionsAfterProcessImprovements[[#This Row],[Description]]=G.30.assumptions.SpecificProcessCO2EmissionsAfterProductManufacturingEfficiency[Description])
        *INDIRECT("G.30.assumptions.SpecificProcessCO2EmissionsAfterProductManufacturingEfficiency["&amp;O$1754&amp;"]"))</f>
        <v>-0.57262631551327159</v>
      </c>
      <c r="P1762" s="319">
        <f t="array" aca="1" ref="P1762" ca="1">SUM((G.30.assumptions.SpecificProcessCO2EmissionsAfterProcessImprovements[[#This Row],[Description]]=G.30.assumptions.SpecificProcessCO2EmissionsAfterProductManufacturingEfficiency[Description])
        *INDIRECT("G.30.assumptions.SpecificProcessCO2EmissionsAfterProductManufacturingEfficiency["&amp;P$1754&amp;"]"))</f>
        <v>-0.57945956510173535</v>
      </c>
      <c r="Q1762" s="319">
        <f t="array" aca="1" ref="Q1762" ca="1">SUM((G.30.assumptions.SpecificProcessCO2EmissionsAfterProcessImprovements[[#This Row],[Description]]=G.30.assumptions.SpecificProcessCO2EmissionsAfterProductManufacturingEfficiency[Description])
        *INDIRECT("G.30.assumptions.SpecificProcessCO2EmissionsAfterProductManufacturingEfficiency["&amp;Q$1754&amp;"]"))</f>
        <v>-0.58629281469019923</v>
      </c>
      <c r="R1762" s="121"/>
      <c r="S1762" s="179"/>
      <c r="T1762" s="251"/>
      <c r="V1762" s="179"/>
      <c r="W1762" s="179"/>
    </row>
    <row r="1763" spans="1:24" s="65" customFormat="1" ht="15" customHeight="1" outlineLevel="2">
      <c r="A1763" s="219"/>
      <c r="B1763" s="121"/>
      <c r="C1763" s="251"/>
      <c r="D1763" s="251" t="s">
        <v>1993</v>
      </c>
      <c r="E1763" s="242"/>
      <c r="F1763" s="121"/>
      <c r="G1763" s="315" t="s">
        <v>1963</v>
      </c>
      <c r="H1763" s="242"/>
      <c r="I1763" s="319">
        <f t="array" aca="1" ref="I1763" ca="1">SUM((G.30.assumptions.SpecificProcessCO2EmissionsAfterProcessImprovements[[#This Row],[Description]]=G.30.assumptions.SpecificProcessCO2EmissionsAfterProductManufacturingEfficiency[Description])
        *INDIRECT("G.30.assumptions.SpecificProcessCO2EmissionsAfterProductManufacturingEfficiency["&amp;I$1754&amp;"]"))</f>
        <v>3.1222089796594057</v>
      </c>
      <c r="J1763" s="319">
        <f t="array" aca="1" ref="J1763" ca="1">SUM((G.30.assumptions.SpecificProcessCO2EmissionsAfterProcessImprovements[[#This Row],[Description]]=G.30.assumptions.SpecificProcessCO2EmissionsAfterProductManufacturingEfficiency[Description])
        *INDIRECT("G.30.assumptions.SpecificProcessCO2EmissionsAfterProductManufacturingEfficiency["&amp;J$1754&amp;"]"))</f>
        <v>3.1542316358610405</v>
      </c>
      <c r="K1763" s="319">
        <f t="array" aca="1" ref="K1763" ca="1">SUM((G.30.assumptions.SpecificProcessCO2EmissionsAfterProcessImprovements[[#This Row],[Description]]=G.30.assumptions.SpecificProcessCO2EmissionsAfterProductManufacturingEfficiency[Description])
        *INDIRECT("G.30.assumptions.SpecificProcessCO2EmissionsAfterProductManufacturingEfficiency["&amp;K$1754&amp;"]"))</f>
        <v>3.194259956113084</v>
      </c>
      <c r="L1763" s="319">
        <f t="array" aca="1" ref="L1763" ca="1">SUM((G.30.assumptions.SpecificProcessCO2EmissionsAfterProcessImprovements[[#This Row],[Description]]=G.30.assumptions.SpecificProcessCO2EmissionsAfterProductManufacturingEfficiency[Description])
        *INDIRECT("G.30.assumptions.SpecificProcessCO2EmissionsAfterProductManufacturingEfficiency["&amp;L$1754&amp;"]"))</f>
        <v>3.2342882763651284</v>
      </c>
      <c r="M1763" s="319">
        <f t="array" aca="1" ref="M1763" ca="1">SUM((G.30.assumptions.SpecificProcessCO2EmissionsAfterProcessImprovements[[#This Row],[Description]]=G.30.assumptions.SpecificProcessCO2EmissionsAfterProductManufacturingEfficiency[Description])
        *INDIRECT("G.30.assumptions.SpecificProcessCO2EmissionsAfterProductManufacturingEfficiency["&amp;M$1754&amp;"]"))</f>
        <v>3.2743165966171719</v>
      </c>
      <c r="N1763" s="319">
        <f t="array" aca="1" ref="N1763" ca="1">SUM((G.30.assumptions.SpecificProcessCO2EmissionsAfterProcessImprovements[[#This Row],[Description]]=G.30.assumptions.SpecificProcessCO2EmissionsAfterProductManufacturingEfficiency[Description])
        *INDIRECT("G.30.assumptions.SpecificProcessCO2EmissionsAfterProductManufacturingEfficiency["&amp;N$1754&amp;"]"))</f>
        <v>3.3143449168692154</v>
      </c>
      <c r="O1763" s="319">
        <f t="array" aca="1" ref="O1763" ca="1">SUM((G.30.assumptions.SpecificProcessCO2EmissionsAfterProcessImprovements[[#This Row],[Description]]=G.30.assumptions.SpecificProcessCO2EmissionsAfterProductManufacturingEfficiency[Description])
        *INDIRECT("G.30.assumptions.SpecificProcessCO2EmissionsAfterProductManufacturingEfficiency["&amp;O$1754&amp;"]"))</f>
        <v>3.3543732371212598</v>
      </c>
      <c r="P1763" s="319">
        <f t="array" aca="1" ref="P1763" ca="1">SUM((G.30.assumptions.SpecificProcessCO2EmissionsAfterProcessImprovements[[#This Row],[Description]]=G.30.assumptions.SpecificProcessCO2EmissionsAfterProductManufacturingEfficiency[Description])
        *INDIRECT("G.30.assumptions.SpecificProcessCO2EmissionsAfterProductManufacturingEfficiency["&amp;P$1754&amp;"]"))</f>
        <v>3.3944015573733033</v>
      </c>
      <c r="Q1763" s="319">
        <f t="array" aca="1" ref="Q1763" ca="1">SUM((G.30.assumptions.SpecificProcessCO2EmissionsAfterProcessImprovements[[#This Row],[Description]]=G.30.assumptions.SpecificProcessCO2EmissionsAfterProductManufacturingEfficiency[Description])
        *INDIRECT("G.30.assumptions.SpecificProcessCO2EmissionsAfterProductManufacturingEfficiency["&amp;Q$1754&amp;"]"))</f>
        <v>3.4344298776253468</v>
      </c>
      <c r="R1763" s="121"/>
      <c r="S1763" s="179"/>
      <c r="T1763" s="251"/>
      <c r="V1763" s="179"/>
      <c r="W1763" s="179"/>
    </row>
    <row r="1764" spans="1:24" s="65" customFormat="1" ht="15" customHeight="1" outlineLevel="2">
      <c r="A1764" s="219"/>
      <c r="B1764" s="121"/>
      <c r="C1764" s="251"/>
      <c r="D1764" s="251" t="s">
        <v>1994</v>
      </c>
      <c r="E1764" s="242"/>
      <c r="F1764" s="121"/>
      <c r="G1764" s="251" t="s">
        <v>1964</v>
      </c>
      <c r="H1764" s="242"/>
      <c r="I1764" s="319">
        <f t="array" aca="1" ref="I1764" ca="1">SUM((G.30.assumptions.SpecificProcessCO2EmissionsAfterProcessImprovements[[#This Row],[Description]]=G.30.assumptions.SpecificProcessCO2EmissionsAfterProductManufacturingEfficiency[Description])
        *INDIRECT("G.30.assumptions.SpecificProcessCO2EmissionsAfterProductManufacturingEfficiency["&amp;I$1754&amp;"]"))</f>
        <v>-0.5970978743360067</v>
      </c>
      <c r="J1764" s="319">
        <f t="array" aca="1" ref="J1764" ca="1">SUM((G.30.assumptions.SpecificProcessCO2EmissionsAfterProcessImprovements[[#This Row],[Description]]=G.30.assumptions.SpecificProcessCO2EmissionsAfterProductManufacturingEfficiency[Description])
        *INDIRECT("G.30.assumptions.SpecificProcessCO2EmissionsAfterProductManufacturingEfficiency["&amp;J$1754&amp;"]"))</f>
        <v>-0.60322195509842724</v>
      </c>
      <c r="K1764" s="319">
        <f t="array" aca="1" ref="K1764" ca="1">SUM((G.30.assumptions.SpecificProcessCO2EmissionsAfterProcessImprovements[[#This Row],[Description]]=G.30.assumptions.SpecificProcessCO2EmissionsAfterProductManufacturingEfficiency[Description])
        *INDIRECT("G.30.assumptions.SpecificProcessCO2EmissionsAfterProductManufacturingEfficiency["&amp;K$1754&amp;"]"))</f>
        <v>-0.61087705605145293</v>
      </c>
      <c r="L1764" s="319">
        <f t="array" aca="1" ref="L1764" ca="1">SUM((G.30.assumptions.SpecificProcessCO2EmissionsAfterProcessImprovements[[#This Row],[Description]]=G.30.assumptions.SpecificProcessCO2EmissionsAfterProductManufacturingEfficiency[Description])
        *INDIRECT("G.30.assumptions.SpecificProcessCO2EmissionsAfterProductManufacturingEfficiency["&amp;L$1754&amp;"]"))</f>
        <v>-0.61853215700447872</v>
      </c>
      <c r="M1764" s="319">
        <f t="array" aca="1" ref="M1764" ca="1">SUM((G.30.assumptions.SpecificProcessCO2EmissionsAfterProcessImprovements[[#This Row],[Description]]=G.30.assumptions.SpecificProcessCO2EmissionsAfterProductManufacturingEfficiency[Description])
        *INDIRECT("G.30.assumptions.SpecificProcessCO2EmissionsAfterProductManufacturingEfficiency["&amp;M$1754&amp;"]"))</f>
        <v>-0.62618725795750441</v>
      </c>
      <c r="N1764" s="319">
        <f t="array" aca="1" ref="N1764" ca="1">SUM((G.30.assumptions.SpecificProcessCO2EmissionsAfterProcessImprovements[[#This Row],[Description]]=G.30.assumptions.SpecificProcessCO2EmissionsAfterProductManufacturingEfficiency[Description])
        *INDIRECT("G.30.assumptions.SpecificProcessCO2EmissionsAfterProductManufacturingEfficiency["&amp;N$1754&amp;"]"))</f>
        <v>-0.63384235891053009</v>
      </c>
      <c r="O1764" s="319">
        <f t="array" aca="1" ref="O1764" ca="1">SUM((G.30.assumptions.SpecificProcessCO2EmissionsAfterProcessImprovements[[#This Row],[Description]]=G.30.assumptions.SpecificProcessCO2EmissionsAfterProductManufacturingEfficiency[Description])
        *INDIRECT("G.30.assumptions.SpecificProcessCO2EmissionsAfterProductManufacturingEfficiency["&amp;O$1754&amp;"]"))</f>
        <v>-0.641497459863556</v>
      </c>
      <c r="P1764" s="319">
        <f t="array" aca="1" ref="P1764" ca="1">SUM((G.30.assumptions.SpecificProcessCO2EmissionsAfterProcessImprovements[[#This Row],[Description]]=G.30.assumptions.SpecificProcessCO2EmissionsAfterProductManufacturingEfficiency[Description])
        *INDIRECT("G.30.assumptions.SpecificProcessCO2EmissionsAfterProductManufacturingEfficiency["&amp;P$1754&amp;"]"))</f>
        <v>-0.64915256081658168</v>
      </c>
      <c r="Q1764" s="319">
        <f t="array" aca="1" ref="Q1764" ca="1">SUM((G.30.assumptions.SpecificProcessCO2EmissionsAfterProcessImprovements[[#This Row],[Description]]=G.30.assumptions.SpecificProcessCO2EmissionsAfterProductManufacturingEfficiency[Description])
        *INDIRECT("G.30.assumptions.SpecificProcessCO2EmissionsAfterProductManufacturingEfficiency["&amp;Q$1754&amp;"]"))</f>
        <v>-0.65680766176960736</v>
      </c>
      <c r="R1764" s="121"/>
      <c r="S1764" s="179"/>
      <c r="T1764" s="251"/>
      <c r="V1764" s="179"/>
      <c r="W1764" s="179"/>
    </row>
    <row r="1765" spans="1:24" s="65" customFormat="1" ht="15" customHeight="1" outlineLevel="2">
      <c r="A1765" s="219"/>
      <c r="B1765" s="121"/>
      <c r="C1765" s="251"/>
      <c r="D1765" s="251" t="s">
        <v>1995</v>
      </c>
      <c r="E1765" s="242"/>
      <c r="F1765" s="121"/>
      <c r="G1765" s="315" t="s">
        <v>1954</v>
      </c>
      <c r="H1765" s="242"/>
      <c r="I1765" s="319">
        <f t="array" aca="1" ref="I1765" ca="1">SUM((G.30.assumptions.SpecificProcessCO2EmissionsAfterProcessImprovements[[#This Row],[Description]]=G.30.assumptions.SpecificProcessCO2EmissionsAfterProductManufacturingEfficiency[Description])
        *INDIRECT("G.30.assumptions.SpecificProcessCO2EmissionsAfterProductManufacturingEfficiency["&amp;I$1754&amp;"]"))</f>
        <v>-0.10236263666932323</v>
      </c>
      <c r="J1765" s="319">
        <f t="array" aca="1" ref="J1765" ca="1">SUM((G.30.assumptions.SpecificProcessCO2EmissionsAfterProcessImprovements[[#This Row],[Description]]=G.30.assumptions.SpecificProcessCO2EmissionsAfterProductManufacturingEfficiency[Description])
        *INDIRECT("G.30.assumptions.SpecificProcessCO2EmissionsAfterProductManufacturingEfficiency["&amp;J$1754&amp;"]"))</f>
        <v>-0.10341250986593167</v>
      </c>
      <c r="K1765" s="319">
        <f t="array" aca="1" ref="K1765" ca="1">SUM((G.30.assumptions.SpecificProcessCO2EmissionsAfterProcessImprovements[[#This Row],[Description]]=G.30.assumptions.SpecificProcessCO2EmissionsAfterProductManufacturingEfficiency[Description])
        *INDIRECT("G.30.assumptions.SpecificProcessCO2EmissionsAfterProductManufacturingEfficiency["&amp;K$1754&amp;"]"))</f>
        <v>-0.10472485136169223</v>
      </c>
      <c r="L1765" s="319">
        <f t="array" aca="1" ref="L1765" ca="1">SUM((G.30.assumptions.SpecificProcessCO2EmissionsAfterProcessImprovements[[#This Row],[Description]]=G.30.assumptions.SpecificProcessCO2EmissionsAfterProductManufacturingEfficiency[Description])
        *INDIRECT("G.30.assumptions.SpecificProcessCO2EmissionsAfterProductManufacturingEfficiency["&amp;L$1754&amp;"]"))</f>
        <v>-0.10603719285745282</v>
      </c>
      <c r="M1765" s="319">
        <f t="array" aca="1" ref="M1765" ca="1">SUM((G.30.assumptions.SpecificProcessCO2EmissionsAfterProcessImprovements[[#This Row],[Description]]=G.30.assumptions.SpecificProcessCO2EmissionsAfterProductManufacturingEfficiency[Description])
        *INDIRECT("G.30.assumptions.SpecificProcessCO2EmissionsAfterProductManufacturingEfficiency["&amp;M$1754&amp;"]"))</f>
        <v>-0.10734953435321336</v>
      </c>
      <c r="N1765" s="319">
        <f t="array" aca="1" ref="N1765" ca="1">SUM((G.30.assumptions.SpecificProcessCO2EmissionsAfterProcessImprovements[[#This Row],[Description]]=G.30.assumptions.SpecificProcessCO2EmissionsAfterProductManufacturingEfficiency[Description])
        *INDIRECT("G.30.assumptions.SpecificProcessCO2EmissionsAfterProductManufacturingEfficiency["&amp;N$1754&amp;"]"))</f>
        <v>-0.1086618758489739</v>
      </c>
      <c r="O1765" s="319">
        <f t="array" aca="1" ref="O1765" ca="1">SUM((G.30.assumptions.SpecificProcessCO2EmissionsAfterProcessImprovements[[#This Row],[Description]]=G.30.assumptions.SpecificProcessCO2EmissionsAfterProductManufacturingEfficiency[Description])
        *INDIRECT("G.30.assumptions.SpecificProcessCO2EmissionsAfterProductManufacturingEfficiency["&amp;O$1754&amp;"]"))</f>
        <v>-0.10997421734473448</v>
      </c>
      <c r="P1765" s="319">
        <f t="array" aca="1" ref="P1765" ca="1">SUM((G.30.assumptions.SpecificProcessCO2EmissionsAfterProcessImprovements[[#This Row],[Description]]=G.30.assumptions.SpecificProcessCO2EmissionsAfterProductManufacturingEfficiency[Description])
        *INDIRECT("G.30.assumptions.SpecificProcessCO2EmissionsAfterProductManufacturingEfficiency["&amp;P$1754&amp;"]"))</f>
        <v>-0.11128655884049503</v>
      </c>
      <c r="Q1765" s="319">
        <f t="array" aca="1" ref="Q1765" ca="1">SUM((G.30.assumptions.SpecificProcessCO2EmissionsAfterProcessImprovements[[#This Row],[Description]]=G.30.assumptions.SpecificProcessCO2EmissionsAfterProductManufacturingEfficiency[Description])
        *INDIRECT("G.30.assumptions.SpecificProcessCO2EmissionsAfterProductManufacturingEfficiency["&amp;Q$1754&amp;"]"))</f>
        <v>-0.11259890033625557</v>
      </c>
      <c r="R1765" s="121"/>
      <c r="S1765" s="179"/>
      <c r="T1765" s="251"/>
      <c r="V1765" s="179"/>
      <c r="W1765" s="179"/>
    </row>
    <row r="1766" spans="1:24" s="65" customFormat="1" ht="15" customHeight="1" outlineLevel="2">
      <c r="A1766" s="219"/>
      <c r="B1766" s="121"/>
      <c r="C1766" s="251"/>
      <c r="D1766" s="251" t="s">
        <v>1996</v>
      </c>
      <c r="E1766" s="242"/>
      <c r="F1766" s="121"/>
      <c r="G1766" s="251" t="s">
        <v>1955</v>
      </c>
      <c r="H1766" s="242"/>
      <c r="I1766" s="319">
        <f t="array" aca="1" ref="I1766" ca="1">SUM((G.30.assumptions.SpecificProcessCO2EmissionsAfterProcessImprovements[[#This Row],[Description]]=G.30.assumptions.SpecificProcessCO2EmissionsAfterProductManufacturingEfficiency[Description])
        *INDIRECT("G.30.assumptions.SpecificProcessCO2EmissionsAfterProductManufacturingEfficiency["&amp;I$1754&amp;"]"))</f>
        <v>-1.4826754676830483</v>
      </c>
      <c r="J1766" s="319">
        <f t="array" aca="1" ref="J1766" ca="1">SUM((G.30.assumptions.SpecificProcessCO2EmissionsAfterProcessImprovements[[#This Row],[Description]]=G.30.assumptions.SpecificProcessCO2EmissionsAfterProductManufacturingEfficiency[Description])
        *INDIRECT("G.30.assumptions.SpecificProcessCO2EmissionsAfterProductManufacturingEfficiency["&amp;J$1754&amp;"]"))</f>
        <v>-1.4978823955567204</v>
      </c>
      <c r="K1766" s="319">
        <f t="array" aca="1" ref="K1766" ca="1">SUM((G.30.assumptions.SpecificProcessCO2EmissionsAfterProcessImprovements[[#This Row],[Description]]=G.30.assumptions.SpecificProcessCO2EmissionsAfterProductManufacturingEfficiency[Description])
        *INDIRECT("G.30.assumptions.SpecificProcessCO2EmissionsAfterProductManufacturingEfficiency["&amp;K$1754&amp;"]"))</f>
        <v>-1.5168910553988109</v>
      </c>
      <c r="L1766" s="319">
        <f t="array" aca="1" ref="L1766" ca="1">SUM((G.30.assumptions.SpecificProcessCO2EmissionsAfterProcessImprovements[[#This Row],[Description]]=G.30.assumptions.SpecificProcessCO2EmissionsAfterProductManufacturingEfficiency[Description])
        *INDIRECT("G.30.assumptions.SpecificProcessCO2EmissionsAfterProductManufacturingEfficiency["&amp;L$1754&amp;"]"))</f>
        <v>-1.5358997152409015</v>
      </c>
      <c r="M1766" s="319">
        <f t="array" aca="1" ref="M1766" ca="1">SUM((G.30.assumptions.SpecificProcessCO2EmissionsAfterProcessImprovements[[#This Row],[Description]]=G.30.assumptions.SpecificProcessCO2EmissionsAfterProductManufacturingEfficiency[Description])
        *INDIRECT("G.30.assumptions.SpecificProcessCO2EmissionsAfterProductManufacturingEfficiency["&amp;M$1754&amp;"]"))</f>
        <v>-1.5549083750829917</v>
      </c>
      <c r="N1766" s="319">
        <f t="array" aca="1" ref="N1766" ca="1">SUM((G.30.assumptions.SpecificProcessCO2EmissionsAfterProcessImprovements[[#This Row],[Description]]=G.30.assumptions.SpecificProcessCO2EmissionsAfterProductManufacturingEfficiency[Description])
        *INDIRECT("G.30.assumptions.SpecificProcessCO2EmissionsAfterProductManufacturingEfficiency["&amp;N$1754&amp;"]"))</f>
        <v>-1.5739170349250822</v>
      </c>
      <c r="O1766" s="319">
        <f t="array" aca="1" ref="O1766" ca="1">SUM((G.30.assumptions.SpecificProcessCO2EmissionsAfterProcessImprovements[[#This Row],[Description]]=G.30.assumptions.SpecificProcessCO2EmissionsAfterProductManufacturingEfficiency[Description])
        *INDIRECT("G.30.assumptions.SpecificProcessCO2EmissionsAfterProductManufacturingEfficiency["&amp;O$1754&amp;"]"))</f>
        <v>-1.5929256947671726</v>
      </c>
      <c r="P1766" s="319">
        <f t="array" aca="1" ref="P1766" ca="1">SUM((G.30.assumptions.SpecificProcessCO2EmissionsAfterProcessImprovements[[#This Row],[Description]]=G.30.assumptions.SpecificProcessCO2EmissionsAfterProductManufacturingEfficiency[Description])
        *INDIRECT("G.30.assumptions.SpecificProcessCO2EmissionsAfterProductManufacturingEfficiency["&amp;P$1754&amp;"]"))</f>
        <v>-1.611934354609263</v>
      </c>
      <c r="Q1766" s="319">
        <f t="array" aca="1" ref="Q1766" ca="1">SUM((G.30.assumptions.SpecificProcessCO2EmissionsAfterProcessImprovements[[#This Row],[Description]]=G.30.assumptions.SpecificProcessCO2EmissionsAfterProductManufacturingEfficiency[Description])
        *INDIRECT("G.30.assumptions.SpecificProcessCO2EmissionsAfterProductManufacturingEfficiency["&amp;Q$1754&amp;"]"))</f>
        <v>-1.630943014451353</v>
      </c>
      <c r="R1766" s="121"/>
      <c r="S1766" s="179"/>
      <c r="T1766" s="251"/>
      <c r="V1766" s="179"/>
      <c r="W1766" s="179"/>
    </row>
    <row r="1767" spans="1:24" s="65" customFormat="1" ht="15" customHeight="1" outlineLevel="2">
      <c r="A1767" s="219"/>
      <c r="B1767" s="121"/>
      <c r="C1767" s="251"/>
      <c r="D1767" s="251" t="s">
        <v>1997</v>
      </c>
      <c r="E1767" s="242"/>
      <c r="F1767" s="121"/>
      <c r="G1767" s="251" t="s">
        <v>1956</v>
      </c>
      <c r="H1767" s="242"/>
      <c r="I1767" s="319">
        <f t="array" aca="1" ref="I1767" ca="1">SUM((G.30.assumptions.SpecificProcessCO2EmissionsAfterProcessImprovements[[#This Row],[Description]]=G.30.assumptions.SpecificProcessCO2EmissionsAfterProductManufacturingEfficiency[Description])
        *INDIRECT("G.30.assumptions.SpecificProcessCO2EmissionsAfterProductManufacturingEfficiency["&amp;I$1754&amp;"]"))</f>
        <v>-0.17297587734176467</v>
      </c>
      <c r="J1767" s="319">
        <f t="array" aca="1" ref="J1767" ca="1">SUM((G.30.assumptions.SpecificProcessCO2EmissionsAfterProcessImprovements[[#This Row],[Description]]=G.30.assumptions.SpecificProcessCO2EmissionsAfterProductManufacturingEfficiency[Description])
        *INDIRECT("G.30.assumptions.SpecificProcessCO2EmissionsAfterProductManufacturingEfficiency["&amp;J$1754&amp;"]"))</f>
        <v>-0.17474998890424429</v>
      </c>
      <c r="K1767" s="319">
        <f t="array" aca="1" ref="K1767" ca="1">SUM((G.30.assumptions.SpecificProcessCO2EmissionsAfterProcessImprovements[[#This Row],[Description]]=G.30.assumptions.SpecificProcessCO2EmissionsAfterProductManufacturingEfficiency[Description])
        *INDIRECT("G.30.assumptions.SpecificProcessCO2EmissionsAfterProductManufacturingEfficiency["&amp;K$1754&amp;"]"))</f>
        <v>-0.17696762835734386</v>
      </c>
      <c r="L1767" s="319">
        <f t="array" aca="1" ref="L1767" ca="1">SUM((G.30.assumptions.SpecificProcessCO2EmissionsAfterProcessImprovements[[#This Row],[Description]]=G.30.assumptions.SpecificProcessCO2EmissionsAfterProductManufacturingEfficiency[Description])
        *INDIRECT("G.30.assumptions.SpecificProcessCO2EmissionsAfterProductManufacturingEfficiency["&amp;L$1754&amp;"]"))</f>
        <v>-0.17918526781044344</v>
      </c>
      <c r="M1767" s="319">
        <f t="array" aca="1" ref="M1767" ca="1">SUM((G.30.assumptions.SpecificProcessCO2EmissionsAfterProcessImprovements[[#This Row],[Description]]=G.30.assumptions.SpecificProcessCO2EmissionsAfterProductManufacturingEfficiency[Description])
        *INDIRECT("G.30.assumptions.SpecificProcessCO2EmissionsAfterProductManufacturingEfficiency["&amp;M$1754&amp;"]"))</f>
        <v>-0.18140290726354297</v>
      </c>
      <c r="N1767" s="319">
        <f t="array" aca="1" ref="N1767" ca="1">SUM((G.30.assumptions.SpecificProcessCO2EmissionsAfterProcessImprovements[[#This Row],[Description]]=G.30.assumptions.SpecificProcessCO2EmissionsAfterProductManufacturingEfficiency[Description])
        *INDIRECT("G.30.assumptions.SpecificProcessCO2EmissionsAfterProductManufacturingEfficiency["&amp;N$1754&amp;"]"))</f>
        <v>-0.18362054671664252</v>
      </c>
      <c r="O1767" s="319">
        <f t="array" aca="1" ref="O1767" ca="1">SUM((G.30.assumptions.SpecificProcessCO2EmissionsAfterProcessImprovements[[#This Row],[Description]]=G.30.assumptions.SpecificProcessCO2EmissionsAfterProductManufacturingEfficiency[Description])
        *INDIRECT("G.30.assumptions.SpecificProcessCO2EmissionsAfterProductManufacturingEfficiency["&amp;O$1754&amp;"]"))</f>
        <v>-0.18583818616974207</v>
      </c>
      <c r="P1767" s="319">
        <f t="array" aca="1" ref="P1767" ca="1">SUM((G.30.assumptions.SpecificProcessCO2EmissionsAfterProcessImprovements[[#This Row],[Description]]=G.30.assumptions.SpecificProcessCO2EmissionsAfterProductManufacturingEfficiency[Description])
        *INDIRECT("G.30.assumptions.SpecificProcessCO2EmissionsAfterProductManufacturingEfficiency["&amp;P$1754&amp;"]"))</f>
        <v>-0.18805582562284162</v>
      </c>
      <c r="Q1767" s="319">
        <f t="array" aca="1" ref="Q1767" ca="1">SUM((G.30.assumptions.SpecificProcessCO2EmissionsAfterProcessImprovements[[#This Row],[Description]]=G.30.assumptions.SpecificProcessCO2EmissionsAfterProductManufacturingEfficiency[Description])
        *INDIRECT("G.30.assumptions.SpecificProcessCO2EmissionsAfterProductManufacturingEfficiency["&amp;Q$1754&amp;"]"))</f>
        <v>-0.19027346507594114</v>
      </c>
      <c r="R1767" s="239"/>
      <c r="T1767" s="251"/>
      <c r="U1767" s="179"/>
      <c r="W1767" s="179"/>
      <c r="X1767" s="179"/>
    </row>
    <row r="1768" spans="1:24" s="65" customFormat="1" ht="15" customHeight="1" outlineLevel="2">
      <c r="A1768" s="219"/>
      <c r="B1768" s="121"/>
      <c r="C1768" s="251"/>
      <c r="D1768" s="251" t="s">
        <v>1998</v>
      </c>
      <c r="E1768" s="242"/>
      <c r="F1768" s="121"/>
      <c r="G1768" s="251" t="s">
        <v>1426</v>
      </c>
      <c r="H1768" s="242"/>
      <c r="I1768" s="319">
        <f t="array" aca="1" ref="I1768" ca="1">SUM((G.30.assumptions.SpecificProcessCO2EmissionsAfterProcessImprovements[[#This Row],[Description]]=G.30.assumptions.SpecificProcessCO2EmissionsAfterProductManufacturingEfficiency[Description])
        *INDIRECT("G.30.assumptions.SpecificProcessCO2EmissionsAfterProductManufacturingEfficiency["&amp;I$1754&amp;"]"))</f>
        <v>0.3454485798237234</v>
      </c>
      <c r="J1768" s="319">
        <f t="array" aca="1" ref="J1768" ca="1">SUM((G.30.assumptions.SpecificProcessCO2EmissionsAfterProcessImprovements[[#This Row],[Description]]=G.30.assumptions.SpecificProcessCO2EmissionsAfterProductManufacturingEfficiency[Description])
        *INDIRECT("G.30.assumptions.SpecificProcessCO2EmissionsAfterProductManufacturingEfficiency["&amp;J$1754&amp;"]"))</f>
        <v>0.33467403634782766</v>
      </c>
      <c r="K1768" s="319">
        <f t="array" aca="1" ref="K1768" ca="1">SUM((G.30.assumptions.SpecificProcessCO2EmissionsAfterProcessImprovements[[#This Row],[Description]]=G.30.assumptions.SpecificProcessCO2EmissionsAfterProductManufacturingEfficiency[Description])
        *INDIRECT("G.30.assumptions.SpecificProcessCO2EmissionsAfterProductManufacturingEfficiency["&amp;K$1754&amp;"]"))</f>
        <v>0.32079704211559257</v>
      </c>
      <c r="L1768" s="319">
        <f t="array" aca="1" ref="L1768" ca="1">SUM((G.30.assumptions.SpecificProcessCO2EmissionsAfterProcessImprovements[[#This Row],[Description]]=G.30.assumptions.SpecificProcessCO2EmissionsAfterProductManufacturingEfficiency[Description])
        *INDIRECT("G.30.assumptions.SpecificProcessCO2EmissionsAfterProductManufacturingEfficiency["&amp;L$1754&amp;"]"))</f>
        <v>0.30646580911961835</v>
      </c>
      <c r="M1768" s="319">
        <f t="array" aca="1" ref="M1768" ca="1">SUM((G.30.assumptions.SpecificProcessCO2EmissionsAfterProcessImprovements[[#This Row],[Description]]=G.30.assumptions.SpecificProcessCO2EmissionsAfterProductManufacturingEfficiency[Description])
        *INDIRECT("G.30.assumptions.SpecificProcessCO2EmissionsAfterProductManufacturingEfficiency["&amp;M$1754&amp;"]"))</f>
        <v>0.29168033735990473</v>
      </c>
      <c r="N1768" s="319">
        <f t="array" aca="1" ref="N1768" ca="1">SUM((G.30.assumptions.SpecificProcessCO2EmissionsAfterProcessImprovements[[#This Row],[Description]]=G.30.assumptions.SpecificProcessCO2EmissionsAfterProductManufacturingEfficiency[Description])
        *INDIRECT("G.30.assumptions.SpecificProcessCO2EmissionsAfterProductManufacturingEfficiency["&amp;N$1754&amp;"]"))</f>
        <v>0.27644062683645182</v>
      </c>
      <c r="O1768" s="319">
        <f t="array" aca="1" ref="O1768" ca="1">SUM((G.30.assumptions.SpecificProcessCO2EmissionsAfterProcessImprovements[[#This Row],[Description]]=G.30.assumptions.SpecificProcessCO2EmissionsAfterProductManufacturingEfficiency[Description])
        *INDIRECT("G.30.assumptions.SpecificProcessCO2EmissionsAfterProductManufacturingEfficiency["&amp;O$1754&amp;"]"))</f>
        <v>0.26074667754925962</v>
      </c>
      <c r="P1768" s="319">
        <f t="array" aca="1" ref="P1768" ca="1">SUM((G.30.assumptions.SpecificProcessCO2EmissionsAfterProcessImprovements[[#This Row],[Description]]=G.30.assumptions.SpecificProcessCO2EmissionsAfterProductManufacturingEfficiency[Description])
        *INDIRECT("G.30.assumptions.SpecificProcessCO2EmissionsAfterProductManufacturingEfficiency["&amp;P$1754&amp;"]"))</f>
        <v>0.24459848949832821</v>
      </c>
      <c r="Q1768" s="319">
        <f t="array" aca="1" ref="Q1768" ca="1">SUM((G.30.assumptions.SpecificProcessCO2EmissionsAfterProcessImprovements[[#This Row],[Description]]=G.30.assumptions.SpecificProcessCO2EmissionsAfterProductManufacturingEfficiency[Description])
        *INDIRECT("G.30.assumptions.SpecificProcessCO2EmissionsAfterProductManufacturingEfficiency["&amp;Q$1754&amp;"]"))</f>
        <v>0.22799606268365744</v>
      </c>
      <c r="R1768" s="239"/>
      <c r="T1768" s="251"/>
      <c r="U1768" s="179"/>
      <c r="W1768" s="179"/>
      <c r="X1768" s="179"/>
    </row>
    <row r="1769" spans="1:24" s="65" customFormat="1" ht="15" customHeight="1" outlineLevel="2">
      <c r="A1769" s="219"/>
      <c r="B1769" s="242"/>
      <c r="C1769" s="251"/>
      <c r="D1769" s="251" t="s">
        <v>1999</v>
      </c>
      <c r="E1769" s="242"/>
      <c r="F1769" s="121"/>
      <c r="G1769" s="251" t="s">
        <v>1457</v>
      </c>
      <c r="H1769" s="242"/>
      <c r="I1769" s="319">
        <f t="array" aca="1" ref="I1769" ca="1">SUM((G.30.assumptions.SpecificProcessCO2EmissionsAfterProcessImprovements[[#This Row],[Description]]=G.30.assumptions.SpecificProcessCO2EmissionsAfterProductManufacturingEfficiency[Description])
        *INDIRECT("G.30.assumptions.SpecificProcessCO2EmissionsAfterProductManufacturingEfficiency["&amp;I$1754&amp;"]"))</f>
        <v>5.7114314498832863E-2</v>
      </c>
      <c r="J1769" s="319">
        <f t="array" aca="1" ref="J1769" ca="1">SUM((G.30.assumptions.SpecificProcessCO2EmissionsAfterProcessImprovements[[#This Row],[Description]]=G.30.assumptions.SpecificProcessCO2EmissionsAfterProductManufacturingEfficiency[Description])
        *INDIRECT("G.30.assumptions.SpecificProcessCO2EmissionsAfterProductManufacturingEfficiency["&amp;J$1754&amp;"]"))</f>
        <v>5.6454902409545961E-2</v>
      </c>
      <c r="K1769" s="319">
        <f t="array" aca="1" ref="K1769" ca="1">SUM((G.30.assumptions.SpecificProcessCO2EmissionsAfterProcessImprovements[[#This Row],[Description]]=G.30.assumptions.SpecificProcessCO2EmissionsAfterProductManufacturingEfficiency[Description])
        *INDIRECT("G.30.assumptions.SpecificProcessCO2EmissionsAfterProductManufacturingEfficiency["&amp;K$1754&amp;"]"))</f>
        <v>5.559508273139957E-2</v>
      </c>
      <c r="L1769" s="319">
        <f t="array" aca="1" ref="L1769" ca="1">SUM((G.30.assumptions.SpecificProcessCO2EmissionsAfterProcessImprovements[[#This Row],[Description]]=G.30.assumptions.SpecificProcessCO2EmissionsAfterProductManufacturingEfficiency[Description])
        *INDIRECT("G.30.assumptions.SpecificProcessCO2EmissionsAfterProductManufacturingEfficiency["&amp;L$1754&amp;"]"))</f>
        <v>5.4695757979322329E-2</v>
      </c>
      <c r="M1769" s="319">
        <f t="array" aca="1" ref="M1769" ca="1">SUM((G.30.assumptions.SpecificProcessCO2EmissionsAfterProcessImprovements[[#This Row],[Description]]=G.30.assumptions.SpecificProcessCO2EmissionsAfterProductManufacturingEfficiency[Description])
        *INDIRECT("G.30.assumptions.SpecificProcessCO2EmissionsAfterProductManufacturingEfficiency["&amp;M$1754&amp;"]"))</f>
        <v>5.3756928153314225E-2</v>
      </c>
      <c r="N1769" s="319">
        <f t="array" aca="1" ref="N1769" ca="1">SUM((G.30.assumptions.SpecificProcessCO2EmissionsAfterProcessImprovements[[#This Row],[Description]]=G.30.assumptions.SpecificProcessCO2EmissionsAfterProductManufacturingEfficiency[Description])
        *INDIRECT("G.30.assumptions.SpecificProcessCO2EmissionsAfterProductManufacturingEfficiency["&amp;N$1754&amp;"]"))</f>
        <v>5.2778593253375257E-2</v>
      </c>
      <c r="O1769" s="319">
        <f t="array" aca="1" ref="O1769" ca="1">SUM((G.30.assumptions.SpecificProcessCO2EmissionsAfterProcessImprovements[[#This Row],[Description]]=G.30.assumptions.SpecificProcessCO2EmissionsAfterProductManufacturingEfficiency[Description])
        *INDIRECT("G.30.assumptions.SpecificProcessCO2EmissionsAfterProductManufacturingEfficiency["&amp;O$1754&amp;"]"))</f>
        <v>5.1760753279505453E-2</v>
      </c>
      <c r="P1769" s="319">
        <f t="array" aca="1" ref="P1769" ca="1">SUM((G.30.assumptions.SpecificProcessCO2EmissionsAfterProcessImprovements[[#This Row],[Description]]=G.30.assumptions.SpecificProcessCO2EmissionsAfterProductManufacturingEfficiency[Description])
        *INDIRECT("G.30.assumptions.SpecificProcessCO2EmissionsAfterProductManufacturingEfficiency["&amp;P$1754&amp;"]"))</f>
        <v>5.0703408231704786E-2</v>
      </c>
      <c r="Q1769" s="319">
        <f t="array" aca="1" ref="Q1769" ca="1">SUM((G.30.assumptions.SpecificProcessCO2EmissionsAfterProcessImprovements[[#This Row],[Description]]=G.30.assumptions.SpecificProcessCO2EmissionsAfterProductManufacturingEfficiency[Description])
        *INDIRECT("G.30.assumptions.SpecificProcessCO2EmissionsAfterProductManufacturingEfficiency["&amp;Q$1754&amp;"]"))</f>
        <v>4.9606558109973255E-2</v>
      </c>
      <c r="R1769" s="239"/>
      <c r="S1769" s="179"/>
      <c r="T1769" s="251"/>
      <c r="V1769" s="179"/>
      <c r="W1769" s="179"/>
    </row>
    <row r="1770" spans="1:24" s="65" customFormat="1" ht="15" customHeight="1" outlineLevel="2">
      <c r="A1770" s="219"/>
      <c r="B1770" s="242"/>
      <c r="C1770" s="251"/>
      <c r="D1770" s="251"/>
      <c r="E1770" s="242"/>
      <c r="F1770" s="121"/>
      <c r="G1770" s="242"/>
      <c r="H1770" s="242"/>
      <c r="I1770" s="239"/>
      <c r="J1770" s="239"/>
      <c r="K1770" s="239"/>
      <c r="L1770" s="239"/>
      <c r="M1770" s="239"/>
      <c r="N1770" s="239"/>
      <c r="O1770" s="239"/>
      <c r="P1770" s="239"/>
      <c r="Q1770" s="239"/>
      <c r="R1770" s="239"/>
      <c r="S1770" s="179"/>
      <c r="T1770" s="251"/>
      <c r="V1770" s="179"/>
      <c r="W1770" s="179"/>
    </row>
    <row r="1771" spans="1:24" s="65" customFormat="1" ht="15" customHeight="1" outlineLevel="2">
      <c r="A1771" s="219"/>
      <c r="B1771" s="242"/>
      <c r="C1771" s="313" t="s">
        <v>243</v>
      </c>
      <c r="D1771" s="242"/>
      <c r="E1771" s="242"/>
      <c r="F1771" s="121"/>
      <c r="G1771" s="242"/>
      <c r="H1771" s="242"/>
      <c r="I1771" s="239"/>
      <c r="J1771" s="239"/>
      <c r="K1771" s="239"/>
      <c r="L1771" s="239"/>
      <c r="M1771" s="239"/>
      <c r="N1771" s="239"/>
      <c r="O1771" s="239"/>
      <c r="P1771" s="239"/>
      <c r="Q1771" s="239"/>
      <c r="R1771" s="239"/>
      <c r="S1771" s="179"/>
      <c r="T1771" s="251"/>
      <c r="V1771" s="179"/>
      <c r="W1771" s="179"/>
    </row>
    <row r="1772" spans="1:24" s="65" customFormat="1" ht="15" customHeight="1" outlineLevel="2">
      <c r="A1772" s="219"/>
      <c r="B1772" s="242"/>
      <c r="C1772" s="301"/>
      <c r="D1772" s="242"/>
      <c r="E1772" s="242"/>
      <c r="F1772" s="121"/>
      <c r="G1772" s="242"/>
      <c r="H1772" s="242"/>
      <c r="I1772" s="239"/>
      <c r="J1772" s="239"/>
      <c r="K1772" s="239"/>
      <c r="L1772" s="239"/>
      <c r="M1772" s="239"/>
      <c r="N1772" s="239"/>
      <c r="O1772" s="239"/>
      <c r="P1772" s="239"/>
      <c r="Q1772" s="239"/>
      <c r="R1772" s="239"/>
      <c r="S1772" s="179"/>
      <c r="T1772" s="251"/>
      <c r="V1772" s="179"/>
      <c r="W1772" s="179"/>
    </row>
    <row r="1773" spans="1:24" s="65" customFormat="1" ht="15" customHeight="1" outlineLevel="2">
      <c r="A1773" s="219"/>
      <c r="B1773" s="242"/>
      <c r="C1773" s="258" t="s">
        <v>454</v>
      </c>
      <c r="D1773" s="258" t="s">
        <v>241</v>
      </c>
      <c r="E1773" s="258" t="s">
        <v>598</v>
      </c>
      <c r="F1773" s="258" t="s">
        <v>274</v>
      </c>
      <c r="G1773" s="258" t="s">
        <v>509</v>
      </c>
      <c r="H1773" s="258" t="s">
        <v>510</v>
      </c>
      <c r="I1773" s="258" t="s">
        <v>1107</v>
      </c>
      <c r="J1773" s="258" t="s">
        <v>210</v>
      </c>
      <c r="K1773" s="258" t="s">
        <v>211</v>
      </c>
      <c r="L1773" s="258" t="s">
        <v>212</v>
      </c>
      <c r="M1773" s="258" t="s">
        <v>213</v>
      </c>
      <c r="N1773" s="258" t="s">
        <v>214</v>
      </c>
      <c r="O1773" s="258" t="s">
        <v>215</v>
      </c>
      <c r="P1773" s="258" t="s">
        <v>216</v>
      </c>
      <c r="Q1773" s="258" t="s">
        <v>217</v>
      </c>
      <c r="R1773" s="239"/>
      <c r="S1773" s="179"/>
      <c r="T1773" s="251"/>
      <c r="V1773" s="179"/>
      <c r="W1773" s="179"/>
    </row>
    <row r="1774" spans="1:24" s="65" customFormat="1" ht="15" customHeight="1" outlineLevel="2">
      <c r="A1774" s="219"/>
      <c r="B1774" s="242"/>
      <c r="C1774" s="251"/>
      <c r="D1774" s="251" t="s">
        <v>1986</v>
      </c>
      <c r="E1774" s="242"/>
      <c r="F1774" s="121"/>
      <c r="G1774" s="251" t="s">
        <v>1377</v>
      </c>
      <c r="H1774" s="242"/>
      <c r="I1774" s="319">
        <f t="array" aca="1" ref="I1774" ca="1">SUM((G.30.assumptions.SpecificProcessCH4EmissionsAfterProcessImprovements[[#This Row],[Description]]=G.30.assumptions.SpecificProcessCH4EmissionsAfterProductManufacturingEfficiency[Description])
        *INDIRECT("G.30.assumptions.SpecificProcessCH4EmissionsAfterProductManufacturingEfficiency["&amp;I$1773&amp;"]"))</f>
        <v>6.991054915141226E-2</v>
      </c>
      <c r="J1774" s="319">
        <f t="array" aca="1" ref="J1774" ca="1">SUM((G.30.assumptions.SpecificProcessCH4EmissionsAfterProcessImprovements[[#This Row],[Description]]=G.30.assumptions.SpecificProcessCH4EmissionsAfterProductManufacturingEfficiency[Description])
        *INDIRECT("G.30.assumptions.SpecificProcessCH4EmissionsAfterProductManufacturingEfficiency["&amp;J$1773&amp;"]"))</f>
        <v>6.9535974666075223E-2</v>
      </c>
      <c r="K1774" s="319">
        <f t="array" aca="1" ref="K1774" ca="1">SUM((G.30.assumptions.SpecificProcessCH4EmissionsAfterProcessImprovements[[#This Row],[Description]]=G.30.assumptions.SpecificProcessCH4EmissionsAfterProductManufacturingEfficiency[Description])
        *INDIRECT("G.30.assumptions.SpecificProcessCH4EmissionsAfterProductManufacturingEfficiency["&amp;K$1773&amp;"]"))</f>
        <v>6.9036587613248573E-2</v>
      </c>
      <c r="L1774" s="319">
        <f t="array" aca="1" ref="L1774" ca="1">SUM((G.30.assumptions.SpecificProcessCH4EmissionsAfterProcessImprovements[[#This Row],[Description]]=G.30.assumptions.SpecificProcessCH4EmissionsAfterProductManufacturingEfficiency[Description])
        *INDIRECT("G.30.assumptions.SpecificProcessCH4EmissionsAfterProductManufacturingEfficiency["&amp;L$1773&amp;"]"))</f>
        <v>6.8502568398027111E-2</v>
      </c>
      <c r="M1774" s="319">
        <f t="array" aca="1" ref="M1774" ca="1">SUM((G.30.assumptions.SpecificProcessCH4EmissionsAfterProcessImprovements[[#This Row],[Description]]=G.30.assumptions.SpecificProcessCH4EmissionsAfterProductManufacturingEfficiency[Description])
        *INDIRECT("G.30.assumptions.SpecificProcessCH4EmissionsAfterProductManufacturingEfficiency["&amp;M$1773&amp;"]"))</f>
        <v>6.7933917020410822E-2</v>
      </c>
      <c r="N1774" s="319">
        <f t="array" aca="1" ref="N1774" ca="1">SUM((G.30.assumptions.SpecificProcessCH4EmissionsAfterProcessImprovements[[#This Row],[Description]]=G.30.assumptions.SpecificProcessCH4EmissionsAfterProductManufacturingEfficiency[Description])
        *INDIRECT("G.30.assumptions.SpecificProcessCH4EmissionsAfterProductManufacturingEfficiency["&amp;N$1773&amp;"]"))</f>
        <v>6.7330633480399707E-2</v>
      </c>
      <c r="O1774" s="319">
        <f t="array" aca="1" ref="O1774" ca="1">SUM((G.30.assumptions.SpecificProcessCH4EmissionsAfterProcessImprovements[[#This Row],[Description]]=G.30.assumptions.SpecificProcessCH4EmissionsAfterProductManufacturingEfficiency[Description])
        *INDIRECT("G.30.assumptions.SpecificProcessCH4EmissionsAfterProductManufacturingEfficiency["&amp;O$1773&amp;"]"))</f>
        <v>6.6692717777993779E-2</v>
      </c>
      <c r="P1774" s="319">
        <f t="array" aca="1" ref="P1774" ca="1">SUM((G.30.assumptions.SpecificProcessCH4EmissionsAfterProcessImprovements[[#This Row],[Description]]=G.30.assumptions.SpecificProcessCH4EmissionsAfterProductManufacturingEfficiency[Description])
        *INDIRECT("G.30.assumptions.SpecificProcessCH4EmissionsAfterProductManufacturingEfficiency["&amp;P$1773&amp;"]"))</f>
        <v>6.6020169913193025E-2</v>
      </c>
      <c r="Q1774" s="319">
        <f t="array" aca="1" ref="Q1774" ca="1">SUM((G.30.assumptions.SpecificProcessCH4EmissionsAfterProcessImprovements[[#This Row],[Description]]=G.30.assumptions.SpecificProcessCH4EmissionsAfterProductManufacturingEfficiency[Description])
        *INDIRECT("G.30.assumptions.SpecificProcessCH4EmissionsAfterProductManufacturingEfficiency["&amp;Q$1773&amp;"]"))</f>
        <v>6.531298988599743E-2</v>
      </c>
      <c r="R1774" s="239"/>
      <c r="S1774" s="179"/>
      <c r="T1774" s="251"/>
      <c r="V1774" s="179"/>
      <c r="W1774" s="179"/>
    </row>
    <row r="1775" spans="1:24" s="65" customFormat="1" ht="15" customHeight="1" outlineLevel="2">
      <c r="A1775" s="219"/>
      <c r="B1775" s="242"/>
      <c r="C1775" s="251"/>
      <c r="D1775" s="251" t="s">
        <v>2192</v>
      </c>
      <c r="E1775" s="242"/>
      <c r="F1775" s="121"/>
      <c r="G1775" s="251" t="s">
        <v>2193</v>
      </c>
      <c r="H1775" s="242" t="s">
        <v>2191</v>
      </c>
      <c r="I1775" s="362">
        <f ca="1">I1774</f>
        <v>6.991054915141226E-2</v>
      </c>
      <c r="J1775" s="362">
        <f t="shared" ref="J1775:Q1775" ca="1" si="179">J1774</f>
        <v>6.9535974666075223E-2</v>
      </c>
      <c r="K1775" s="362">
        <f t="shared" ca="1" si="179"/>
        <v>6.9036587613248573E-2</v>
      </c>
      <c r="L1775" s="362">
        <f t="shared" ca="1" si="179"/>
        <v>6.8502568398027111E-2</v>
      </c>
      <c r="M1775" s="362">
        <f t="shared" ca="1" si="179"/>
        <v>6.7933917020410822E-2</v>
      </c>
      <c r="N1775" s="362">
        <f t="shared" ca="1" si="179"/>
        <v>6.7330633480399707E-2</v>
      </c>
      <c r="O1775" s="362">
        <f t="shared" ca="1" si="179"/>
        <v>6.6692717777993779E-2</v>
      </c>
      <c r="P1775" s="362">
        <f t="shared" ca="1" si="179"/>
        <v>6.6020169913193025E-2</v>
      </c>
      <c r="Q1775" s="362">
        <f t="shared" ca="1" si="179"/>
        <v>6.531298988599743E-2</v>
      </c>
      <c r="R1775" s="239"/>
      <c r="S1775" s="179"/>
      <c r="T1775" s="251"/>
      <c r="V1775" s="179"/>
      <c r="W1775" s="179"/>
    </row>
    <row r="1776" spans="1:24" s="65" customFormat="1" ht="15" customHeight="1" outlineLevel="2">
      <c r="A1776" s="219"/>
      <c r="B1776" s="242"/>
      <c r="C1776" s="251"/>
      <c r="D1776" s="251" t="s">
        <v>1987</v>
      </c>
      <c r="E1776" s="242"/>
      <c r="F1776" s="121"/>
      <c r="G1776" s="315" t="s">
        <v>1380</v>
      </c>
      <c r="H1776" s="242"/>
      <c r="I1776" s="319">
        <f t="array" aca="1" ref="I1776" ca="1">SUM((G.30.assumptions.SpecificProcessCH4EmissionsAfterProcessImprovements[[#This Row],[Description]]=G.30.assumptions.SpecificProcessCH4EmissionsAfterProductManufacturingEfficiency[Description])
        *INDIRECT("G.30.assumptions.SpecificProcessCH4EmissionsAfterProductManufacturingEfficiency["&amp;I$1773&amp;"]"))</f>
        <v>0.15978180298922864</v>
      </c>
      <c r="J1776" s="319">
        <f t="array" aca="1" ref="J1776" ca="1">SUM((G.30.assumptions.SpecificProcessCH4EmissionsAfterProcessImprovements[[#This Row],[Description]]=G.30.assumptions.SpecificProcessCH4EmissionsAfterProductManufacturingEfficiency[Description])
        *INDIRECT("G.30.assumptions.SpecificProcessCH4EmissionsAfterProductManufacturingEfficiency["&amp;J$1773&amp;"]"))</f>
        <v>0.16742498259333888</v>
      </c>
      <c r="K1776" s="319">
        <f t="array" aca="1" ref="K1776" ca="1">SUM((G.30.assumptions.SpecificProcessCH4EmissionsAfterProcessImprovements[[#This Row],[Description]]=G.30.assumptions.SpecificProcessCH4EmissionsAfterProductManufacturingEfficiency[Description])
        *INDIRECT("G.30.assumptions.SpecificProcessCH4EmissionsAfterProductManufacturingEfficiency["&amp;K$1773&amp;"]"))</f>
        <v>0.17715040229812856</v>
      </c>
      <c r="L1776" s="319">
        <f t="array" aca="1" ref="L1776" ca="1">SUM((G.30.assumptions.SpecificProcessCH4EmissionsAfterProcessImprovements[[#This Row],[Description]]=G.30.assumptions.SpecificProcessCH4EmissionsAfterProductManufacturingEfficiency[Description])
        *INDIRECT("G.30.assumptions.SpecificProcessCH4EmissionsAfterProductManufacturingEfficiency["&amp;L$1773&amp;"]"))</f>
        <v>0.18706631666919826</v>
      </c>
      <c r="M1776" s="319">
        <f t="array" aca="1" ref="M1776" ca="1">SUM((G.30.assumptions.SpecificProcessCH4EmissionsAfterProcessImprovements[[#This Row],[Description]]=G.30.assumptions.SpecificProcessCH4EmissionsAfterProductManufacturingEfficiency[Description])
        *INDIRECT("G.30.assumptions.SpecificProcessCH4EmissionsAfterProductManufacturingEfficiency["&amp;M$1773&amp;"]"))</f>
        <v>0.19717272570654787</v>
      </c>
      <c r="N1776" s="319">
        <f t="array" aca="1" ref="N1776" ca="1">SUM((G.30.assumptions.SpecificProcessCH4EmissionsAfterProcessImprovements[[#This Row],[Description]]=G.30.assumptions.SpecificProcessCH4EmissionsAfterProductManufacturingEfficiency[Description])
        *INDIRECT("G.30.assumptions.SpecificProcessCH4EmissionsAfterProductManufacturingEfficiency["&amp;N$1773&amp;"]"))</f>
        <v>0.20746962941017746</v>
      </c>
      <c r="O1776" s="319">
        <f t="array" aca="1" ref="O1776" ca="1">SUM((G.30.assumptions.SpecificProcessCH4EmissionsAfterProcessImprovements[[#This Row],[Description]]=G.30.assumptions.SpecificProcessCH4EmissionsAfterProductManufacturingEfficiency[Description])
        *INDIRECT("G.30.assumptions.SpecificProcessCH4EmissionsAfterProductManufacturingEfficiency["&amp;O$1773&amp;"]"))</f>
        <v>0.21795702778008699</v>
      </c>
      <c r="P1776" s="319">
        <f t="array" aca="1" ref="P1776" ca="1">SUM((G.30.assumptions.SpecificProcessCH4EmissionsAfterProcessImprovements[[#This Row],[Description]]=G.30.assumptions.SpecificProcessCH4EmissionsAfterProductManufacturingEfficiency[Description])
        *INDIRECT("G.30.assumptions.SpecificProcessCH4EmissionsAfterProductManufacturingEfficiency["&amp;P$1773&amp;"]"))</f>
        <v>0.22863492081627643</v>
      </c>
      <c r="Q1776" s="319">
        <f t="array" aca="1" ref="Q1776" ca="1">SUM((G.30.assumptions.SpecificProcessCH4EmissionsAfterProcessImprovements[[#This Row],[Description]]=G.30.assumptions.SpecificProcessCH4EmissionsAfterProductManufacturingEfficiency[Description])
        *INDIRECT("G.30.assumptions.SpecificProcessCH4EmissionsAfterProductManufacturingEfficiency["&amp;Q$1773&amp;"]"))</f>
        <v>0.23950330851874582</v>
      </c>
      <c r="R1776" s="239"/>
      <c r="S1776" s="179"/>
      <c r="T1776" s="251"/>
      <c r="V1776" s="179"/>
      <c r="W1776" s="179"/>
    </row>
    <row r="1777" spans="1:23" s="65" customFormat="1" ht="15" customHeight="1" outlineLevel="2">
      <c r="A1777" s="219"/>
      <c r="B1777" s="242"/>
      <c r="C1777" s="251"/>
      <c r="D1777" s="251" t="s">
        <v>1988</v>
      </c>
      <c r="E1777" s="242"/>
      <c r="F1777" s="121"/>
      <c r="G1777" s="315" t="s">
        <v>1625</v>
      </c>
      <c r="H1777" s="242"/>
      <c r="I1777" s="319">
        <f t="array" aca="1" ref="I1777" ca="1">SUM((G.30.assumptions.SpecificProcessCH4EmissionsAfterProcessImprovements[[#This Row],[Description]]=G.30.assumptions.SpecificProcessCH4EmissionsAfterProductManufacturingEfficiency[Description])
        *INDIRECT("G.30.assumptions.SpecificProcessCH4EmissionsAfterProductManufacturingEfficiency["&amp;I$1773&amp;"]"))</f>
        <v>2.678760405143514E-2</v>
      </c>
      <c r="J1777" s="319">
        <f t="array" aca="1" ref="J1777" ca="1">SUM((G.30.assumptions.SpecificProcessCH4EmissionsAfterProcessImprovements[[#This Row],[Description]]=G.30.assumptions.SpecificProcessCH4EmissionsAfterProductManufacturingEfficiency[Description])
        *INDIRECT("G.30.assumptions.SpecificProcessCH4EmissionsAfterProductManufacturingEfficiency["&amp;J$1773&amp;"]"))</f>
        <v>2.776545974260371E-2</v>
      </c>
      <c r="K1777" s="319">
        <f t="array" aca="1" ref="K1777" ca="1">SUM((G.30.assumptions.SpecificProcessCH4EmissionsAfterProcessImprovements[[#This Row],[Description]]=G.30.assumptions.SpecificProcessCH4EmissionsAfterProductManufacturingEfficiency[Description])
        *INDIRECT("G.30.assumptions.SpecificProcessCH4EmissionsAfterProductManufacturingEfficiency["&amp;K$1773&amp;"]"))</f>
        <v>2.9007855496501232E-2</v>
      </c>
      <c r="L1777" s="319">
        <f t="array" aca="1" ref="L1777" ca="1">SUM((G.30.assumptions.SpecificProcessCH4EmissionsAfterProcessImprovements[[#This Row],[Description]]=G.30.assumptions.SpecificProcessCH4EmissionsAfterProductManufacturingEfficiency[Description])
        *INDIRECT("G.30.assumptions.SpecificProcessCH4EmissionsAfterProductManufacturingEfficiency["&amp;L$1773&amp;"]"))</f>
        <v>3.0272558072550731E-2</v>
      </c>
      <c r="M1777" s="319">
        <f t="array" aca="1" ref="M1777" ca="1">SUM((G.30.assumptions.SpecificProcessCH4EmissionsAfterProcessImprovements[[#This Row],[Description]]=G.30.assumptions.SpecificProcessCH4EmissionsAfterProductManufacturingEfficiency[Description])
        *INDIRECT("G.30.assumptions.SpecificProcessCH4EmissionsAfterProductManufacturingEfficiency["&amp;M$1773&amp;"]"))</f>
        <v>3.1559567470752239E-2</v>
      </c>
      <c r="N1777" s="319">
        <f t="array" aca="1" ref="N1777" ca="1">SUM((G.30.assumptions.SpecificProcessCH4EmissionsAfterProcessImprovements[[#This Row],[Description]]=G.30.assumptions.SpecificProcessCH4EmissionsAfterProductManufacturingEfficiency[Description])
        *INDIRECT("G.30.assumptions.SpecificProcessCH4EmissionsAfterProductManufacturingEfficiency["&amp;N$1773&amp;"]"))</f>
        <v>3.2868883691105723E-2</v>
      </c>
      <c r="O1777" s="319">
        <f t="array" aca="1" ref="O1777" ca="1">SUM((G.30.assumptions.SpecificProcessCH4EmissionsAfterProcessImprovements[[#This Row],[Description]]=G.30.assumptions.SpecificProcessCH4EmissionsAfterProductManufacturingEfficiency[Description])
        *INDIRECT("G.30.assumptions.SpecificProcessCH4EmissionsAfterProductManufacturingEfficiency["&amp;O$1773&amp;"]"))</f>
        <v>3.4200506733611212E-2</v>
      </c>
      <c r="P1777" s="319">
        <f t="array" aca="1" ref="P1777" ca="1">SUM((G.30.assumptions.SpecificProcessCH4EmissionsAfterProcessImprovements[[#This Row],[Description]]=G.30.assumptions.SpecificProcessCH4EmissionsAfterProductManufacturingEfficiency[Description])
        *INDIRECT("G.30.assumptions.SpecificProcessCH4EmissionsAfterProductManufacturingEfficiency["&amp;P$1773&amp;"]"))</f>
        <v>3.5554436598268686E-2</v>
      </c>
      <c r="Q1777" s="319">
        <f t="array" aca="1" ref="Q1777" ca="1">SUM((G.30.assumptions.SpecificProcessCH4EmissionsAfterProcessImprovements[[#This Row],[Description]]=G.30.assumptions.SpecificProcessCH4EmissionsAfterProductManufacturingEfficiency[Description])
        *INDIRECT("G.30.assumptions.SpecificProcessCH4EmissionsAfterProductManufacturingEfficiency["&amp;Q$1773&amp;"]"))</f>
        <v>3.6930673285078153E-2</v>
      </c>
      <c r="R1777" s="239"/>
      <c r="S1777" s="179"/>
      <c r="T1777" s="251"/>
      <c r="V1777" s="179"/>
      <c r="W1777" s="179"/>
    </row>
    <row r="1778" spans="1:23" s="65" customFormat="1" ht="15" customHeight="1" outlineLevel="2">
      <c r="A1778" s="219"/>
      <c r="B1778" s="242"/>
      <c r="C1778" s="251"/>
      <c r="D1778" s="251" t="s">
        <v>1989</v>
      </c>
      <c r="E1778" s="242"/>
      <c r="F1778" s="121"/>
      <c r="G1778" s="315" t="s">
        <v>1939</v>
      </c>
      <c r="H1778" s="242"/>
      <c r="I1778" s="319">
        <f t="array" aca="1" ref="I1778" ca="1">SUM((G.30.assumptions.SpecificProcessCH4EmissionsAfterProcessImprovements[[#This Row],[Description]]=G.30.assumptions.SpecificProcessCH4EmissionsAfterProductManufacturingEfficiency[Description])
        *INDIRECT("G.30.assumptions.SpecificProcessCH4EmissionsAfterProductManufacturingEfficiency["&amp;I$1773&amp;"]"))</f>
        <v>6.0696075758509341E-2</v>
      </c>
      <c r="J1778" s="319">
        <f t="array" aca="1" ref="J1778" ca="1">SUM((G.30.assumptions.SpecificProcessCH4EmissionsAfterProcessImprovements[[#This Row],[Description]]=G.30.assumptions.SpecificProcessCH4EmissionsAfterProductManufacturingEfficiency[Description])
        *INDIRECT("G.30.assumptions.SpecificProcessCH4EmissionsAfterProductManufacturingEfficiency["&amp;J$1773&amp;"]"))</f>
        <v>6.2911727557680888E-2</v>
      </c>
      <c r="K1778" s="319">
        <f t="array" aca="1" ref="K1778" ca="1">SUM((G.30.assumptions.SpecificProcessCH4EmissionsAfterProcessImprovements[[#This Row],[Description]]=G.30.assumptions.SpecificProcessCH4EmissionsAfterProductManufacturingEfficiency[Description])
        *INDIRECT("G.30.assumptions.SpecificProcessCH4EmissionsAfterProductManufacturingEfficiency["&amp;K$1773&amp;"]"))</f>
        <v>6.5726781365995413E-2</v>
      </c>
      <c r="L1778" s="319">
        <f t="array" aca="1" ref="L1778" ca="1">SUM((G.30.assumptions.SpecificProcessCH4EmissionsAfterProcessImprovements[[#This Row],[Description]]=G.30.assumptions.SpecificProcessCH4EmissionsAfterProductManufacturingEfficiency[Description])
        *INDIRECT("G.30.assumptions.SpecificProcessCH4EmissionsAfterProductManufacturingEfficiency["&amp;L$1773&amp;"]"))</f>
        <v>6.8592378573587784E-2</v>
      </c>
      <c r="M1778" s="319">
        <f t="array" aca="1" ref="M1778" ca="1">SUM((G.30.assumptions.SpecificProcessCH4EmissionsAfterProcessImprovements[[#This Row],[Description]]=G.30.assumptions.SpecificProcessCH4EmissionsAfterProductManufacturingEfficiency[Description])
        *INDIRECT("G.30.assumptions.SpecificProcessCH4EmissionsAfterProductManufacturingEfficiency["&amp;M$1773&amp;"]"))</f>
        <v>7.1508519180458044E-2</v>
      </c>
      <c r="N1778" s="319">
        <f t="array" aca="1" ref="N1778" ca="1">SUM((G.30.assumptions.SpecificProcessCH4EmissionsAfterProcessImprovements[[#This Row],[Description]]=G.30.assumptions.SpecificProcessCH4EmissionsAfterProductManufacturingEfficiency[Description])
        *INDIRECT("G.30.assumptions.SpecificProcessCH4EmissionsAfterProductManufacturingEfficiency["&amp;N$1773&amp;"]"))</f>
        <v>7.4475203186606109E-2</v>
      </c>
      <c r="O1778" s="319">
        <f t="array" aca="1" ref="O1778" ca="1">SUM((G.30.assumptions.SpecificProcessCH4EmissionsAfterProcessImprovements[[#This Row],[Description]]=G.30.assumptions.SpecificProcessCH4EmissionsAfterProductManufacturingEfficiency[Description])
        *INDIRECT("G.30.assumptions.SpecificProcessCH4EmissionsAfterProductManufacturingEfficiency["&amp;O$1773&amp;"]"))</f>
        <v>7.7492430592032105E-2</v>
      </c>
      <c r="P1778" s="319">
        <f t="array" aca="1" ref="P1778" ca="1">SUM((G.30.assumptions.SpecificProcessCH4EmissionsAfterProcessImprovements[[#This Row],[Description]]=G.30.assumptions.SpecificProcessCH4EmissionsAfterProductManufacturingEfficiency[Description])
        *INDIRECT("G.30.assumptions.SpecificProcessCH4EmissionsAfterProductManufacturingEfficiency["&amp;P$1773&amp;"]"))</f>
        <v>8.0560201396735906E-2</v>
      </c>
      <c r="Q1778" s="319">
        <f t="array" aca="1" ref="Q1778" ca="1">SUM((G.30.assumptions.SpecificProcessCH4EmissionsAfterProcessImprovements[[#This Row],[Description]]=G.30.assumptions.SpecificProcessCH4EmissionsAfterProductManufacturingEfficiency[Description])
        *INDIRECT("G.30.assumptions.SpecificProcessCH4EmissionsAfterProductManufacturingEfficiency["&amp;Q$1773&amp;"]"))</f>
        <v>8.3678515600717568E-2</v>
      </c>
      <c r="R1778" s="239"/>
      <c r="S1778" s="179"/>
      <c r="T1778" s="251"/>
      <c r="V1778" s="179"/>
      <c r="W1778" s="179"/>
    </row>
    <row r="1779" spans="1:23" s="65" customFormat="1" ht="15" customHeight="1" outlineLevel="2">
      <c r="A1779" s="219"/>
      <c r="B1779" s="242"/>
      <c r="C1779" s="251"/>
      <c r="D1779" s="251" t="s">
        <v>1990</v>
      </c>
      <c r="E1779" s="242"/>
      <c r="F1779" s="121"/>
      <c r="G1779" s="315" t="s">
        <v>1940</v>
      </c>
      <c r="H1779" s="242"/>
      <c r="I1779" s="319">
        <f t="array" aca="1" ref="I1779" ca="1">SUM((G.30.assumptions.SpecificProcessCH4EmissionsAfterProcessImprovements[[#This Row],[Description]]=G.30.assumptions.SpecificProcessCH4EmissionsAfterProductManufacturingEfficiency[Description])
        *INDIRECT("G.30.assumptions.SpecificProcessCH4EmissionsAfterProductManufacturingEfficiency["&amp;I$1773&amp;"]"))</f>
        <v>5.8607565391460899E-2</v>
      </c>
      <c r="J1779" s="319">
        <f t="array" aca="1" ref="J1779" ca="1">SUM((G.30.assumptions.SpecificProcessCH4EmissionsAfterProcessImprovements[[#This Row],[Description]]=G.30.assumptions.SpecificProcessCH4EmissionsAfterProductManufacturingEfficiency[Description])
        *INDIRECT("G.30.assumptions.SpecificProcessCH4EmissionsAfterProductManufacturingEfficiency["&amp;J$1773&amp;"]"))</f>
        <v>5.7795898458165094E-2</v>
      </c>
      <c r="K1779" s="319">
        <f t="array" aca="1" ref="K1779" ca="1">SUM((G.30.assumptions.SpecificProcessCH4EmissionsAfterProcessImprovements[[#This Row],[Description]]=G.30.assumptions.SpecificProcessCH4EmissionsAfterProductManufacturingEfficiency[Description])
        *INDIRECT("G.30.assumptions.SpecificProcessCH4EmissionsAfterProductManufacturingEfficiency["&amp;K$1773&amp;"]"))</f>
        <v>5.6740975541822274E-2</v>
      </c>
      <c r="L1779" s="319">
        <f t="array" aca="1" ref="L1779" ca="1">SUM((G.30.assumptions.SpecificProcessCH4EmissionsAfterProcessImprovements[[#This Row],[Description]]=G.30.assumptions.SpecificProcessCH4EmissionsAfterProductManufacturingEfficiency[Description])
        *INDIRECT("G.30.assumptions.SpecificProcessCH4EmissionsAfterProductManufacturingEfficiency["&amp;L$1773&amp;"]"))</f>
        <v>5.5641231236898223E-2</v>
      </c>
      <c r="M1779" s="319">
        <f t="array" aca="1" ref="M1779" ca="1">SUM((G.30.assumptions.SpecificProcessCH4EmissionsAfterProcessImprovements[[#This Row],[Description]]=G.30.assumptions.SpecificProcessCH4EmissionsAfterProductManufacturingEfficiency[Description])
        *INDIRECT("G.30.assumptions.SpecificProcessCH4EmissionsAfterProductManufacturingEfficiency["&amp;M$1773&amp;"]"))</f>
        <v>5.4496665543392948E-2</v>
      </c>
      <c r="N1779" s="319">
        <f t="array" aca="1" ref="N1779" ca="1">SUM((G.30.assumptions.SpecificProcessCH4EmissionsAfterProcessImprovements[[#This Row],[Description]]=G.30.assumptions.SpecificProcessCH4EmissionsAfterProductManufacturingEfficiency[Description])
        *INDIRECT("G.30.assumptions.SpecificProcessCH4EmissionsAfterProductManufacturingEfficiency["&amp;N$1773&amp;"]"))</f>
        <v>5.3307278461306458E-2</v>
      </c>
      <c r="O1779" s="319">
        <f t="array" aca="1" ref="O1779" ca="1">SUM((G.30.assumptions.SpecificProcessCH4EmissionsAfterProcessImprovements[[#This Row],[Description]]=G.30.assumptions.SpecificProcessCH4EmissionsAfterProductManufacturingEfficiency[Description])
        *INDIRECT("G.30.assumptions.SpecificProcessCH4EmissionsAfterProductManufacturingEfficiency["&amp;O$1773&amp;"]"))</f>
        <v>5.2073069990638758E-2</v>
      </c>
      <c r="P1779" s="319">
        <f t="array" aca="1" ref="P1779" ca="1">SUM((G.30.assumptions.SpecificProcessCH4EmissionsAfterProcessImprovements[[#This Row],[Description]]=G.30.assumptions.SpecificProcessCH4EmissionsAfterProductManufacturingEfficiency[Description])
        *INDIRECT("G.30.assumptions.SpecificProcessCH4EmissionsAfterProductManufacturingEfficiency["&amp;P$1773&amp;"]"))</f>
        <v>5.0794040131389821E-2</v>
      </c>
      <c r="Q1779" s="319">
        <f t="array" aca="1" ref="Q1779" ca="1">SUM((G.30.assumptions.SpecificProcessCH4EmissionsAfterProcessImprovements[[#This Row],[Description]]=G.30.assumptions.SpecificProcessCH4EmissionsAfterProductManufacturingEfficiency[Description])
        *INDIRECT("G.30.assumptions.SpecificProcessCH4EmissionsAfterProductManufacturingEfficiency["&amp;Q$1773&amp;"]"))</f>
        <v>4.9470188883559675E-2</v>
      </c>
      <c r="R1779" s="239"/>
      <c r="S1779" s="179"/>
      <c r="T1779" s="251"/>
      <c r="V1779" s="179"/>
      <c r="W1779" s="179"/>
    </row>
    <row r="1780" spans="1:23" s="65" customFormat="1" ht="15" customHeight="1" outlineLevel="2">
      <c r="A1780" s="219"/>
      <c r="B1780" s="242"/>
      <c r="C1780" s="251"/>
      <c r="D1780" s="251" t="s">
        <v>1991</v>
      </c>
      <c r="E1780" s="242"/>
      <c r="F1780" s="121"/>
      <c r="G1780" s="315" t="s">
        <v>1961</v>
      </c>
      <c r="H1780" s="242"/>
      <c r="I1780" s="319">
        <f t="array" aca="1" ref="I1780" ca="1">SUM((G.30.assumptions.SpecificProcessCH4EmissionsAfterProcessImprovements[[#This Row],[Description]]=G.30.assumptions.SpecificProcessCH4EmissionsAfterProductManufacturingEfficiency[Description])
        *INDIRECT("G.30.assumptions.SpecificProcessCH4EmissionsAfterProductManufacturingEfficiency["&amp;I$1773&amp;"]"))</f>
        <v>4.9054270827539291E-2</v>
      </c>
      <c r="J1780" s="319">
        <f t="array" aca="1" ref="J1780" ca="1">SUM((G.30.assumptions.SpecificProcessCH4EmissionsAfterProcessImprovements[[#This Row],[Description]]=G.30.assumptions.SpecificProcessCH4EmissionsAfterProductManufacturingEfficiency[Description])
        *INDIRECT("G.30.assumptions.SpecificProcessCH4EmissionsAfterProductManufacturingEfficiency["&amp;J$1773&amp;"]"))</f>
        <v>4.9557391553975587E-2</v>
      </c>
      <c r="K1780" s="319">
        <f t="array" aca="1" ref="K1780" ca="1">SUM((G.30.assumptions.SpecificProcessCH4EmissionsAfterProcessImprovements[[#This Row],[Description]]=G.30.assumptions.SpecificProcessCH4EmissionsAfterProductManufacturingEfficiency[Description])
        *INDIRECT("G.30.assumptions.SpecificProcessCH4EmissionsAfterProductManufacturingEfficiency["&amp;K$1773&amp;"]"))</f>
        <v>5.0186292462020957E-2</v>
      </c>
      <c r="L1780" s="319">
        <f t="array" aca="1" ref="L1780" ca="1">SUM((G.30.assumptions.SpecificProcessCH4EmissionsAfterProcessImprovements[[#This Row],[Description]]=G.30.assumptions.SpecificProcessCH4EmissionsAfterProductManufacturingEfficiency[Description])
        *INDIRECT("G.30.assumptions.SpecificProcessCH4EmissionsAfterProductManufacturingEfficiency["&amp;L$1773&amp;"]"))</f>
        <v>5.081519337006634E-2</v>
      </c>
      <c r="M1780" s="319">
        <f t="array" aca="1" ref="M1780" ca="1">SUM((G.30.assumptions.SpecificProcessCH4EmissionsAfterProcessImprovements[[#This Row],[Description]]=G.30.assumptions.SpecificProcessCH4EmissionsAfterProductManufacturingEfficiency[Description])
        *INDIRECT("G.30.assumptions.SpecificProcessCH4EmissionsAfterProductManufacturingEfficiency["&amp;M$1773&amp;"]"))</f>
        <v>5.1444094278111717E-2</v>
      </c>
      <c r="N1780" s="319">
        <f t="array" aca="1" ref="N1780" ca="1">SUM((G.30.assumptions.SpecificProcessCH4EmissionsAfterProcessImprovements[[#This Row],[Description]]=G.30.assumptions.SpecificProcessCH4EmissionsAfterProductManufacturingEfficiency[Description])
        *INDIRECT("G.30.assumptions.SpecificProcessCH4EmissionsAfterProductManufacturingEfficiency["&amp;N$1773&amp;"]"))</f>
        <v>5.2072995186157094E-2</v>
      </c>
      <c r="O1780" s="319">
        <f t="array" aca="1" ref="O1780" ca="1">SUM((G.30.assumptions.SpecificProcessCH4EmissionsAfterProcessImprovements[[#This Row],[Description]]=G.30.assumptions.SpecificProcessCH4EmissionsAfterProductManufacturingEfficiency[Description])
        *INDIRECT("G.30.assumptions.SpecificProcessCH4EmissionsAfterProductManufacturingEfficiency["&amp;O$1773&amp;"]"))</f>
        <v>5.2701896094202477E-2</v>
      </c>
      <c r="P1780" s="319">
        <f t="array" aca="1" ref="P1780" ca="1">SUM((G.30.assumptions.SpecificProcessCH4EmissionsAfterProcessImprovements[[#This Row],[Description]]=G.30.assumptions.SpecificProcessCH4EmissionsAfterProductManufacturingEfficiency[Description])
        *INDIRECT("G.30.assumptions.SpecificProcessCH4EmissionsAfterProductManufacturingEfficiency["&amp;P$1773&amp;"]"))</f>
        <v>5.3330797002247847E-2</v>
      </c>
      <c r="Q1780" s="319">
        <f t="array" aca="1" ref="Q1780" ca="1">SUM((G.30.assumptions.SpecificProcessCH4EmissionsAfterProcessImprovements[[#This Row],[Description]]=G.30.assumptions.SpecificProcessCH4EmissionsAfterProductManufacturingEfficiency[Description])
        *INDIRECT("G.30.assumptions.SpecificProcessCH4EmissionsAfterProductManufacturingEfficiency["&amp;Q$1773&amp;"]"))</f>
        <v>5.3959697910293224E-2</v>
      </c>
      <c r="R1780" s="239"/>
      <c r="S1780" s="179"/>
      <c r="T1780" s="251"/>
      <c r="V1780" s="179"/>
      <c r="W1780" s="179"/>
    </row>
    <row r="1781" spans="1:23" s="65" customFormat="1" ht="15" customHeight="1" outlineLevel="2">
      <c r="A1781" s="219"/>
      <c r="B1781" s="242"/>
      <c r="C1781" s="251"/>
      <c r="D1781" s="251" t="s">
        <v>1992</v>
      </c>
      <c r="E1781" s="242"/>
      <c r="F1781" s="121"/>
      <c r="G1781" s="315" t="s">
        <v>1962</v>
      </c>
      <c r="H1781" s="242"/>
      <c r="I1781" s="319">
        <f t="array" aca="1" ref="I1781" ca="1">SUM((G.30.assumptions.SpecificProcessCH4EmissionsAfterProcessImprovements[[#This Row],[Description]]=G.30.assumptions.SpecificProcessCH4EmissionsAfterProductManufacturingEfficiency[Description])
        *INDIRECT("G.30.assumptions.SpecificProcessCH4EmissionsAfterProductManufacturingEfficiency["&amp;I$1773&amp;"]"))</f>
        <v>9.5889912282722256E-2</v>
      </c>
      <c r="J1781" s="319">
        <f t="array" aca="1" ref="J1781" ca="1">SUM((G.30.assumptions.SpecificProcessCH4EmissionsAfterProcessImprovements[[#This Row],[Description]]=G.30.assumptions.SpecificProcessCH4EmissionsAfterProductManufacturingEfficiency[Description])
        *INDIRECT("G.30.assumptions.SpecificProcessCH4EmissionsAfterProductManufacturingEfficiency["&amp;J$1773&amp;"]"))</f>
        <v>9.6873398562545038E-2</v>
      </c>
      <c r="K1781" s="319">
        <f t="array" aca="1" ref="K1781" ca="1">SUM((G.30.assumptions.SpecificProcessCH4EmissionsAfterProcessImprovements[[#This Row],[Description]]=G.30.assumptions.SpecificProcessCH4EmissionsAfterProductManufacturingEfficiency[Description])
        *INDIRECT("G.30.assumptions.SpecificProcessCH4EmissionsAfterProductManufacturingEfficiency["&amp;K$1773&amp;"]"))</f>
        <v>9.8102756412323522E-2</v>
      </c>
      <c r="L1781" s="319">
        <f t="array" aca="1" ref="L1781" ca="1">SUM((G.30.assumptions.SpecificProcessCH4EmissionsAfterProcessImprovements[[#This Row],[Description]]=G.30.assumptions.SpecificProcessCH4EmissionsAfterProductManufacturingEfficiency[Description])
        *INDIRECT("G.30.assumptions.SpecificProcessCH4EmissionsAfterProductManufacturingEfficiency["&amp;L$1773&amp;"]"))</f>
        <v>9.9332114262102034E-2</v>
      </c>
      <c r="M1781" s="319">
        <f t="array" aca="1" ref="M1781" ca="1">SUM((G.30.assumptions.SpecificProcessCH4EmissionsAfterProcessImprovements[[#This Row],[Description]]=G.30.assumptions.SpecificProcessCH4EmissionsAfterProductManufacturingEfficiency[Description])
        *INDIRECT("G.30.assumptions.SpecificProcessCH4EmissionsAfterProductManufacturingEfficiency["&amp;M$1773&amp;"]"))</f>
        <v>0.10056147211188052</v>
      </c>
      <c r="N1781" s="319">
        <f t="array" aca="1" ref="N1781" ca="1">SUM((G.30.assumptions.SpecificProcessCH4EmissionsAfterProcessImprovements[[#This Row],[Description]]=G.30.assumptions.SpecificProcessCH4EmissionsAfterProductManufacturingEfficiency[Description])
        *INDIRECT("G.30.assumptions.SpecificProcessCH4EmissionsAfterProductManufacturingEfficiency["&amp;N$1773&amp;"]"))</f>
        <v>0.101790829961659</v>
      </c>
      <c r="O1781" s="319">
        <f t="array" aca="1" ref="O1781" ca="1">SUM((G.30.assumptions.SpecificProcessCH4EmissionsAfterProcessImprovements[[#This Row],[Description]]=G.30.assumptions.SpecificProcessCH4EmissionsAfterProductManufacturingEfficiency[Description])
        *INDIRECT("G.30.assumptions.SpecificProcessCH4EmissionsAfterProductManufacturingEfficiency["&amp;O$1773&amp;"]"))</f>
        <v>0.10302018781143751</v>
      </c>
      <c r="P1781" s="319">
        <f t="array" aca="1" ref="P1781" ca="1">SUM((G.30.assumptions.SpecificProcessCH4EmissionsAfterProcessImprovements[[#This Row],[Description]]=G.30.assumptions.SpecificProcessCH4EmissionsAfterProductManufacturingEfficiency[Description])
        *INDIRECT("G.30.assumptions.SpecificProcessCH4EmissionsAfterProductManufacturingEfficiency["&amp;P$1773&amp;"]"))</f>
        <v>0.104249545661216</v>
      </c>
      <c r="Q1781" s="319">
        <f t="array" aca="1" ref="Q1781" ca="1">SUM((G.30.assumptions.SpecificProcessCH4EmissionsAfterProcessImprovements[[#This Row],[Description]]=G.30.assumptions.SpecificProcessCH4EmissionsAfterProductManufacturingEfficiency[Description])
        *INDIRECT("G.30.assumptions.SpecificProcessCH4EmissionsAfterProductManufacturingEfficiency["&amp;Q$1773&amp;"]"))</f>
        <v>0.1054789035109945</v>
      </c>
      <c r="R1781" s="239"/>
      <c r="S1781" s="179"/>
      <c r="T1781" s="251"/>
      <c r="V1781" s="179"/>
      <c r="W1781" s="179"/>
    </row>
    <row r="1782" spans="1:23" s="65" customFormat="1" ht="15" customHeight="1" outlineLevel="2">
      <c r="A1782" s="219"/>
      <c r="B1782" s="242"/>
      <c r="C1782" s="251"/>
      <c r="D1782" s="251" t="s">
        <v>1993</v>
      </c>
      <c r="E1782" s="242"/>
      <c r="F1782" s="121"/>
      <c r="G1782" s="315" t="s">
        <v>1963</v>
      </c>
      <c r="H1782" s="242"/>
      <c r="I1782" s="319">
        <f t="array" aca="1" ref="I1782" ca="1">SUM((G.30.assumptions.SpecificProcessCH4EmissionsAfterProcessImprovements[[#This Row],[Description]]=G.30.assumptions.SpecificProcessCH4EmissionsAfterProductManufacturingEfficiency[Description])
        *INDIRECT("G.30.assumptions.SpecificProcessCH4EmissionsAfterProductManufacturingEfficiency["&amp;I$1773&amp;"]"))</f>
        <v>0.27131982684484707</v>
      </c>
      <c r="J1782" s="319">
        <f t="array" aca="1" ref="J1782" ca="1">SUM((G.30.assumptions.SpecificProcessCH4EmissionsAfterProcessImprovements[[#This Row],[Description]]=G.30.assumptions.SpecificProcessCH4EmissionsAfterProductManufacturingEfficiency[Description])
        *INDIRECT("G.30.assumptions.SpecificProcessCH4EmissionsAfterProductManufacturingEfficiency["&amp;J$1773&amp;"]"))</f>
        <v>0.27410259429966599</v>
      </c>
      <c r="K1782" s="319">
        <f t="array" aca="1" ref="K1782" ca="1">SUM((G.30.assumptions.SpecificProcessCH4EmissionsAfterProcessImprovements[[#This Row],[Description]]=G.30.assumptions.SpecificProcessCH4EmissionsAfterProductManufacturingEfficiency[Description])
        *INDIRECT("G.30.assumptions.SpecificProcessCH4EmissionsAfterProductManufacturingEfficiency["&amp;K$1773&amp;"]"))</f>
        <v>0.27758105361818969</v>
      </c>
      <c r="L1782" s="319">
        <f t="array" aca="1" ref="L1782" ca="1">SUM((G.30.assumptions.SpecificProcessCH4EmissionsAfterProcessImprovements[[#This Row],[Description]]=G.30.assumptions.SpecificProcessCH4EmissionsAfterProductManufacturingEfficiency[Description])
        *INDIRECT("G.30.assumptions.SpecificProcessCH4EmissionsAfterProductManufacturingEfficiency["&amp;L$1773&amp;"]"))</f>
        <v>0.28105951293671338</v>
      </c>
      <c r="M1782" s="319">
        <f t="array" aca="1" ref="M1782" ca="1">SUM((G.30.assumptions.SpecificProcessCH4EmissionsAfterProcessImprovements[[#This Row],[Description]]=G.30.assumptions.SpecificProcessCH4EmissionsAfterProductManufacturingEfficiency[Description])
        *INDIRECT("G.30.assumptions.SpecificProcessCH4EmissionsAfterProductManufacturingEfficiency["&amp;M$1773&amp;"]"))</f>
        <v>0.28453797225523708</v>
      </c>
      <c r="N1782" s="319">
        <f t="array" aca="1" ref="N1782" ca="1">SUM((G.30.assumptions.SpecificProcessCH4EmissionsAfterProcessImprovements[[#This Row],[Description]]=G.30.assumptions.SpecificProcessCH4EmissionsAfterProductManufacturingEfficiency[Description])
        *INDIRECT("G.30.assumptions.SpecificProcessCH4EmissionsAfterProductManufacturingEfficiency["&amp;N$1773&amp;"]"))</f>
        <v>0.28801643157376072</v>
      </c>
      <c r="O1782" s="319">
        <f t="array" aca="1" ref="O1782" ca="1">SUM((G.30.assumptions.SpecificProcessCH4EmissionsAfterProcessImprovements[[#This Row],[Description]]=G.30.assumptions.SpecificProcessCH4EmissionsAfterProductManufacturingEfficiency[Description])
        *INDIRECT("G.30.assumptions.SpecificProcessCH4EmissionsAfterProductManufacturingEfficiency["&amp;O$1773&amp;"]"))</f>
        <v>0.29149489089228448</v>
      </c>
      <c r="P1782" s="319">
        <f t="array" aca="1" ref="P1782" ca="1">SUM((G.30.assumptions.SpecificProcessCH4EmissionsAfterProcessImprovements[[#This Row],[Description]]=G.30.assumptions.SpecificProcessCH4EmissionsAfterProductManufacturingEfficiency[Description])
        *INDIRECT("G.30.assumptions.SpecificProcessCH4EmissionsAfterProductManufacturingEfficiency["&amp;P$1773&amp;"]"))</f>
        <v>0.29497335021080812</v>
      </c>
      <c r="Q1782" s="319">
        <f t="array" aca="1" ref="Q1782" ca="1">SUM((G.30.assumptions.SpecificProcessCH4EmissionsAfterProcessImprovements[[#This Row],[Description]]=G.30.assumptions.SpecificProcessCH4EmissionsAfterProductManufacturingEfficiency[Description])
        *INDIRECT("G.30.assumptions.SpecificProcessCH4EmissionsAfterProductManufacturingEfficiency["&amp;Q$1773&amp;"]"))</f>
        <v>0.29845180952933181</v>
      </c>
      <c r="R1782" s="239"/>
      <c r="S1782" s="179"/>
      <c r="T1782" s="251"/>
      <c r="V1782" s="179"/>
      <c r="W1782" s="179"/>
    </row>
    <row r="1783" spans="1:23" s="65" customFormat="1" ht="15" customHeight="1" outlineLevel="2">
      <c r="A1783" s="219"/>
      <c r="B1783" s="242"/>
      <c r="C1783" s="251"/>
      <c r="D1783" s="251" t="s">
        <v>1994</v>
      </c>
      <c r="E1783" s="242"/>
      <c r="F1783" s="121"/>
      <c r="G1783" s="251" t="s">
        <v>1964</v>
      </c>
      <c r="H1783" s="242"/>
      <c r="I1783" s="319">
        <f t="array" aca="1" ref="I1783" ca="1">SUM((G.30.assumptions.SpecificProcessCH4EmissionsAfterProcessImprovements[[#This Row],[Description]]=G.30.assumptions.SpecificProcessCH4EmissionsAfterProductManufacturingEfficiency[Description])
        *INDIRECT("G.30.assumptions.SpecificProcessCH4EmissionsAfterProductManufacturingEfficiency["&amp;I$1773&amp;"]"))</f>
        <v>0.15720558668698606</v>
      </c>
      <c r="J1783" s="319">
        <f t="array" aca="1" ref="J1783" ca="1">SUM((G.30.assumptions.SpecificProcessCH4EmissionsAfterProcessImprovements[[#This Row],[Description]]=G.30.assumptions.SpecificProcessCH4EmissionsAfterProductManufacturingEfficiency[Description])
        *INDIRECT("G.30.assumptions.SpecificProcessCH4EmissionsAfterProductManufacturingEfficiency["&amp;J$1773&amp;"]"))</f>
        <v>0.15881795167864746</v>
      </c>
      <c r="K1783" s="319">
        <f t="array" aca="1" ref="K1783" ca="1">SUM((G.30.assumptions.SpecificProcessCH4EmissionsAfterProcessImprovements[[#This Row],[Description]]=G.30.assumptions.SpecificProcessCH4EmissionsAfterProductManufacturingEfficiency[Description])
        *INDIRECT("G.30.assumptions.SpecificProcessCH4EmissionsAfterProductManufacturingEfficiency["&amp;K$1773&amp;"]"))</f>
        <v>0.1608334079182242</v>
      </c>
      <c r="L1783" s="319">
        <f t="array" aca="1" ref="L1783" ca="1">SUM((G.30.assumptions.SpecificProcessCH4EmissionsAfterProcessImprovements[[#This Row],[Description]]=G.30.assumptions.SpecificProcessCH4EmissionsAfterProductManufacturingEfficiency[Description])
        *INDIRECT("G.30.assumptions.SpecificProcessCH4EmissionsAfterProductManufacturingEfficiency["&amp;L$1773&amp;"]"))</f>
        <v>0.16284886415780095</v>
      </c>
      <c r="M1783" s="319">
        <f t="array" aca="1" ref="M1783" ca="1">SUM((G.30.assumptions.SpecificProcessCH4EmissionsAfterProcessImprovements[[#This Row],[Description]]=G.30.assumptions.SpecificProcessCH4EmissionsAfterProductManufacturingEfficiency[Description])
        *INDIRECT("G.30.assumptions.SpecificProcessCH4EmissionsAfterProductManufacturingEfficiency["&amp;M$1773&amp;"]"))</f>
        <v>0.16486432039737769</v>
      </c>
      <c r="N1783" s="319">
        <f t="array" aca="1" ref="N1783" ca="1">SUM((G.30.assumptions.SpecificProcessCH4EmissionsAfterProcessImprovements[[#This Row],[Description]]=G.30.assumptions.SpecificProcessCH4EmissionsAfterProductManufacturingEfficiency[Description])
        *INDIRECT("G.30.assumptions.SpecificProcessCH4EmissionsAfterProductManufacturingEfficiency["&amp;N$1773&amp;"]"))</f>
        <v>0.16687977663695441</v>
      </c>
      <c r="O1783" s="319">
        <f t="array" aca="1" ref="O1783" ca="1">SUM((G.30.assumptions.SpecificProcessCH4EmissionsAfterProcessImprovements[[#This Row],[Description]]=G.30.assumptions.SpecificProcessCH4EmissionsAfterProductManufacturingEfficiency[Description])
        *INDIRECT("G.30.assumptions.SpecificProcessCH4EmissionsAfterProductManufacturingEfficiency["&amp;O$1773&amp;"]"))</f>
        <v>0.16889523287653121</v>
      </c>
      <c r="P1783" s="319">
        <f t="array" aca="1" ref="P1783" ca="1">SUM((G.30.assumptions.SpecificProcessCH4EmissionsAfterProcessImprovements[[#This Row],[Description]]=G.30.assumptions.SpecificProcessCH4EmissionsAfterProductManufacturingEfficiency[Description])
        *INDIRECT("G.30.assumptions.SpecificProcessCH4EmissionsAfterProductManufacturingEfficiency["&amp;P$1773&amp;"]"))</f>
        <v>0.17091068911610793</v>
      </c>
      <c r="Q1783" s="319">
        <f t="array" aca="1" ref="Q1783" ca="1">SUM((G.30.assumptions.SpecificProcessCH4EmissionsAfterProcessImprovements[[#This Row],[Description]]=G.30.assumptions.SpecificProcessCH4EmissionsAfterProductManufacturingEfficiency[Description])
        *INDIRECT("G.30.assumptions.SpecificProcessCH4EmissionsAfterProductManufacturingEfficiency["&amp;Q$1773&amp;"]"))</f>
        <v>0.17292614535568468</v>
      </c>
      <c r="R1783" s="239"/>
      <c r="S1783" s="179"/>
      <c r="T1783" s="251"/>
      <c r="V1783" s="179"/>
      <c r="W1783" s="179"/>
    </row>
    <row r="1784" spans="1:23" s="65" customFormat="1" ht="15" customHeight="1" outlineLevel="2">
      <c r="A1784" s="219"/>
      <c r="B1784" s="242"/>
      <c r="C1784" s="251"/>
      <c r="D1784" s="251" t="s">
        <v>1995</v>
      </c>
      <c r="E1784" s="242"/>
      <c r="F1784" s="121"/>
      <c r="G1784" s="315" t="s">
        <v>1954</v>
      </c>
      <c r="H1784" s="242"/>
      <c r="I1784" s="319">
        <f t="array" aca="1" ref="I1784" ca="1">SUM((G.30.assumptions.SpecificProcessCH4EmissionsAfterProcessImprovements[[#This Row],[Description]]=G.30.assumptions.SpecificProcessCH4EmissionsAfterProductManufacturingEfficiency[Description])
        *INDIRECT("G.30.assumptions.SpecificProcessCH4EmissionsAfterProductManufacturingEfficiency["&amp;I$1773&amp;"]"))</f>
        <v>2.0903772272782294E-2</v>
      </c>
      <c r="J1784" s="319">
        <f t="array" aca="1" ref="J1784" ca="1">SUM((G.30.assumptions.SpecificProcessCH4EmissionsAfterProcessImprovements[[#This Row],[Description]]=G.30.assumptions.SpecificProcessCH4EmissionsAfterProductManufacturingEfficiency[Description])
        *INDIRECT("G.30.assumptions.SpecificProcessCH4EmissionsAfterProductManufacturingEfficiency["&amp;J$1773&amp;"]"))</f>
        <v>2.1118169937118524E-2</v>
      </c>
      <c r="K1784" s="319">
        <f t="array" aca="1" ref="K1784" ca="1">SUM((G.30.assumptions.SpecificProcessCH4EmissionsAfterProcessImprovements[[#This Row],[Description]]=G.30.assumptions.SpecificProcessCH4EmissionsAfterProductManufacturingEfficiency[Description])
        *INDIRECT("G.30.assumptions.SpecificProcessCH4EmissionsAfterProductManufacturingEfficiency["&amp;K$1773&amp;"]"))</f>
        <v>2.1386167017538808E-2</v>
      </c>
      <c r="L1784" s="319">
        <f t="array" aca="1" ref="L1784" ca="1">SUM((G.30.assumptions.SpecificProcessCH4EmissionsAfterProcessImprovements[[#This Row],[Description]]=G.30.assumptions.SpecificProcessCH4EmissionsAfterProductManufacturingEfficiency[Description])
        *INDIRECT("G.30.assumptions.SpecificProcessCH4EmissionsAfterProductManufacturingEfficiency["&amp;L$1773&amp;"]"))</f>
        <v>2.1654164097959103E-2</v>
      </c>
      <c r="M1784" s="319">
        <f t="array" aca="1" ref="M1784" ca="1">SUM((G.30.assumptions.SpecificProcessCH4EmissionsAfterProcessImprovements[[#This Row],[Description]]=G.30.assumptions.SpecificProcessCH4EmissionsAfterProductManufacturingEfficiency[Description])
        *INDIRECT("G.30.assumptions.SpecificProcessCH4EmissionsAfterProductManufacturingEfficiency["&amp;M$1773&amp;"]"))</f>
        <v>2.1922161178379383E-2</v>
      </c>
      <c r="N1784" s="319">
        <f t="array" aca="1" ref="N1784" ca="1">SUM((G.30.assumptions.SpecificProcessCH4EmissionsAfterProcessImprovements[[#This Row],[Description]]=G.30.assumptions.SpecificProcessCH4EmissionsAfterProductManufacturingEfficiency[Description])
        *INDIRECT("G.30.assumptions.SpecificProcessCH4EmissionsAfterProductManufacturingEfficiency["&amp;N$1773&amp;"]"))</f>
        <v>2.2190158258799667E-2</v>
      </c>
      <c r="O1784" s="319">
        <f t="array" aca="1" ref="O1784" ca="1">SUM((G.30.assumptions.SpecificProcessCH4EmissionsAfterProcessImprovements[[#This Row],[Description]]=G.30.assumptions.SpecificProcessCH4EmissionsAfterProductManufacturingEfficiency[Description])
        *INDIRECT("G.30.assumptions.SpecificProcessCH4EmissionsAfterProductManufacturingEfficiency["&amp;O$1773&amp;"]"))</f>
        <v>2.2458155339219958E-2</v>
      </c>
      <c r="P1784" s="319">
        <f t="array" aca="1" ref="P1784" ca="1">SUM((G.30.assumptions.SpecificProcessCH4EmissionsAfterProcessImprovements[[#This Row],[Description]]=G.30.assumptions.SpecificProcessCH4EmissionsAfterProductManufacturingEfficiency[Description])
        *INDIRECT("G.30.assumptions.SpecificProcessCH4EmissionsAfterProductManufacturingEfficiency["&amp;P$1773&amp;"]"))</f>
        <v>2.2726152419640246E-2</v>
      </c>
      <c r="Q1784" s="319">
        <f t="array" aca="1" ref="Q1784" ca="1">SUM((G.30.assumptions.SpecificProcessCH4EmissionsAfterProcessImprovements[[#This Row],[Description]]=G.30.assumptions.SpecificProcessCH4EmissionsAfterProductManufacturingEfficiency[Description])
        *INDIRECT("G.30.assumptions.SpecificProcessCH4EmissionsAfterProductManufacturingEfficiency["&amp;Q$1773&amp;"]"))</f>
        <v>2.2994149500060526E-2</v>
      </c>
      <c r="R1784" s="239"/>
      <c r="S1784" s="179"/>
      <c r="T1784" s="251"/>
      <c r="V1784" s="179"/>
      <c r="W1784" s="179"/>
    </row>
    <row r="1785" spans="1:23" s="65" customFormat="1" ht="15" customHeight="1" outlineLevel="2">
      <c r="A1785" s="219"/>
      <c r="B1785" s="242"/>
      <c r="C1785" s="251"/>
      <c r="D1785" s="251" t="s">
        <v>1996</v>
      </c>
      <c r="E1785" s="242"/>
      <c r="F1785" s="121"/>
      <c r="G1785" s="251" t="s">
        <v>1955</v>
      </c>
      <c r="H1785" s="242"/>
      <c r="I1785" s="319">
        <f t="array" aca="1" ref="I1785" ca="1">SUM((G.30.assumptions.SpecificProcessCH4EmissionsAfterProcessImprovements[[#This Row],[Description]]=G.30.assumptions.SpecificProcessCH4EmissionsAfterProductManufacturingEfficiency[Description])
        *INDIRECT("G.30.assumptions.SpecificProcessCH4EmissionsAfterProductManufacturingEfficiency["&amp;I$1773&amp;"]"))</f>
        <v>9.4970983029639654E-3</v>
      </c>
      <c r="J1785" s="319">
        <f t="array" aca="1" ref="J1785" ca="1">SUM((G.30.assumptions.SpecificProcessCH4EmissionsAfterProcessImprovements[[#This Row],[Description]]=G.30.assumptions.SpecificProcessCH4EmissionsAfterProductManufacturingEfficiency[Description])
        *INDIRECT("G.30.assumptions.SpecificProcessCH4EmissionsAfterProductManufacturingEfficiency["&amp;J$1773&amp;"]"))</f>
        <v>9.5945044394046206E-3</v>
      </c>
      <c r="K1785" s="319">
        <f t="array" aca="1" ref="K1785" ca="1">SUM((G.30.assumptions.SpecificProcessCH4EmissionsAfterProcessImprovements[[#This Row],[Description]]=G.30.assumptions.SpecificProcessCH4EmissionsAfterProductManufacturingEfficiency[Description])
        *INDIRECT("G.30.assumptions.SpecificProcessCH4EmissionsAfterProductManufacturingEfficiency["&amp;K$1773&amp;"]"))</f>
        <v>9.7162621099554404E-3</v>
      </c>
      <c r="L1785" s="319">
        <f t="array" aca="1" ref="L1785" ca="1">SUM((G.30.assumptions.SpecificProcessCH4EmissionsAfterProcessImprovements[[#This Row],[Description]]=G.30.assumptions.SpecificProcessCH4EmissionsAfterProductManufacturingEfficiency[Description])
        *INDIRECT("G.30.assumptions.SpecificProcessCH4EmissionsAfterProductManufacturingEfficiency["&amp;L$1773&amp;"]"))</f>
        <v>9.8380197805062637E-3</v>
      </c>
      <c r="M1785" s="319">
        <f t="array" aca="1" ref="M1785" ca="1">SUM((G.30.assumptions.SpecificProcessCH4EmissionsAfterProcessImprovements[[#This Row],[Description]]=G.30.assumptions.SpecificProcessCH4EmissionsAfterProductManufacturingEfficiency[Description])
        *INDIRECT("G.30.assumptions.SpecificProcessCH4EmissionsAfterProductManufacturingEfficiency["&amp;M$1773&amp;"]"))</f>
        <v>9.9597774510570818E-3</v>
      </c>
      <c r="N1785" s="319">
        <f t="array" aca="1" ref="N1785" ca="1">SUM((G.30.assumptions.SpecificProcessCH4EmissionsAfterProcessImprovements[[#This Row],[Description]]=G.30.assumptions.SpecificProcessCH4EmissionsAfterProductManufacturingEfficiency[Description])
        *INDIRECT("G.30.assumptions.SpecificProcessCH4EmissionsAfterProductManufacturingEfficiency["&amp;N$1773&amp;"]"))</f>
        <v>1.0081535121607902E-2</v>
      </c>
      <c r="O1785" s="319">
        <f t="array" aca="1" ref="O1785" ca="1">SUM((G.30.assumptions.SpecificProcessCH4EmissionsAfterProcessImprovements[[#This Row],[Description]]=G.30.assumptions.SpecificProcessCH4EmissionsAfterProductManufacturingEfficiency[Description])
        *INDIRECT("G.30.assumptions.SpecificProcessCH4EmissionsAfterProductManufacturingEfficiency["&amp;O$1773&amp;"]"))</f>
        <v>1.0203292792158723E-2</v>
      </c>
      <c r="P1785" s="319">
        <f t="array" aca="1" ref="P1785" ca="1">SUM((G.30.assumptions.SpecificProcessCH4EmissionsAfterProcessImprovements[[#This Row],[Description]]=G.30.assumptions.SpecificProcessCH4EmissionsAfterProductManufacturingEfficiency[Description])
        *INDIRECT("G.30.assumptions.SpecificProcessCH4EmissionsAfterProductManufacturingEfficiency["&amp;P$1773&amp;"]"))</f>
        <v>1.0325050462709543E-2</v>
      </c>
      <c r="Q1785" s="319">
        <f t="array" aca="1" ref="Q1785" ca="1">SUM((G.30.assumptions.SpecificProcessCH4EmissionsAfterProcessImprovements[[#This Row],[Description]]=G.30.assumptions.SpecificProcessCH4EmissionsAfterProductManufacturingEfficiency[Description])
        *INDIRECT("G.30.assumptions.SpecificProcessCH4EmissionsAfterProductManufacturingEfficiency["&amp;Q$1773&amp;"]"))</f>
        <v>1.0446808133260361E-2</v>
      </c>
      <c r="R1785" s="239"/>
      <c r="S1785" s="179"/>
      <c r="T1785" s="251"/>
      <c r="V1785" s="179"/>
      <c r="W1785" s="179"/>
    </row>
    <row r="1786" spans="1:23" s="65" customFormat="1" ht="15" customHeight="1" outlineLevel="2">
      <c r="A1786" s="219"/>
      <c r="B1786" s="242"/>
      <c r="C1786" s="251"/>
      <c r="D1786" s="251" t="s">
        <v>1997</v>
      </c>
      <c r="E1786" s="242"/>
      <c r="F1786" s="121"/>
      <c r="G1786" s="251" t="s">
        <v>1956</v>
      </c>
      <c r="H1786" s="242"/>
      <c r="I1786" s="319">
        <f t="array" aca="1" ref="I1786" ca="1">SUM((G.30.assumptions.SpecificProcessCH4EmissionsAfterProcessImprovements[[#This Row],[Description]]=G.30.assumptions.SpecificProcessCH4EmissionsAfterProductManufacturingEfficiency[Description])
        *INDIRECT("G.30.assumptions.SpecificProcessCH4EmissionsAfterProductManufacturingEfficiency["&amp;I$1773&amp;"]"))</f>
        <v>1.8757176046928597E-2</v>
      </c>
      <c r="J1786" s="319">
        <f t="array" aca="1" ref="J1786" ca="1">SUM((G.30.assumptions.SpecificProcessCH4EmissionsAfterProcessImprovements[[#This Row],[Description]]=G.30.assumptions.SpecificProcessCH4EmissionsAfterProductManufacturingEfficiency[Description])
        *INDIRECT("G.30.assumptions.SpecificProcessCH4EmissionsAfterProductManufacturingEfficiency["&amp;J$1773&amp;"]"))</f>
        <v>1.8949557339717607E-2</v>
      </c>
      <c r="K1786" s="319">
        <f t="array" aca="1" ref="K1786" ca="1">SUM((G.30.assumptions.SpecificProcessCH4EmissionsAfterProcessImprovements[[#This Row],[Description]]=G.30.assumptions.SpecificProcessCH4EmissionsAfterProductManufacturingEfficiency[Description])
        *INDIRECT("G.30.assumptions.SpecificProcessCH4EmissionsAfterProductManufacturingEfficiency["&amp;K$1773&amp;"]"))</f>
        <v>1.9190033955703872E-2</v>
      </c>
      <c r="L1786" s="319">
        <f t="array" aca="1" ref="L1786" ca="1">SUM((G.30.assumptions.SpecificProcessCH4EmissionsAfterProcessImprovements[[#This Row],[Description]]=G.30.assumptions.SpecificProcessCH4EmissionsAfterProductManufacturingEfficiency[Description])
        *INDIRECT("G.30.assumptions.SpecificProcessCH4EmissionsAfterProductManufacturingEfficiency["&amp;L$1773&amp;"]"))</f>
        <v>1.9430510571690138E-2</v>
      </c>
      <c r="M1786" s="319">
        <f t="array" aca="1" ref="M1786" ca="1">SUM((G.30.assumptions.SpecificProcessCH4EmissionsAfterProcessImprovements[[#This Row],[Description]]=G.30.assumptions.SpecificProcessCH4EmissionsAfterProductManufacturingEfficiency[Description])
        *INDIRECT("G.30.assumptions.SpecificProcessCH4EmissionsAfterProductManufacturingEfficiency["&amp;M$1773&amp;"]"))</f>
        <v>1.96709871876764E-2</v>
      </c>
      <c r="N1786" s="319">
        <f t="array" aca="1" ref="N1786" ca="1">SUM((G.30.assumptions.SpecificProcessCH4EmissionsAfterProcessImprovements[[#This Row],[Description]]=G.30.assumptions.SpecificProcessCH4EmissionsAfterProductManufacturingEfficiency[Description])
        *INDIRECT("G.30.assumptions.SpecificProcessCH4EmissionsAfterProductManufacturingEfficiency["&amp;N$1773&amp;"]"))</f>
        <v>1.9911463803662665E-2</v>
      </c>
      <c r="O1786" s="319">
        <f t="array" aca="1" ref="O1786" ca="1">SUM((G.30.assumptions.SpecificProcessCH4EmissionsAfterProcessImprovements[[#This Row],[Description]]=G.30.assumptions.SpecificProcessCH4EmissionsAfterProductManufacturingEfficiency[Description])
        *INDIRECT("G.30.assumptions.SpecificProcessCH4EmissionsAfterProductManufacturingEfficiency["&amp;O$1773&amp;"]"))</f>
        <v>2.015194041964893E-2</v>
      </c>
      <c r="P1786" s="319">
        <f t="array" aca="1" ref="P1786" ca="1">SUM((G.30.assumptions.SpecificProcessCH4EmissionsAfterProcessImprovements[[#This Row],[Description]]=G.30.assumptions.SpecificProcessCH4EmissionsAfterProductManufacturingEfficiency[Description])
        *INDIRECT("G.30.assumptions.SpecificProcessCH4EmissionsAfterProductManufacturingEfficiency["&amp;P$1773&amp;"]"))</f>
        <v>2.0392417035635196E-2</v>
      </c>
      <c r="Q1786" s="319">
        <f t="array" aca="1" ref="Q1786" ca="1">SUM((G.30.assumptions.SpecificProcessCH4EmissionsAfterProcessImprovements[[#This Row],[Description]]=G.30.assumptions.SpecificProcessCH4EmissionsAfterProductManufacturingEfficiency[Description])
        *INDIRECT("G.30.assumptions.SpecificProcessCH4EmissionsAfterProductManufacturingEfficiency["&amp;Q$1773&amp;"]"))</f>
        <v>2.0632893651621458E-2</v>
      </c>
      <c r="R1786" s="239"/>
      <c r="S1786" s="179"/>
      <c r="T1786" s="251"/>
      <c r="V1786" s="179"/>
      <c r="W1786" s="179"/>
    </row>
    <row r="1787" spans="1:23" s="65" customFormat="1" ht="15" customHeight="1" outlineLevel="2">
      <c r="A1787" s="219"/>
      <c r="B1787" s="242"/>
      <c r="C1787" s="251"/>
      <c r="D1787" s="251" t="s">
        <v>1998</v>
      </c>
      <c r="E1787" s="242"/>
      <c r="F1787" s="121"/>
      <c r="G1787" s="251" t="s">
        <v>1426</v>
      </c>
      <c r="H1787" s="242"/>
      <c r="I1787" s="319">
        <f t="array" aca="1" ref="I1787" ca="1">SUM((G.30.assumptions.SpecificProcessCH4EmissionsAfterProcessImprovements[[#This Row],[Description]]=G.30.assumptions.SpecificProcessCH4EmissionsAfterProductManufacturingEfficiency[Description])
        *INDIRECT("G.30.assumptions.SpecificProcessCH4EmissionsAfterProductManufacturingEfficiency["&amp;I$1773&amp;"]"))</f>
        <v>3.0288469124250289E-2</v>
      </c>
      <c r="J1787" s="319">
        <f t="array" aca="1" ref="J1787" ca="1">SUM((G.30.assumptions.SpecificProcessCH4EmissionsAfterProcessImprovements[[#This Row],[Description]]=G.30.assumptions.SpecificProcessCH4EmissionsAfterProductManufacturingEfficiency[Description])
        *INDIRECT("G.30.assumptions.SpecificProcessCH4EmissionsAfterProductManufacturingEfficiency["&amp;J$1773&amp;"]"))</f>
        <v>2.9343771573129691E-2</v>
      </c>
      <c r="K1787" s="319">
        <f t="array" aca="1" ref="K1787" ca="1">SUM((G.30.assumptions.SpecificProcessCH4EmissionsAfterProcessImprovements[[#This Row],[Description]]=G.30.assumptions.SpecificProcessCH4EmissionsAfterProductManufacturingEfficiency[Description])
        *INDIRECT("G.30.assumptions.SpecificProcessCH4EmissionsAfterProductManufacturingEfficiency["&amp;K$1773&amp;"]"))</f>
        <v>2.8127055292070061E-2</v>
      </c>
      <c r="L1787" s="319">
        <f t="array" aca="1" ref="L1787" ca="1">SUM((G.30.assumptions.SpecificProcessCH4EmissionsAfterProcessImprovements[[#This Row],[Description]]=G.30.assumptions.SpecificProcessCH4EmissionsAfterProductManufacturingEfficiency[Description])
        *INDIRECT("G.30.assumptions.SpecificProcessCH4EmissionsAfterProductManufacturingEfficiency["&amp;L$1773&amp;"]"))</f>
        <v>2.6870511964167246E-2</v>
      </c>
      <c r="M1787" s="319">
        <f t="array" aca="1" ref="M1787" ca="1">SUM((G.30.assumptions.SpecificProcessCH4EmissionsAfterProcessImprovements[[#This Row],[Description]]=G.30.assumptions.SpecificProcessCH4EmissionsAfterProductManufacturingEfficiency[Description])
        *INDIRECT("G.30.assumptions.SpecificProcessCH4EmissionsAfterProductManufacturingEfficiency["&amp;M$1773&amp;"]"))</f>
        <v>2.5574141589421225E-2</v>
      </c>
      <c r="N1787" s="319">
        <f t="array" aca="1" ref="N1787" ca="1">SUM((G.30.assumptions.SpecificProcessCH4EmissionsAfterProcessImprovements[[#This Row],[Description]]=G.30.assumptions.SpecificProcessCH4EmissionsAfterProductManufacturingEfficiency[Description])
        *INDIRECT("G.30.assumptions.SpecificProcessCH4EmissionsAfterProductManufacturingEfficiency["&amp;N$1773&amp;"]"))</f>
        <v>2.423794416783201E-2</v>
      </c>
      <c r="O1787" s="319">
        <f t="array" aca="1" ref="O1787" ca="1">SUM((G.30.assumptions.SpecificProcessCH4EmissionsAfterProcessImprovements[[#This Row],[Description]]=G.30.assumptions.SpecificProcessCH4EmissionsAfterProductManufacturingEfficiency[Description])
        *INDIRECT("G.30.assumptions.SpecificProcessCH4EmissionsAfterProductManufacturingEfficiency["&amp;O$1773&amp;"]"))</f>
        <v>2.2861919699399599E-2</v>
      </c>
      <c r="P1787" s="319">
        <f t="array" aca="1" ref="P1787" ca="1">SUM((G.30.assumptions.SpecificProcessCH4EmissionsAfterProcessImprovements[[#This Row],[Description]]=G.30.assumptions.SpecificProcessCH4EmissionsAfterProductManufacturingEfficiency[Description])
        *INDIRECT("G.30.assumptions.SpecificProcessCH4EmissionsAfterProductManufacturingEfficiency["&amp;P$1773&amp;"]"))</f>
        <v>2.1446068184123996E-2</v>
      </c>
      <c r="Q1787" s="319">
        <f t="array" aca="1" ref="Q1787" ca="1">SUM((G.30.assumptions.SpecificProcessCH4EmissionsAfterProcessImprovements[[#This Row],[Description]]=G.30.assumptions.SpecificProcessCH4EmissionsAfterProductManufacturingEfficiency[Description])
        *INDIRECT("G.30.assumptions.SpecificProcessCH4EmissionsAfterProductManufacturingEfficiency["&amp;Q$1773&amp;"]"))</f>
        <v>1.9990389622005191E-2</v>
      </c>
      <c r="R1787" s="239"/>
      <c r="S1787" s="179"/>
      <c r="T1787" s="251"/>
      <c r="V1787" s="179"/>
      <c r="W1787" s="179"/>
    </row>
    <row r="1788" spans="1:23" s="65" customFormat="1" ht="15" customHeight="1" outlineLevel="2">
      <c r="A1788" s="219"/>
      <c r="B1788" s="242"/>
      <c r="C1788" s="251"/>
      <c r="D1788" s="251" t="s">
        <v>1999</v>
      </c>
      <c r="E1788" s="242"/>
      <c r="F1788" s="121"/>
      <c r="G1788" s="251" t="s">
        <v>1457</v>
      </c>
      <c r="H1788" s="242"/>
      <c r="I1788" s="319">
        <f t="array" aca="1" ref="I1788" ca="1">SUM((G.30.assumptions.SpecificProcessCH4EmissionsAfterProcessImprovements[[#This Row],[Description]]=G.30.assumptions.SpecificProcessCH4EmissionsAfterProductManufacturingEfficiency[Description])
        *INDIRECT("G.30.assumptions.SpecificProcessCH4EmissionsAfterProductManufacturingEfficiency["&amp;I$1773&amp;"]"))</f>
        <v>0.1044634283309155</v>
      </c>
      <c r="J1788" s="319">
        <f t="array" aca="1" ref="J1788" ca="1">SUM((G.30.assumptions.SpecificProcessCH4EmissionsAfterProcessImprovements[[#This Row],[Description]]=G.30.assumptions.SpecificProcessCH4EmissionsAfterProductManufacturingEfficiency[Description])
        *INDIRECT("G.30.assumptions.SpecificProcessCH4EmissionsAfterProductManufacturingEfficiency["&amp;J$1773&amp;"]"))</f>
        <v>0.10325734806655079</v>
      </c>
      <c r="K1788" s="319">
        <f t="array" aca="1" ref="K1788" ca="1">SUM((G.30.assumptions.SpecificProcessCH4EmissionsAfterProcessImprovements[[#This Row],[Description]]=G.30.assumptions.SpecificProcessCH4EmissionsAfterProductManufacturingEfficiency[Description])
        *INDIRECT("G.30.assumptions.SpecificProcessCH4EmissionsAfterProductManufacturingEfficiency["&amp;K$1773&amp;"]"))</f>
        <v>0.1016847175952984</v>
      </c>
      <c r="L1788" s="319">
        <f t="array" aca="1" ref="L1788" ca="1">SUM((G.30.assumptions.SpecificProcessCH4EmissionsAfterProcessImprovements[[#This Row],[Description]]=G.30.assumptions.SpecificProcessCH4EmissionsAfterProductManufacturingEfficiency[Description])
        *INDIRECT("G.30.assumptions.SpecificProcessCH4EmissionsAfterProductManufacturingEfficiency["&amp;L$1773&amp;"]"))</f>
        <v>0.10003983141204992</v>
      </c>
      <c r="M1788" s="319">
        <f t="array" aca="1" ref="M1788" ca="1">SUM((G.30.assumptions.SpecificProcessCH4EmissionsAfterProcessImprovements[[#This Row],[Description]]=G.30.assumptions.SpecificProcessCH4EmissionsAfterProductManufacturingEfficiency[Description])
        *INDIRECT("G.30.assumptions.SpecificProcessCH4EmissionsAfterProductManufacturingEfficiency["&amp;M$1773&amp;"]"))</f>
        <v>9.8322689516805298E-2</v>
      </c>
      <c r="N1788" s="319">
        <f t="array" aca="1" ref="N1788" ca="1">SUM((G.30.assumptions.SpecificProcessCH4EmissionsAfterProcessImprovements[[#This Row],[Description]]=G.30.assumptions.SpecificProcessCH4EmissionsAfterProductManufacturingEfficiency[Description])
        *INDIRECT("G.30.assumptions.SpecificProcessCH4EmissionsAfterProductManufacturingEfficiency["&amp;N$1773&amp;"]"))</f>
        <v>9.6533291909564528E-2</v>
      </c>
      <c r="O1788" s="319">
        <f t="array" aca="1" ref="O1788" ca="1">SUM((G.30.assumptions.SpecificProcessCH4EmissionsAfterProcessImprovements[[#This Row],[Description]]=G.30.assumptions.SpecificProcessCH4EmissionsAfterProductManufacturingEfficiency[Description])
        *INDIRECT("G.30.assumptions.SpecificProcessCH4EmissionsAfterProductManufacturingEfficiency["&amp;O$1773&amp;"]"))</f>
        <v>9.4671638590327692E-2</v>
      </c>
      <c r="P1788" s="319">
        <f t="array" aca="1" ref="P1788" ca="1">SUM((G.30.assumptions.SpecificProcessCH4EmissionsAfterProcessImprovements[[#This Row],[Description]]=G.30.assumptions.SpecificProcessCH4EmissionsAfterProductManufacturingEfficiency[Description])
        *INDIRECT("G.30.assumptions.SpecificProcessCH4EmissionsAfterProductManufacturingEfficiency["&amp;P$1773&amp;"]"))</f>
        <v>9.2737729559094706E-2</v>
      </c>
      <c r="Q1788" s="319">
        <f t="array" aca="1" ref="Q1788" ca="1">SUM((G.30.assumptions.SpecificProcessCH4EmissionsAfterProcessImprovements[[#This Row],[Description]]=G.30.assumptions.SpecificProcessCH4EmissionsAfterProductManufacturingEfficiency[Description])
        *INDIRECT("G.30.assumptions.SpecificProcessCH4EmissionsAfterProductManufacturingEfficiency["&amp;Q$1773&amp;"]"))</f>
        <v>9.0731564815865598E-2</v>
      </c>
      <c r="R1788" s="239"/>
      <c r="S1788" s="179"/>
      <c r="T1788" s="251"/>
      <c r="V1788" s="179"/>
      <c r="W1788" s="179"/>
    </row>
    <row r="1789" spans="1:23" s="65" customFormat="1" ht="15" customHeight="1" outlineLevel="2">
      <c r="A1789" s="219"/>
      <c r="B1789" s="242"/>
      <c r="C1789" s="251"/>
      <c r="D1789" s="251"/>
      <c r="E1789" s="242"/>
      <c r="F1789" s="121"/>
      <c r="G1789" s="242"/>
      <c r="H1789" s="242"/>
      <c r="I1789" s="239"/>
      <c r="J1789" s="239"/>
      <c r="K1789" s="239"/>
      <c r="L1789" s="239"/>
      <c r="M1789" s="239"/>
      <c r="N1789" s="239"/>
      <c r="O1789" s="239"/>
      <c r="P1789" s="239"/>
      <c r="Q1789" s="239"/>
      <c r="R1789" s="239"/>
      <c r="S1789" s="179"/>
      <c r="T1789" s="251"/>
      <c r="V1789" s="179"/>
      <c r="W1789" s="179"/>
    </row>
    <row r="1790" spans="1:23" s="65" customFormat="1" ht="15" customHeight="1" outlineLevel="2">
      <c r="A1790" s="219"/>
      <c r="B1790" s="242"/>
      <c r="C1790" s="313" t="s">
        <v>244</v>
      </c>
      <c r="D1790" s="242"/>
      <c r="E1790" s="242"/>
      <c r="F1790" s="121"/>
      <c r="G1790" s="242"/>
      <c r="H1790" s="242"/>
      <c r="I1790" s="239"/>
      <c r="J1790" s="239"/>
      <c r="K1790" s="239"/>
      <c r="L1790" s="239"/>
      <c r="M1790" s="239"/>
      <c r="N1790" s="239"/>
      <c r="O1790" s="239"/>
      <c r="P1790" s="239"/>
      <c r="Q1790" s="239"/>
      <c r="R1790" s="239"/>
      <c r="S1790" s="179"/>
      <c r="T1790" s="251"/>
      <c r="V1790" s="179"/>
      <c r="W1790" s="179"/>
    </row>
    <row r="1791" spans="1:23" s="65" customFormat="1" ht="15" customHeight="1" outlineLevel="2">
      <c r="A1791" s="219"/>
      <c r="B1791" s="242"/>
      <c r="C1791" s="301"/>
      <c r="D1791" s="242"/>
      <c r="E1791" s="242"/>
      <c r="F1791" s="121"/>
      <c r="G1791" s="242"/>
      <c r="H1791" s="242"/>
      <c r="I1791" s="239"/>
      <c r="J1791" s="239"/>
      <c r="K1791" s="239"/>
      <c r="L1791" s="239"/>
      <c r="M1791" s="239"/>
      <c r="N1791" s="239"/>
      <c r="O1791" s="239"/>
      <c r="P1791" s="239"/>
      <c r="Q1791" s="239"/>
      <c r="R1791" s="239"/>
      <c r="S1791" s="179"/>
      <c r="T1791" s="251"/>
      <c r="V1791" s="179"/>
      <c r="W1791" s="179"/>
    </row>
    <row r="1792" spans="1:23" s="65" customFormat="1" ht="15" customHeight="1" outlineLevel="2">
      <c r="A1792" s="219"/>
      <c r="B1792" s="242"/>
      <c r="C1792" s="258" t="s">
        <v>454</v>
      </c>
      <c r="D1792" s="258" t="s">
        <v>241</v>
      </c>
      <c r="E1792" s="258" t="s">
        <v>598</v>
      </c>
      <c r="F1792" s="258" t="s">
        <v>274</v>
      </c>
      <c r="G1792" s="258" t="s">
        <v>509</v>
      </c>
      <c r="H1792" s="258" t="s">
        <v>510</v>
      </c>
      <c r="I1792" s="258" t="s">
        <v>1107</v>
      </c>
      <c r="J1792" s="258" t="s">
        <v>210</v>
      </c>
      <c r="K1792" s="258" t="s">
        <v>211</v>
      </c>
      <c r="L1792" s="258" t="s">
        <v>212</v>
      </c>
      <c r="M1792" s="258" t="s">
        <v>213</v>
      </c>
      <c r="N1792" s="258" t="s">
        <v>214</v>
      </c>
      <c r="O1792" s="258" t="s">
        <v>215</v>
      </c>
      <c r="P1792" s="258" t="s">
        <v>216</v>
      </c>
      <c r="Q1792" s="258" t="s">
        <v>217</v>
      </c>
      <c r="R1792" s="239"/>
      <c r="S1792" s="179"/>
      <c r="T1792" s="251"/>
      <c r="V1792" s="179"/>
      <c r="W1792" s="179"/>
    </row>
    <row r="1793" spans="1:23" s="65" customFormat="1" ht="15" customHeight="1" outlineLevel="2">
      <c r="A1793" s="219"/>
      <c r="B1793" s="242"/>
      <c r="C1793" s="251"/>
      <c r="D1793" s="251" t="s">
        <v>1986</v>
      </c>
      <c r="E1793" s="242"/>
      <c r="F1793" s="121"/>
      <c r="G1793" s="251" t="s">
        <v>1377</v>
      </c>
      <c r="H1793" s="242"/>
      <c r="I1793" s="319">
        <f t="array" aca="1" ref="I1793" ca="1">SUM((G.30.assumptions.SpecificProcessN2OEmissionsAfterProcessImprovements[[#This Row],[Description]]=G.30.assumptions.SpecificProcessN2OEmissionsAfterProductManufacturingEfficiency[Description])
        *INDIRECT("G.30.assumptions.SpecificProcessN2OEmissionsAfterProductManufacturingEfficiency["&amp;I$1792&amp;"]"))</f>
        <v>7.0548600439671469E-2</v>
      </c>
      <c r="J1793" s="319">
        <f t="array" aca="1" ref="J1793" ca="1">SUM((G.30.assumptions.SpecificProcessN2OEmissionsAfterProcessImprovements[[#This Row],[Description]]=G.30.assumptions.SpecificProcessN2OEmissionsAfterProductManufacturingEfficiency[Description])
        *INDIRECT("G.30.assumptions.SpecificProcessN2OEmissionsAfterProductManufacturingEfficiency["&amp;J$1792&amp;"]"))</f>
        <v>7.0170607332455198E-2</v>
      </c>
      <c r="K1793" s="319">
        <f t="array" aca="1" ref="K1793" ca="1">SUM((G.30.assumptions.SpecificProcessN2OEmissionsAfterProcessImprovements[[#This Row],[Description]]=G.30.assumptions.SpecificProcessN2OEmissionsAfterProductManufacturingEfficiency[Description])
        *INDIRECT("G.30.assumptions.SpecificProcessN2OEmissionsAfterProductManufacturingEfficiency["&amp;K$1792&amp;"]"))</f>
        <v>6.9666662533247437E-2</v>
      </c>
      <c r="L1793" s="319">
        <f t="array" aca="1" ref="L1793" ca="1">SUM((G.30.assumptions.SpecificProcessN2OEmissionsAfterProcessImprovements[[#This Row],[Description]]=G.30.assumptions.SpecificProcessN2OEmissionsAfterProductManufacturingEfficiency[Description])
        *INDIRECT("G.30.assumptions.SpecificProcessN2OEmissionsAfterProductManufacturingEfficiency["&amp;L$1792&amp;"]"))</f>
        <v>6.9127769494942579E-2</v>
      </c>
      <c r="M1793" s="319">
        <f t="array" aca="1" ref="M1793" ca="1">SUM((G.30.assumptions.SpecificProcessN2OEmissionsAfterProcessImprovements[[#This Row],[Description]]=G.30.assumptions.SpecificProcessN2OEmissionsAfterProductManufacturingEfficiency[Description])
        *INDIRECT("G.30.assumptions.SpecificProcessN2OEmissionsAfterProductManufacturingEfficiency["&amp;M$1792&amp;"]"))</f>
        <v>6.8553928217540597E-2</v>
      </c>
      <c r="N1793" s="319">
        <f t="array" aca="1" ref="N1793" ca="1">SUM((G.30.assumptions.SpecificProcessN2OEmissionsAfterProcessImprovements[[#This Row],[Description]]=G.30.assumptions.SpecificProcessN2OEmissionsAfterProductManufacturingEfficiency[Description])
        *INDIRECT("G.30.assumptions.SpecificProcessN2OEmissionsAfterProductManufacturingEfficiency["&amp;N$1792&amp;"]"))</f>
        <v>6.7945138701041505E-2</v>
      </c>
      <c r="O1793" s="319">
        <f t="array" aca="1" ref="O1793" ca="1">SUM((G.30.assumptions.SpecificProcessN2OEmissionsAfterProcessImprovements[[#This Row],[Description]]=G.30.assumptions.SpecificProcessN2OEmissionsAfterProductManufacturingEfficiency[Description])
        *INDIRECT("G.30.assumptions.SpecificProcessN2OEmissionsAfterProductManufacturingEfficiency["&amp;O$1792&amp;"]"))</f>
        <v>6.7301400945445303E-2</v>
      </c>
      <c r="P1793" s="319">
        <f t="array" aca="1" ref="P1793" ca="1">SUM((G.30.assumptions.SpecificProcessN2OEmissionsAfterProcessImprovements[[#This Row],[Description]]=G.30.assumptions.SpecificProcessN2OEmissionsAfterProductManufacturingEfficiency[Description])
        *INDIRECT("G.30.assumptions.SpecificProcessN2OEmissionsAfterProductManufacturingEfficiency["&amp;P$1792&amp;"]"))</f>
        <v>6.6622714950751977E-2</v>
      </c>
      <c r="Q1793" s="319">
        <f t="array" aca="1" ref="Q1793" ca="1">SUM((G.30.assumptions.SpecificProcessN2OEmissionsAfterProcessImprovements[[#This Row],[Description]]=G.30.assumptions.SpecificProcessN2OEmissionsAfterProductManufacturingEfficiency[Description])
        *INDIRECT("G.30.assumptions.SpecificProcessN2OEmissionsAfterProductManufacturingEfficiency["&amp;Q$1792&amp;"]"))</f>
        <v>6.5909080716961513E-2</v>
      </c>
      <c r="R1793" s="239"/>
      <c r="S1793" s="179"/>
      <c r="T1793" s="251"/>
      <c r="V1793" s="179"/>
      <c r="W1793" s="179"/>
    </row>
    <row r="1794" spans="1:23" s="65" customFormat="1" ht="15" customHeight="1" outlineLevel="2">
      <c r="A1794" s="219"/>
      <c r="B1794" s="242"/>
      <c r="C1794" s="251"/>
      <c r="D1794" s="251" t="s">
        <v>2192</v>
      </c>
      <c r="E1794" s="242"/>
      <c r="F1794" s="121"/>
      <c r="G1794" s="251" t="s">
        <v>2193</v>
      </c>
      <c r="H1794" s="242" t="s">
        <v>2191</v>
      </c>
      <c r="I1794" s="362">
        <f ca="1">I1793</f>
        <v>7.0548600439671469E-2</v>
      </c>
      <c r="J1794" s="362">
        <f t="shared" ref="J1794:Q1794" ca="1" si="180">J1793</f>
        <v>7.0170607332455198E-2</v>
      </c>
      <c r="K1794" s="362">
        <f t="shared" ca="1" si="180"/>
        <v>6.9666662533247437E-2</v>
      </c>
      <c r="L1794" s="362">
        <f t="shared" ca="1" si="180"/>
        <v>6.9127769494942579E-2</v>
      </c>
      <c r="M1794" s="362">
        <f t="shared" ca="1" si="180"/>
        <v>6.8553928217540597E-2</v>
      </c>
      <c r="N1794" s="362">
        <f t="shared" ca="1" si="180"/>
        <v>6.7945138701041505E-2</v>
      </c>
      <c r="O1794" s="362">
        <f t="shared" ca="1" si="180"/>
        <v>6.7301400945445303E-2</v>
      </c>
      <c r="P1794" s="362">
        <f t="shared" ca="1" si="180"/>
        <v>6.6622714950751977E-2</v>
      </c>
      <c r="Q1794" s="362">
        <f t="shared" ca="1" si="180"/>
        <v>6.5909080716961513E-2</v>
      </c>
      <c r="R1794" s="239"/>
      <c r="S1794" s="179"/>
      <c r="T1794" s="251"/>
      <c r="V1794" s="179"/>
      <c r="W1794" s="179"/>
    </row>
    <row r="1795" spans="1:23" s="65" customFormat="1" ht="15" customHeight="1" outlineLevel="2">
      <c r="A1795" s="219"/>
      <c r="B1795" s="242"/>
      <c r="C1795" s="251"/>
      <c r="D1795" s="251" t="s">
        <v>1987</v>
      </c>
      <c r="E1795" s="242"/>
      <c r="F1795" s="121"/>
      <c r="G1795" s="315" t="s">
        <v>1380</v>
      </c>
      <c r="H1795" s="242"/>
      <c r="I1795" s="319">
        <f t="array" aca="1" ref="I1795" ca="1">SUM((G.30.assumptions.SpecificProcessN2OEmissionsAfterProcessImprovements[[#This Row],[Description]]=G.30.assumptions.SpecificProcessN2OEmissionsAfterProductManufacturingEfficiency[Description])
        *INDIRECT("G.30.assumptions.SpecificProcessN2OEmissionsAfterProductManufacturingEfficiency["&amp;I$1792&amp;"]"))</f>
        <v>0.15124463681852324</v>
      </c>
      <c r="J1795" s="319">
        <f t="array" aca="1" ref="J1795" ca="1">SUM((G.30.assumptions.SpecificProcessN2OEmissionsAfterProcessImprovements[[#This Row],[Description]]=G.30.assumptions.SpecificProcessN2OEmissionsAfterProductManufacturingEfficiency[Description])
        *INDIRECT("G.30.assumptions.SpecificProcessN2OEmissionsAfterProductManufacturingEfficiency["&amp;J$1792&amp;"]"))</f>
        <v>0.15847944016743978</v>
      </c>
      <c r="K1795" s="319">
        <f t="array" aca="1" ref="K1795" ca="1">SUM((G.30.assumptions.SpecificProcessN2OEmissionsAfterProcessImprovements[[#This Row],[Description]]=G.30.assumptions.SpecificProcessN2OEmissionsAfterProductManufacturingEfficiency[Description])
        *INDIRECT("G.30.assumptions.SpecificProcessN2OEmissionsAfterProductManufacturingEfficiency["&amp;K$1792&amp;"]"))</f>
        <v>0.16768522920999918</v>
      </c>
      <c r="L1795" s="319">
        <f t="array" aca="1" ref="L1795" ca="1">SUM((G.30.assumptions.SpecificProcessN2OEmissionsAfterProcessImprovements[[#This Row],[Description]]=G.30.assumptions.SpecificProcessN2OEmissionsAfterProductManufacturingEfficiency[Description])
        *INDIRECT("G.30.assumptions.SpecificProcessN2OEmissionsAfterProductManufacturingEfficiency["&amp;L$1792&amp;"]"))</f>
        <v>0.17707133475968506</v>
      </c>
      <c r="M1795" s="319">
        <f t="array" aca="1" ref="M1795" ca="1">SUM((G.30.assumptions.SpecificProcessN2OEmissionsAfterProcessImprovements[[#This Row],[Description]]=G.30.assumptions.SpecificProcessN2OEmissionsAfterProductManufacturingEfficiency[Description])
        *INDIRECT("G.30.assumptions.SpecificProcessN2OEmissionsAfterProductManufacturingEfficiency["&amp;M$1792&amp;"]"))</f>
        <v>0.18663775681649725</v>
      </c>
      <c r="N1795" s="319">
        <f t="array" aca="1" ref="N1795" ca="1">SUM((G.30.assumptions.SpecificProcessN2OEmissionsAfterProcessImprovements[[#This Row],[Description]]=G.30.assumptions.SpecificProcessN2OEmissionsAfterProductManufacturingEfficiency[Description])
        *INDIRECT("G.30.assumptions.SpecificProcessN2OEmissionsAfterProductManufacturingEfficiency["&amp;N$1792&amp;"]"))</f>
        <v>0.19638449538043593</v>
      </c>
      <c r="O1795" s="319">
        <f t="array" aca="1" ref="O1795" ca="1">SUM((G.30.assumptions.SpecificProcessN2OEmissionsAfterProcessImprovements[[#This Row],[Description]]=G.30.assumptions.SpecificProcessN2OEmissionsAfterProductManufacturingEfficiency[Description])
        *INDIRECT("G.30.assumptions.SpecificProcessN2OEmissionsAfterProductManufacturingEfficiency["&amp;O$1792&amp;"]"))</f>
        <v>0.20631155045150096</v>
      </c>
      <c r="P1795" s="319">
        <f t="array" aca="1" ref="P1795" ca="1">SUM((G.30.assumptions.SpecificProcessN2OEmissionsAfterProcessImprovements[[#This Row],[Description]]=G.30.assumptions.SpecificProcessN2OEmissionsAfterProductManufacturingEfficiency[Description])
        *INDIRECT("G.30.assumptions.SpecificProcessN2OEmissionsAfterProductManufacturingEfficiency["&amp;P$1792&amp;"]"))</f>
        <v>0.2164189220296924</v>
      </c>
      <c r="Q1795" s="319">
        <f t="array" aca="1" ref="Q1795" ca="1">SUM((G.30.assumptions.SpecificProcessN2OEmissionsAfterProcessImprovements[[#This Row],[Description]]=G.30.assumptions.SpecificProcessN2OEmissionsAfterProductManufacturingEfficiency[Description])
        *INDIRECT("G.30.assumptions.SpecificProcessN2OEmissionsAfterProductManufacturingEfficiency["&amp;Q$1792&amp;"]"))</f>
        <v>0.22670661011501023</v>
      </c>
      <c r="R1795" s="239"/>
      <c r="S1795" s="179"/>
      <c r="T1795" s="251"/>
      <c r="V1795" s="179"/>
      <c r="W1795" s="179"/>
    </row>
    <row r="1796" spans="1:23" s="65" customFormat="1" ht="15" customHeight="1" outlineLevel="2">
      <c r="A1796" s="219"/>
      <c r="B1796" s="242"/>
      <c r="C1796" s="251"/>
      <c r="D1796" s="251" t="s">
        <v>1988</v>
      </c>
      <c r="E1796" s="242"/>
      <c r="F1796" s="121"/>
      <c r="G1796" s="315" t="s">
        <v>1625</v>
      </c>
      <c r="H1796" s="242"/>
      <c r="I1796" s="319">
        <f t="array" aca="1" ref="I1796" ca="1">SUM((G.30.assumptions.SpecificProcessN2OEmissionsAfterProcessImprovements[[#This Row],[Description]]=G.30.assumptions.SpecificProcessN2OEmissionsAfterProductManufacturingEfficiency[Description])
        *INDIRECT("G.30.assumptions.SpecificProcessN2OEmissionsAfterProductManufacturingEfficiency["&amp;I$1792&amp;"]"))</f>
        <v>2.5715808643469208E-2</v>
      </c>
      <c r="J1796" s="319">
        <f t="array" aca="1" ref="J1796" ca="1">SUM((G.30.assumptions.SpecificProcessN2OEmissionsAfterProcessImprovements[[#This Row],[Description]]=G.30.assumptions.SpecificProcessN2OEmissionsAfterProductManufacturingEfficiency[Description])
        *INDIRECT("G.30.assumptions.SpecificProcessN2OEmissionsAfterProductManufacturingEfficiency["&amp;J$1792&amp;"]"))</f>
        <v>2.6654539475339595E-2</v>
      </c>
      <c r="K1796" s="319">
        <f t="array" aca="1" ref="K1796" ca="1">SUM((G.30.assumptions.SpecificProcessN2OEmissionsAfterProcessImprovements[[#This Row],[Description]]=G.30.assumptions.SpecificProcessN2OEmissionsAfterProductManufacturingEfficiency[Description])
        *INDIRECT("G.30.assumptions.SpecificProcessN2OEmissionsAfterProductManufacturingEfficiency["&amp;K$1792&amp;"]"))</f>
        <v>2.784722589124082E-2</v>
      </c>
      <c r="L1796" s="319">
        <f t="array" aca="1" ref="L1796" ca="1">SUM((G.30.assumptions.SpecificProcessN2OEmissionsAfterProcessImprovements[[#This Row],[Description]]=G.30.assumptions.SpecificProcessN2OEmissionsAfterProductManufacturingEfficiency[Description])
        *INDIRECT("G.30.assumptions.SpecificProcessN2OEmissionsAfterProductManufacturingEfficiency["&amp;L$1792&amp;"]"))</f>
        <v>2.906132661387895E-2</v>
      </c>
      <c r="M1796" s="319">
        <f t="array" aca="1" ref="M1796" ca="1">SUM((G.30.assumptions.SpecificProcessN2OEmissionsAfterProcessImprovements[[#This Row],[Description]]=G.30.assumptions.SpecificProcessN2OEmissionsAfterProductManufacturingEfficiency[Description])
        *INDIRECT("G.30.assumptions.SpecificProcessN2OEmissionsAfterProductManufacturingEfficiency["&amp;M$1792&amp;"]"))</f>
        <v>3.0296841643254014E-2</v>
      </c>
      <c r="N1796" s="319">
        <f t="array" aca="1" ref="N1796" ca="1">SUM((G.30.assumptions.SpecificProcessN2OEmissionsAfterProcessImprovements[[#This Row],[Description]]=G.30.assumptions.SpecificProcessN2OEmissionsAfterProductManufacturingEfficiency[Description])
        *INDIRECT("G.30.assumptions.SpecificProcessN2OEmissionsAfterProductManufacturingEfficiency["&amp;N$1792&amp;"]"))</f>
        <v>3.1553770979365972E-2</v>
      </c>
      <c r="O1796" s="319">
        <f t="array" aca="1" ref="O1796" ca="1">SUM((G.30.assumptions.SpecificProcessN2OEmissionsAfterProcessImprovements[[#This Row],[Description]]=G.30.assumptions.SpecificProcessN2OEmissionsAfterProductManufacturingEfficiency[Description])
        *INDIRECT("G.30.assumptions.SpecificProcessN2OEmissionsAfterProductManufacturingEfficiency["&amp;O$1792&amp;"]"))</f>
        <v>3.2832114622214872E-2</v>
      </c>
      <c r="P1796" s="319">
        <f t="array" aca="1" ref="P1796" ca="1">SUM((G.30.assumptions.SpecificProcessN2OEmissionsAfterProcessImprovements[[#This Row],[Description]]=G.30.assumptions.SpecificProcessN2OEmissionsAfterProductManufacturingEfficiency[Description])
        *INDIRECT("G.30.assumptions.SpecificProcessN2OEmissionsAfterProductManufacturingEfficiency["&amp;P$1792&amp;"]"))</f>
        <v>3.4131872571800684E-2</v>
      </c>
      <c r="Q1796" s="319">
        <f t="array" aca="1" ref="Q1796" ca="1">SUM((G.30.assumptions.SpecificProcessN2OEmissionsAfterProcessImprovements[[#This Row],[Description]]=G.30.assumptions.SpecificProcessN2OEmissionsAfterProductManufacturingEfficiency[Description])
        *INDIRECT("G.30.assumptions.SpecificProcessN2OEmissionsAfterProductManufacturingEfficiency["&amp;Q$1792&amp;"]"))</f>
        <v>3.5453044828123406E-2</v>
      </c>
      <c r="R1796" s="239"/>
      <c r="S1796" s="179"/>
      <c r="T1796" s="251"/>
      <c r="V1796" s="179"/>
      <c r="W1796" s="179"/>
    </row>
    <row r="1797" spans="1:23" s="65" customFormat="1" ht="15" customHeight="1" outlineLevel="2">
      <c r="A1797" s="219"/>
      <c r="B1797" s="242"/>
      <c r="C1797" s="251"/>
      <c r="D1797" s="251" t="s">
        <v>1989</v>
      </c>
      <c r="E1797" s="242"/>
      <c r="F1797" s="121"/>
      <c r="G1797" s="315" t="s">
        <v>1939</v>
      </c>
      <c r="H1797" s="242"/>
      <c r="I1797" s="319">
        <f t="array" aca="1" ref="I1797" ca="1">SUM((G.30.assumptions.SpecificProcessN2OEmissionsAfterProcessImprovements[[#This Row],[Description]]=G.30.assumptions.SpecificProcessN2OEmissionsAfterProductManufacturingEfficiency[Description])
        *INDIRECT("G.30.assumptions.SpecificProcessN2OEmissionsAfterProductManufacturingEfficiency["&amp;I$1792&amp;"]"))</f>
        <v>5.8120447217857286E-2</v>
      </c>
      <c r="J1797" s="319">
        <f t="array" aca="1" ref="J1797" ca="1">SUM((G.30.assumptions.SpecificProcessN2OEmissionsAfterProcessImprovements[[#This Row],[Description]]=G.30.assumptions.SpecificProcessN2OEmissionsAfterProductManufacturingEfficiency[Description])
        *INDIRECT("G.30.assumptions.SpecificProcessN2OEmissionsAfterProductManufacturingEfficiency["&amp;J$1792&amp;"]"))</f>
        <v>6.0242078177315923E-2</v>
      </c>
      <c r="K1797" s="319">
        <f t="array" aca="1" ref="K1797" ca="1">SUM((G.30.assumptions.SpecificProcessN2OEmissionsAfterProcessImprovements[[#This Row],[Description]]=G.30.assumptions.SpecificProcessN2OEmissionsAfterProductManufacturingEfficiency[Description])
        *INDIRECT("G.30.assumptions.SpecificProcessN2OEmissionsAfterProductManufacturingEfficiency["&amp;K$1792&amp;"]"))</f>
        <v>6.2937675614826286E-2</v>
      </c>
      <c r="L1797" s="319">
        <f t="array" aca="1" ref="L1797" ca="1">SUM((G.30.assumptions.SpecificProcessN2OEmissionsAfterProcessImprovements[[#This Row],[Description]]=G.30.assumptions.SpecificProcessN2OEmissionsAfterProductManufacturingEfficiency[Description])
        *INDIRECT("G.30.assumptions.SpecificProcessN2OEmissionsAfterProductManufacturingEfficiency["&amp;L$1792&amp;"]"))</f>
        <v>6.5681671650322238E-2</v>
      </c>
      <c r="M1797" s="319">
        <f t="array" aca="1" ref="M1797" ca="1">SUM((G.30.assumptions.SpecificProcessN2OEmissionsAfterProcessImprovements[[#This Row],[Description]]=G.30.assumptions.SpecificProcessN2OEmissionsAfterProductManufacturingEfficiency[Description])
        *INDIRECT("G.30.assumptions.SpecificProcessN2OEmissionsAfterProductManufacturingEfficiency["&amp;M$1792&amp;"]"))</f>
        <v>6.8474066283803814E-2</v>
      </c>
      <c r="N1797" s="319">
        <f t="array" aca="1" ref="N1797" ca="1">SUM((G.30.assumptions.SpecificProcessN2OEmissionsAfterProcessImprovements[[#This Row],[Description]]=G.30.assumptions.SpecificProcessN2OEmissionsAfterProductManufacturingEfficiency[Description])
        *INDIRECT("G.30.assumptions.SpecificProcessN2OEmissionsAfterProductManufacturingEfficiency["&amp;N$1792&amp;"]"))</f>
        <v>7.1314859515270959E-2</v>
      </c>
      <c r="O1797" s="319">
        <f t="array" aca="1" ref="O1797" ca="1">SUM((G.30.assumptions.SpecificProcessN2OEmissionsAfterProcessImprovements[[#This Row],[Description]]=G.30.assumptions.SpecificProcessN2OEmissionsAfterProductManufacturingEfficiency[Description])
        *INDIRECT("G.30.assumptions.SpecificProcessN2OEmissionsAfterProductManufacturingEfficiency["&amp;O$1792&amp;"]"))</f>
        <v>7.420405134472377E-2</v>
      </c>
      <c r="P1797" s="319">
        <f t="array" aca="1" ref="P1797" ca="1">SUM((G.30.assumptions.SpecificProcessN2OEmissionsAfterProcessImprovements[[#This Row],[Description]]=G.30.assumptions.SpecificProcessN2OEmissionsAfterProductManufacturingEfficiency[Description])
        *INDIRECT("G.30.assumptions.SpecificProcessN2OEmissionsAfterProductManufacturingEfficiency["&amp;P$1792&amp;"]"))</f>
        <v>7.7141641772162137E-2</v>
      </c>
      <c r="Q1797" s="319">
        <f t="array" aca="1" ref="Q1797" ca="1">SUM((G.30.assumptions.SpecificProcessN2OEmissionsAfterProcessImprovements[[#This Row],[Description]]=G.30.assumptions.SpecificProcessN2OEmissionsAfterProductManufacturingEfficiency[Description])
        *INDIRECT("G.30.assumptions.SpecificProcessN2OEmissionsAfterProductManufacturingEfficiency["&amp;Q$1792&amp;"]"))</f>
        <v>8.0127630797586114E-2</v>
      </c>
      <c r="R1797" s="239"/>
      <c r="S1797" s="179"/>
      <c r="T1797" s="251"/>
      <c r="V1797" s="179"/>
      <c r="W1797" s="179"/>
    </row>
    <row r="1798" spans="1:23" s="65" customFormat="1" ht="15" customHeight="1" outlineLevel="2">
      <c r="A1798" s="219"/>
      <c r="B1798" s="242"/>
      <c r="C1798" s="251"/>
      <c r="D1798" s="251" t="s">
        <v>1990</v>
      </c>
      <c r="E1798" s="242"/>
      <c r="F1798" s="121"/>
      <c r="G1798" s="315" t="s">
        <v>1940</v>
      </c>
      <c r="H1798" s="242"/>
      <c r="I1798" s="319">
        <f t="array" aca="1" ref="I1798" ca="1">SUM((G.30.assumptions.SpecificProcessN2OEmissionsAfterProcessImprovements[[#This Row],[Description]]=G.30.assumptions.SpecificProcessN2OEmissionsAfterProductManufacturingEfficiency[Description])
        *INDIRECT("G.30.assumptions.SpecificProcessN2OEmissionsAfterProductManufacturingEfficiency["&amp;I$1792&amp;"]"))</f>
        <v>5.9722931127485113E-2</v>
      </c>
      <c r="J1798" s="319">
        <f t="array" aca="1" ref="J1798" ca="1">SUM((G.30.assumptions.SpecificProcessN2OEmissionsAfterProcessImprovements[[#This Row],[Description]]=G.30.assumptions.SpecificProcessN2OEmissionsAfterProductManufacturingEfficiency[Description])
        *INDIRECT("G.30.assumptions.SpecificProcessN2OEmissionsAfterProductManufacturingEfficiency["&amp;J$1792&amp;"]"))</f>
        <v>5.8895817289332998E-2</v>
      </c>
      <c r="K1798" s="319">
        <f t="array" aca="1" ref="K1798" ca="1">SUM((G.30.assumptions.SpecificProcessN2OEmissionsAfterProcessImprovements[[#This Row],[Description]]=G.30.assumptions.SpecificProcessN2OEmissionsAfterProductManufacturingEfficiency[Description])
        *INDIRECT("G.30.assumptions.SpecificProcessN2OEmissionsAfterProductManufacturingEfficiency["&amp;K$1792&amp;"]"))</f>
        <v>5.7820818042107355E-2</v>
      </c>
      <c r="L1798" s="319">
        <f t="array" aca="1" ref="L1798" ca="1">SUM((G.30.assumptions.SpecificProcessN2OEmissionsAfterProcessImprovements[[#This Row],[Description]]=G.30.assumptions.SpecificProcessN2OEmissionsAfterProductManufacturingEfficiency[Description])
        *INDIRECT("G.30.assumptions.SpecificProcessN2OEmissionsAfterProductManufacturingEfficiency["&amp;L$1792&amp;"]"))</f>
        <v>5.670014440650889E-2</v>
      </c>
      <c r="M1798" s="319">
        <f t="array" aca="1" ref="M1798" ca="1">SUM((G.30.assumptions.SpecificProcessN2OEmissionsAfterProcessImprovements[[#This Row],[Description]]=G.30.assumptions.SpecificProcessN2OEmissionsAfterProductManufacturingEfficiency[Description])
        *INDIRECT("G.30.assumptions.SpecificProcessN2OEmissionsAfterProductManufacturingEfficiency["&amp;M$1792&amp;"]"))</f>
        <v>5.5533796382537616E-2</v>
      </c>
      <c r="N1798" s="319">
        <f t="array" aca="1" ref="N1798" ca="1">SUM((G.30.assumptions.SpecificProcessN2OEmissionsAfterProcessImprovements[[#This Row],[Description]]=G.30.assumptions.SpecificProcessN2OEmissionsAfterProductManufacturingEfficiency[Description])
        *INDIRECT("G.30.assumptions.SpecificProcessN2OEmissionsAfterProductManufacturingEfficiency["&amp;N$1792&amp;"]"))</f>
        <v>5.4321773970193533E-2</v>
      </c>
      <c r="O1798" s="319">
        <f t="array" aca="1" ref="O1798" ca="1">SUM((G.30.assumptions.SpecificProcessN2OEmissionsAfterProcessImprovements[[#This Row],[Description]]=G.30.assumptions.SpecificProcessN2OEmissionsAfterProductManufacturingEfficiency[Description])
        *INDIRECT("G.30.assumptions.SpecificProcessN2OEmissionsAfterProductManufacturingEfficiency["&amp;O$1792&amp;"]"))</f>
        <v>5.3064077169476656E-2</v>
      </c>
      <c r="P1798" s="319">
        <f t="array" aca="1" ref="P1798" ca="1">SUM((G.30.assumptions.SpecificProcessN2OEmissionsAfterProcessImprovements[[#This Row],[Description]]=G.30.assumptions.SpecificProcessN2OEmissionsAfterProductManufacturingEfficiency[Description])
        *INDIRECT("G.30.assumptions.SpecificProcessN2OEmissionsAfterProductManufacturingEfficiency["&amp;P$1792&amp;"]"))</f>
        <v>5.1760705980386949E-2</v>
      </c>
      <c r="Q1798" s="319">
        <f t="array" aca="1" ref="Q1798" ca="1">SUM((G.30.assumptions.SpecificProcessN2OEmissionsAfterProcessImprovements[[#This Row],[Description]]=G.30.assumptions.SpecificProcessN2OEmissionsAfterProductManufacturingEfficiency[Description])
        *INDIRECT("G.30.assumptions.SpecificProcessN2OEmissionsAfterProductManufacturingEfficiency["&amp;Q$1792&amp;"]"))</f>
        <v>5.0411660402924441E-2</v>
      </c>
      <c r="R1798" s="239"/>
      <c r="S1798" s="179"/>
      <c r="T1798" s="251"/>
      <c r="V1798" s="179"/>
      <c r="W1798" s="179"/>
    </row>
    <row r="1799" spans="1:23" s="65" customFormat="1" ht="15" customHeight="1" outlineLevel="2">
      <c r="A1799" s="219"/>
      <c r="B1799" s="242"/>
      <c r="C1799" s="251"/>
      <c r="D1799" s="251" t="s">
        <v>1991</v>
      </c>
      <c r="E1799" s="242"/>
      <c r="F1799" s="121"/>
      <c r="G1799" s="315" t="s">
        <v>1961</v>
      </c>
      <c r="H1799" s="242"/>
      <c r="I1799" s="319">
        <f t="array" aca="1" ref="I1799" ca="1">SUM((G.30.assumptions.SpecificProcessN2OEmissionsAfterProcessImprovements[[#This Row],[Description]]=G.30.assumptions.SpecificProcessN2OEmissionsAfterProductManufacturingEfficiency[Description])
        *INDIRECT("G.30.assumptions.SpecificProcessN2OEmissionsAfterProductManufacturingEfficiency["&amp;I$1792&amp;"]"))</f>
        <v>4.8452622785747169E-2</v>
      </c>
      <c r="J1799" s="319">
        <f t="array" aca="1" ref="J1799" ca="1">SUM((G.30.assumptions.SpecificProcessN2OEmissionsAfterProcessImprovements[[#This Row],[Description]]=G.30.assumptions.SpecificProcessN2OEmissionsAfterProductManufacturingEfficiency[Description])
        *INDIRECT("G.30.assumptions.SpecificProcessN2OEmissionsAfterProductManufacturingEfficiency["&amp;J$1792&amp;"]"))</f>
        <v>4.8949572763036873E-2</v>
      </c>
      <c r="K1799" s="319">
        <f t="array" aca="1" ref="K1799" ca="1">SUM((G.30.assumptions.SpecificProcessN2OEmissionsAfterProcessImprovements[[#This Row],[Description]]=G.30.assumptions.SpecificProcessN2OEmissionsAfterProductManufacturingEfficiency[Description])
        *INDIRECT("G.30.assumptions.SpecificProcessN2OEmissionsAfterProductManufacturingEfficiency["&amp;K$1792&amp;"]"))</f>
        <v>4.9570760234649021E-2</v>
      </c>
      <c r="L1799" s="319">
        <f t="array" aca="1" ref="L1799" ca="1">SUM((G.30.assumptions.SpecificProcessN2OEmissionsAfterProcessImprovements[[#This Row],[Description]]=G.30.assumptions.SpecificProcessN2OEmissionsAfterProductManufacturingEfficiency[Description])
        *INDIRECT("G.30.assumptions.SpecificProcessN2OEmissionsAfterProductManufacturingEfficiency["&amp;L$1792&amp;"]"))</f>
        <v>5.0191947706261168E-2</v>
      </c>
      <c r="M1799" s="319">
        <f t="array" aca="1" ref="M1799" ca="1">SUM((G.30.assumptions.SpecificProcessN2OEmissionsAfterProcessImprovements[[#This Row],[Description]]=G.30.assumptions.SpecificProcessN2OEmissionsAfterProductManufacturingEfficiency[Description])
        *INDIRECT("G.30.assumptions.SpecificProcessN2OEmissionsAfterProductManufacturingEfficiency["&amp;M$1792&amp;"]"))</f>
        <v>5.0813135177873309E-2</v>
      </c>
      <c r="N1799" s="319">
        <f t="array" aca="1" ref="N1799" ca="1">SUM((G.30.assumptions.SpecificProcessN2OEmissionsAfterProcessImprovements[[#This Row],[Description]]=G.30.assumptions.SpecificProcessN2OEmissionsAfterProductManufacturingEfficiency[Description])
        *INDIRECT("G.30.assumptions.SpecificProcessN2OEmissionsAfterProductManufacturingEfficiency["&amp;N$1792&amp;"]"))</f>
        <v>5.1434322649485456E-2</v>
      </c>
      <c r="O1799" s="319">
        <f t="array" aca="1" ref="O1799" ca="1">SUM((G.30.assumptions.SpecificProcessN2OEmissionsAfterProcessImprovements[[#This Row],[Description]]=G.30.assumptions.SpecificProcessN2OEmissionsAfterProductManufacturingEfficiency[Description])
        *INDIRECT("G.30.assumptions.SpecificProcessN2OEmissionsAfterProductManufacturingEfficiency["&amp;O$1792&amp;"]"))</f>
        <v>5.2055510121097603E-2</v>
      </c>
      <c r="P1799" s="319">
        <f t="array" aca="1" ref="P1799" ca="1">SUM((G.30.assumptions.SpecificProcessN2OEmissionsAfterProcessImprovements[[#This Row],[Description]]=G.30.assumptions.SpecificProcessN2OEmissionsAfterProductManufacturingEfficiency[Description])
        *INDIRECT("G.30.assumptions.SpecificProcessN2OEmissionsAfterProductManufacturingEfficiency["&amp;P$1792&amp;"]"))</f>
        <v>5.2676697592709751E-2</v>
      </c>
      <c r="Q1799" s="319">
        <f t="array" aca="1" ref="Q1799" ca="1">SUM((G.30.assumptions.SpecificProcessN2OEmissionsAfterProcessImprovements[[#This Row],[Description]]=G.30.assumptions.SpecificProcessN2OEmissionsAfterProductManufacturingEfficiency[Description])
        *INDIRECT("G.30.assumptions.SpecificProcessN2OEmissionsAfterProductManufacturingEfficiency["&amp;Q$1792&amp;"]"))</f>
        <v>5.3297885064321891E-2</v>
      </c>
      <c r="R1799" s="239"/>
      <c r="S1799" s="179"/>
      <c r="T1799" s="251"/>
      <c r="V1799" s="179"/>
      <c r="W1799" s="179"/>
    </row>
    <row r="1800" spans="1:23" s="65" customFormat="1" ht="15" customHeight="1" outlineLevel="2">
      <c r="A1800" s="219"/>
      <c r="B1800" s="242"/>
      <c r="C1800" s="251"/>
      <c r="D1800" s="251" t="s">
        <v>1992</v>
      </c>
      <c r="E1800" s="242"/>
      <c r="F1800" s="121"/>
      <c r="G1800" s="315" t="s">
        <v>1962</v>
      </c>
      <c r="H1800" s="242"/>
      <c r="I1800" s="319">
        <f t="array" aca="1" ref="I1800" ca="1">SUM((G.30.assumptions.SpecificProcessN2OEmissionsAfterProcessImprovements[[#This Row],[Description]]=G.30.assumptions.SpecificProcessN2OEmissionsAfterProductManufacturingEfficiency[Description])
        *INDIRECT("G.30.assumptions.SpecificProcessN2OEmissionsAfterProductManufacturingEfficiency["&amp;I$1792&amp;"]"))</f>
        <v>9.4912618920537373E-2</v>
      </c>
      <c r="J1800" s="319">
        <f t="array" aca="1" ref="J1800" ca="1">SUM((G.30.assumptions.SpecificProcessN2OEmissionsAfterProcessImprovements[[#This Row],[Description]]=G.30.assumptions.SpecificProcessN2OEmissionsAfterProductManufacturingEfficiency[Description])
        *INDIRECT("G.30.assumptions.SpecificProcessN2OEmissionsAfterProductManufacturingEfficiency["&amp;J$1792&amp;"]"))</f>
        <v>9.5886081678696722E-2</v>
      </c>
      <c r="K1800" s="319">
        <f t="array" aca="1" ref="K1800" ca="1">SUM((G.30.assumptions.SpecificProcessN2OEmissionsAfterProcessImprovements[[#This Row],[Description]]=G.30.assumptions.SpecificProcessN2OEmissionsAfterProductManufacturingEfficiency[Description])
        *INDIRECT("G.30.assumptions.SpecificProcessN2OEmissionsAfterProductManufacturingEfficiency["&amp;K$1792&amp;"]"))</f>
        <v>9.7102910126395908E-2</v>
      </c>
      <c r="L1800" s="319">
        <f t="array" aca="1" ref="L1800" ca="1">SUM((G.30.assumptions.SpecificProcessN2OEmissionsAfterProcessImprovements[[#This Row],[Description]]=G.30.assumptions.SpecificProcessN2OEmissionsAfterProductManufacturingEfficiency[Description])
        *INDIRECT("G.30.assumptions.SpecificProcessN2OEmissionsAfterProductManufacturingEfficiency["&amp;L$1792&amp;"]"))</f>
        <v>9.8319738574095122E-2</v>
      </c>
      <c r="M1800" s="319">
        <f t="array" aca="1" ref="M1800" ca="1">SUM((G.30.assumptions.SpecificProcessN2OEmissionsAfterProcessImprovements[[#This Row],[Description]]=G.30.assumptions.SpecificProcessN2OEmissionsAfterProductManufacturingEfficiency[Description])
        *INDIRECT("G.30.assumptions.SpecificProcessN2OEmissionsAfterProductManufacturingEfficiency["&amp;M$1792&amp;"]"))</f>
        <v>9.9536567021794323E-2</v>
      </c>
      <c r="N1800" s="319">
        <f t="array" aca="1" ref="N1800" ca="1">SUM((G.30.assumptions.SpecificProcessN2OEmissionsAfterProcessImprovements[[#This Row],[Description]]=G.30.assumptions.SpecificProcessN2OEmissionsAfterProductManufacturingEfficiency[Description])
        *INDIRECT("G.30.assumptions.SpecificProcessN2OEmissionsAfterProductManufacturingEfficiency["&amp;N$1792&amp;"]"))</f>
        <v>0.10075339546949351</v>
      </c>
      <c r="O1800" s="319">
        <f t="array" aca="1" ref="O1800" ca="1">SUM((G.30.assumptions.SpecificProcessN2OEmissionsAfterProcessImprovements[[#This Row],[Description]]=G.30.assumptions.SpecificProcessN2OEmissionsAfterProductManufacturingEfficiency[Description])
        *INDIRECT("G.30.assumptions.SpecificProcessN2OEmissionsAfterProductManufacturingEfficiency["&amp;O$1792&amp;"]"))</f>
        <v>0.10197022391719272</v>
      </c>
      <c r="P1800" s="319">
        <f t="array" aca="1" ref="P1800" ca="1">SUM((G.30.assumptions.SpecificProcessN2OEmissionsAfterProcessImprovements[[#This Row],[Description]]=G.30.assumptions.SpecificProcessN2OEmissionsAfterProductManufacturingEfficiency[Description])
        *INDIRECT("G.30.assumptions.SpecificProcessN2OEmissionsAfterProductManufacturingEfficiency["&amp;P$1792&amp;"]"))</f>
        <v>0.10318705236489191</v>
      </c>
      <c r="Q1800" s="319">
        <f t="array" aca="1" ref="Q1800" ca="1">SUM((G.30.assumptions.SpecificProcessN2OEmissionsAfterProcessImprovements[[#This Row],[Description]]=G.30.assumptions.SpecificProcessN2OEmissionsAfterProductManufacturingEfficiency[Description])
        *INDIRECT("G.30.assumptions.SpecificProcessN2OEmissionsAfterProductManufacturingEfficiency["&amp;Q$1792&amp;"]"))</f>
        <v>0.10440388081259112</v>
      </c>
      <c r="R1800" s="239"/>
      <c r="S1800" s="179"/>
      <c r="T1800" s="251"/>
      <c r="V1800" s="179"/>
      <c r="W1800" s="179"/>
    </row>
    <row r="1801" spans="1:23" s="65" customFormat="1" ht="15" customHeight="1" outlineLevel="2">
      <c r="A1801" s="219"/>
      <c r="B1801" s="242"/>
      <c r="C1801" s="251"/>
      <c r="D1801" s="251" t="s">
        <v>1993</v>
      </c>
      <c r="E1801" s="242"/>
      <c r="F1801" s="121"/>
      <c r="G1801" s="315" t="s">
        <v>1963</v>
      </c>
      <c r="H1801" s="242"/>
      <c r="I1801" s="319">
        <f t="array" aca="1" ref="I1801" ca="1">SUM((G.30.assumptions.SpecificProcessN2OEmissionsAfterProcessImprovements[[#This Row],[Description]]=G.30.assumptions.SpecificProcessN2OEmissionsAfterProductManufacturingEfficiency[Description])
        *INDIRECT("G.30.assumptions.SpecificProcessN2OEmissionsAfterProductManufacturingEfficiency["&amp;I$1792&amp;"]"))</f>
        <v>0.26812705990636193</v>
      </c>
      <c r="J1801" s="319">
        <f t="array" aca="1" ref="J1801" ca="1">SUM((G.30.assumptions.SpecificProcessN2OEmissionsAfterProcessImprovements[[#This Row],[Description]]=G.30.assumptions.SpecificProcessN2OEmissionsAfterProductManufacturingEfficiency[Description])
        *INDIRECT("G.30.assumptions.SpecificProcessN2OEmissionsAfterProductManufacturingEfficiency["&amp;J$1792&amp;"]"))</f>
        <v>0.27087708103360664</v>
      </c>
      <c r="K1801" s="319">
        <f t="array" aca="1" ref="K1801" ca="1">SUM((G.30.assumptions.SpecificProcessN2OEmissionsAfterProcessImprovements[[#This Row],[Description]]=G.30.assumptions.SpecificProcessN2OEmissionsAfterProductManufacturingEfficiency[Description])
        *INDIRECT("G.30.assumptions.SpecificProcessN2OEmissionsAfterProductManufacturingEfficiency["&amp;K$1792&amp;"]"))</f>
        <v>0.27431460744266256</v>
      </c>
      <c r="L1801" s="319">
        <f t="array" aca="1" ref="L1801" ca="1">SUM((G.30.assumptions.SpecificProcessN2OEmissionsAfterProcessImprovements[[#This Row],[Description]]=G.30.assumptions.SpecificProcessN2OEmissionsAfterProductManufacturingEfficiency[Description])
        *INDIRECT("G.30.assumptions.SpecificProcessN2OEmissionsAfterProductManufacturingEfficiency["&amp;L$1792&amp;"]"))</f>
        <v>0.27775213385171854</v>
      </c>
      <c r="M1801" s="319">
        <f t="array" aca="1" ref="M1801" ca="1">SUM((G.30.assumptions.SpecificProcessN2OEmissionsAfterProcessImprovements[[#This Row],[Description]]=G.30.assumptions.SpecificProcessN2OEmissionsAfterProductManufacturingEfficiency[Description])
        *INDIRECT("G.30.assumptions.SpecificProcessN2OEmissionsAfterProductManufacturingEfficiency["&amp;M$1792&amp;"]"))</f>
        <v>0.28118966026077447</v>
      </c>
      <c r="N1801" s="319">
        <f t="array" aca="1" ref="N1801" ca="1">SUM((G.30.assumptions.SpecificProcessN2OEmissionsAfterProcessImprovements[[#This Row],[Description]]=G.30.assumptions.SpecificProcessN2OEmissionsAfterProductManufacturingEfficiency[Description])
        *INDIRECT("G.30.assumptions.SpecificProcessN2OEmissionsAfterProductManufacturingEfficiency["&amp;N$1792&amp;"]"))</f>
        <v>0.28462718666983039</v>
      </c>
      <c r="O1801" s="319">
        <f t="array" aca="1" ref="O1801" ca="1">SUM((G.30.assumptions.SpecificProcessN2OEmissionsAfterProcessImprovements[[#This Row],[Description]]=G.30.assumptions.SpecificProcessN2OEmissionsAfterProductManufacturingEfficiency[Description])
        *INDIRECT("G.30.assumptions.SpecificProcessN2OEmissionsAfterProductManufacturingEfficiency["&amp;O$1792&amp;"]"))</f>
        <v>0.28806471307888637</v>
      </c>
      <c r="P1801" s="319">
        <f t="array" aca="1" ref="P1801" ca="1">SUM((G.30.assumptions.SpecificProcessN2OEmissionsAfterProcessImprovements[[#This Row],[Description]]=G.30.assumptions.SpecificProcessN2OEmissionsAfterProductManufacturingEfficiency[Description])
        *INDIRECT("G.30.assumptions.SpecificProcessN2OEmissionsAfterProductManufacturingEfficiency["&amp;P$1792&amp;"]"))</f>
        <v>0.29150223948794224</v>
      </c>
      <c r="Q1801" s="319">
        <f t="array" aca="1" ref="Q1801" ca="1">SUM((G.30.assumptions.SpecificProcessN2OEmissionsAfterProcessImprovements[[#This Row],[Description]]=G.30.assumptions.SpecificProcessN2OEmissionsAfterProductManufacturingEfficiency[Description])
        *INDIRECT("G.30.assumptions.SpecificProcessN2OEmissionsAfterProductManufacturingEfficiency["&amp;Q$1792&amp;"]"))</f>
        <v>0.29493976589699816</v>
      </c>
      <c r="R1801" s="239"/>
      <c r="S1801" s="179"/>
      <c r="T1801" s="251"/>
      <c r="V1801" s="179"/>
      <c r="W1801" s="179"/>
    </row>
    <row r="1802" spans="1:23" s="65" customFormat="1" ht="15" customHeight="1" outlineLevel="2">
      <c r="A1802" s="219"/>
      <c r="B1802" s="242"/>
      <c r="C1802" s="251"/>
      <c r="D1802" s="251" t="s">
        <v>1994</v>
      </c>
      <c r="E1802" s="242"/>
      <c r="F1802" s="121"/>
      <c r="G1802" s="251" t="s">
        <v>1964</v>
      </c>
      <c r="H1802" s="242"/>
      <c r="I1802" s="319">
        <f t="array" aca="1" ref="I1802" ca="1">SUM((G.30.assumptions.SpecificProcessN2OEmissionsAfterProcessImprovements[[#This Row],[Description]]=G.30.assumptions.SpecificProcessN2OEmissionsAfterProductManufacturingEfficiency[Description])
        *INDIRECT("G.30.assumptions.SpecificProcessN2OEmissionsAfterProductManufacturingEfficiency["&amp;I$1792&amp;"]"))</f>
        <v>0.15555674848377091</v>
      </c>
      <c r="J1802" s="319">
        <f t="array" aca="1" ref="J1802" ca="1">SUM((G.30.assumptions.SpecificProcessN2OEmissionsAfterProcessImprovements[[#This Row],[Description]]=G.30.assumptions.SpecificProcessN2OEmissionsAfterProductManufacturingEfficiency[Description])
        *INDIRECT("G.30.assumptions.SpecificProcessN2OEmissionsAfterProductManufacturingEfficiency["&amp;J$1792&amp;"]"))</f>
        <v>0.15715220231437368</v>
      </c>
      <c r="K1802" s="319">
        <f t="array" aca="1" ref="K1802" ca="1">SUM((G.30.assumptions.SpecificProcessN2OEmissionsAfterProcessImprovements[[#This Row],[Description]]=G.30.assumptions.SpecificProcessN2OEmissionsAfterProductManufacturingEfficiency[Description])
        *INDIRECT("G.30.assumptions.SpecificProcessN2OEmissionsAfterProductManufacturingEfficiency["&amp;K$1792&amp;"]"))</f>
        <v>0.15914651960262716</v>
      </c>
      <c r="L1802" s="319">
        <f t="array" aca="1" ref="L1802" ca="1">SUM((G.30.assumptions.SpecificProcessN2OEmissionsAfterProcessImprovements[[#This Row],[Description]]=G.30.assumptions.SpecificProcessN2OEmissionsAfterProductManufacturingEfficiency[Description])
        *INDIRECT("G.30.assumptions.SpecificProcessN2OEmissionsAfterProductManufacturingEfficiency["&amp;L$1792&amp;"]"))</f>
        <v>0.16114083689088063</v>
      </c>
      <c r="M1802" s="319">
        <f t="array" aca="1" ref="M1802" ca="1">SUM((G.30.assumptions.SpecificProcessN2OEmissionsAfterProcessImprovements[[#This Row],[Description]]=G.30.assumptions.SpecificProcessN2OEmissionsAfterProductManufacturingEfficiency[Description])
        *INDIRECT("G.30.assumptions.SpecificProcessN2OEmissionsAfterProductManufacturingEfficiency["&amp;M$1792&amp;"]"))</f>
        <v>0.1631351541791341</v>
      </c>
      <c r="N1802" s="319">
        <f t="array" aca="1" ref="N1802" ca="1">SUM((G.30.assumptions.SpecificProcessN2OEmissionsAfterProcessImprovements[[#This Row],[Description]]=G.30.assumptions.SpecificProcessN2OEmissionsAfterProductManufacturingEfficiency[Description])
        *INDIRECT("G.30.assumptions.SpecificProcessN2OEmissionsAfterProductManufacturingEfficiency["&amp;N$1792&amp;"]"))</f>
        <v>0.16512947146738757</v>
      </c>
      <c r="O1802" s="319">
        <f t="array" aca="1" ref="O1802" ca="1">SUM((G.30.assumptions.SpecificProcessN2OEmissionsAfterProcessImprovements[[#This Row],[Description]]=G.30.assumptions.SpecificProcessN2OEmissionsAfterProductManufacturingEfficiency[Description])
        *INDIRECT("G.30.assumptions.SpecificProcessN2OEmissionsAfterProductManufacturingEfficiency["&amp;O$1792&amp;"]"))</f>
        <v>0.16712378875564107</v>
      </c>
      <c r="P1802" s="319">
        <f t="array" aca="1" ref="P1802" ca="1">SUM((G.30.assumptions.SpecificProcessN2OEmissionsAfterProcessImprovements[[#This Row],[Description]]=G.30.assumptions.SpecificProcessN2OEmissionsAfterProductManufacturingEfficiency[Description])
        *INDIRECT("G.30.assumptions.SpecificProcessN2OEmissionsAfterProductManufacturingEfficiency["&amp;P$1792&amp;"]"))</f>
        <v>0.16911810604389454</v>
      </c>
      <c r="Q1802" s="319">
        <f t="array" aca="1" ref="Q1802" ca="1">SUM((G.30.assumptions.SpecificProcessN2OEmissionsAfterProcessImprovements[[#This Row],[Description]]=G.30.assumptions.SpecificProcessN2OEmissionsAfterProductManufacturingEfficiency[Description])
        *INDIRECT("G.30.assumptions.SpecificProcessN2OEmissionsAfterProductManufacturingEfficiency["&amp;Q$1792&amp;"]"))</f>
        <v>0.17111242333214802</v>
      </c>
      <c r="R1802" s="239"/>
      <c r="S1802" s="179"/>
      <c r="T1802" s="251"/>
      <c r="V1802" s="179"/>
      <c r="W1802" s="179"/>
    </row>
    <row r="1803" spans="1:23" s="65" customFormat="1" ht="15" customHeight="1" outlineLevel="2">
      <c r="A1803" s="219"/>
      <c r="B1803" s="242"/>
      <c r="C1803" s="251"/>
      <c r="D1803" s="251" t="s">
        <v>1995</v>
      </c>
      <c r="E1803" s="242"/>
      <c r="F1803" s="121"/>
      <c r="G1803" s="315" t="s">
        <v>1954</v>
      </c>
      <c r="H1803" s="242"/>
      <c r="I1803" s="319">
        <f t="array" aca="1" ref="I1803" ca="1">SUM((G.30.assumptions.SpecificProcessN2OEmissionsAfterProcessImprovements[[#This Row],[Description]]=G.30.assumptions.SpecificProcessN2OEmissionsAfterProductManufacturingEfficiency[Description])
        *INDIRECT("G.30.assumptions.SpecificProcessN2OEmissionsAfterProductManufacturingEfficiency["&amp;I$1792&amp;"]"))</f>
        <v>2.0686316931039065E-2</v>
      </c>
      <c r="J1803" s="319">
        <f t="array" aca="1" ref="J1803" ca="1">SUM((G.30.assumptions.SpecificProcessN2OEmissionsAfterProcessImprovements[[#This Row],[Description]]=G.30.assumptions.SpecificProcessN2OEmissionsAfterProductManufacturingEfficiency[Description])
        *INDIRECT("G.30.assumptions.SpecificProcessN2OEmissionsAfterProductManufacturingEfficiency["&amp;J$1792&amp;"]"))</f>
        <v>2.0898484284177926E-2</v>
      </c>
      <c r="K1803" s="319">
        <f t="array" aca="1" ref="K1803" ca="1">SUM((G.30.assumptions.SpecificProcessN2OEmissionsAfterProcessImprovements[[#This Row],[Description]]=G.30.assumptions.SpecificProcessN2OEmissionsAfterProductManufacturingEfficiency[Description])
        *INDIRECT("G.30.assumptions.SpecificProcessN2OEmissionsAfterProductManufacturingEfficiency["&amp;K$1792&amp;"]"))</f>
        <v>2.1163693475601503E-2</v>
      </c>
      <c r="L1803" s="319">
        <f t="array" aca="1" ref="L1803" ca="1">SUM((G.30.assumptions.SpecificProcessN2OEmissionsAfterProcessImprovements[[#This Row],[Description]]=G.30.assumptions.SpecificProcessN2OEmissionsAfterProductManufacturingEfficiency[Description])
        *INDIRECT("G.30.assumptions.SpecificProcessN2OEmissionsAfterProductManufacturingEfficiency["&amp;L$1792&amp;"]"))</f>
        <v>2.1428902667025091E-2</v>
      </c>
      <c r="M1803" s="319">
        <f t="array" aca="1" ref="M1803" ca="1">SUM((G.30.assumptions.SpecificProcessN2OEmissionsAfterProcessImprovements[[#This Row],[Description]]=G.30.assumptions.SpecificProcessN2OEmissionsAfterProductManufacturingEfficiency[Description])
        *INDIRECT("G.30.assumptions.SpecificProcessN2OEmissionsAfterProductManufacturingEfficiency["&amp;M$1792&amp;"]"))</f>
        <v>2.1694111858448665E-2</v>
      </c>
      <c r="N1803" s="319">
        <f t="array" aca="1" ref="N1803" ca="1">SUM((G.30.assumptions.SpecificProcessN2OEmissionsAfterProcessImprovements[[#This Row],[Description]]=G.30.assumptions.SpecificProcessN2OEmissionsAfterProductManufacturingEfficiency[Description])
        *INDIRECT("G.30.assumptions.SpecificProcessN2OEmissionsAfterProductManufacturingEfficiency["&amp;N$1792&amp;"]"))</f>
        <v>2.1959321049872239E-2</v>
      </c>
      <c r="O1803" s="319">
        <f t="array" aca="1" ref="O1803" ca="1">SUM((G.30.assumptions.SpecificProcessN2OEmissionsAfterProcessImprovements[[#This Row],[Description]]=G.30.assumptions.SpecificProcessN2OEmissionsAfterProductManufacturingEfficiency[Description])
        *INDIRECT("G.30.assumptions.SpecificProcessN2OEmissionsAfterProductManufacturingEfficiency["&amp;O$1792&amp;"]"))</f>
        <v>2.2224530241295823E-2</v>
      </c>
      <c r="P1803" s="319">
        <f t="array" aca="1" ref="P1803" ca="1">SUM((G.30.assumptions.SpecificProcessN2OEmissionsAfterProcessImprovements[[#This Row],[Description]]=G.30.assumptions.SpecificProcessN2OEmissionsAfterProductManufacturingEfficiency[Description])
        *INDIRECT("G.30.assumptions.SpecificProcessN2OEmissionsAfterProductManufacturingEfficiency["&amp;P$1792&amp;"]"))</f>
        <v>2.24897394327194E-2</v>
      </c>
      <c r="Q1803" s="319">
        <f t="array" aca="1" ref="Q1803" ca="1">SUM((G.30.assumptions.SpecificProcessN2OEmissionsAfterProcessImprovements[[#This Row],[Description]]=G.30.assumptions.SpecificProcessN2OEmissionsAfterProductManufacturingEfficiency[Description])
        *INDIRECT("G.30.assumptions.SpecificProcessN2OEmissionsAfterProductManufacturingEfficiency["&amp;Q$1792&amp;"]"))</f>
        <v>2.2754948624142974E-2</v>
      </c>
      <c r="R1803" s="239"/>
      <c r="S1803" s="179"/>
      <c r="T1803" s="251"/>
      <c r="V1803" s="179"/>
      <c r="W1803" s="179"/>
    </row>
    <row r="1804" spans="1:23" s="65" customFormat="1" ht="15" customHeight="1" outlineLevel="2">
      <c r="A1804" s="219"/>
      <c r="B1804" s="242"/>
      <c r="C1804" s="251"/>
      <c r="D1804" s="251" t="s">
        <v>1996</v>
      </c>
      <c r="E1804" s="242"/>
      <c r="F1804" s="121"/>
      <c r="G1804" s="251" t="s">
        <v>1955</v>
      </c>
      <c r="H1804" s="242"/>
      <c r="I1804" s="319">
        <f t="array" aca="1" ref="I1804" ca="1">SUM((G.30.assumptions.SpecificProcessN2OEmissionsAfterProcessImprovements[[#This Row],[Description]]=G.30.assumptions.SpecificProcessN2OEmissionsAfterProductManufacturingEfficiency[Description])
        *INDIRECT("G.30.assumptions.SpecificProcessN2OEmissionsAfterProductManufacturingEfficiency["&amp;I$1792&amp;"]"))</f>
        <v>9.5505586136603697E-3</v>
      </c>
      <c r="J1804" s="319">
        <f t="array" aca="1" ref="J1804" ca="1">SUM((G.30.assumptions.SpecificProcessN2OEmissionsAfterProcessImprovements[[#This Row],[Description]]=G.30.assumptions.SpecificProcessN2OEmissionsAfterProductManufacturingEfficiency[Description])
        *INDIRECT("G.30.assumptions.SpecificProcessN2OEmissionsAfterProductManufacturingEfficiency["&amp;J$1792&amp;"]"))</f>
        <v>9.6485130609799633E-3</v>
      </c>
      <c r="K1804" s="319">
        <f t="array" aca="1" ref="K1804" ca="1">SUM((G.30.assumptions.SpecificProcessN2OEmissionsAfterProcessImprovements[[#This Row],[Description]]=G.30.assumptions.SpecificProcessN2OEmissionsAfterProductManufacturingEfficiency[Description])
        *INDIRECT("G.30.assumptions.SpecificProcessN2OEmissionsAfterProductManufacturingEfficiency["&amp;K$1792&amp;"]"))</f>
        <v>9.770956120129454E-3</v>
      </c>
      <c r="L1804" s="319">
        <f t="array" aca="1" ref="L1804" ca="1">SUM((G.30.assumptions.SpecificProcessN2OEmissionsAfterProcessImprovements[[#This Row],[Description]]=G.30.assumptions.SpecificProcessN2OEmissionsAfterProductManufacturingEfficiency[Description])
        *INDIRECT("G.30.assumptions.SpecificProcessN2OEmissionsAfterProductManufacturingEfficiency["&amp;L$1792&amp;"]"))</f>
        <v>9.89339917927895E-3</v>
      </c>
      <c r="M1804" s="319">
        <f t="array" aca="1" ref="M1804" ca="1">SUM((G.30.assumptions.SpecificProcessN2OEmissionsAfterProcessImprovements[[#This Row],[Description]]=G.30.assumptions.SpecificProcessN2OEmissionsAfterProductManufacturingEfficiency[Description])
        *INDIRECT("G.30.assumptions.SpecificProcessN2OEmissionsAfterProductManufacturingEfficiency["&amp;M$1792&amp;"]"))</f>
        <v>1.0015842238428439E-2</v>
      </c>
      <c r="N1804" s="319">
        <f t="array" aca="1" ref="N1804" ca="1">SUM((G.30.assumptions.SpecificProcessN2OEmissionsAfterProcessImprovements[[#This Row],[Description]]=G.30.assumptions.SpecificProcessN2OEmissionsAfterProductManufacturingEfficiency[Description])
        *INDIRECT("G.30.assumptions.SpecificProcessN2OEmissionsAfterProductManufacturingEfficiency["&amp;N$1792&amp;"]"))</f>
        <v>1.0138285297577931E-2</v>
      </c>
      <c r="O1804" s="319">
        <f t="array" aca="1" ref="O1804" ca="1">SUM((G.30.assumptions.SpecificProcessN2OEmissionsAfterProcessImprovements[[#This Row],[Description]]=G.30.assumptions.SpecificProcessN2OEmissionsAfterProductManufacturingEfficiency[Description])
        *INDIRECT("G.30.assumptions.SpecificProcessN2OEmissionsAfterProductManufacturingEfficiency["&amp;O$1792&amp;"]"))</f>
        <v>1.0260728356727424E-2</v>
      </c>
      <c r="P1804" s="319">
        <f t="array" aca="1" ref="P1804" ca="1">SUM((G.30.assumptions.SpecificProcessN2OEmissionsAfterProcessImprovements[[#This Row],[Description]]=G.30.assumptions.SpecificProcessN2OEmissionsAfterProductManufacturingEfficiency[Description])
        *INDIRECT("G.30.assumptions.SpecificProcessN2OEmissionsAfterProductManufacturingEfficiency["&amp;P$1792&amp;"]"))</f>
        <v>1.0383171415876916E-2</v>
      </c>
      <c r="Q1804" s="319">
        <f t="array" aca="1" ref="Q1804" ca="1">SUM((G.30.assumptions.SpecificProcessN2OEmissionsAfterProcessImprovements[[#This Row],[Description]]=G.30.assumptions.SpecificProcessN2OEmissionsAfterProductManufacturingEfficiency[Description])
        *INDIRECT("G.30.assumptions.SpecificProcessN2OEmissionsAfterProductManufacturingEfficiency["&amp;Q$1792&amp;"]"))</f>
        <v>1.0505614475026407E-2</v>
      </c>
      <c r="R1804" s="239"/>
      <c r="S1804" s="179"/>
      <c r="T1804" s="251"/>
      <c r="V1804" s="179"/>
      <c r="W1804" s="179"/>
    </row>
    <row r="1805" spans="1:23" s="65" customFormat="1" ht="15" customHeight="1" outlineLevel="2">
      <c r="A1805" s="219"/>
      <c r="B1805" s="242"/>
      <c r="C1805" s="251"/>
      <c r="D1805" s="251" t="s">
        <v>1997</v>
      </c>
      <c r="E1805" s="242"/>
      <c r="F1805" s="121"/>
      <c r="G1805" s="251" t="s">
        <v>1956</v>
      </c>
      <c r="H1805" s="242"/>
      <c r="I1805" s="319">
        <f t="array" aca="1" ref="I1805" ca="1">SUM((G.30.assumptions.SpecificProcessN2OEmissionsAfterProcessImprovements[[#This Row],[Description]]=G.30.assumptions.SpecificProcessN2OEmissionsAfterProductManufacturingEfficiency[Description])
        *INDIRECT("G.30.assumptions.SpecificProcessN2OEmissionsAfterProductManufacturingEfficiency["&amp;I$1792&amp;"]"))</f>
        <v>1.8571081133721589E-2</v>
      </c>
      <c r="J1805" s="319">
        <f t="array" aca="1" ref="J1805" ca="1">SUM((G.30.assumptions.SpecificProcessN2OEmissionsAfterProcessImprovements[[#This Row],[Description]]=G.30.assumptions.SpecificProcessN2OEmissionsAfterProductManufacturingEfficiency[Description])
        *INDIRECT("G.30.assumptions.SpecificProcessN2OEmissionsAfterProductManufacturingEfficiency["&amp;J$1792&amp;"]"))</f>
        <v>1.8761553760734118E-2</v>
      </c>
      <c r="K1805" s="319">
        <f t="array" aca="1" ref="K1805" ca="1">SUM((G.30.assumptions.SpecificProcessN2OEmissionsAfterProcessImprovements[[#This Row],[Description]]=G.30.assumptions.SpecificProcessN2OEmissionsAfterProductManufacturingEfficiency[Description])
        *INDIRECT("G.30.assumptions.SpecificProcessN2OEmissionsAfterProductManufacturingEfficiency["&amp;K$1792&amp;"]"))</f>
        <v>1.8999644544499782E-2</v>
      </c>
      <c r="L1805" s="319">
        <f t="array" aca="1" ref="L1805" ca="1">SUM((G.30.assumptions.SpecificProcessN2OEmissionsAfterProcessImprovements[[#This Row],[Description]]=G.30.assumptions.SpecificProcessN2OEmissionsAfterProductManufacturingEfficiency[Description])
        *INDIRECT("G.30.assumptions.SpecificProcessN2OEmissionsAfterProductManufacturingEfficiency["&amp;L$1792&amp;"]"))</f>
        <v>1.9237735328265448E-2</v>
      </c>
      <c r="M1805" s="319">
        <f t="array" aca="1" ref="M1805" ca="1">SUM((G.30.assumptions.SpecificProcessN2OEmissionsAfterProcessImprovements[[#This Row],[Description]]=G.30.assumptions.SpecificProcessN2OEmissionsAfterProductManufacturingEfficiency[Description])
        *INDIRECT("G.30.assumptions.SpecificProcessN2OEmissionsAfterProductManufacturingEfficiency["&amp;M$1792&amp;"]"))</f>
        <v>1.9475826112031105E-2</v>
      </c>
      <c r="N1805" s="319">
        <f t="array" aca="1" ref="N1805" ca="1">SUM((G.30.assumptions.SpecificProcessN2OEmissionsAfterProcessImprovements[[#This Row],[Description]]=G.30.assumptions.SpecificProcessN2OEmissionsAfterProductManufacturingEfficiency[Description])
        *INDIRECT("G.30.assumptions.SpecificProcessN2OEmissionsAfterProductManufacturingEfficiency["&amp;N$1792&amp;"]"))</f>
        <v>1.9713916895796768E-2</v>
      </c>
      <c r="O1805" s="319">
        <f t="array" aca="1" ref="O1805" ca="1">SUM((G.30.assumptions.SpecificProcessN2OEmissionsAfterProcessImprovements[[#This Row],[Description]]=G.30.assumptions.SpecificProcessN2OEmissionsAfterProductManufacturingEfficiency[Description])
        *INDIRECT("G.30.assumptions.SpecificProcessN2OEmissionsAfterProductManufacturingEfficiency["&amp;O$1792&amp;"]"))</f>
        <v>1.9952007679562431E-2</v>
      </c>
      <c r="P1805" s="319">
        <f t="array" aca="1" ref="P1805" ca="1">SUM((G.30.assumptions.SpecificProcessN2OEmissionsAfterProcessImprovements[[#This Row],[Description]]=G.30.assumptions.SpecificProcessN2OEmissionsAfterProductManufacturingEfficiency[Description])
        *INDIRECT("G.30.assumptions.SpecificProcessN2OEmissionsAfterProductManufacturingEfficiency["&amp;P$1792&amp;"]"))</f>
        <v>2.0190098463328091E-2</v>
      </c>
      <c r="Q1805" s="319">
        <f t="array" aca="1" ref="Q1805" ca="1">SUM((G.30.assumptions.SpecificProcessN2OEmissionsAfterProcessImprovements[[#This Row],[Description]]=G.30.assumptions.SpecificProcessN2OEmissionsAfterProductManufacturingEfficiency[Description])
        *INDIRECT("G.30.assumptions.SpecificProcessN2OEmissionsAfterProductManufacturingEfficiency["&amp;Q$1792&amp;"]"))</f>
        <v>2.0428189247093751E-2</v>
      </c>
      <c r="R1805" s="239"/>
      <c r="S1805" s="179"/>
      <c r="T1805" s="251"/>
      <c r="V1805" s="179"/>
      <c r="W1805" s="179"/>
    </row>
    <row r="1806" spans="1:23" s="65" customFormat="1" ht="15" customHeight="1" outlineLevel="2">
      <c r="A1806" s="219"/>
      <c r="B1806" s="242"/>
      <c r="C1806" s="251"/>
      <c r="D1806" s="251" t="s">
        <v>1998</v>
      </c>
      <c r="E1806" s="242"/>
      <c r="F1806" s="121"/>
      <c r="G1806" s="251" t="s">
        <v>1426</v>
      </c>
      <c r="H1806" s="242"/>
      <c r="I1806" s="319">
        <f t="array" aca="1" ref="I1806" ca="1">SUM((G.30.assumptions.SpecificProcessN2OEmissionsAfterProcessImprovements[[#This Row],[Description]]=G.30.assumptions.SpecificProcessN2OEmissionsAfterProductManufacturingEfficiency[Description])
        *INDIRECT("G.30.assumptions.SpecificProcessN2OEmissionsAfterProductManufacturingEfficiency["&amp;I$1792&amp;"]"))</f>
        <v>3.1621299966105854E-2</v>
      </c>
      <c r="J1806" s="319">
        <f t="array" aca="1" ref="J1806" ca="1">SUM((G.30.assumptions.SpecificProcessN2OEmissionsAfterProcessImprovements[[#This Row],[Description]]=G.30.assumptions.SpecificProcessN2OEmissionsAfterProductManufacturingEfficiency[Description])
        *INDIRECT("G.30.assumptions.SpecificProcessN2OEmissionsAfterProductManufacturingEfficiency["&amp;J$1792&amp;"]"))</f>
        <v>3.063503141226492E-2</v>
      </c>
      <c r="K1806" s="319">
        <f t="array" aca="1" ref="K1806" ca="1">SUM((G.30.assumptions.SpecificProcessN2OEmissionsAfterProcessImprovements[[#This Row],[Description]]=G.30.assumptions.SpecificProcessN2OEmissionsAfterProductManufacturingEfficiency[Description])
        *INDIRECT("G.30.assumptions.SpecificProcessN2OEmissionsAfterProductManufacturingEfficiency["&amp;K$1792&amp;"]"))</f>
        <v>2.936477406319913E-2</v>
      </c>
      <c r="L1806" s="319">
        <f t="array" aca="1" ref="L1806" ca="1">SUM((G.30.assumptions.SpecificProcessN2OEmissionsAfterProcessImprovements[[#This Row],[Description]]=G.30.assumptions.SpecificProcessN2OEmissionsAfterProductManufacturingEfficiency[Description])
        *INDIRECT("G.30.assumptions.SpecificProcessN2OEmissionsAfterProductManufacturingEfficiency["&amp;L$1792&amp;"]"))</f>
        <v>2.8052937095505985E-2</v>
      </c>
      <c r="M1806" s="319">
        <f t="array" aca="1" ref="M1806" ca="1">SUM((G.30.assumptions.SpecificProcessN2OEmissionsAfterProcessImprovements[[#This Row],[Description]]=G.30.assumptions.SpecificProcessN2OEmissionsAfterProductManufacturingEfficiency[Description])
        *INDIRECT("G.30.assumptions.SpecificProcessN2OEmissionsAfterProductManufacturingEfficiency["&amp;M$1792&amp;"]"))</f>
        <v>2.6699520509185479E-2</v>
      </c>
      <c r="N1806" s="319">
        <f t="array" aca="1" ref="N1806" ca="1">SUM((G.30.assumptions.SpecificProcessN2OEmissionsAfterProcessImprovements[[#This Row],[Description]]=G.30.assumptions.SpecificProcessN2OEmissionsAfterProductManufacturingEfficiency[Description])
        *INDIRECT("G.30.assumptions.SpecificProcessN2OEmissionsAfterProductManufacturingEfficiency["&amp;N$1792&amp;"]"))</f>
        <v>2.5304524304237613E-2</v>
      </c>
      <c r="O1806" s="319">
        <f t="array" aca="1" ref="O1806" ca="1">SUM((G.30.assumptions.SpecificProcessN2OEmissionsAfterProcessImprovements[[#This Row],[Description]]=G.30.assumptions.SpecificProcessN2OEmissionsAfterProductManufacturingEfficiency[Description])
        *INDIRECT("G.30.assumptions.SpecificProcessN2OEmissionsAfterProductManufacturingEfficiency["&amp;O$1792&amp;"]"))</f>
        <v>2.3867948480662388E-2</v>
      </c>
      <c r="P1806" s="319">
        <f t="array" aca="1" ref="P1806" ca="1">SUM((G.30.assumptions.SpecificProcessN2OEmissionsAfterProcessImprovements[[#This Row],[Description]]=G.30.assumptions.SpecificProcessN2OEmissionsAfterProductManufacturingEfficiency[Description])
        *INDIRECT("G.30.assumptions.SpecificProcessN2OEmissionsAfterProductManufacturingEfficiency["&amp;P$1792&amp;"]"))</f>
        <v>2.238979303845981E-2</v>
      </c>
      <c r="Q1806" s="319">
        <f t="array" aca="1" ref="Q1806" ca="1">SUM((G.30.assumptions.SpecificProcessN2OEmissionsAfterProcessImprovements[[#This Row],[Description]]=G.30.assumptions.SpecificProcessN2OEmissionsAfterProductManufacturingEfficiency[Description])
        *INDIRECT("G.30.assumptions.SpecificProcessN2OEmissionsAfterProductManufacturingEfficiency["&amp;Q$1792&amp;"]"))</f>
        <v>2.0870057977629863E-2</v>
      </c>
      <c r="R1806" s="239"/>
      <c r="S1806" s="179"/>
      <c r="T1806" s="251"/>
      <c r="V1806" s="179"/>
      <c r="W1806" s="179"/>
    </row>
    <row r="1807" spans="1:23" s="65" customFormat="1" ht="15" customHeight="1" outlineLevel="2">
      <c r="A1807" s="219"/>
      <c r="B1807" s="242"/>
      <c r="C1807" s="251"/>
      <c r="D1807" s="251" t="s">
        <v>1999</v>
      </c>
      <c r="E1807" s="242"/>
      <c r="F1807" s="121"/>
      <c r="G1807" s="251" t="s">
        <v>1457</v>
      </c>
      <c r="H1807" s="242"/>
      <c r="I1807" s="319">
        <f t="array" aca="1" ref="I1807" ca="1">SUM((G.30.assumptions.SpecificProcessN2OEmissionsAfterProcessImprovements[[#This Row],[Description]]=G.30.assumptions.SpecificProcessN2OEmissionsAfterProductManufacturingEfficiency[Description])
        *INDIRECT("G.30.assumptions.SpecificProcessN2OEmissionsAfterProductManufacturingEfficiency["&amp;I$1792&amp;"]"))</f>
        <v>0.10621451857493569</v>
      </c>
      <c r="J1807" s="319">
        <f t="array" aca="1" ref="J1807" ca="1">SUM((G.30.assumptions.SpecificProcessN2OEmissionsAfterProcessImprovements[[#This Row],[Description]]=G.30.assumptions.SpecificProcessN2OEmissionsAfterProductManufacturingEfficiency[Description])
        *INDIRECT("G.30.assumptions.SpecificProcessN2OEmissionsAfterProductManufacturingEfficiency["&amp;J$1792&amp;"]"))</f>
        <v>0.10498822113583167</v>
      </c>
      <c r="K1807" s="319">
        <f t="array" aca="1" ref="K1807" ca="1">SUM((G.30.assumptions.SpecificProcessN2OEmissionsAfterProcessImprovements[[#This Row],[Description]]=G.30.assumptions.SpecificProcessN2OEmissionsAfterProductManufacturingEfficiency[Description])
        *INDIRECT("G.30.assumptions.SpecificProcessN2OEmissionsAfterProductManufacturingEfficiency["&amp;K$1792&amp;"]"))</f>
        <v>0.1033892291147081</v>
      </c>
      <c r="L1807" s="319">
        <f t="array" aca="1" ref="L1807" ca="1">SUM((G.30.assumptions.SpecificProcessN2OEmissionsAfterProcessImprovements[[#This Row],[Description]]=G.30.assumptions.SpecificProcessN2OEmissionsAfterProductManufacturingEfficiency[Description])
        *INDIRECT("G.30.assumptions.SpecificProcessN2OEmissionsAfterProductManufacturingEfficiency["&amp;L$1792&amp;"]"))</f>
        <v>0.10171677017998064</v>
      </c>
      <c r="M1807" s="319">
        <f t="array" aca="1" ref="M1807" ca="1">SUM((G.30.assumptions.SpecificProcessN2OEmissionsAfterProcessImprovements[[#This Row],[Description]]=G.30.assumptions.SpecificProcessN2OEmissionsAfterProductManufacturingEfficiency[Description])
        *INDIRECT("G.30.assumptions.SpecificProcessN2OEmissionsAfterProductManufacturingEfficiency["&amp;M$1792&amp;"]"))</f>
        <v>9.9970844331649239E-2</v>
      </c>
      <c r="N1807" s="319">
        <f t="array" aca="1" ref="N1807" ca="1">SUM((G.30.assumptions.SpecificProcessN2OEmissionsAfterProcessImprovements[[#This Row],[Description]]=G.30.assumptions.SpecificProcessN2OEmissionsAfterProductManufacturingEfficiency[Description])
        *INDIRECT("G.30.assumptions.SpecificProcessN2OEmissionsAfterProductManufacturingEfficiency["&amp;N$1792&amp;"]"))</f>
        <v>9.8151451569713902E-2</v>
      </c>
      <c r="O1807" s="319">
        <f t="array" aca="1" ref="O1807" ca="1">SUM((G.30.assumptions.SpecificProcessN2OEmissionsAfterProcessImprovements[[#This Row],[Description]]=G.30.assumptions.SpecificProcessN2OEmissionsAfterProductManufacturingEfficiency[Description])
        *INDIRECT("G.30.assumptions.SpecificProcessN2OEmissionsAfterProductManufacturingEfficiency["&amp;O$1792&amp;"]"))</f>
        <v>9.6258591894174669E-2</v>
      </c>
      <c r="P1807" s="319">
        <f t="array" aca="1" ref="P1807" ca="1">SUM((G.30.assumptions.SpecificProcessN2OEmissionsAfterProcessImprovements[[#This Row],[Description]]=G.30.assumptions.SpecificProcessN2OEmissionsAfterProductManufacturingEfficiency[Description])
        *INDIRECT("G.30.assumptions.SpecificProcessN2OEmissionsAfterProductManufacturingEfficiency["&amp;P$1792&amp;"]"))</f>
        <v>9.4292265305031486E-2</v>
      </c>
      <c r="Q1807" s="319">
        <f t="array" aca="1" ref="Q1807" ca="1">SUM((G.30.assumptions.SpecificProcessN2OEmissionsAfterProcessImprovements[[#This Row],[Description]]=G.30.assumptions.SpecificProcessN2OEmissionsAfterProductManufacturingEfficiency[Description])
        *INDIRECT("G.30.assumptions.SpecificProcessN2OEmissionsAfterProductManufacturingEfficiency["&amp;Q$1792&amp;"]"))</f>
        <v>9.225247180228438E-2</v>
      </c>
      <c r="R1807" s="239"/>
      <c r="S1807" s="179"/>
      <c r="T1807" s="251"/>
      <c r="V1807" s="179"/>
      <c r="W1807" s="179"/>
    </row>
    <row r="1808" spans="1:23" s="65" customFormat="1" ht="15" customHeight="1" outlineLevel="2">
      <c r="A1808" s="219"/>
      <c r="B1808" s="242"/>
      <c r="C1808" s="251"/>
      <c r="D1808" s="251"/>
      <c r="E1808" s="242"/>
      <c r="F1808" s="121"/>
      <c r="G1808" s="242"/>
      <c r="H1808" s="242"/>
      <c r="I1808" s="239"/>
      <c r="J1808" s="239"/>
      <c r="K1808" s="239"/>
      <c r="L1808" s="239"/>
      <c r="M1808" s="239"/>
      <c r="N1808" s="239"/>
      <c r="O1808" s="239"/>
      <c r="P1808" s="239"/>
      <c r="Q1808" s="239"/>
      <c r="R1808" s="239"/>
      <c r="S1808" s="179"/>
      <c r="T1808" s="251"/>
      <c r="V1808" s="179"/>
      <c r="W1808" s="179"/>
    </row>
    <row r="1809" spans="1:24" s="65" customFormat="1" ht="15" customHeight="1" outlineLevel="1">
      <c r="A1809" s="219"/>
      <c r="B1809" s="242"/>
      <c r="C1809" s="244" t="s">
        <v>1900</v>
      </c>
      <c r="D1809" s="242"/>
      <c r="E1809" s="242"/>
      <c r="F1809" s="242"/>
      <c r="G1809" s="242"/>
      <c r="H1809" s="242"/>
      <c r="I1809" s="242"/>
      <c r="J1809" s="246"/>
      <c r="K1809" s="246"/>
      <c r="L1809" s="246"/>
      <c r="M1809" s="246"/>
      <c r="N1809" s="246"/>
      <c r="O1809" s="246"/>
      <c r="P1809" s="246"/>
      <c r="Q1809" s="246" t="s">
        <v>511</v>
      </c>
      <c r="R1809" s="239"/>
      <c r="S1809" s="179"/>
      <c r="T1809" s="251"/>
      <c r="V1809" s="179"/>
      <c r="W1809" s="179"/>
    </row>
    <row r="1810" spans="1:24" s="65" customFormat="1" ht="15" customHeight="1" outlineLevel="2">
      <c r="A1810" s="219"/>
      <c r="B1810" s="242"/>
      <c r="C1810" s="244"/>
      <c r="D1810" s="242"/>
      <c r="E1810" s="242"/>
      <c r="F1810" s="242"/>
      <c r="G1810" s="242"/>
      <c r="H1810" s="242"/>
      <c r="I1810" s="242"/>
      <c r="J1810" s="260"/>
      <c r="K1810" s="246"/>
      <c r="L1810" s="246"/>
      <c r="M1810" s="246"/>
      <c r="N1810" s="246"/>
      <c r="O1810" s="246"/>
      <c r="P1810" s="246"/>
      <c r="Q1810" s="246"/>
      <c r="R1810" s="239"/>
      <c r="S1810" s="179"/>
      <c r="T1810" s="251"/>
      <c r="V1810" s="179"/>
      <c r="W1810" s="179"/>
    </row>
    <row r="1811" spans="1:24" s="65" customFormat="1" ht="15" customHeight="1" outlineLevel="2">
      <c r="A1811" s="219"/>
      <c r="B1811" s="242"/>
      <c r="C1811" s="242" t="s">
        <v>454</v>
      </c>
      <c r="D1811" s="242" t="s">
        <v>241</v>
      </c>
      <c r="E1811" s="242" t="s">
        <v>207</v>
      </c>
      <c r="F1811" s="242" t="s">
        <v>274</v>
      </c>
      <c r="G1811" s="242" t="s">
        <v>509</v>
      </c>
      <c r="H1811" s="242" t="s">
        <v>510</v>
      </c>
      <c r="I1811" s="183" t="s">
        <v>1107</v>
      </c>
      <c r="J1811" s="242" t="s">
        <v>210</v>
      </c>
      <c r="K1811" s="242" t="s">
        <v>211</v>
      </c>
      <c r="L1811" s="242" t="s">
        <v>212</v>
      </c>
      <c r="M1811" s="242" t="s">
        <v>213</v>
      </c>
      <c r="N1811" s="242" t="s">
        <v>214</v>
      </c>
      <c r="O1811" s="242" t="s">
        <v>215</v>
      </c>
      <c r="P1811" s="242" t="s">
        <v>216</v>
      </c>
      <c r="Q1811" s="121" t="s">
        <v>217</v>
      </c>
      <c r="R1811" s="239"/>
      <c r="S1811" s="179"/>
      <c r="T1811" s="179" t="str">
        <f>$T$6</f>
        <v>Source</v>
      </c>
      <c r="U1811" s="179" t="str">
        <f>$U$6</f>
        <v>Link</v>
      </c>
      <c r="V1811" s="179" t="str">
        <f>$V$6</f>
        <v>Risk (Green, Amber/Green, Amber, Red/Amber, Red)</v>
      </c>
      <c r="W1811" s="179" t="s">
        <v>869</v>
      </c>
      <c r="X1811" s="179" t="str">
        <f>$X$6</f>
        <v>Comment author</v>
      </c>
    </row>
    <row r="1812" spans="1:24" s="65" customFormat="1" ht="15" customHeight="1" outlineLevel="2">
      <c r="A1812" s="219"/>
      <c r="B1812" s="242"/>
      <c r="C1812" s="242" t="s">
        <v>1800</v>
      </c>
      <c r="D1812" s="121" t="str">
        <f>INDEX(Regional.Technologies[Description],MATCH($B$2&amp;"."&amp;G.30.assumptions.AlternativeFuels[[#This Row],[Technology code]],Regional.Technologies[Code],0))</f>
        <v>Global Natural Gas use in the Oxygen steel technology</v>
      </c>
      <c r="E1812" s="242">
        <f ca="1">INDEX(G.30.Levers[],MATCH(G.30.assumptions.AlternativeFuels[[#This Row],[.]],G.30.Levers[Lever code],0),4)</f>
        <v>1</v>
      </c>
      <c r="F1812" s="121" t="s">
        <v>1609</v>
      </c>
      <c r="G1812" s="242" t="str">
        <f t="shared" ref="G1812:G1825" si="181">$C$1809&amp;"."&amp;LEFT(C1812,FIND("|",SUBSTITUTE(C1812,".","|",LEN(C1812)-LEN(SUBSTITUTE(C1812,".",""))))-1)</f>
        <v>FuelSwitch.Steel.Oxygen</v>
      </c>
      <c r="H1812" s="242"/>
      <c r="I1812" s="406">
        <f t="array" aca="1" ref="I1812"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2" s="406">
        <f t="array" aca="1" ref="J1812"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2" s="406">
        <f t="array" aca="1" ref="K1812"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2" s="406">
        <f t="array" aca="1" ref="L1812"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2" s="406">
        <f t="array" aca="1" ref="M1812"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2" s="406">
        <f t="array" aca="1" ref="N1812"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2" s="406">
        <f t="array" aca="1" ref="O1812"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2" s="406">
        <f t="array" aca="1" ref="P1812"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2" s="406">
        <f t="array" aca="1" ref="Q1812"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2" s="239"/>
      <c r="S1812" s="179"/>
      <c r="T1812" s="251"/>
      <c r="V1812" s="179"/>
      <c r="W1812" s="179"/>
    </row>
    <row r="1813" spans="1:24" s="65" customFormat="1" ht="15" customHeight="1" outlineLevel="2">
      <c r="A1813" s="219"/>
      <c r="B1813" s="242"/>
      <c r="C1813" s="242" t="s">
        <v>1802</v>
      </c>
      <c r="D1813" s="121" t="str">
        <f>INDEX(Regional.Technologies[Description],MATCH($B$2&amp;"."&amp;G.30.assumptions.AlternativeFuels[[#This Row],[Technology code]],Regional.Technologies[Code],0))</f>
        <v>Global Solid Hydrocarbons use in the Oxygen steel technology</v>
      </c>
      <c r="E1813" s="242">
        <f ca="1">INDEX(G.30.Levers[],MATCH(G.30.assumptions.AlternativeFuels[[#This Row],[.]],G.30.Levers[Lever code],0),4)</f>
        <v>1</v>
      </c>
      <c r="F1813" s="121" t="s">
        <v>1610</v>
      </c>
      <c r="G1813" s="242" t="str">
        <f t="shared" si="181"/>
        <v>FuelSwitch.Steel.Oxygen</v>
      </c>
      <c r="H1813" s="242"/>
      <c r="I1813" s="406">
        <f t="array" aca="1" ref="I1813"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3" s="406">
        <f t="array" aca="1" ref="J1813"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3" s="406">
        <f t="array" aca="1" ref="K1813"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3" s="406">
        <f t="array" aca="1" ref="L1813"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3" s="406">
        <f t="array" aca="1" ref="M1813"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3" s="406">
        <f t="array" aca="1" ref="N1813"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3" s="406">
        <f t="array" aca="1" ref="O1813"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3" s="406">
        <f t="array" aca="1" ref="P1813"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3" s="406">
        <f t="array" aca="1" ref="Q1813"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3" s="246"/>
      <c r="S1813" s="179"/>
      <c r="T1813" s="251"/>
      <c r="U1813" s="179"/>
      <c r="W1813" s="179"/>
      <c r="X1813" s="179"/>
    </row>
    <row r="1814" spans="1:24" s="65" customFormat="1" ht="15" customHeight="1" outlineLevel="2">
      <c r="A1814" s="219"/>
      <c r="B1814" s="242"/>
      <c r="C1814" s="242" t="s">
        <v>2056</v>
      </c>
      <c r="D1814" s="121" t="str">
        <f>INDEX(Regional.Technologies[Description],MATCH($B$2&amp;"."&amp;G.30.assumptions.AlternativeFuels[[#This Row],[Technology code]],Regional.Technologies[Code],0))</f>
        <v>Global Natural Gas use in the Hisarna Oxygen steel technology</v>
      </c>
      <c r="E1814" s="242">
        <f ca="1">INDEX(G.30.Levers[],MATCH(G.30.assumptions.AlternativeFuels[[#This Row],[.]],G.30.Levers[Lever code],0),4)</f>
        <v>1</v>
      </c>
      <c r="F1814" s="121" t="s">
        <v>1609</v>
      </c>
      <c r="G1814" s="242" t="str">
        <f t="shared" si="181"/>
        <v>FuelSwitch.Steel.OxygenHisarna</v>
      </c>
      <c r="H1814" s="242"/>
      <c r="I1814" s="406">
        <f t="array" aca="1" ref="I1814"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4" s="406">
        <f t="array" aca="1" ref="J1814"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4" s="406">
        <f t="array" aca="1" ref="K1814"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4" s="406">
        <f t="array" aca="1" ref="L1814"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4" s="406">
        <f t="array" aca="1" ref="M1814"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4" s="406">
        <f t="array" aca="1" ref="N1814"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4" s="406">
        <f t="array" aca="1" ref="O1814"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4" s="406">
        <f t="array" aca="1" ref="P1814"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4" s="406">
        <f t="array" aca="1" ref="Q1814"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4" s="239"/>
      <c r="S1814" s="179"/>
      <c r="T1814" s="251"/>
      <c r="V1814" s="179"/>
      <c r="W1814" s="179"/>
    </row>
    <row r="1815" spans="1:24" s="65" customFormat="1" ht="15" customHeight="1" outlineLevel="2">
      <c r="A1815" s="219"/>
      <c r="B1815" s="242"/>
      <c r="C1815" s="242" t="s">
        <v>2057</v>
      </c>
      <c r="D1815" s="303" t="str">
        <f>INDEX(Regional.Technologies[Description],MATCH($B$2&amp;"."&amp;G.30.assumptions.AlternativeFuels[[#This Row],[Technology code]],Regional.Technologies[Code],0))</f>
        <v>Global Solid Hydrocarbons use in the Hisarna Oxygen steel technology</v>
      </c>
      <c r="E1815" s="242">
        <f ca="1">INDEX(G.30.Levers[],MATCH(G.30.assumptions.AlternativeFuels[[#This Row],[.]],G.30.Levers[Lever code],0),4)</f>
        <v>1</v>
      </c>
      <c r="F1815" s="121" t="s">
        <v>1609</v>
      </c>
      <c r="G1815" s="242" t="str">
        <f t="shared" si="181"/>
        <v>FuelSwitch.Steel.OxygenHisarna</v>
      </c>
      <c r="H1815" s="242"/>
      <c r="I1815" s="406">
        <f t="array" aca="1" ref="I1815"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5" s="406">
        <f t="array" aca="1" ref="J1815"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5" s="406">
        <f t="array" aca="1" ref="K1815"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5" s="406">
        <f t="array" aca="1" ref="L1815"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5" s="406">
        <f t="array" aca="1" ref="M1815"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5" s="406">
        <f t="array" aca="1" ref="N1815"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5" s="406">
        <f t="array" aca="1" ref="O1815"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5" s="406">
        <f t="array" aca="1" ref="P1815"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5" s="406">
        <f t="array" aca="1" ref="Q1815"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5" s="246"/>
      <c r="S1815" s="179"/>
      <c r="T1815" s="251"/>
      <c r="U1815" s="179"/>
      <c r="W1815" s="179"/>
      <c r="X1815" s="179"/>
    </row>
    <row r="1816" spans="1:24" s="65" customFormat="1" ht="15" customHeight="1" outlineLevel="2">
      <c r="A1816" s="219"/>
      <c r="B1816" s="242"/>
      <c r="C1816" s="242" t="s">
        <v>1816</v>
      </c>
      <c r="D1816" s="121" t="str">
        <f>INDEX(Regional.Technologies[Description],MATCH($B$2&amp;"."&amp;G.30.assumptions.AlternativeFuels[[#This Row],[Technology code]],Regional.Technologies[Code],0))</f>
        <v>Global Solid Hydrocarbons use in the Primary Aluminium technology</v>
      </c>
      <c r="E1816" s="242">
        <f ca="1">INDEX(G.30.Levers[],MATCH(G.30.assumptions.AlternativeFuels[[#This Row],[.]],G.30.Levers[Lever code],0),4)</f>
        <v>1</v>
      </c>
      <c r="F1816" s="121" t="str">
        <f>VLOOKUP(C1816,Technology.codes[#Data],4,0)</f>
        <v>/</v>
      </c>
      <c r="G1816" s="242" t="str">
        <f t="shared" si="181"/>
        <v>FuelSwitch.Aluminium.Primary</v>
      </c>
      <c r="H1816" s="242"/>
      <c r="I1816" s="406">
        <f t="array" aca="1" ref="I1816"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6" s="406">
        <f t="array" aca="1" ref="J1816"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6" s="406">
        <f t="array" aca="1" ref="K1816"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6" s="406">
        <f t="array" aca="1" ref="L1816"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6" s="406">
        <f t="array" aca="1" ref="M1816"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6" s="406">
        <f t="array" aca="1" ref="N1816"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6" s="406">
        <f t="array" aca="1" ref="O1816"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6" s="406">
        <f t="array" aca="1" ref="P1816"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6" s="406">
        <f t="array" aca="1" ref="Q1816"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6" s="248"/>
      <c r="S1816" s="179"/>
      <c r="T1816" s="251"/>
      <c r="U1816" s="179"/>
      <c r="W1816" s="179"/>
      <c r="X1816" s="179"/>
    </row>
    <row r="1817" spans="1:24" s="65" customFormat="1" ht="15" customHeight="1" outlineLevel="2">
      <c r="A1817" s="219"/>
      <c r="B1817" s="242"/>
      <c r="C1817" s="251" t="s">
        <v>1825</v>
      </c>
      <c r="D1817" s="121" t="str">
        <f>INDEX(Regional.Technologies[Description],MATCH($B$2&amp;"."&amp;G.30.assumptions.AlternativeFuels[[#This Row],[Technology code]],Regional.Technologies[Code],0))</f>
        <v>Global Solid Hydrocarbons use in the Chemicals: High Value Chemicals  technology</v>
      </c>
      <c r="E1817" s="242">
        <f ca="1">INDEX(G.30.Levers[],MATCH(G.30.assumptions.AlternativeFuels[[#This Row],[.]],G.30.Levers[Lever code],0),4)</f>
        <v>1</v>
      </c>
      <c r="F1817" s="121"/>
      <c r="G1817" s="242" t="str">
        <f t="shared" si="181"/>
        <v>FuelSwitch.Chemicals &amp; petrochemicals.HighValueChemicals</v>
      </c>
      <c r="H1817" s="242"/>
      <c r="I1817" s="406">
        <f t="array" aca="1" ref="I1817"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7" s="406">
        <f t="array" aca="1" ref="J1817"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7" s="406">
        <f t="array" aca="1" ref="K1817"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7" s="406">
        <f t="array" aca="1" ref="L1817"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7" s="406">
        <f t="array" aca="1" ref="M1817"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7" s="406">
        <f t="array" aca="1" ref="N1817"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7" s="406">
        <f t="array" aca="1" ref="O1817"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7" s="406">
        <f t="array" aca="1" ref="P1817"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7" s="406">
        <f t="array" aca="1" ref="Q1817"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7" s="121"/>
      <c r="S1817" s="179"/>
      <c r="T1817" s="251"/>
      <c r="V1817" s="179"/>
      <c r="W1817" s="179"/>
    </row>
    <row r="1818" spans="1:24" s="65" customFormat="1" ht="15" customHeight="1" outlineLevel="2">
      <c r="A1818" s="219"/>
      <c r="B1818" s="242"/>
      <c r="C1818" s="251" t="s">
        <v>1831</v>
      </c>
      <c r="D1818" s="121" t="str">
        <f>INDEX(Regional.Technologies[Description],MATCH($B$2&amp;"."&amp;G.30.assumptions.AlternativeFuels[[#This Row],[Technology code]],Regional.Technologies[Code],0))</f>
        <v>Global Solid Hydrocarbons use in the Chemicals: Ammonia technology</v>
      </c>
      <c r="E1818" s="242">
        <f ca="1">INDEX(G.30.Levers[],MATCH(G.30.assumptions.AlternativeFuels[[#This Row],[.]],G.30.Levers[Lever code],0),4)</f>
        <v>1</v>
      </c>
      <c r="F1818" s="121"/>
      <c r="G1818" s="242" t="str">
        <f t="shared" si="181"/>
        <v>FuelSwitch.Chemicals &amp; petrochemicals.Ammonia</v>
      </c>
      <c r="H1818" s="242"/>
      <c r="I1818" s="406">
        <f t="array" aca="1" ref="I1818"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8" s="406">
        <f t="array" aca="1" ref="J1818"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8" s="406">
        <f t="array" aca="1" ref="K1818"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8" s="406">
        <f t="array" aca="1" ref="L1818"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8" s="406">
        <f t="array" aca="1" ref="M1818"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8" s="406">
        <f t="array" aca="1" ref="N1818"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8" s="406">
        <f t="array" aca="1" ref="O1818"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8" s="406">
        <f t="array" aca="1" ref="P1818"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8" s="406">
        <f t="array" aca="1" ref="Q1818"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8" s="121"/>
      <c r="S1818" s="179"/>
      <c r="T1818" s="251"/>
      <c r="V1818" s="179"/>
      <c r="W1818" s="179"/>
    </row>
    <row r="1819" spans="1:24" s="65" customFormat="1" ht="15" customHeight="1" outlineLevel="2">
      <c r="A1819" s="219"/>
      <c r="B1819" s="242"/>
      <c r="C1819" s="251" t="s">
        <v>1837</v>
      </c>
      <c r="D1819" s="121" t="str">
        <f>INDEX(Regional.Technologies[Description],MATCH($B$2&amp;"."&amp;G.30.assumptions.AlternativeFuels[[#This Row],[Technology code]],Regional.Technologies[Code],0))</f>
        <v>Global Solid Hydrocarbons use in the Chemicals: Methanol technology</v>
      </c>
      <c r="E1819" s="242">
        <f ca="1">INDEX(G.30.Levers[],MATCH(G.30.assumptions.AlternativeFuels[[#This Row],[.]],G.30.Levers[Lever code],0),4)</f>
        <v>1</v>
      </c>
      <c r="F1819" s="121"/>
      <c r="G1819" s="242" t="str">
        <f t="shared" si="181"/>
        <v>FuelSwitch.Chemicals &amp; petrochemicals.Methanol</v>
      </c>
      <c r="H1819" s="242"/>
      <c r="I1819" s="406">
        <f t="array" aca="1" ref="I1819"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19" s="406">
        <f t="array" aca="1" ref="J1819"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19" s="406">
        <f t="array" aca="1" ref="K1819"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19" s="406">
        <f t="array" aca="1" ref="L1819"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19" s="406">
        <f t="array" aca="1" ref="M1819"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19" s="406">
        <f t="array" aca="1" ref="N1819"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19" s="406">
        <f t="array" aca="1" ref="O1819"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19" s="406">
        <f t="array" aca="1" ref="P1819"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19" s="406">
        <f t="array" aca="1" ref="Q1819"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19" s="121"/>
      <c r="S1819" s="179"/>
      <c r="T1819" s="251"/>
      <c r="V1819" s="179"/>
      <c r="W1819" s="179"/>
    </row>
    <row r="1820" spans="1:24" s="65" customFormat="1" ht="15" customHeight="1" outlineLevel="2">
      <c r="A1820" s="219"/>
      <c r="B1820" s="242"/>
      <c r="C1820" s="251" t="s">
        <v>1843</v>
      </c>
      <c r="D1820" s="121" t="str">
        <f>INDEX(Regional.Technologies[Description],MATCH($B$2&amp;"."&amp;G.30.assumptions.AlternativeFuels[[#This Row],[Technology code]],Regional.Technologies[Code],0))</f>
        <v>Global Solid Hydrocarbons use in the Chemicals: Others technology</v>
      </c>
      <c r="E1820" s="242">
        <f ca="1">INDEX(G.30.Levers[],MATCH(G.30.assumptions.AlternativeFuels[[#This Row],[.]],G.30.Levers[Lever code],0),4)</f>
        <v>1</v>
      </c>
      <c r="F1820" s="121"/>
      <c r="G1820" s="242" t="str">
        <f t="shared" si="181"/>
        <v>FuelSwitch.Chemicals &amp; petrochemicals.Others</v>
      </c>
      <c r="H1820" s="242"/>
      <c r="I1820" s="406">
        <f t="array" aca="1" ref="I1820"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20" s="406">
        <f t="array" aca="1" ref="J1820"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20" s="406">
        <f t="array" aca="1" ref="K1820"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20" s="406">
        <f t="array" aca="1" ref="L1820"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20" s="406">
        <f t="array" aca="1" ref="M1820"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20" s="406">
        <f t="array" aca="1" ref="N1820"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20" s="406">
        <f t="array" aca="1" ref="O1820"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20" s="406">
        <f t="array" aca="1" ref="P1820"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20" s="406">
        <f t="array" aca="1" ref="Q1820"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20" s="121"/>
      <c r="S1820" s="179"/>
      <c r="T1820" s="251"/>
      <c r="V1820" s="179"/>
      <c r="W1820" s="179"/>
    </row>
    <row r="1821" spans="1:24" s="65" customFormat="1" ht="15" customHeight="1" outlineLevel="2">
      <c r="A1821" s="219"/>
      <c r="B1821" s="242"/>
      <c r="C1821" s="251" t="s">
        <v>1849</v>
      </c>
      <c r="D1821" s="121" t="str">
        <f>INDEX(Regional.Technologies[Description],MATCH($B$2&amp;"."&amp;G.30.assumptions.AlternativeFuels[[#This Row],[Technology code]],Regional.Technologies[Code],0))</f>
        <v>Global Solid Hydrocarbons use in the Pulp &amp; paper: Pulp technology</v>
      </c>
      <c r="E1821" s="242">
        <f ca="1">INDEX(G.30.Levers[],MATCH(G.30.assumptions.AlternativeFuels[[#This Row],[.]],G.30.Levers[Lever code],0),4)</f>
        <v>1</v>
      </c>
      <c r="F1821" s="121"/>
      <c r="G1821" s="242" t="str">
        <f t="shared" si="181"/>
        <v>FuelSwitch.Pulp &amp; paper.Pulp</v>
      </c>
      <c r="H1821" s="242"/>
      <c r="I1821" s="406">
        <f t="array" aca="1" ref="I1821"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21" s="406">
        <f t="array" aca="1" ref="J1821"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21" s="406">
        <f t="array" aca="1" ref="K1821"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21" s="406">
        <f t="array" aca="1" ref="L1821"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21" s="406">
        <f t="array" aca="1" ref="M1821"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21" s="406">
        <f t="array" aca="1" ref="N1821"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21" s="406">
        <f t="array" aca="1" ref="O1821"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21" s="406">
        <f t="array" aca="1" ref="P1821"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21" s="406">
        <f t="array" aca="1" ref="Q1821"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21" s="121"/>
      <c r="S1821" s="179"/>
      <c r="T1821" s="251"/>
      <c r="V1821" s="179"/>
      <c r="W1821" s="179"/>
    </row>
    <row r="1822" spans="1:24" s="65" customFormat="1" ht="15" customHeight="1" outlineLevel="2">
      <c r="A1822" s="219"/>
      <c r="B1822" s="242"/>
      <c r="C1822" s="251" t="s">
        <v>1854</v>
      </c>
      <c r="D1822" s="121" t="str">
        <f>INDEX(Regional.Technologies[Description],MATCH($B$2&amp;"."&amp;G.30.assumptions.AlternativeFuels[[#This Row],[Technology code]],Regional.Technologies[Code],0))</f>
        <v>Global Solid Hydrocarbons use in the Pulp &amp; paper: Virgin technology</v>
      </c>
      <c r="E1822" s="242">
        <f ca="1">INDEX(G.30.Levers[],MATCH(G.30.assumptions.AlternativeFuels[[#This Row],[.]],G.30.Levers[Lever code],0),4)</f>
        <v>1</v>
      </c>
      <c r="F1822" s="121"/>
      <c r="G1822" s="242" t="str">
        <f t="shared" si="181"/>
        <v>FuelSwitch.Pulp &amp; paper.Virgin</v>
      </c>
      <c r="H1822" s="242"/>
      <c r="I1822" s="406">
        <f t="array" aca="1" ref="I1822"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22" s="406">
        <f t="array" aca="1" ref="J1822"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22" s="406">
        <f t="array" aca="1" ref="K1822"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22" s="406">
        <f t="array" aca="1" ref="L1822"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22" s="406">
        <f t="array" aca="1" ref="M1822"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22" s="406">
        <f t="array" aca="1" ref="N1822"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22" s="406">
        <f t="array" aca="1" ref="O1822"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22" s="406">
        <f t="array" aca="1" ref="P1822"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22" s="406">
        <f t="array" aca="1" ref="Q1822"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22" s="121"/>
      <c r="S1822" s="179"/>
      <c r="T1822" s="251"/>
      <c r="V1822" s="179"/>
      <c r="W1822" s="179"/>
    </row>
    <row r="1823" spans="1:24" s="65" customFormat="1" ht="15" customHeight="1" outlineLevel="2">
      <c r="A1823" s="219"/>
      <c r="B1823" s="242"/>
      <c r="C1823" s="251" t="s">
        <v>1859</v>
      </c>
      <c r="D1823" s="121" t="str">
        <f>INDEX(Regional.Technologies[Description],MATCH($B$2&amp;"."&amp;G.30.assumptions.AlternativeFuels[[#This Row],[Technology code]],Regional.Technologies[Code],0))</f>
        <v>Global Solid Hydrocarbons use in the Pulp &amp; paper: Recycled technology</v>
      </c>
      <c r="E1823" s="242">
        <f ca="1">INDEX(G.30.Levers[],MATCH(G.30.assumptions.AlternativeFuels[[#This Row],[.]],G.30.Levers[Lever code],0),4)</f>
        <v>1</v>
      </c>
      <c r="F1823" s="121"/>
      <c r="G1823" s="242" t="str">
        <f t="shared" si="181"/>
        <v>FuelSwitch.Pulp &amp; paper.Recycled</v>
      </c>
      <c r="H1823" s="242"/>
      <c r="I1823" s="406">
        <f t="array" aca="1" ref="I1823"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23" s="406">
        <f t="array" aca="1" ref="J1823"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23" s="406">
        <f t="array" aca="1" ref="K1823"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23" s="406">
        <f t="array" aca="1" ref="L1823"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23" s="406">
        <f t="array" aca="1" ref="M1823"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23" s="406">
        <f t="array" aca="1" ref="N1823"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23" s="406">
        <f t="array" aca="1" ref="O1823"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23" s="406">
        <f t="array" aca="1" ref="P1823"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23" s="406">
        <f t="array" aca="1" ref="Q1823"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23" s="121"/>
      <c r="S1823" s="179"/>
      <c r="T1823" s="251"/>
      <c r="V1823" s="179"/>
      <c r="W1823" s="179"/>
    </row>
    <row r="1824" spans="1:24" s="65" customFormat="1" ht="15" customHeight="1" outlineLevel="2">
      <c r="A1824" s="219"/>
      <c r="B1824" s="242"/>
      <c r="C1824" s="251" t="s">
        <v>1864</v>
      </c>
      <c r="D1824" s="121" t="str">
        <f>INDEX(Regional.Technologies[Description],MATCH($B$2&amp;"."&amp;G.30.assumptions.AlternativeFuels[[#This Row],[Technology code]],Regional.Technologies[Code],0))</f>
        <v>Global Solid Hydrocarbons use in the Cement technology</v>
      </c>
      <c r="E1824" s="242">
        <f ca="1">INDEX(G.30.Levers[],MATCH(G.30.assumptions.AlternativeFuels[[#This Row],[.]],G.30.Levers[Lever code],0),4)</f>
        <v>1</v>
      </c>
      <c r="F1824" s="121"/>
      <c r="G1824" s="242" t="str">
        <f t="shared" si="181"/>
        <v>FuelSwitch.Cement</v>
      </c>
      <c r="H1824" s="242"/>
      <c r="I1824" s="406">
        <f t="array" aca="1" ref="I1824"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24" s="406">
        <f t="array" aca="1" ref="J1824"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24" s="406">
        <f t="array" aca="1" ref="K1824"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24" s="406">
        <f t="array" aca="1" ref="L1824"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24" s="406">
        <f t="array" aca="1" ref="M1824"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24" s="406">
        <f t="array" aca="1" ref="N1824"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24" s="406">
        <f t="array" aca="1" ref="O1824"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24" s="406">
        <f t="array" aca="1" ref="P1824"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24" s="406">
        <f t="array" aca="1" ref="Q1824"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24" s="121"/>
      <c r="S1824" s="179"/>
      <c r="T1824" s="251"/>
      <c r="V1824" s="179"/>
      <c r="W1824" s="179"/>
    </row>
    <row r="1825" spans="1:24" s="65" customFormat="1" ht="15" customHeight="1" outlineLevel="2">
      <c r="A1825" s="219"/>
      <c r="B1825" s="242"/>
      <c r="C1825" s="251" t="s">
        <v>1868</v>
      </c>
      <c r="D1825" s="121" t="str">
        <f>INDEX(Regional.Technologies[Description],MATCH($B$2&amp;"."&amp;G.30.assumptions.AlternativeFuels[[#This Row],[Technology code]],Regional.Technologies[Code],0))</f>
        <v>Global Solid Hydrocarbons use in the Other industries technology</v>
      </c>
      <c r="E1825" s="242">
        <f ca="1">INDEX(G.30.Levers[],MATCH(G.30.assumptions.AlternativeFuels[[#This Row],[.]],G.30.Levers[Lever code],0),4)</f>
        <v>1</v>
      </c>
      <c r="F1825" s="121"/>
      <c r="G1825" s="242" t="str">
        <f t="shared" si="181"/>
        <v>FuelSwitch.Other industries</v>
      </c>
      <c r="H1825" s="242"/>
      <c r="I1825" s="406">
        <f t="array" aca="1" ref="I1825" ca="1">(SUMIFS(INDIRECT("G.30.levels.AlternativeFuels["&amp;I$1811&amp;"]"),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+(SUMIFS(INDIRECT("G.30.levels.AlternativeFuels["&amp;I$1811&amp;"]"),
                         G.30.levels.AlternativeFuels[[Description]:[Description]],G.30.assumptions.AlternativeFuels[[#This Row],[Description]:[Description]],
                         G.30.levels.AlternativeFuels[[Level]:[Level]],ROUNDUP(G.30.assumptions.AlternativeFuels[[#This Row],[Level]:[Level]],0))*MOD(G.30.assumptions.AlternativeFuels[[#This Row],[Level]:[Level]],1))</f>
        <v>0</v>
      </c>
      <c r="J1825" s="406">
        <f t="array" aca="1" ref="J1825" ca="1">(SUMIFS(INDIRECT("G.30.levels.AlternativeFuels["&amp;J$1811&amp;"]"),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+(SUMIFS(INDIRECT("G.30.levels.AlternativeFuels["&amp;J$1811&amp;"]"),
                         G.30.levels.AlternativeFuels[[Description]:[Description]],G.30.assumptions.AlternativeFuels[[#This Row],[Description]:[Description]],
                         G.30.levels.AlternativeFuels[[Level]:[Level]],ROUNDUP(G.30.assumptions.AlternativeFuels[[#This Row],[Level]:[Level]],0))*MOD(G.30.assumptions.AlternativeFuels[[#This Row],[Level]:[Level]],1))</f>
        <v>0</v>
      </c>
      <c r="K1825" s="406">
        <f t="array" aca="1" ref="K1825" ca="1">(SUMIFS(INDIRECT("G.30.levels.AlternativeFuels["&amp;K$1811&amp;"]"),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+(SUMIFS(INDIRECT("G.30.levels.AlternativeFuels["&amp;K$1811&amp;"]"),
                         G.30.levels.AlternativeFuels[[Description]:[Description]],G.30.assumptions.AlternativeFuels[[#This Row],[Description]:[Description]],
                         G.30.levels.AlternativeFuels[[Level]:[Level]],ROUNDUP(G.30.assumptions.AlternativeFuels[[#This Row],[Level]:[Level]],0))*MOD(G.30.assumptions.AlternativeFuels[[#This Row],[Level]:[Level]],1))</f>
        <v>0</v>
      </c>
      <c r="L1825" s="406">
        <f t="array" aca="1" ref="L1825" ca="1">(SUMIFS(INDIRECT("G.30.levels.AlternativeFuels["&amp;L$1811&amp;"]"),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+(SUMIFS(INDIRECT("G.30.levels.AlternativeFuels["&amp;L$1811&amp;"]"),
                         G.30.levels.AlternativeFuels[[Description]:[Description]],G.30.assumptions.AlternativeFuels[[#This Row],[Description]:[Description]],
                         G.30.levels.AlternativeFuels[[Level]:[Level]],ROUNDUP(G.30.assumptions.AlternativeFuels[[#This Row],[Level]:[Level]],0))*MOD(G.30.assumptions.AlternativeFuels[[#This Row],[Level]:[Level]],1))</f>
        <v>0</v>
      </c>
      <c r="M1825" s="406">
        <f t="array" aca="1" ref="M1825" ca="1">(SUMIFS(INDIRECT("G.30.levels.AlternativeFuels["&amp;M$1811&amp;"]"),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+(SUMIFS(INDIRECT("G.30.levels.AlternativeFuels["&amp;M$1811&amp;"]"),
                         G.30.levels.AlternativeFuels[[Description]:[Description]],G.30.assumptions.AlternativeFuels[[#This Row],[Description]:[Description]],
                         G.30.levels.AlternativeFuels[[Level]:[Level]],ROUNDUP(G.30.assumptions.AlternativeFuels[[#This Row],[Level]:[Level]],0))*MOD(G.30.assumptions.AlternativeFuels[[#This Row],[Level]:[Level]],1))</f>
        <v>0</v>
      </c>
      <c r="N1825" s="406">
        <f t="array" aca="1" ref="N1825" ca="1">(SUMIFS(INDIRECT("G.30.levels.AlternativeFuels["&amp;N$1811&amp;"]"),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+(SUMIFS(INDIRECT("G.30.levels.AlternativeFuels["&amp;N$1811&amp;"]"),
                         G.30.levels.AlternativeFuels[[Description]:[Description]],G.30.assumptions.AlternativeFuels[[#This Row],[Description]:[Description]],
                         G.30.levels.AlternativeFuels[[Level]:[Level]],ROUNDUP(G.30.assumptions.AlternativeFuels[[#This Row],[Level]:[Level]],0))*MOD(G.30.assumptions.AlternativeFuels[[#This Row],[Level]:[Level]],1))</f>
        <v>0</v>
      </c>
      <c r="O1825" s="406">
        <f t="array" aca="1" ref="O1825" ca="1">(SUMIFS(INDIRECT("G.30.levels.AlternativeFuels["&amp;O$1811&amp;"]"),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+(SUMIFS(INDIRECT("G.30.levels.AlternativeFuels["&amp;O$1811&amp;"]"),
                         G.30.levels.AlternativeFuels[[Description]:[Description]],G.30.assumptions.AlternativeFuels[[#This Row],[Description]:[Description]],
                         G.30.levels.AlternativeFuels[[Level]:[Level]],ROUNDUP(G.30.assumptions.AlternativeFuels[[#This Row],[Level]:[Level]],0))*MOD(G.30.assumptions.AlternativeFuels[[#This Row],[Level]:[Level]],1))</f>
        <v>0</v>
      </c>
      <c r="P1825" s="406">
        <f t="array" aca="1" ref="P1825" ca="1">(SUMIFS(INDIRECT("G.30.levels.AlternativeFuels["&amp;P$1811&amp;"]"),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+(SUMIFS(INDIRECT("G.30.levels.AlternativeFuels["&amp;P$1811&amp;"]"),
                         G.30.levels.AlternativeFuels[[Description]:[Description]],G.30.assumptions.AlternativeFuels[[#This Row],[Description]:[Description]],
                         G.30.levels.AlternativeFuels[[Level]:[Level]],ROUNDUP(G.30.assumptions.AlternativeFuels[[#This Row],[Level]:[Level]],0))*MOD(G.30.assumptions.AlternativeFuels[[#This Row],[Level]:[Level]],1))</f>
        <v>0</v>
      </c>
      <c r="Q1825" s="406">
        <f t="array" aca="1" ref="Q1825" ca="1">(SUMIFS(INDIRECT("G.30.levels.AlternativeFuels["&amp;Q$1811&amp;"]"),
                         G.30.levels.AlternativeFuels[[Description]:[Description]],G.30.assumptions.AlternativeFuels[[#This Row],[Description]:[Description]],
                         G.30.levels.AlternativeFuels[[Level]:[Level]],ROUNDDOWN(G.30.assumptions.AlternativeFuels[[#This Row],[Level]:[Level]],0))*(1-MOD(G.30.assumptions.AlternativeFuels[[#This Row],[Level]:[Level]],1)))
+(SUMIFS(INDIRECT("G.30.levels.AlternativeFuels["&amp;Q$1811&amp;"]"),
                         G.30.levels.AlternativeFuels[[Description]:[Description]],G.30.assumptions.AlternativeFuels[[#This Row],[Description]:[Description]],
                         G.30.levels.AlternativeFuels[[Level]:[Level]],ROUNDUP(G.30.assumptions.AlternativeFuels[[#This Row],[Level]:[Level]],0))*MOD(G.30.assumptions.AlternativeFuels[[#This Row],[Level]:[Level]],1))</f>
        <v>0</v>
      </c>
      <c r="R1825" s="121"/>
      <c r="S1825" s="179"/>
      <c r="T1825" s="251"/>
      <c r="V1825" s="179"/>
      <c r="W1825" s="179"/>
    </row>
    <row r="1826" spans="1:24" s="65" customFormat="1" ht="15" customHeight="1" outlineLevel="2">
      <c r="A1826" s="219"/>
      <c r="B1826" s="242"/>
      <c r="C1826" s="242"/>
      <c r="D1826" s="242"/>
      <c r="E1826" s="242"/>
      <c r="F1826" s="121"/>
      <c r="G1826" s="242"/>
      <c r="H1826" s="242"/>
      <c r="I1826" s="242"/>
      <c r="J1826" s="242"/>
      <c r="K1826" s="242"/>
      <c r="L1826" s="242"/>
      <c r="M1826" s="242"/>
      <c r="N1826" s="242"/>
      <c r="O1826" s="242"/>
      <c r="P1826" s="242"/>
      <c r="Q1826" s="242"/>
      <c r="R1826" s="121"/>
      <c r="S1826" s="179"/>
      <c r="T1826" s="251"/>
      <c r="V1826" s="179"/>
      <c r="W1826" s="179"/>
    </row>
    <row r="1827" spans="1:24" s="65" customFormat="1" ht="15" customHeight="1" outlineLevel="2">
      <c r="A1827" s="219"/>
      <c r="B1827" s="242"/>
      <c r="C1827" s="242"/>
      <c r="D1827" s="242"/>
      <c r="E1827" s="242"/>
      <c r="F1827" s="121"/>
      <c r="G1827" s="242"/>
      <c r="H1827" s="242"/>
      <c r="I1827" s="242"/>
      <c r="J1827" s="242"/>
      <c r="K1827" s="242"/>
      <c r="L1827" s="242"/>
      <c r="M1827" s="242"/>
      <c r="N1827" s="242"/>
      <c r="O1827" s="242"/>
      <c r="P1827" s="242"/>
      <c r="Q1827" s="242"/>
      <c r="R1827" s="121"/>
      <c r="S1827" s="179"/>
      <c r="T1827" s="251"/>
      <c r="V1827" s="179"/>
      <c r="W1827" s="179"/>
    </row>
    <row r="1828" spans="1:24" s="65" customFormat="1" ht="15" customHeight="1" outlineLevel="2">
      <c r="A1828" s="219"/>
      <c r="B1828" s="242"/>
      <c r="C1828" s="242"/>
      <c r="D1828" s="242"/>
      <c r="E1828" s="242"/>
      <c r="F1828" s="121"/>
      <c r="G1828" s="242"/>
      <c r="H1828" s="242"/>
      <c r="I1828" s="242"/>
      <c r="J1828" s="242"/>
      <c r="K1828" s="242"/>
      <c r="L1828" s="242"/>
      <c r="M1828" s="242"/>
      <c r="N1828" s="242"/>
      <c r="O1828" s="242"/>
      <c r="P1828" s="242"/>
      <c r="Q1828" s="242"/>
      <c r="R1828" s="121"/>
      <c r="S1828" s="179"/>
      <c r="T1828" s="251"/>
      <c r="V1828" s="179"/>
      <c r="W1828" s="179"/>
    </row>
    <row r="1829" spans="1:24" s="65" customFormat="1" ht="15" customHeight="1" outlineLevel="2">
      <c r="A1829" s="219"/>
      <c r="B1829" s="242"/>
      <c r="C1829" s="242"/>
      <c r="D1829" s="242"/>
      <c r="E1829" s="242"/>
      <c r="F1829" s="121"/>
      <c r="G1829" s="242"/>
      <c r="H1829" s="242"/>
      <c r="I1829" s="242"/>
      <c r="J1829" s="242"/>
      <c r="K1829" s="242"/>
      <c r="L1829" s="242"/>
      <c r="M1829" s="242"/>
      <c r="N1829" s="242"/>
      <c r="O1829" s="242"/>
      <c r="P1829" s="242"/>
      <c r="Q1829" s="242"/>
      <c r="R1829" s="121"/>
      <c r="S1829" s="179"/>
      <c r="T1829" s="251"/>
      <c r="V1829" s="179"/>
      <c r="W1829" s="179"/>
    </row>
    <row r="1830" spans="1:24" s="65" customFormat="1" ht="15" customHeight="1" outlineLevel="2">
      <c r="A1830" s="219"/>
      <c r="B1830" s="242"/>
      <c r="C1830" s="242"/>
      <c r="D1830" s="242"/>
      <c r="E1830" s="242"/>
      <c r="F1830" s="121"/>
      <c r="G1830" s="242"/>
      <c r="H1830" s="242"/>
      <c r="I1830" s="242"/>
      <c r="J1830" s="242"/>
      <c r="K1830" s="242"/>
      <c r="L1830" s="242"/>
      <c r="M1830" s="242"/>
      <c r="N1830" s="242"/>
      <c r="O1830" s="242"/>
      <c r="P1830" s="242"/>
      <c r="Q1830" s="242"/>
      <c r="R1830" s="121"/>
      <c r="S1830" s="179"/>
      <c r="T1830" s="251"/>
      <c r="V1830" s="179"/>
      <c r="W1830" s="179"/>
    </row>
    <row r="1831" spans="1:24" s="65" customFormat="1" ht="15" customHeight="1" outlineLevel="2">
      <c r="A1831" s="219"/>
      <c r="B1831" s="242"/>
      <c r="C1831" s="242"/>
      <c r="D1831" s="242"/>
      <c r="E1831" s="242"/>
      <c r="F1831" s="242"/>
      <c r="G1831" s="242"/>
      <c r="H1831" s="242"/>
      <c r="I1831" s="242"/>
      <c r="J1831" s="246"/>
      <c r="K1831" s="246"/>
      <c r="L1831" s="246"/>
      <c r="M1831" s="246"/>
      <c r="N1831" s="246"/>
      <c r="O1831" s="246"/>
      <c r="P1831" s="246"/>
      <c r="Q1831" s="246"/>
      <c r="R1831" s="121"/>
      <c r="S1831" s="179"/>
      <c r="T1831" s="251"/>
      <c r="V1831" s="179"/>
      <c r="W1831" s="179"/>
    </row>
    <row r="1832" spans="1:24" s="65" customFormat="1" ht="15" customHeight="1" outlineLevel="2">
      <c r="A1832" s="219"/>
      <c r="B1832" s="242"/>
      <c r="C1832" s="248" t="s">
        <v>1656</v>
      </c>
      <c r="D1832" s="242"/>
      <c r="E1832" s="242"/>
      <c r="F1832" s="242"/>
      <c r="G1832" s="242"/>
      <c r="H1832" s="242"/>
      <c r="I1832" s="242"/>
      <c r="J1832" s="260"/>
      <c r="K1832" s="249"/>
      <c r="L1832" s="249"/>
      <c r="M1832" s="249"/>
      <c r="N1832" s="249"/>
      <c r="O1832" s="249"/>
      <c r="P1832" s="249"/>
      <c r="Q1832" s="320" t="str">
        <f>Preferences.energy</f>
        <v>EJ</v>
      </c>
      <c r="R1832" s="121"/>
      <c r="S1832" s="179"/>
      <c r="T1832" s="251"/>
      <c r="V1832" s="179"/>
      <c r="W1832" s="179"/>
    </row>
    <row r="1833" spans="1:24" s="65" customFormat="1" ht="15" customHeight="1" outlineLevel="2">
      <c r="A1833" s="219"/>
      <c r="B1833" s="242"/>
      <c r="C1833" s="256" t="s">
        <v>2194</v>
      </c>
      <c r="D1833" s="242"/>
      <c r="E1833" s="242"/>
      <c r="F1833" s="242"/>
      <c r="G1833" s="242"/>
      <c r="H1833" s="242"/>
      <c r="I1833" s="242"/>
      <c r="J1833" s="260"/>
      <c r="K1833" s="249"/>
      <c r="L1833" s="249"/>
      <c r="M1833" s="249"/>
      <c r="N1833" s="249"/>
      <c r="O1833" s="249"/>
      <c r="P1833" s="249"/>
      <c r="Q1833" s="249"/>
      <c r="R1833" s="121"/>
      <c r="S1833" s="179"/>
      <c r="T1833" s="251"/>
      <c r="V1833" s="179"/>
      <c r="W1833" s="179"/>
    </row>
    <row r="1834" spans="1:24" s="65" customFormat="1" ht="15" customHeight="1" outlineLevel="2">
      <c r="A1834" s="219"/>
      <c r="B1834" s="242"/>
      <c r="C1834" s="258" t="s">
        <v>454</v>
      </c>
      <c r="D1834" s="258" t="s">
        <v>241</v>
      </c>
      <c r="E1834" s="258" t="s">
        <v>598</v>
      </c>
      <c r="F1834" s="258" t="s">
        <v>274</v>
      </c>
      <c r="G1834" s="258" t="s">
        <v>509</v>
      </c>
      <c r="H1834" s="258" t="s">
        <v>510</v>
      </c>
      <c r="I1834" s="258" t="s">
        <v>1107</v>
      </c>
      <c r="J1834" s="258" t="s">
        <v>210</v>
      </c>
      <c r="K1834" s="258" t="s">
        <v>211</v>
      </c>
      <c r="L1834" s="258" t="s">
        <v>212</v>
      </c>
      <c r="M1834" s="258" t="s">
        <v>213</v>
      </c>
      <c r="N1834" s="258" t="s">
        <v>214</v>
      </c>
      <c r="O1834" s="258" t="s">
        <v>215</v>
      </c>
      <c r="P1834" s="258" t="s">
        <v>216</v>
      </c>
      <c r="Q1834" s="258" t="s">
        <v>217</v>
      </c>
      <c r="R1834" s="121"/>
      <c r="S1834" s="179"/>
      <c r="T1834" s="179" t="str">
        <f>$T$6</f>
        <v>Source</v>
      </c>
      <c r="U1834" s="179" t="str">
        <f>$U$6</f>
        <v>Link</v>
      </c>
      <c r="V1834" s="179" t="str">
        <f>$V$6</f>
        <v>Risk (Green, Amber/Green, Amber, Red/Amber, Red)</v>
      </c>
      <c r="W1834" s="179" t="s">
        <v>869</v>
      </c>
      <c r="X1834" s="179" t="str">
        <f>$X$6</f>
        <v>Comment author</v>
      </c>
    </row>
    <row r="1835" spans="1:24" s="65" customFormat="1" ht="15" customHeight="1" outlineLevel="2">
      <c r="A1835" s="219"/>
      <c r="B1835" s="242"/>
      <c r="C1835" s="242" t="s">
        <v>1376</v>
      </c>
      <c r="D1835" s="121" t="str">
        <f>INDEX(Regional.Technologies[Description],MATCH($B$2&amp;"."&amp;G.30.assumptions.EnergyDemandAfterAlternativeFuels[[#This Row],[Technology code]],Regional.Technologies[Code],0))</f>
        <v>Global Electricity use in the Oxygen steel technology</v>
      </c>
      <c r="E1835" s="242"/>
      <c r="F1835" s="121" t="s">
        <v>1396</v>
      </c>
      <c r="G1835" s="242" t="s">
        <v>1377</v>
      </c>
      <c r="H1835" s="242"/>
      <c r="I1835" s="318">
        <f t="array" aca="1" ref="I183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2.3089557437005142</v>
      </c>
      <c r="J1835" s="318">
        <f t="array" aca="1" ref="J183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2.296584564817489</v>
      </c>
      <c r="K1835" s="318">
        <f t="array" aca="1" ref="K183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2.2800911654957865</v>
      </c>
      <c r="L1835" s="318">
        <f t="array" aca="1" ref="L183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2.2624539598208386</v>
      </c>
      <c r="M1835" s="318">
        <f t="array" aca="1" ref="M183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2.243672947792644</v>
      </c>
      <c r="N1835" s="318">
        <f t="array" aca="1" ref="N183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2.223748129411204</v>
      </c>
      <c r="O1835" s="318">
        <f t="array" aca="1" ref="O183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2.2026795046765182</v>
      </c>
      <c r="P1835" s="318">
        <f t="array" aca="1" ref="P183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2.1804670735885865</v>
      </c>
      <c r="Q1835" s="318">
        <f t="array" aca="1" ref="Q183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2.1571108361474076</v>
      </c>
      <c r="R1835" s="121"/>
      <c r="S1835" s="179"/>
      <c r="T1835" s="251"/>
      <c r="V1835" s="179"/>
      <c r="W1835" s="179"/>
    </row>
    <row r="1836" spans="1:24" s="65" customFormat="1" ht="15" customHeight="1" outlineLevel="2">
      <c r="A1836" s="219"/>
      <c r="B1836" s="242"/>
      <c r="C1836" s="251" t="s">
        <v>1798</v>
      </c>
      <c r="D1836" s="121" t="str">
        <f>INDEX(Regional.Technologies[Description],MATCH($B$2&amp;"."&amp;G.30.assumptions.EnergyDemandAfterAlternativeFuels[[#This Row],[Technology code]],Regional.Technologies[Code],0))</f>
        <v>Global Coal use in the Oxygen steel technology</v>
      </c>
      <c r="E1836" s="242"/>
      <c r="F1836" s="121" t="s">
        <v>1396</v>
      </c>
      <c r="G1836" s="242" t="s">
        <v>1377</v>
      </c>
      <c r="H1836" s="242" t="s">
        <v>2169</v>
      </c>
      <c r="I1836" s="318">
        <f ca="1">SUMIF(G.30.assumptions.EnergyDemandAfterProcessImprovements[.],G.30.assumptions.EnergyDemandAfterAlternativeFuels[[#This Row],[.]],INDIRECT("G.30.assumptions.EnergyDemandAfterProcessImprovements["&amp;I$1834&amp;"]"))
-SUM(I1835,I1837:I1840)</f>
        <v>12.811296723305107</v>
      </c>
      <c r="J1836" s="318">
        <f ca="1">SUMIF(G.30.assumptions.EnergyDemandAfterProcessImprovements[.],G.30.assumptions.EnergyDemandAfterAlternativeFuels[[#This Row],[.]],INDIRECT("G.30.assumptions.EnergyDemandAfterProcessImprovements["&amp;J$1834&amp;"]"))
-SUM(J1835,J1837:J1840)</f>
        <v>12.74265493841169</v>
      </c>
      <c r="K1836" s="318">
        <f ca="1">SUMIF(G.30.assumptions.EnergyDemandAfterProcessImprovements[.],G.30.assumptions.EnergyDemandAfterAlternativeFuels[[#This Row],[.]],INDIRECT("G.30.assumptions.EnergyDemandAfterProcessImprovements["&amp;K$1834&amp;"]"))
-SUM(K1835,K1837:K1840)</f>
        <v>12.651140913830325</v>
      </c>
      <c r="L1836" s="318">
        <f ca="1">SUMIF(G.30.assumptions.EnergyDemandAfterProcessImprovements[.],G.30.assumptions.EnergyDemandAfterAlternativeFuels[[#This Row],[.]],INDIRECT("G.30.assumptions.EnergyDemandAfterProcessImprovements["&amp;L$1834&amp;"]"))
-SUM(L1835,L1837:L1840)</f>
        <v>12.553280452066092</v>
      </c>
      <c r="M1836" s="318">
        <f ca="1">SUMIF(G.30.assumptions.EnergyDemandAfterProcessImprovements[.],G.30.assumptions.EnergyDemandAfterAlternativeFuels[[#This Row],[.]],INDIRECT("G.30.assumptions.EnergyDemandAfterProcessImprovements["&amp;M$1834&amp;"]"))
-SUM(M1835,M1837:M1840)</f>
        <v>12.449073553118971</v>
      </c>
      <c r="N1836" s="318">
        <f ca="1">SUMIF(G.30.assumptions.EnergyDemandAfterProcessImprovements[.],G.30.assumptions.EnergyDemandAfterAlternativeFuels[[#This Row],[.]],INDIRECT("G.30.assumptions.EnergyDemandAfterProcessImprovements["&amp;N$1834&amp;"]"))
-SUM(N1835,N1837:N1840)</f>
        <v>12.338520216988986</v>
      </c>
      <c r="O1836" s="318">
        <f ca="1">SUMIF(G.30.assumptions.EnergyDemandAfterProcessImprovements[.],G.30.assumptions.EnergyDemandAfterAlternativeFuels[[#This Row],[.]],INDIRECT("G.30.assumptions.EnergyDemandAfterProcessImprovements["&amp;O$1834&amp;"]"))
-SUM(O1835,O1837:O1840)</f>
        <v>12.22162044367612</v>
      </c>
      <c r="P1836" s="318">
        <f ca="1">SUMIF(G.30.assumptions.EnergyDemandAfterProcessImprovements[.],G.30.assumptions.EnergyDemandAfterAlternativeFuels[[#This Row],[.]],INDIRECT("G.30.assumptions.EnergyDemandAfterProcessImprovements["&amp;P$1834&amp;"]"))
-SUM(P1835,P1837:P1840)</f>
        <v>12.09837423318038</v>
      </c>
      <c r="Q1836" s="318">
        <f ca="1">SUMIF(G.30.assumptions.EnergyDemandAfterProcessImprovements[.],G.30.assumptions.EnergyDemandAfterAlternativeFuels[[#This Row],[.]],INDIRECT("G.30.assumptions.EnergyDemandAfterProcessImprovements["&amp;Q$1834&amp;"]"))
-SUM(Q1835,Q1837:Q1840)</f>
        <v>11.968781585501759</v>
      </c>
      <c r="R1836" s="121"/>
      <c r="S1836" s="179"/>
      <c r="T1836" s="251"/>
      <c r="V1836" s="179"/>
      <c r="W1836" s="179"/>
    </row>
    <row r="1837" spans="1:24" s="65" customFormat="1" ht="15" customHeight="1" outlineLevel="2">
      <c r="A1837" s="219"/>
      <c r="B1837" s="242"/>
      <c r="C1837" s="251" t="s">
        <v>1799</v>
      </c>
      <c r="D1837" s="121" t="str">
        <f>INDEX(Regional.Technologies[Description],MATCH($B$2&amp;"."&amp;G.30.assumptions.EnergyDemandAfterAlternativeFuels[[#This Row],[Technology code]],Regional.Technologies[Code],0))</f>
        <v>Global Oil use in the Oxygen steel technology</v>
      </c>
      <c r="E1837" s="242"/>
      <c r="F1837" s="121" t="s">
        <v>1396</v>
      </c>
      <c r="G1837" s="242" t="s">
        <v>1377</v>
      </c>
      <c r="H1837" s="242"/>
      <c r="I1837" s="318">
        <f t="array" aca="1" ref="I183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0.6053795859240001</v>
      </c>
      <c r="J1837" s="318">
        <f t="array" aca="1" ref="J183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0.60213601611109646</v>
      </c>
      <c r="K1837" s="318">
        <f t="array" aca="1" ref="K183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0.59781165117725454</v>
      </c>
      <c r="L1837" s="318">
        <f t="array" aca="1" ref="L183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0.5931873943903988</v>
      </c>
      <c r="M1837" s="318">
        <f t="array" aca="1" ref="M183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0.58826324575052924</v>
      </c>
      <c r="N1837" s="318">
        <f t="array" aca="1" ref="N183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0.58303920525764585</v>
      </c>
      <c r="O1837" s="318">
        <f t="array" aca="1" ref="O183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0.57751527291174864</v>
      </c>
      <c r="P1837" s="318">
        <f t="array" aca="1" ref="P183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0.57169144871283772</v>
      </c>
      <c r="Q1837" s="318">
        <f t="array" aca="1" ref="Q183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0.56556773266091265</v>
      </c>
      <c r="R1837" s="121"/>
      <c r="S1837" s="179"/>
      <c r="T1837" s="251"/>
      <c r="V1837" s="179"/>
      <c r="W1837" s="179"/>
    </row>
    <row r="1838" spans="1:24" s="65" customFormat="1" ht="15" customHeight="1" outlineLevel="2">
      <c r="A1838" s="219"/>
      <c r="B1838" s="242"/>
      <c r="C1838" s="251" t="s">
        <v>1800</v>
      </c>
      <c r="D1838" s="121" t="str">
        <f>INDEX(Regional.Technologies[Description],MATCH($B$2&amp;"."&amp;G.30.assumptions.EnergyDemandAfterAlternativeFuels[[#This Row],[Technology code]],Regional.Technologies[Code],0))</f>
        <v>Global Natural Gas use in the Oxygen steel technology</v>
      </c>
      <c r="E1838" s="242"/>
      <c r="F1838" s="121" t="s">
        <v>1396</v>
      </c>
      <c r="G1838" s="242" t="s">
        <v>1377</v>
      </c>
      <c r="H1838" s="242"/>
      <c r="I1838" s="318">
        <f t="array" aca="1" ref="I1838"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1.0517591114635876</v>
      </c>
      <c r="J1838" s="318">
        <f t="array" aca="1" ref="J1838"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1.0461238799762511</v>
      </c>
      <c r="K1838" s="318">
        <f t="array" aca="1" ref="K1838"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1.0386109239298065</v>
      </c>
      <c r="L1838" s="318">
        <f t="array" aca="1" ref="L1838"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1.0305769493419461</v>
      </c>
      <c r="M1838" s="318">
        <f t="array" aca="1" ref="M1838"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1.02202195621267</v>
      </c>
      <c r="N1838" s="318">
        <f t="array" aca="1" ref="N1838"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1.0129459445419779</v>
      </c>
      <c r="O1838" s="318">
        <f t="array" aca="1" ref="O1838"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1.0033489143298706</v>
      </c>
      <c r="P1838" s="318">
        <f t="array" aca="1" ref="P1838"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0.99323086557634732</v>
      </c>
      <c r="Q1838" s="318">
        <f t="array" aca="1" ref="Q1838"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0.98259179828140797</v>
      </c>
      <c r="R1838" s="121"/>
      <c r="S1838" s="179"/>
      <c r="T1838" s="251"/>
      <c r="V1838" s="179"/>
      <c r="W1838" s="179"/>
    </row>
    <row r="1839" spans="1:24" s="65" customFormat="1" ht="15" customHeight="1" outlineLevel="2">
      <c r="A1839" s="219"/>
      <c r="B1839" s="242"/>
      <c r="C1839" s="251" t="s">
        <v>1802</v>
      </c>
      <c r="D1839" s="121" t="str">
        <f>INDEX(Regional.Technologies[Description],MATCH($B$2&amp;"."&amp;G.30.assumptions.EnergyDemandAfterAlternativeFuels[[#This Row],[Technology code]],Regional.Technologies[Code],0))</f>
        <v>Global Solid Hydrocarbons use in the Oxygen steel technology</v>
      </c>
      <c r="E1839" s="242"/>
      <c r="F1839" s="121" t="s">
        <v>1396</v>
      </c>
      <c r="G1839" s="242" t="s">
        <v>1377</v>
      </c>
      <c r="H1839" s="242"/>
      <c r="I1839" s="318">
        <f t="array" aca="1" ref="I183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0.17590630860000006</v>
      </c>
      <c r="J1839" s="318">
        <f t="array" aca="1" ref="J183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0.17496381829186816</v>
      </c>
      <c r="K1839" s="318">
        <f t="array" aca="1" ref="K183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0.17370727927033774</v>
      </c>
      <c r="L1839" s="318">
        <f t="array" aca="1" ref="L183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0.17236360009729013</v>
      </c>
      <c r="M1839" s="318">
        <f t="array" aca="1" ref="M183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0.1709327807727252</v>
      </c>
      <c r="N1839" s="318">
        <f t="array" aca="1" ref="N183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0.16941482129664301</v>
      </c>
      <c r="O1839" s="318">
        <f t="array" aca="1" ref="O183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0.16780972166904359</v>
      </c>
      <c r="P1839" s="318">
        <f t="array" aca="1" ref="P183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0.16611748188992692</v>
      </c>
      <c r="Q1839" s="318">
        <f t="array" aca="1" ref="Q183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0.16433810195929288</v>
      </c>
      <c r="R1839" s="121"/>
      <c r="S1839" s="179"/>
      <c r="T1839" s="251"/>
      <c r="V1839" s="179"/>
      <c r="W1839" s="179"/>
    </row>
    <row r="1840" spans="1:24" s="65" customFormat="1" ht="15" customHeight="1" outlineLevel="2">
      <c r="A1840" s="219"/>
      <c r="B1840" s="242"/>
      <c r="C1840" s="251" t="s">
        <v>1635</v>
      </c>
      <c r="D1840" s="121" t="str">
        <f>INDEX(Regional.Technologies[Description],MATCH($B$2&amp;"."&amp;G.30.assumptions.EnergyDemandAfterAlternativeFuels[[#This Row],[Technology code]],Regional.Technologies[Code],0))</f>
        <v>Global Heat use in the Oxygen steel technology</v>
      </c>
      <c r="E1840" s="242"/>
      <c r="F1840" s="121" t="s">
        <v>1396</v>
      </c>
      <c r="G1840" s="242" t="s">
        <v>1377</v>
      </c>
      <c r="H1840" s="242"/>
      <c r="I1840" s="318">
        <f t="array" aca="1" ref="I1840"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0.80340865264799999</v>
      </c>
      <c r="J1840" s="318">
        <f t="array" aca="1" ref="J1840"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0.7991040607626011</v>
      </c>
      <c r="K1840" s="318">
        <f t="array" aca="1" ref="K1840"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0.79336512888277322</v>
      </c>
      <c r="L1840" s="318">
        <f t="array" aca="1" ref="L1840"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0.78722820586619091</v>
      </c>
      <c r="M1840" s="318">
        <f t="array" aca="1" ref="M1840"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0.78069329171285384</v>
      </c>
      <c r="N1840" s="318">
        <f t="array" aca="1" ref="N1840"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0.77376038642276201</v>
      </c>
      <c r="O1840" s="318">
        <f t="array" aca="1" ref="O1840"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0.76642948999591576</v>
      </c>
      <c r="P1840" s="318">
        <f t="array" aca="1" ref="P1840"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0.75870060243231485</v>
      </c>
      <c r="Q1840" s="318">
        <f t="array" aca="1" ref="Q1840"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0.75057372373195896</v>
      </c>
      <c r="R1840" s="121"/>
      <c r="S1840" s="179"/>
      <c r="T1840" s="251"/>
      <c r="V1840" s="179"/>
      <c r="W1840" s="179"/>
    </row>
    <row r="1841" spans="1:23" s="65" customFormat="1" ht="15" customHeight="1" outlineLevel="2">
      <c r="A1841" s="219"/>
      <c r="B1841" s="242"/>
      <c r="C1841" s="242" t="s">
        <v>2053</v>
      </c>
      <c r="D1841" s="121" t="str">
        <f>INDEX(Regional.Technologies[Description],MATCH($B$2&amp;"."&amp;G.30.assumptions.EnergyDemandAfterAlternativeFuels[[#This Row],[Technology code]],Regional.Technologies[Code],0))</f>
        <v>Global Electricity use in the Hisarna Oxygen steel technology</v>
      </c>
      <c r="E1841" s="242"/>
      <c r="F1841" s="121" t="s">
        <v>1396</v>
      </c>
      <c r="G1841" s="242" t="s">
        <v>2193</v>
      </c>
      <c r="H1841" s="242"/>
      <c r="I1841" s="318">
        <f t="array" aca="1" ref="I184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41" s="318">
        <f t="array" aca="1" ref="J184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41" s="318">
        <f t="array" aca="1" ref="K184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41" s="318">
        <f t="array" aca="1" ref="L184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41" s="318">
        <f t="array" aca="1" ref="M184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41" s="318">
        <f t="array" aca="1" ref="N184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41" s="318">
        <f t="array" aca="1" ref="O184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41" s="318">
        <f t="array" aca="1" ref="P184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41" s="363">
        <f t="array" aca="1" ref="Q184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41" s="121"/>
      <c r="S1841" s="179"/>
      <c r="T1841" s="251"/>
      <c r="V1841" s="179"/>
      <c r="W1841" s="179"/>
    </row>
    <row r="1842" spans="1:23" s="65" customFormat="1" ht="15" customHeight="1" outlineLevel="2">
      <c r="A1842" s="219"/>
      <c r="B1842" s="242"/>
      <c r="C1842" s="251" t="s">
        <v>2054</v>
      </c>
      <c r="D1842" s="121" t="str">
        <f>INDEX(Regional.Technologies[Description],MATCH($B$2&amp;"."&amp;G.30.assumptions.EnergyDemandAfterAlternativeFuels[[#This Row],[Technology code]],Regional.Technologies[Code],0))</f>
        <v>Global Coal use in the Hisarna Oxygen steel technology</v>
      </c>
      <c r="E1842" s="242"/>
      <c r="F1842" s="121" t="s">
        <v>1396</v>
      </c>
      <c r="G1842" s="242" t="s">
        <v>2193</v>
      </c>
      <c r="H1842" s="242" t="s">
        <v>2169</v>
      </c>
      <c r="I1842" s="318">
        <f ca="1">SUMIF(G.30.assumptions.EnergyDemandAfterProcessImprovements[.],G.30.assumptions.EnergyDemandAfterAlternativeFuels[[#This Row],[.]],INDIRECT("G.30.assumptions.EnergyDemandAfterProcessImprovements["&amp;I$1834&amp;"]"))
-SUM(I1841,I1843:I1846)</f>
        <v>0</v>
      </c>
      <c r="J1842" s="318">
        <f ca="1">SUMIF(G.30.assumptions.EnergyDemandAfterProcessImprovements[.],G.30.assumptions.EnergyDemandAfterAlternativeFuels[[#This Row],[.]],INDIRECT("G.30.assumptions.EnergyDemandAfterProcessImprovements["&amp;J$1834&amp;"]"))
-SUM(J1841,J1843:J1846)</f>
        <v>0</v>
      </c>
      <c r="K1842" s="318">
        <f ca="1">SUMIF(G.30.assumptions.EnergyDemandAfterProcessImprovements[.],G.30.assumptions.EnergyDemandAfterAlternativeFuels[[#This Row],[.]],INDIRECT("G.30.assumptions.EnergyDemandAfterProcessImprovements["&amp;K$1834&amp;"]"))
-SUM(K1841,K1843:K1846)</f>
        <v>0</v>
      </c>
      <c r="L1842" s="318">
        <f ca="1">SUMIF(G.30.assumptions.EnergyDemandAfterProcessImprovements[.],G.30.assumptions.EnergyDemandAfterAlternativeFuels[[#This Row],[.]],INDIRECT("G.30.assumptions.EnergyDemandAfterProcessImprovements["&amp;L$1834&amp;"]"))
-SUM(L1841,L1843:L1846)</f>
        <v>0</v>
      </c>
      <c r="M1842" s="318">
        <f ca="1">SUMIF(G.30.assumptions.EnergyDemandAfterProcessImprovements[.],G.30.assumptions.EnergyDemandAfterAlternativeFuels[[#This Row],[.]],INDIRECT("G.30.assumptions.EnergyDemandAfterProcessImprovements["&amp;M$1834&amp;"]"))
-SUM(M1841,M1843:M1846)</f>
        <v>0</v>
      </c>
      <c r="N1842" s="318">
        <f ca="1">SUMIF(G.30.assumptions.EnergyDemandAfterProcessImprovements[.],G.30.assumptions.EnergyDemandAfterAlternativeFuels[[#This Row],[.]],INDIRECT("G.30.assumptions.EnergyDemandAfterProcessImprovements["&amp;N$1834&amp;"]"))
-SUM(N1841,N1843:N1846)</f>
        <v>0</v>
      </c>
      <c r="O1842" s="318">
        <f ca="1">SUMIF(G.30.assumptions.EnergyDemandAfterProcessImprovements[.],G.30.assumptions.EnergyDemandAfterAlternativeFuels[[#This Row],[.]],INDIRECT("G.30.assumptions.EnergyDemandAfterProcessImprovements["&amp;O$1834&amp;"]"))
-SUM(O1841,O1843:O1846)</f>
        <v>0</v>
      </c>
      <c r="P1842" s="318">
        <f ca="1">SUMIF(G.30.assumptions.EnergyDemandAfterProcessImprovements[.],G.30.assumptions.EnergyDemandAfterAlternativeFuels[[#This Row],[.]],INDIRECT("G.30.assumptions.EnergyDemandAfterProcessImprovements["&amp;P$1834&amp;"]"))
-SUM(P1841,P1843:P1846)</f>
        <v>0</v>
      </c>
      <c r="Q1842" s="318">
        <f ca="1">SUMIF(G.30.assumptions.EnergyDemandAfterProcessImprovements[.],G.30.assumptions.EnergyDemandAfterAlternativeFuels[[#This Row],[.]],INDIRECT("G.30.assumptions.EnergyDemandAfterProcessImprovements["&amp;Q$1834&amp;"]"))
-SUM(Q1841,Q1843:Q1846)</f>
        <v>0</v>
      </c>
      <c r="R1842" s="121"/>
      <c r="S1842" s="179"/>
      <c r="T1842" s="251"/>
      <c r="V1842" s="179"/>
      <c r="W1842" s="179"/>
    </row>
    <row r="1843" spans="1:23" s="65" customFormat="1" ht="15" customHeight="1" outlineLevel="2">
      <c r="A1843" s="219"/>
      <c r="B1843" s="242"/>
      <c r="C1843" s="251" t="s">
        <v>2055</v>
      </c>
      <c r="D1843" s="121" t="str">
        <f>INDEX(Regional.Technologies[Description],MATCH($B$2&amp;"."&amp;G.30.assumptions.EnergyDemandAfterAlternativeFuels[[#This Row],[Technology code]],Regional.Technologies[Code],0))</f>
        <v>Global Oil use in the Hisarna Oxygen steel technology</v>
      </c>
      <c r="E1843" s="242"/>
      <c r="F1843" s="121" t="s">
        <v>1396</v>
      </c>
      <c r="G1843" s="242" t="s">
        <v>2193</v>
      </c>
      <c r="H1843" s="242"/>
      <c r="I1843" s="318">
        <f t="array" aca="1" ref="I184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43" s="318">
        <f t="array" aca="1" ref="J184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43" s="318">
        <f t="array" aca="1" ref="K184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43" s="318">
        <f t="array" aca="1" ref="L184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43" s="318">
        <f t="array" aca="1" ref="M184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43" s="318">
        <f t="array" aca="1" ref="N184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43" s="318">
        <f t="array" aca="1" ref="O184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43" s="318">
        <f t="array" aca="1" ref="P184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43" s="363">
        <f t="array" aca="1" ref="Q184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43" s="121"/>
      <c r="S1843" s="179"/>
      <c r="T1843" s="251"/>
      <c r="V1843" s="179"/>
      <c r="W1843" s="179"/>
    </row>
    <row r="1844" spans="1:23" s="65" customFormat="1" ht="15" customHeight="1" outlineLevel="2">
      <c r="A1844" s="219"/>
      <c r="B1844" s="242"/>
      <c r="C1844" s="251" t="s">
        <v>2056</v>
      </c>
      <c r="D1844" s="121" t="str">
        <f>INDEX(Regional.Technologies[Description],MATCH($B$2&amp;"."&amp;G.30.assumptions.EnergyDemandAfterAlternativeFuels[[#This Row],[Technology code]],Regional.Technologies[Code],0))</f>
        <v>Global Natural Gas use in the Hisarna Oxygen steel technology</v>
      </c>
      <c r="E1844" s="242"/>
      <c r="F1844" s="121" t="s">
        <v>1396</v>
      </c>
      <c r="G1844" s="242" t="s">
        <v>2193</v>
      </c>
      <c r="H1844" s="242"/>
      <c r="I1844" s="318">
        <f t="array" aca="1" ref="I1844"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44" s="318">
        <f t="array" aca="1" ref="J1844"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44" s="318">
        <f t="array" aca="1" ref="K1844"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44" s="318">
        <f t="array" aca="1" ref="L1844"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44" s="318">
        <f t="array" aca="1" ref="M1844"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44" s="318">
        <f t="array" aca="1" ref="N1844"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44" s="318">
        <f t="array" aca="1" ref="O1844"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44" s="318">
        <f t="array" aca="1" ref="P1844"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44" s="363">
        <f t="array" aca="1" ref="Q1844"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44" s="121"/>
      <c r="S1844" s="179"/>
      <c r="T1844" s="251"/>
      <c r="V1844" s="179"/>
      <c r="W1844" s="179"/>
    </row>
    <row r="1845" spans="1:23" s="65" customFormat="1" ht="15" customHeight="1" outlineLevel="2">
      <c r="A1845" s="219"/>
      <c r="B1845" s="242"/>
      <c r="C1845" s="251" t="s">
        <v>2057</v>
      </c>
      <c r="D1845" s="121" t="str">
        <f>INDEX(Regional.Technologies[Description],MATCH($B$2&amp;"."&amp;G.30.assumptions.EnergyDemandAfterAlternativeFuels[[#This Row],[Technology code]],Regional.Technologies[Code],0))</f>
        <v>Global Solid Hydrocarbons use in the Hisarna Oxygen steel technology</v>
      </c>
      <c r="E1845" s="242"/>
      <c r="F1845" s="121" t="s">
        <v>1396</v>
      </c>
      <c r="G1845" s="242" t="s">
        <v>2193</v>
      </c>
      <c r="H1845" s="242"/>
      <c r="I1845" s="318">
        <f t="array" aca="1" ref="I184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45" s="318">
        <f t="array" aca="1" ref="J184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45" s="318">
        <f t="array" aca="1" ref="K184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45" s="318">
        <f t="array" aca="1" ref="L184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45" s="318">
        <f t="array" aca="1" ref="M184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45" s="318">
        <f t="array" aca="1" ref="N184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45" s="318">
        <f t="array" aca="1" ref="O184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45" s="318">
        <f t="array" aca="1" ref="P184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45" s="363">
        <f t="array" aca="1" ref="Q184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45" s="121"/>
      <c r="S1845" s="179"/>
      <c r="T1845" s="251"/>
      <c r="V1845" s="179"/>
      <c r="W1845" s="179"/>
    </row>
    <row r="1846" spans="1:23" s="65" customFormat="1" ht="15" customHeight="1" outlineLevel="2">
      <c r="A1846" s="219"/>
      <c r="B1846" s="242"/>
      <c r="C1846" s="251" t="s">
        <v>2058</v>
      </c>
      <c r="D1846" s="121" t="str">
        <f>INDEX(Regional.Technologies[Description],MATCH($B$2&amp;"."&amp;G.30.assumptions.EnergyDemandAfterAlternativeFuels[[#This Row],[Technology code]],Regional.Technologies[Code],0))</f>
        <v>Global Heat use in the Hisarna Oxygen steel technology</v>
      </c>
      <c r="E1846" s="242"/>
      <c r="F1846" s="121" t="s">
        <v>1396</v>
      </c>
      <c r="G1846" s="242" t="s">
        <v>2193</v>
      </c>
      <c r="H1846" s="242"/>
      <c r="I1846" s="318">
        <f t="array" aca="1" ref="I1846"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46" s="318">
        <f t="array" aca="1" ref="J1846"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46" s="318">
        <f t="array" aca="1" ref="K1846"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46" s="318">
        <f t="array" aca="1" ref="L1846"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46" s="318">
        <f t="array" aca="1" ref="M1846"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46" s="318">
        <f t="array" aca="1" ref="N1846"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46" s="318">
        <f t="array" aca="1" ref="O1846"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46" s="318">
        <f t="array" aca="1" ref="P1846"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46" s="363">
        <f t="array" aca="1" ref="Q1846"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46" s="121"/>
      <c r="S1846" s="179"/>
      <c r="T1846" s="251"/>
      <c r="V1846" s="179"/>
      <c r="W1846" s="179"/>
    </row>
    <row r="1847" spans="1:23" s="65" customFormat="1" ht="15" customHeight="1" outlineLevel="2">
      <c r="A1847" s="219"/>
      <c r="B1847" s="242"/>
      <c r="C1847" s="251" t="s">
        <v>1379</v>
      </c>
      <c r="D1847" s="121" t="str">
        <f>INDEX(Regional.Technologies[Description],MATCH($B$2&amp;"."&amp;G.30.assumptions.EnergyDemandAfterAlternativeFuels[[#This Row],[Technology code]],Regional.Technologies[Code],0))</f>
        <v>Global Electricity use in the Electric steel technology</v>
      </c>
      <c r="E1847" s="242"/>
      <c r="F1847" s="121" t="s">
        <v>1396</v>
      </c>
      <c r="G1847" s="242" t="s">
        <v>1380</v>
      </c>
      <c r="H1847" s="242"/>
      <c r="I1847" s="318">
        <f t="array" aca="1" ref="I184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1.6352704427314861</v>
      </c>
      <c r="J1847" s="318">
        <f t="array" aca="1" ref="J184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1.7134937789391276</v>
      </c>
      <c r="K1847" s="318">
        <f t="array" aca="1" ref="K184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1.8130275874759676</v>
      </c>
      <c r="L1847" s="318">
        <f t="array" aca="1" ref="L184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1.9145109940986842</v>
      </c>
      <c r="M1847" s="318">
        <f t="array" aca="1" ref="M184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2.0179439988072758</v>
      </c>
      <c r="N1847" s="318">
        <f t="array" aca="1" ref="N184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2.123326601601744</v>
      </c>
      <c r="O1847" s="318">
        <f t="array" aca="1" ref="O184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2.2306588024820879</v>
      </c>
      <c r="P1847" s="318">
        <f t="array" aca="1" ref="P184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2.3399406014483071</v>
      </c>
      <c r="Q1847" s="318">
        <f t="array" aca="1" ref="Q184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2.4511719985004023</v>
      </c>
      <c r="R1847" s="121"/>
      <c r="S1847" s="179"/>
      <c r="T1847" s="251"/>
      <c r="V1847" s="179"/>
      <c r="W1847" s="179"/>
    </row>
    <row r="1848" spans="1:23" s="65" customFormat="1" ht="15" customHeight="1" outlineLevel="2">
      <c r="A1848" s="219"/>
      <c r="B1848" s="242"/>
      <c r="C1848" s="251" t="s">
        <v>1803</v>
      </c>
      <c r="D1848" s="121" t="str">
        <f>INDEX(Regional.Technologies[Description],MATCH($B$2&amp;"."&amp;G.30.assumptions.EnergyDemandAfterAlternativeFuels[[#This Row],[Technology code]],Regional.Technologies[Code],0))</f>
        <v>Global Coal use in the Electric steel technology</v>
      </c>
      <c r="E1848" s="242"/>
      <c r="F1848" s="121" t="s">
        <v>1396</v>
      </c>
      <c r="G1848" s="242" t="s">
        <v>1380</v>
      </c>
      <c r="H1848" s="242" t="s">
        <v>2169</v>
      </c>
      <c r="I1848" s="318">
        <f ca="1">SUMIF(G.30.assumptions.EnergyDemandAfterProcessImprovements[.],G.30.assumptions.EnergyDemandAfterAlternativeFuels[[#This Row],[.]],INDIRECT("G.30.assumptions.EnergyDemandAfterProcessImprovements["&amp;I$1834&amp;"]"))
-SUM(I1847,I1849:I1852)</f>
        <v>10.424196405786889</v>
      </c>
      <c r="J1848" s="318">
        <f ca="1">SUMIF(G.30.assumptions.EnergyDemandAfterProcessImprovements[.],G.30.assumptions.EnergyDemandAfterAlternativeFuels[[#This Row],[.]],INDIRECT("G.30.assumptions.EnergyDemandAfterProcessImprovements["&amp;J$1834&amp;"]"))
-SUM(J1847,J1849:J1852)</f>
        <v>10.922838953732857</v>
      </c>
      <c r="K1848" s="318">
        <f ca="1">SUMIF(G.30.assumptions.EnergyDemandAfterProcessImprovements[.],G.30.assumptions.EnergyDemandAfterAlternativeFuels[[#This Row],[.]],INDIRECT("G.30.assumptions.EnergyDemandAfterProcessImprovements["&amp;K$1834&amp;"]"))
-SUM(K1847,K1849:K1852)</f>
        <v>11.557327257374492</v>
      </c>
      <c r="L1848" s="318">
        <f ca="1">SUMIF(G.30.assumptions.EnergyDemandAfterProcessImprovements[.],G.30.assumptions.EnergyDemandAfterAlternativeFuels[[#This Row],[.]],INDIRECT("G.30.assumptions.EnergyDemandAfterProcessImprovements["&amp;L$1834&amp;"]"))
-SUM(L1847,L1849:L1852)</f>
        <v>12.204243470692997</v>
      </c>
      <c r="M1848" s="318">
        <f ca="1">SUMIF(G.30.assumptions.EnergyDemandAfterProcessImprovements[.],G.30.assumptions.EnergyDemandAfterAlternativeFuels[[#This Row],[.]],INDIRECT("G.30.assumptions.EnergyDemandAfterProcessImprovements["&amp;M$1834&amp;"]"))
-SUM(M1847,M1849:M1852)</f>
        <v>12.863587593688365</v>
      </c>
      <c r="N1848" s="318">
        <f ca="1">SUMIF(G.30.assumptions.EnergyDemandAfterProcessImprovements[.],G.30.assumptions.EnergyDemandAfterAlternativeFuels[[#This Row],[.]],INDIRECT("G.30.assumptions.EnergyDemandAfterProcessImprovements["&amp;N$1834&amp;"]"))
-SUM(N1847,N1849:N1852)</f>
        <v>13.535359626360606</v>
      </c>
      <c r="O1848" s="318">
        <f ca="1">SUMIF(G.30.assumptions.EnergyDemandAfterProcessImprovements[.],G.30.assumptions.EnergyDemandAfterAlternativeFuels[[#This Row],[.]],INDIRECT("G.30.assumptions.EnergyDemandAfterProcessImprovements["&amp;O$1834&amp;"]"))
-SUM(O1847,O1849:O1852)</f>
        <v>14.219559568709709</v>
      </c>
      <c r="P1848" s="318">
        <f ca="1">SUMIF(G.30.assumptions.EnergyDemandAfterProcessImprovements[.],G.30.assumptions.EnergyDemandAfterAlternativeFuels[[#This Row],[.]],INDIRECT("G.30.assumptions.EnergyDemandAfterProcessImprovements["&amp;P$1834&amp;"]"))
-SUM(P1847,P1849:P1852)</f>
        <v>14.916187420735676</v>
      </c>
      <c r="Q1848" s="318">
        <f ca="1">SUMIF(G.30.assumptions.EnergyDemandAfterProcessImprovements[.],G.30.assumptions.EnergyDemandAfterAlternativeFuels[[#This Row],[.]],INDIRECT("G.30.assumptions.EnergyDemandAfterProcessImprovements["&amp;Q$1834&amp;"]"))
-SUM(Q1847,Q1849:Q1852)</f>
        <v>15.62524318243851</v>
      </c>
      <c r="R1848" s="121"/>
      <c r="S1848" s="179"/>
      <c r="T1848" s="251"/>
      <c r="V1848" s="179"/>
      <c r="W1848" s="179"/>
    </row>
    <row r="1849" spans="1:23" s="65" customFormat="1" ht="15" customHeight="1" outlineLevel="2">
      <c r="A1849" s="219"/>
      <c r="B1849" s="242"/>
      <c r="C1849" s="251" t="s">
        <v>1804</v>
      </c>
      <c r="D1849" s="121" t="str">
        <f>INDEX(Regional.Technologies[Description],MATCH($B$2&amp;"."&amp;G.30.assumptions.EnergyDemandAfterAlternativeFuels[[#This Row],[Technology code]],Regional.Technologies[Code],0))</f>
        <v>Global Oil use in the Electric steel technology</v>
      </c>
      <c r="E1849" s="242"/>
      <c r="F1849" s="121" t="s">
        <v>1396</v>
      </c>
      <c r="G1849" s="242" t="s">
        <v>1380</v>
      </c>
      <c r="H1849" s="242"/>
      <c r="I1849" s="318">
        <f t="array" aca="1" ref="I184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49" s="318">
        <f t="array" aca="1" ref="J184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49" s="318">
        <f t="array" aca="1" ref="K184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49" s="318">
        <f t="array" aca="1" ref="L184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49" s="318">
        <f t="array" aca="1" ref="M184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49" s="318">
        <f t="array" aca="1" ref="N184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49" s="318">
        <f t="array" aca="1" ref="O184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49" s="318">
        <f t="array" aca="1" ref="P184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49" s="318">
        <f t="array" aca="1" ref="Q184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49" s="121"/>
      <c r="S1849" s="179"/>
      <c r="T1849" s="251"/>
      <c r="V1849" s="179"/>
      <c r="W1849" s="179"/>
    </row>
    <row r="1850" spans="1:23" s="65" customFormat="1" ht="15" customHeight="1" outlineLevel="2">
      <c r="A1850" s="219"/>
      <c r="B1850" s="242"/>
      <c r="C1850" s="251" t="s">
        <v>1805</v>
      </c>
      <c r="D1850" s="121" t="str">
        <f>INDEX(Regional.Technologies[Description],MATCH($B$2&amp;"."&amp;G.30.assumptions.EnergyDemandAfterAlternativeFuels[[#This Row],[Technology code]],Regional.Technologies[Code],0))</f>
        <v>Global Natural Gas use in the Electric steel technology</v>
      </c>
      <c r="E1850" s="242"/>
      <c r="F1850" s="121" t="s">
        <v>1396</v>
      </c>
      <c r="G1850" s="242" t="s">
        <v>1380</v>
      </c>
      <c r="H1850" s="242"/>
      <c r="I1850" s="318">
        <f t="array" aca="1" ref="I1850"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1.2528070032244127</v>
      </c>
      <c r="J1850" s="318">
        <f t="array" aca="1" ref="J1850"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1.3127351599718791</v>
      </c>
      <c r="K1850" s="318">
        <f t="array" aca="1" ref="K1850"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1.3889896125285235</v>
      </c>
      <c r="L1850" s="318">
        <f t="array" aca="1" ref="L1850"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1.4667376835544035</v>
      </c>
      <c r="M1850" s="318">
        <f t="array" aca="1" ref="M1850"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1.5459793730495184</v>
      </c>
      <c r="N1850" s="318">
        <f t="array" aca="1" ref="N1850"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1.6267146810138688</v>
      </c>
      <c r="O1850" s="318">
        <f t="array" aca="1" ref="O1850"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1.7089436074474544</v>
      </c>
      <c r="P1850" s="318">
        <f t="array" aca="1" ref="P1850"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1.7926661523502749</v>
      </c>
      <c r="Q1850" s="318">
        <f t="array" aca="1" ref="Q1850"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1.8778823157223308</v>
      </c>
      <c r="R1850" s="121"/>
      <c r="S1850" s="179"/>
      <c r="T1850" s="251"/>
      <c r="V1850" s="179"/>
      <c r="W1850" s="179"/>
    </row>
    <row r="1851" spans="1:23" s="65" customFormat="1" ht="15" customHeight="1" outlineLevel="2">
      <c r="A1851" s="219"/>
      <c r="B1851" s="242"/>
      <c r="C1851" s="251" t="s">
        <v>1806</v>
      </c>
      <c r="D1851" s="121" t="str">
        <f>INDEX(Regional.Technologies[Description],MATCH($B$2&amp;"."&amp;G.30.assumptions.EnergyDemandAfterAlternativeFuels[[#This Row],[Technology code]],Regional.Technologies[Code],0))</f>
        <v>Global Solid Hydrocarbons use in the Electric steel technology</v>
      </c>
      <c r="E1851" s="242"/>
      <c r="F1851" s="121" t="s">
        <v>1396</v>
      </c>
      <c r="G1851" s="242" t="s">
        <v>1380</v>
      </c>
      <c r="H1851" s="242"/>
      <c r="I1851" s="318">
        <f t="array" aca="1" ref="I185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51" s="318">
        <f t="array" aca="1" ref="J185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51" s="318">
        <f t="array" aca="1" ref="K185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51" s="318">
        <f t="array" aca="1" ref="L185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51" s="318">
        <f t="array" aca="1" ref="M185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51" s="318">
        <f t="array" aca="1" ref="N185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51" s="318">
        <f t="array" aca="1" ref="O185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51" s="318">
        <f t="array" aca="1" ref="P185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51" s="318">
        <f t="array" aca="1" ref="Q185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51" s="121"/>
      <c r="S1851" s="179"/>
      <c r="T1851" s="251"/>
      <c r="V1851" s="179"/>
      <c r="W1851" s="179"/>
    </row>
    <row r="1852" spans="1:23" s="65" customFormat="1" ht="15" customHeight="1" outlineLevel="2">
      <c r="A1852" s="219"/>
      <c r="B1852" s="242"/>
      <c r="C1852" s="251" t="s">
        <v>1636</v>
      </c>
      <c r="D1852" s="121" t="str">
        <f>INDEX(Regional.Technologies[Description],MATCH($B$2&amp;"."&amp;G.30.assumptions.EnergyDemandAfterAlternativeFuels[[#This Row],[Technology code]],Regional.Technologies[Code],0))</f>
        <v>Global Heat use in the Electric steel technology</v>
      </c>
      <c r="E1852" s="242"/>
      <c r="F1852" s="121" t="s">
        <v>1396</v>
      </c>
      <c r="G1852" s="242" t="s">
        <v>1380</v>
      </c>
      <c r="H1852" s="242"/>
      <c r="I1852" s="318">
        <f t="array" aca="1" ref="I1852"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52" s="318">
        <f t="array" aca="1" ref="J1852"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52" s="318">
        <f t="array" aca="1" ref="K1852"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52" s="318">
        <f t="array" aca="1" ref="L1852"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52" s="318">
        <f t="array" aca="1" ref="M1852"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52" s="318">
        <f t="array" aca="1" ref="N1852"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52" s="318">
        <f t="array" aca="1" ref="O1852"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52" s="318">
        <f t="array" aca="1" ref="P1852"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52" s="318">
        <f t="array" aca="1" ref="Q1852"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52" s="121"/>
      <c r="S1852" s="179"/>
      <c r="T1852" s="251"/>
      <c r="V1852" s="179"/>
      <c r="W1852" s="179"/>
    </row>
    <row r="1853" spans="1:23" s="65" customFormat="1" ht="15" customHeight="1" outlineLevel="2">
      <c r="A1853" s="219"/>
      <c r="B1853" s="242"/>
      <c r="C1853" s="242" t="s">
        <v>1807</v>
      </c>
      <c r="D1853" s="121" t="str">
        <f>INDEX(Regional.Technologies[Description],MATCH($B$2&amp;"."&amp;G.30.assumptions.EnergyDemandAfterAlternativeFuels[[#This Row],[Technology code]],Regional.Technologies[Code],0))</f>
        <v>Global Electricity use in the Alumina Aluminium technology</v>
      </c>
      <c r="E1853" s="242"/>
      <c r="F1853" s="121" t="s">
        <v>1418</v>
      </c>
      <c r="G1853" s="242" t="s">
        <v>1625</v>
      </c>
      <c r="H1853" s="242"/>
      <c r="I1853" s="318">
        <f t="array" aca="1" ref="I185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5.7780487765234236E-2</v>
      </c>
      <c r="J1853" s="318">
        <f t="array" aca="1" ref="J185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5.9889708832233816E-2</v>
      </c>
      <c r="K1853" s="318">
        <f t="array" aca="1" ref="K185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6.2569539119400122E-2</v>
      </c>
      <c r="L1853" s="318">
        <f t="array" aca="1" ref="L185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6.529748491036283E-2</v>
      </c>
      <c r="M1853" s="318">
        <f t="array" aca="1" ref="M185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6.8073546205122029E-2</v>
      </c>
      <c r="N1853" s="318">
        <f t="array" aca="1" ref="N185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7.0897723003677623E-2</v>
      </c>
      <c r="O1853" s="318">
        <f t="array" aca="1" ref="O185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7.377001530602971E-2</v>
      </c>
      <c r="P1853" s="318">
        <f t="array" aca="1" ref="P185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7.6690423112178219E-2</v>
      </c>
      <c r="Q1853" s="318">
        <f t="array" aca="1" ref="Q185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7.9658946422123164E-2</v>
      </c>
      <c r="R1853" s="121"/>
      <c r="S1853" s="179"/>
      <c r="T1853" s="251"/>
      <c r="V1853" s="179"/>
      <c r="W1853" s="179"/>
    </row>
    <row r="1854" spans="1:23" s="65" customFormat="1" ht="15" customHeight="1" outlineLevel="2">
      <c r="A1854" s="219"/>
      <c r="B1854" s="242"/>
      <c r="C1854" s="251" t="s">
        <v>1808</v>
      </c>
      <c r="D1854" s="121" t="str">
        <f>INDEX(Regional.Technologies[Description],MATCH($B$2&amp;"."&amp;G.30.assumptions.EnergyDemandAfterAlternativeFuels[[#This Row],[Technology code]],Regional.Technologies[Code],0))</f>
        <v>Global Coal use in the Alumina Aluminium technology</v>
      </c>
      <c r="E1854" s="242"/>
      <c r="F1854" s="121" t="s">
        <v>1418</v>
      </c>
      <c r="G1854" s="242" t="s">
        <v>1625</v>
      </c>
      <c r="H1854" s="242" t="s">
        <v>2169</v>
      </c>
      <c r="I1854" s="318">
        <f ca="1">SUMIF(G.30.assumptions.EnergyDemandAfterProcessImprovements[.],G.30.assumptions.EnergyDemandAfterAlternativeFuels[[#This Row],[.]],INDIRECT("G.30.assumptions.EnergyDemandAfterProcessImprovements["&amp;I$1834&amp;"]"))
-SUM(I1853,I1855:I1858)</f>
        <v>0.61777191351520933</v>
      </c>
      <c r="J1854" s="318">
        <f ca="1">SUMIF(G.30.assumptions.EnergyDemandAfterProcessImprovements[.],G.30.assumptions.EnergyDemandAfterAlternativeFuels[[#This Row],[.]],INDIRECT("G.30.assumptions.EnergyDemandAfterProcessImprovements["&amp;J$1834&amp;"]"))
-SUM(J1853,J1855:J1858)</f>
        <v>0.64032308234371027</v>
      </c>
      <c r="K1854" s="318">
        <f ca="1">SUMIF(G.30.assumptions.EnergyDemandAfterProcessImprovements[.],G.30.assumptions.EnergyDemandAfterAlternativeFuels[[#This Row],[.]],INDIRECT("G.30.assumptions.EnergyDemandAfterProcessImprovements["&amp;K$1834&amp;"]"))
-SUM(K1853,K1855:K1858)</f>
        <v>0.66897503646229173</v>
      </c>
      <c r="L1854" s="318">
        <f ca="1">SUMIF(G.30.assumptions.EnergyDemandAfterProcessImprovements[.],G.30.assumptions.EnergyDemandAfterAlternativeFuels[[#This Row],[.]],INDIRECT("G.30.assumptions.EnergyDemandAfterProcessImprovements["&amp;L$1834&amp;"]"))
-SUM(L1853,L1855:L1858)</f>
        <v>0.6981414273397113</v>
      </c>
      <c r="M1854" s="318">
        <f ca="1">SUMIF(G.30.assumptions.EnergyDemandAfterProcessImprovements[.],G.30.assumptions.EnergyDemandAfterAlternativeFuels[[#This Row],[.]],INDIRECT("G.30.assumptions.EnergyDemandAfterProcessImprovements["&amp;M$1834&amp;"]"))
-SUM(M1853,M1855:M1858)</f>
        <v>0.72782225497597042</v>
      </c>
      <c r="N1854" s="318">
        <f ca="1">SUMIF(G.30.assumptions.EnergyDemandAfterProcessImprovements[.],G.30.assumptions.EnergyDemandAfterAlternativeFuels[[#This Row],[.]],INDIRECT("G.30.assumptions.EnergyDemandAfterProcessImprovements["&amp;N$1834&amp;"]"))
-SUM(N1853,N1855:N1858)</f>
        <v>0.75801751937106809</v>
      </c>
      <c r="O1854" s="318">
        <f ca="1">SUMIF(G.30.assumptions.EnergyDemandAfterProcessImprovements[.],G.30.assumptions.EnergyDemandAfterAlternativeFuels[[#This Row],[.]],INDIRECT("G.30.assumptions.EnergyDemandAfterProcessImprovements["&amp;O$1834&amp;"]"))
-SUM(O1853,O1855:O1858)</f>
        <v>0.7887272205250051</v>
      </c>
      <c r="P1854" s="318">
        <f ca="1">SUMIF(G.30.assumptions.EnergyDemandAfterProcessImprovements[.],G.30.assumptions.EnergyDemandAfterAlternativeFuels[[#This Row],[.]],INDIRECT("G.30.assumptions.EnergyDemandAfterProcessImprovements["&amp;P$1834&amp;"]"))
-SUM(P1853,P1855:P1858)</f>
        <v>0.81995135843778066</v>
      </c>
      <c r="Q1854" s="318">
        <f ca="1">SUMIF(G.30.assumptions.EnergyDemandAfterProcessImprovements[.],G.30.assumptions.EnergyDemandAfterAlternativeFuels[[#This Row],[.]],INDIRECT("G.30.assumptions.EnergyDemandAfterProcessImprovements["&amp;Q$1834&amp;"]"))
-SUM(Q1853,Q1855:Q1858)</f>
        <v>0.851689933109395</v>
      </c>
      <c r="R1854" s="121"/>
      <c r="S1854" s="179"/>
      <c r="T1854" s="251"/>
      <c r="V1854" s="179"/>
      <c r="W1854" s="179"/>
    </row>
    <row r="1855" spans="1:23" s="65" customFormat="1" ht="15" customHeight="1" outlineLevel="2">
      <c r="A1855" s="219"/>
      <c r="B1855" s="242"/>
      <c r="C1855" s="251" t="s">
        <v>1809</v>
      </c>
      <c r="D1855" s="121" t="str">
        <f>INDEX(Regional.Technologies[Description],MATCH($B$2&amp;"."&amp;G.30.assumptions.EnergyDemandAfterAlternativeFuels[[#This Row],[Technology code]],Regional.Technologies[Code],0))</f>
        <v>Global Oil use in the Alumina Aluminium technology</v>
      </c>
      <c r="E1855" s="242"/>
      <c r="F1855" s="121" t="s">
        <v>1418</v>
      </c>
      <c r="G1855" s="242" t="s">
        <v>1625</v>
      </c>
      <c r="H1855" s="242"/>
      <c r="I1855" s="318">
        <f t="array" aca="1" ref="I185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0.36003980562967391</v>
      </c>
      <c r="J1855" s="318">
        <f t="array" aca="1" ref="J185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0.37318271203915326</v>
      </c>
      <c r="K1855" s="318">
        <f t="array" aca="1" ref="K185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0.38988117916930454</v>
      </c>
      <c r="L1855" s="318">
        <f t="array" aca="1" ref="L185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0.40687946198645758</v>
      </c>
      <c r="M1855" s="318">
        <f t="array" aca="1" ref="M185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0.42417756049061289</v>
      </c>
      <c r="N1855" s="318">
        <f t="array" aca="1" ref="N185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0.44177547468176992</v>
      </c>
      <c r="O1855" s="318">
        <f t="array" aca="1" ref="O185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0.45967320455992927</v>
      </c>
      <c r="P1855" s="318">
        <f t="array" aca="1" ref="P185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0.47787075012509045</v>
      </c>
      <c r="Q1855" s="318">
        <f t="array" aca="1" ref="Q185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0.49636811137725367</v>
      </c>
      <c r="R1855" s="121"/>
      <c r="S1855" s="179"/>
      <c r="T1855" s="251"/>
      <c r="V1855" s="179"/>
      <c r="W1855" s="179"/>
    </row>
    <row r="1856" spans="1:23" s="65" customFormat="1" ht="15" customHeight="1" outlineLevel="2">
      <c r="A1856" s="219"/>
      <c r="B1856" s="242"/>
      <c r="C1856" s="251" t="s">
        <v>1810</v>
      </c>
      <c r="D1856" s="121" t="str">
        <f>INDEX(Regional.Technologies[Description],MATCH($B$2&amp;"."&amp;G.30.assumptions.EnergyDemandAfterAlternativeFuels[[#This Row],[Technology code]],Regional.Technologies[Code],0))</f>
        <v>Global Natural Gas use in the Alumina Aluminium technology</v>
      </c>
      <c r="E1856" s="242"/>
      <c r="F1856" s="121" t="s">
        <v>1418</v>
      </c>
      <c r="G1856" s="242" t="s">
        <v>1625</v>
      </c>
      <c r="H1856" s="242"/>
      <c r="I1856" s="318">
        <f t="array" aca="1" ref="I1856"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0.33333998618469551</v>
      </c>
      <c r="J1856" s="318">
        <f t="array" aca="1" ref="J1856"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0.3455082413955341</v>
      </c>
      <c r="K1856" s="318">
        <f t="array" aca="1" ref="K1856"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0.36096838417817828</v>
      </c>
      <c r="L1856" s="318">
        <f t="array" aca="1" ref="L1856"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0.3767061089264841</v>
      </c>
      <c r="M1856" s="318">
        <f t="array" aca="1" ref="M1856"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0.39272141564045204</v>
      </c>
      <c r="N1856" s="318">
        <f t="array" aca="1" ref="N1856"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0.40901430432008162</v>
      </c>
      <c r="O1856" s="318">
        <f t="array" aca="1" ref="O1856"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0.42558477496537334</v>
      </c>
      <c r="P1856" s="318">
        <f t="array" aca="1" ref="P1856"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0.44243282757632679</v>
      </c>
      <c r="Q1856" s="318">
        <f t="array" aca="1" ref="Q1856"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0.4595584621529421</v>
      </c>
      <c r="R1856" s="121"/>
      <c r="S1856" s="179"/>
      <c r="T1856" s="251"/>
      <c r="V1856" s="179"/>
      <c r="W1856" s="179"/>
    </row>
    <row r="1857" spans="1:23" s="65" customFormat="1" ht="15" customHeight="1" outlineLevel="2">
      <c r="A1857" s="219"/>
      <c r="B1857" s="242"/>
      <c r="C1857" s="251" t="s">
        <v>1811</v>
      </c>
      <c r="D1857" s="121" t="str">
        <f>INDEX(Regional.Technologies[Description],MATCH($B$2&amp;"."&amp;G.30.assumptions.EnergyDemandAfterAlternativeFuels[[#This Row],[Technology code]],Regional.Technologies[Code],0))</f>
        <v>Global Solid Hydrocarbons use in the Alumina Aluminium technology</v>
      </c>
      <c r="E1857" s="242"/>
      <c r="F1857" s="121" t="s">
        <v>1418</v>
      </c>
      <c r="G1857" s="242" t="s">
        <v>1625</v>
      </c>
      <c r="H1857" s="242"/>
      <c r="I1857" s="318">
        <f t="array" aca="1" ref="I185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57" s="318">
        <f t="array" aca="1" ref="J185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57" s="318">
        <f t="array" aca="1" ref="K185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57" s="318">
        <f t="array" aca="1" ref="L185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57" s="318">
        <f t="array" aca="1" ref="M185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57" s="318">
        <f t="array" aca="1" ref="N185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57" s="318">
        <f t="array" aca="1" ref="O185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57" s="318">
        <f t="array" aca="1" ref="P185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57" s="318">
        <f t="array" aca="1" ref="Q185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57" s="121"/>
      <c r="S1857" s="179"/>
      <c r="T1857" s="251"/>
      <c r="V1857" s="179"/>
      <c r="W1857" s="179"/>
    </row>
    <row r="1858" spans="1:23" s="65" customFormat="1" ht="15" customHeight="1" outlineLevel="2">
      <c r="A1858" s="219"/>
      <c r="B1858" s="242"/>
      <c r="C1858" s="251" t="s">
        <v>1812</v>
      </c>
      <c r="D1858" s="121" t="str">
        <f>INDEX(Regional.Technologies[Description],MATCH($B$2&amp;"."&amp;G.30.assumptions.EnergyDemandAfterAlternativeFuels[[#This Row],[Technology code]],Regional.Technologies[Code],0))</f>
        <v>Global Heat use in the Alumina Aluminium technology</v>
      </c>
      <c r="E1858" s="242"/>
      <c r="F1858" s="121" t="s">
        <v>1418</v>
      </c>
      <c r="G1858" s="242" t="s">
        <v>1625</v>
      </c>
      <c r="H1858" s="242"/>
      <c r="I1858" s="318">
        <f t="array" aca="1" ref="I1858"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58" s="318">
        <f t="array" aca="1" ref="J1858"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58" s="318">
        <f t="array" aca="1" ref="K1858"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58" s="318">
        <f t="array" aca="1" ref="L1858"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58" s="318">
        <f t="array" aca="1" ref="M1858"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58" s="318">
        <f t="array" aca="1" ref="N1858"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58" s="318">
        <f t="array" aca="1" ref="O1858"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58" s="318">
        <f t="array" aca="1" ref="P1858"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58" s="318">
        <f t="array" aca="1" ref="Q1858"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58" s="121"/>
      <c r="S1858" s="179"/>
      <c r="T1858" s="251"/>
      <c r="V1858" s="179"/>
      <c r="W1858" s="179"/>
    </row>
    <row r="1859" spans="1:23" s="65" customFormat="1" ht="15" customHeight="1" outlineLevel="2">
      <c r="A1859" s="219"/>
      <c r="B1859" s="242"/>
      <c r="C1859" s="242" t="s">
        <v>1639</v>
      </c>
      <c r="D1859" s="121" t="str">
        <f>INDEX(Regional.Technologies[Description],MATCH($B$2&amp;"."&amp;G.30.assumptions.EnergyDemandAfterAlternativeFuels[[#This Row],[Technology code]],Regional.Technologies[Code],0))</f>
        <v>Global Electricity use in the Primary Aluminium technology</v>
      </c>
      <c r="E1859" s="242"/>
      <c r="F1859" s="121" t="s">
        <v>1418</v>
      </c>
      <c r="G1859" s="242" t="s">
        <v>1939</v>
      </c>
      <c r="H1859" s="242"/>
      <c r="I1859" s="318">
        <f t="array" aca="1" ref="I185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2.4796561054672224</v>
      </c>
      <c r="J1859" s="318">
        <f t="array" aca="1" ref="J185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2.5701735638489516</v>
      </c>
      <c r="K1859" s="318">
        <f t="array" aca="1" ref="K185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2.6851787808382439</v>
      </c>
      <c r="L1859" s="318">
        <f t="array" aca="1" ref="L185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2.8022488800632344</v>
      </c>
      <c r="M1859" s="318">
        <f t="array" aca="1" ref="M185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2.9213838615239256</v>
      </c>
      <c r="N1859" s="318">
        <f t="array" aca="1" ref="N185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3.0425837252203145</v>
      </c>
      <c r="O1859" s="318">
        <f t="array" aca="1" ref="O185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3.1658484711524051</v>
      </c>
      <c r="P1859" s="318">
        <f t="array" aca="1" ref="P185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3.2911780993201933</v>
      </c>
      <c r="Q1859" s="318">
        <f t="array" aca="1" ref="Q185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3.418572609723681</v>
      </c>
      <c r="R1859" s="121"/>
      <c r="S1859" s="179"/>
      <c r="T1859" s="251"/>
      <c r="V1859" s="179"/>
      <c r="W1859" s="179"/>
    </row>
    <row r="1860" spans="1:23" s="65" customFormat="1" ht="15" customHeight="1" outlineLevel="2">
      <c r="A1860" s="219"/>
      <c r="B1860" s="242"/>
      <c r="C1860" s="251" t="s">
        <v>1813</v>
      </c>
      <c r="D1860" s="121" t="str">
        <f>INDEX(Regional.Technologies[Description],MATCH($B$2&amp;"."&amp;G.30.assumptions.EnergyDemandAfterAlternativeFuels[[#This Row],[Technology code]],Regional.Technologies[Code],0))</f>
        <v>Global Coal use in the Primary Aluminium technology</v>
      </c>
      <c r="E1860" s="242"/>
      <c r="F1860" s="121" t="s">
        <v>1418</v>
      </c>
      <c r="G1860" s="242" t="s">
        <v>1939</v>
      </c>
      <c r="H1860" s="242" t="s">
        <v>2169</v>
      </c>
      <c r="I1860" s="318">
        <f ca="1">SUMIF(G.30.assumptions.EnergyDemandAfterProcessImprovements[.],G.30.assumptions.EnergyDemandAfterAlternativeFuels[[#This Row],[.]],INDIRECT("G.30.assumptions.EnergyDemandAfterProcessImprovements["&amp;I$1834&amp;"]"))
-SUM(I1859,I1861:I1864)</f>
        <v>0.11615556705932617</v>
      </c>
      <c r="J1860" s="318">
        <f ca="1">SUMIF(G.30.assumptions.EnergyDemandAfterProcessImprovements[.],G.30.assumptions.EnergyDemandAfterAlternativeFuels[[#This Row],[.]],INDIRECT("G.30.assumptions.EnergyDemandAfterProcessImprovements["&amp;J$1834&amp;"]"))
-SUM(J1859,J1861:J1864)</f>
        <v>0.1203957141845331</v>
      </c>
      <c r="K1860" s="318">
        <f ca="1">SUMIF(G.30.assumptions.EnergyDemandAfterProcessImprovements[.],G.30.assumptions.EnergyDemandAfterAlternativeFuels[[#This Row],[.]],INDIRECT("G.30.assumptions.EnergyDemandAfterProcessImprovements["&amp;K$1834&amp;"]"))
-SUM(K1859,K1861:K1864)</f>
        <v>0.1257829516182718</v>
      </c>
      <c r="L1860" s="318">
        <f ca="1">SUMIF(G.30.assumptions.EnergyDemandAfterProcessImprovements[.],G.30.assumptions.EnergyDemandAfterAlternativeFuels[[#This Row],[.]],INDIRECT("G.30.assumptions.EnergyDemandAfterProcessImprovements["&amp;L$1834&amp;"]"))
-SUM(L1859,L1861:L1864)</f>
        <v>0.13126691519337763</v>
      </c>
      <c r="M1860" s="318">
        <f ca="1">SUMIF(G.30.assumptions.EnergyDemandAfterProcessImprovements[.],G.30.assumptions.EnergyDemandAfterAlternativeFuels[[#This Row],[.]],INDIRECT("G.30.assumptions.EnergyDemandAfterProcessImprovements["&amp;M$1834&amp;"]"))
-SUM(M1859,M1861:M1864)</f>
        <v>0.13684760490985015</v>
      </c>
      <c r="N1860" s="318">
        <f ca="1">SUMIF(G.30.assumptions.EnergyDemandAfterProcessImprovements[.],G.30.assumptions.EnergyDemandAfterAlternativeFuels[[#This Row],[.]],INDIRECT("G.30.assumptions.EnergyDemandAfterProcessImprovements["&amp;N$1834&amp;"]"))
-SUM(N1859,N1861:N1864)</f>
        <v>0.14252502076768891</v>
      </c>
      <c r="O1860" s="318">
        <f ca="1">SUMIF(G.30.assumptions.EnergyDemandAfterProcessImprovements[.],G.30.assumptions.EnergyDemandAfterAlternativeFuels[[#This Row],[.]],INDIRECT("G.30.assumptions.EnergyDemandAfterProcessImprovements["&amp;O$1834&amp;"]"))
-SUM(O1859,O1861:O1864)</f>
        <v>0.14829916276689481</v>
      </c>
      <c r="P1860" s="318">
        <f ca="1">SUMIF(G.30.assumptions.EnergyDemandAfterProcessImprovements[.],G.30.assumptions.EnergyDemandAfterAlternativeFuels[[#This Row],[.]],INDIRECT("G.30.assumptions.EnergyDemandAfterProcessImprovements["&amp;P$1834&amp;"]"))
-SUM(P1859,P1861:P1864)</f>
        <v>0.15417003090746784</v>
      </c>
      <c r="Q1860" s="318">
        <f ca="1">SUMIF(G.30.assumptions.EnergyDemandAfterProcessImprovements[.],G.30.assumptions.EnergyDemandAfterAlternativeFuels[[#This Row],[.]],INDIRECT("G.30.assumptions.EnergyDemandAfterProcessImprovements["&amp;Q$1834&amp;"]"))
-SUM(Q1859,Q1861:Q1864)</f>
        <v>0.16013762518940711</v>
      </c>
      <c r="R1860" s="121"/>
      <c r="S1860" s="179"/>
      <c r="T1860" s="251"/>
      <c r="V1860" s="179"/>
      <c r="W1860" s="179"/>
    </row>
    <row r="1861" spans="1:23" s="65" customFormat="1" ht="15" customHeight="1" outlineLevel="2">
      <c r="A1861" s="219"/>
      <c r="B1861" s="242"/>
      <c r="C1861" s="251" t="s">
        <v>1814</v>
      </c>
      <c r="D1861" s="121" t="str">
        <f>INDEX(Regional.Technologies[Description],MATCH($B$2&amp;"."&amp;G.30.assumptions.EnergyDemandAfterAlternativeFuels[[#This Row],[Technology code]],Regional.Technologies[Code],0))</f>
        <v>Global Oil use in the Primary Aluminium technology</v>
      </c>
      <c r="E1861" s="242"/>
      <c r="F1861" s="121" t="s">
        <v>1418</v>
      </c>
      <c r="G1861" s="242" t="s">
        <v>1939</v>
      </c>
      <c r="H1861" s="242"/>
      <c r="I1861" s="318">
        <f t="array" aca="1" ref="I186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0.18032133468483588</v>
      </c>
      <c r="J1861" s="318">
        <f t="array" aca="1" ref="J186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0.18690379136973051</v>
      </c>
      <c r="K1861" s="318">
        <f t="array" aca="1" ref="K186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0.1952670051950286</v>
      </c>
      <c r="L1861" s="318">
        <f t="array" aca="1" ref="L186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0.20378037787497078</v>
      </c>
      <c r="M1861" s="318">
        <f t="array" aca="1" ref="M186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0.21244390940955721</v>
      </c>
      <c r="N1861" s="318">
        <f t="array" aca="1" ref="N186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0.22125759979878762</v>
      </c>
      <c r="O1861" s="318">
        <f t="array" aca="1" ref="O186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0.23022144904266237</v>
      </c>
      <c r="P1861" s="318">
        <f t="array" aca="1" ref="P186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0.23933545714118118</v>
      </c>
      <c r="Q1861" s="318">
        <f t="array" aca="1" ref="Q186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0.24859962409434408</v>
      </c>
      <c r="R1861" s="121"/>
      <c r="S1861" s="179"/>
      <c r="T1861" s="251"/>
      <c r="V1861" s="179"/>
      <c r="W1861" s="179"/>
    </row>
    <row r="1862" spans="1:23" s="65" customFormat="1" ht="15" customHeight="1" outlineLevel="2">
      <c r="A1862" s="219"/>
      <c r="B1862" s="242"/>
      <c r="C1862" s="251" t="s">
        <v>1815</v>
      </c>
      <c r="D1862" s="121" t="str">
        <f>INDEX(Regional.Technologies[Description],MATCH($B$2&amp;"."&amp;G.30.assumptions.EnergyDemandAfterAlternativeFuels[[#This Row],[Technology code]],Regional.Technologies[Code],0))</f>
        <v>Global Natural Gas use in the Primary Aluminium technology</v>
      </c>
      <c r="E1862" s="242"/>
      <c r="F1862" s="121" t="s">
        <v>1418</v>
      </c>
      <c r="G1862" s="242" t="s">
        <v>1939</v>
      </c>
      <c r="H1862" s="242"/>
      <c r="I1862" s="318">
        <f t="array" aca="1" ref="I1862"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-1.7654944667345952E-2</v>
      </c>
      <c r="J1862" s="318">
        <f t="array" aca="1" ref="J1862"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-1.8299421421858288E-2</v>
      </c>
      <c r="K1862" s="318">
        <f t="array" aca="1" ref="K1862"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-1.9118248975374823E-2</v>
      </c>
      <c r="L1862" s="318">
        <f t="array" aca="1" ref="L1862"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-1.9951778318198138E-2</v>
      </c>
      <c r="M1862" s="318">
        <f t="array" aca="1" ref="M1862"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-2.0800009450328245E-2</v>
      </c>
      <c r="N1862" s="318">
        <f t="array" aca="1" ref="N1862"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-2.166294237176512E-2</v>
      </c>
      <c r="O1862" s="318">
        <f t="array" aca="1" ref="O1862"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-2.2540577082508794E-2</v>
      </c>
      <c r="P1862" s="318">
        <f t="array" aca="1" ref="P1862"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-2.3432913582559244E-2</v>
      </c>
      <c r="Q1862" s="318">
        <f t="array" aca="1" ref="Q1862"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-2.4339951871916475E-2</v>
      </c>
      <c r="R1862" s="121"/>
      <c r="S1862" s="179"/>
      <c r="T1862" s="251"/>
      <c r="V1862" s="179"/>
      <c r="W1862" s="179"/>
    </row>
    <row r="1863" spans="1:23" s="65" customFormat="1" ht="15" customHeight="1" outlineLevel="2">
      <c r="A1863" s="219"/>
      <c r="B1863" s="242"/>
      <c r="C1863" s="251" t="s">
        <v>1816</v>
      </c>
      <c r="D1863" s="121" t="str">
        <f>INDEX(Regional.Technologies[Description],MATCH($B$2&amp;"."&amp;G.30.assumptions.EnergyDemandAfterAlternativeFuels[[#This Row],[Technology code]],Regional.Technologies[Code],0))</f>
        <v>Global Solid Hydrocarbons use in the Primary Aluminium technology</v>
      </c>
      <c r="E1863" s="242"/>
      <c r="F1863" s="121" t="s">
        <v>1418</v>
      </c>
      <c r="G1863" s="242" t="s">
        <v>1939</v>
      </c>
      <c r="H1863" s="242"/>
      <c r="I1863" s="318">
        <f t="array" aca="1" ref="I186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63" s="318">
        <f t="array" aca="1" ref="J186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63" s="318">
        <f t="array" aca="1" ref="K186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63" s="318">
        <f t="array" aca="1" ref="L186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63" s="318">
        <f t="array" aca="1" ref="M186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63" s="318">
        <f t="array" aca="1" ref="N186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63" s="318">
        <f t="array" aca="1" ref="O186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63" s="318">
        <f t="array" aca="1" ref="P186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63" s="318">
        <f t="array" aca="1" ref="Q186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63" s="121"/>
      <c r="S1863" s="179"/>
      <c r="T1863" s="251"/>
      <c r="V1863" s="179"/>
      <c r="W1863" s="179"/>
    </row>
    <row r="1864" spans="1:23" s="65" customFormat="1" ht="15" customHeight="1" outlineLevel="2">
      <c r="A1864" s="219"/>
      <c r="B1864" s="242"/>
      <c r="C1864" s="251" t="s">
        <v>1640</v>
      </c>
      <c r="D1864" s="121" t="str">
        <f>INDEX(Regional.Technologies[Description],MATCH($B$2&amp;"."&amp;G.30.assumptions.EnergyDemandAfterAlternativeFuels[[#This Row],[Technology code]],Regional.Technologies[Code],0))</f>
        <v>Global Heat use in the Primary Aluminium technology</v>
      </c>
      <c r="E1864" s="242"/>
      <c r="F1864" s="121" t="s">
        <v>1418</v>
      </c>
      <c r="G1864" s="242" t="s">
        <v>1939</v>
      </c>
      <c r="H1864" s="242"/>
      <c r="I1864" s="318">
        <f t="array" aca="1" ref="I1864"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64" s="318">
        <f t="array" aca="1" ref="J1864"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64" s="318">
        <f t="array" aca="1" ref="K1864"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64" s="318">
        <f t="array" aca="1" ref="L1864"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64" s="318">
        <f t="array" aca="1" ref="M1864"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64" s="318">
        <f t="array" aca="1" ref="N1864"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64" s="318">
        <f t="array" aca="1" ref="O1864"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64" s="318">
        <f t="array" aca="1" ref="P1864"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64" s="318">
        <f t="array" aca="1" ref="Q1864"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64" s="121"/>
      <c r="S1864" s="179"/>
      <c r="T1864" s="251"/>
      <c r="V1864" s="179"/>
      <c r="W1864" s="179"/>
    </row>
    <row r="1865" spans="1:23" s="65" customFormat="1" ht="15" customHeight="1" outlineLevel="2">
      <c r="A1865" s="219"/>
      <c r="B1865" s="242"/>
      <c r="C1865" s="251" t="s">
        <v>1641</v>
      </c>
      <c r="D1865" s="121" t="str">
        <f>INDEX(Regional.Technologies[Description],MATCH($B$2&amp;"."&amp;G.30.assumptions.EnergyDemandAfterAlternativeFuels[[#This Row],[Technology code]],Regional.Technologies[Code],0))</f>
        <v>Global Electricity use in the Secondary Aluminium technology</v>
      </c>
      <c r="E1865" s="242"/>
      <c r="F1865" s="121" t="s">
        <v>1418</v>
      </c>
      <c r="G1865" s="242" t="s">
        <v>1940</v>
      </c>
      <c r="H1865" s="242"/>
      <c r="I1865" s="318">
        <f t="array" aca="1" ref="I186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2.0996808027856011E-2</v>
      </c>
      <c r="J1865" s="318">
        <f t="array" aca="1" ref="J186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2.0706019378521439E-2</v>
      </c>
      <c r="K1865" s="318">
        <f t="array" aca="1" ref="K186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2.0328081584813605E-2</v>
      </c>
      <c r="L1865" s="318">
        <f t="array" aca="1" ref="L186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1.9934086033283963E-2</v>
      </c>
      <c r="M1865" s="318">
        <f t="array" aca="1" ref="M186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1.9524032723932511E-2</v>
      </c>
      <c r="N1865" s="318">
        <f t="array" aca="1" ref="N186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1.9097921656759255E-2</v>
      </c>
      <c r="O1865" s="318">
        <f t="array" aca="1" ref="O186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1.8655752831764193E-2</v>
      </c>
      <c r="P1865" s="318">
        <f t="array" aca="1" ref="P186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1.819752624894732E-2</v>
      </c>
      <c r="Q1865" s="318">
        <f t="array" aca="1" ref="Q186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1.7723241908308644E-2</v>
      </c>
      <c r="R1865" s="121"/>
      <c r="S1865" s="179"/>
      <c r="T1865" s="251"/>
      <c r="V1865" s="179"/>
      <c r="W1865" s="179"/>
    </row>
    <row r="1866" spans="1:23" s="65" customFormat="1" ht="15" customHeight="1" outlineLevel="2">
      <c r="A1866" s="219"/>
      <c r="B1866" s="242"/>
      <c r="C1866" s="251" t="s">
        <v>1817</v>
      </c>
      <c r="D1866" s="121" t="str">
        <f>INDEX(Regional.Technologies[Description],MATCH($B$2&amp;"."&amp;G.30.assumptions.EnergyDemandAfterAlternativeFuels[[#This Row],[Technology code]],Regional.Technologies[Code],0))</f>
        <v>Global Coal use in the Secondary Aluminium technology</v>
      </c>
      <c r="E1866" s="242"/>
      <c r="F1866" s="121" t="s">
        <v>1418</v>
      </c>
      <c r="G1866" s="242" t="s">
        <v>1940</v>
      </c>
      <c r="H1866" s="242" t="s">
        <v>2169</v>
      </c>
      <c r="I1866" s="318">
        <f ca="1">SUMIF(G.30.assumptions.EnergyDemandAfterProcessImprovements[.],G.30.assumptions.EnergyDemandAfterAlternativeFuels[[#This Row],[.]],INDIRECT("G.30.assumptions.EnergyDemandAfterProcessImprovements["&amp;I$1834&amp;"]"))
-SUM(I1865,I1867:I1870)</f>
        <v>0</v>
      </c>
      <c r="J1866" s="318">
        <f ca="1">SUMIF(G.30.assumptions.EnergyDemandAfterProcessImprovements[.],G.30.assumptions.EnergyDemandAfterAlternativeFuels[[#This Row],[.]],INDIRECT("G.30.assumptions.EnergyDemandAfterProcessImprovements["&amp;J$1834&amp;"]"))
-SUM(J1865,J1867:J1870)</f>
        <v>0</v>
      </c>
      <c r="K1866" s="318">
        <f ca="1">SUMIF(G.30.assumptions.EnergyDemandAfterProcessImprovements[.],G.30.assumptions.EnergyDemandAfterAlternativeFuels[[#This Row],[.]],INDIRECT("G.30.assumptions.EnergyDemandAfterProcessImprovements["&amp;K$1834&amp;"]"))
-SUM(K1865,K1867:K1870)</f>
        <v>0</v>
      </c>
      <c r="L1866" s="318">
        <f ca="1">SUMIF(G.30.assumptions.EnergyDemandAfterProcessImprovements[.],G.30.assumptions.EnergyDemandAfterAlternativeFuels[[#This Row],[.]],INDIRECT("G.30.assumptions.EnergyDemandAfterProcessImprovements["&amp;L$1834&amp;"]"))
-SUM(L1865,L1867:L1870)</f>
        <v>0</v>
      </c>
      <c r="M1866" s="318">
        <f ca="1">SUMIF(G.30.assumptions.EnergyDemandAfterProcessImprovements[.],G.30.assumptions.EnergyDemandAfterAlternativeFuels[[#This Row],[.]],INDIRECT("G.30.assumptions.EnergyDemandAfterProcessImprovements["&amp;M$1834&amp;"]"))
-SUM(M1865,M1867:M1870)</f>
        <v>0</v>
      </c>
      <c r="N1866" s="318">
        <f ca="1">SUMIF(G.30.assumptions.EnergyDemandAfterProcessImprovements[.],G.30.assumptions.EnergyDemandAfterAlternativeFuels[[#This Row],[.]],INDIRECT("G.30.assumptions.EnergyDemandAfterProcessImprovements["&amp;N$1834&amp;"]"))
-SUM(N1865,N1867:N1870)</f>
        <v>0</v>
      </c>
      <c r="O1866" s="318">
        <f ca="1">SUMIF(G.30.assumptions.EnergyDemandAfterProcessImprovements[.],G.30.assumptions.EnergyDemandAfterAlternativeFuels[[#This Row],[.]],INDIRECT("G.30.assumptions.EnergyDemandAfterProcessImprovements["&amp;O$1834&amp;"]"))
-SUM(O1865,O1867:O1870)</f>
        <v>0</v>
      </c>
      <c r="P1866" s="318">
        <f ca="1">SUMIF(G.30.assumptions.EnergyDemandAfterProcessImprovements[.],G.30.assumptions.EnergyDemandAfterAlternativeFuels[[#This Row],[.]],INDIRECT("G.30.assumptions.EnergyDemandAfterProcessImprovements["&amp;P$1834&amp;"]"))
-SUM(P1865,P1867:P1870)</f>
        <v>0</v>
      </c>
      <c r="Q1866" s="318">
        <f ca="1">SUMIF(G.30.assumptions.EnergyDemandAfterProcessImprovements[.],G.30.assumptions.EnergyDemandAfterAlternativeFuels[[#This Row],[.]],INDIRECT("G.30.assumptions.EnergyDemandAfterProcessImprovements["&amp;Q$1834&amp;"]"))
-SUM(Q1865,Q1867:Q1870)</f>
        <v>0</v>
      </c>
      <c r="R1866" s="121"/>
      <c r="S1866" s="179"/>
      <c r="T1866" s="251"/>
      <c r="V1866" s="179"/>
      <c r="W1866" s="179"/>
    </row>
    <row r="1867" spans="1:23" s="65" customFormat="1" ht="15" customHeight="1" outlineLevel="2">
      <c r="A1867" s="219"/>
      <c r="B1867" s="242"/>
      <c r="C1867" s="251" t="s">
        <v>1818</v>
      </c>
      <c r="D1867" s="121" t="str">
        <f>INDEX(Regional.Technologies[Description],MATCH($B$2&amp;"."&amp;G.30.assumptions.EnergyDemandAfterAlternativeFuels[[#This Row],[Technology code]],Regional.Technologies[Code],0))</f>
        <v>Global Oil use in the Secondary Aluminium technology</v>
      </c>
      <c r="E1867" s="242"/>
      <c r="F1867" s="121" t="s">
        <v>1418</v>
      </c>
      <c r="G1867" s="242" t="s">
        <v>1940</v>
      </c>
      <c r="H1867" s="242"/>
      <c r="I1867" s="318">
        <f t="array" aca="1" ref="I186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1.8172055149596165E-4</v>
      </c>
      <c r="J1867" s="318">
        <f t="array" aca="1" ref="J186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1.7920387021489552E-4</v>
      </c>
      <c r="K1867" s="318">
        <f t="array" aca="1" ref="K186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1.7593294140454306E-4</v>
      </c>
      <c r="L1867" s="318">
        <f t="array" aca="1" ref="L186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1.7252303791750177E-4</v>
      </c>
      <c r="M1867" s="318">
        <f t="array" aca="1" ref="M186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1.6897415975377175E-4</v>
      </c>
      <c r="N1867" s="318">
        <f t="array" aca="1" ref="N186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1.6528630691335294E-4</v>
      </c>
      <c r="O1867" s="318">
        <f t="array" aca="1" ref="O186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1.6145947939624541E-4</v>
      </c>
      <c r="P1867" s="318">
        <f t="array" aca="1" ref="P186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1.5749367720244904E-4</v>
      </c>
      <c r="Q1867" s="318">
        <f t="array" aca="1" ref="Q186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1.5338890033196395E-4</v>
      </c>
      <c r="R1867" s="121"/>
      <c r="S1867" s="179"/>
      <c r="T1867" s="251"/>
      <c r="V1867" s="179"/>
      <c r="W1867" s="179"/>
    </row>
    <row r="1868" spans="1:23" s="65" customFormat="1" ht="15" customHeight="1" outlineLevel="2">
      <c r="A1868" s="219"/>
      <c r="B1868" s="242"/>
      <c r="C1868" s="251" t="s">
        <v>1819</v>
      </c>
      <c r="D1868" s="121" t="str">
        <f>INDEX(Regional.Technologies[Description],MATCH($B$2&amp;"."&amp;G.30.assumptions.EnergyDemandAfterAlternativeFuels[[#This Row],[Technology code]],Regional.Technologies[Code],0))</f>
        <v>Global Natural Gas use in the Secondary Aluminium technology</v>
      </c>
      <c r="E1868" s="242"/>
      <c r="F1868" s="121" t="s">
        <v>1418</v>
      </c>
      <c r="G1868" s="242" t="s">
        <v>1940</v>
      </c>
      <c r="H1868" s="242"/>
      <c r="I1868" s="318">
        <f t="array" aca="1" ref="I1868"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0.24244140449555465</v>
      </c>
      <c r="J1868" s="318">
        <f t="array" aca="1" ref="J1868"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0.23908378897311383</v>
      </c>
      <c r="K1868" s="318">
        <f t="array" aca="1" ref="K1868"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0.23471989854763023</v>
      </c>
      <c r="L1868" s="318">
        <f t="array" aca="1" ref="L1868"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0.23017059587499916</v>
      </c>
      <c r="M1868" s="318">
        <f t="array" aca="1" ref="M1868"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0.2254358809552206</v>
      </c>
      <c r="N1868" s="318">
        <f t="array" aca="1" ref="N1868"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0.22051575378829461</v>
      </c>
      <c r="O1868" s="318">
        <f t="array" aca="1" ref="O1868"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0.2154102143742212</v>
      </c>
      <c r="P1868" s="318">
        <f t="array" aca="1" ref="P1868"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0.2101192627130003</v>
      </c>
      <c r="Q1868" s="318">
        <f t="array" aca="1" ref="Q1868"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0.20464289880463196</v>
      </c>
      <c r="R1868" s="121"/>
      <c r="S1868" s="179"/>
      <c r="T1868" s="251"/>
      <c r="V1868" s="179"/>
      <c r="W1868" s="179"/>
    </row>
    <row r="1869" spans="1:23" s="65" customFormat="1" ht="15" customHeight="1" outlineLevel="2">
      <c r="A1869" s="219"/>
      <c r="B1869" s="242"/>
      <c r="C1869" s="251" t="s">
        <v>1820</v>
      </c>
      <c r="D1869" s="121" t="str">
        <f>INDEX(Regional.Technologies[Description],MATCH($B$2&amp;"."&amp;G.30.assumptions.EnergyDemandAfterAlternativeFuels[[#This Row],[Technology code]],Regional.Technologies[Code],0))</f>
        <v>Global Solid Hydrocarbons use in the Secondary Aluminium technology</v>
      </c>
      <c r="E1869" s="242"/>
      <c r="F1869" s="121" t="s">
        <v>1418</v>
      </c>
      <c r="G1869" s="242" t="s">
        <v>1940</v>
      </c>
      <c r="H1869" s="242"/>
      <c r="I1869" s="318">
        <f t="array" aca="1" ref="I186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69" s="318">
        <f t="array" aca="1" ref="J186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69" s="318">
        <f t="array" aca="1" ref="K186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69" s="318">
        <f t="array" aca="1" ref="L186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69" s="318">
        <f t="array" aca="1" ref="M186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69" s="318">
        <f t="array" aca="1" ref="N186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69" s="318">
        <f t="array" aca="1" ref="O186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69" s="318">
        <f t="array" aca="1" ref="P186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69" s="318">
        <f t="array" aca="1" ref="Q186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69" s="121"/>
      <c r="S1869" s="179"/>
      <c r="T1869" s="251"/>
      <c r="V1869" s="179"/>
      <c r="W1869" s="179"/>
    </row>
    <row r="1870" spans="1:23" s="65" customFormat="1" ht="15" customHeight="1" outlineLevel="2">
      <c r="A1870" s="219"/>
      <c r="B1870" s="242"/>
      <c r="C1870" s="251" t="s">
        <v>1642</v>
      </c>
      <c r="D1870" s="121" t="str">
        <f>INDEX(Regional.Technologies[Description],MATCH($B$2&amp;"."&amp;G.30.assumptions.EnergyDemandAfterAlternativeFuels[[#This Row],[Technology code]],Regional.Technologies[Code],0))</f>
        <v>Global Heat use in the Secondary Aluminium technology</v>
      </c>
      <c r="E1870" s="242"/>
      <c r="F1870" s="121" t="s">
        <v>1418</v>
      </c>
      <c r="G1870" s="242" t="s">
        <v>1940</v>
      </c>
      <c r="H1870" s="242"/>
      <c r="I1870" s="318">
        <f t="array" aca="1" ref="I1870"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70" s="318">
        <f t="array" aca="1" ref="J1870"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70" s="318">
        <f t="array" aca="1" ref="K1870"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70" s="318">
        <f t="array" aca="1" ref="L1870"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70" s="318">
        <f t="array" aca="1" ref="M1870"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70" s="318">
        <f t="array" aca="1" ref="N1870"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70" s="318">
        <f t="array" aca="1" ref="O1870"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70" s="318">
        <f t="array" aca="1" ref="P1870"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70" s="318">
        <f t="array" aca="1" ref="Q1870"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70" s="121"/>
      <c r="S1870" s="179"/>
      <c r="T1870" s="251"/>
      <c r="V1870" s="179"/>
      <c r="W1870" s="179"/>
    </row>
    <row r="1871" spans="1:23" s="65" customFormat="1" ht="15" customHeight="1" outlineLevel="2">
      <c r="A1871" s="219"/>
      <c r="B1871" s="242"/>
      <c r="C1871" s="251" t="s">
        <v>1821</v>
      </c>
      <c r="D1871" s="121" t="str">
        <f>INDEX(Regional.Technologies[Description],MATCH($B$2&amp;"."&amp;G.30.assumptions.EnergyDemandAfterAlternativeFuels[[#This Row],[Technology code]],Regional.Technologies[Code],0))</f>
        <v>Global Electricity use in the Chemicals: High Value Chemicals  technology</v>
      </c>
      <c r="E1871" s="242"/>
      <c r="F1871" s="121" t="s">
        <v>1601</v>
      </c>
      <c r="G1871" s="242" t="s">
        <v>1961</v>
      </c>
      <c r="H1871" s="242"/>
      <c r="I1871" s="318">
        <f t="array" aca="1" ref="I187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71" s="318">
        <f t="array" aca="1" ref="J187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71" s="318">
        <f t="array" aca="1" ref="K187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71" s="318">
        <f t="array" aca="1" ref="L187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71" s="318">
        <f t="array" aca="1" ref="M187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71" s="318">
        <f t="array" aca="1" ref="N187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71" s="318">
        <f t="array" aca="1" ref="O187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71" s="318">
        <f t="array" aca="1" ref="P187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71" s="318">
        <f t="array" aca="1" ref="Q187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71" s="121"/>
      <c r="S1871" s="179"/>
      <c r="T1871" s="251"/>
      <c r="V1871" s="179"/>
      <c r="W1871" s="179"/>
    </row>
    <row r="1872" spans="1:23" s="65" customFormat="1" ht="15" customHeight="1" outlineLevel="2">
      <c r="A1872" s="219"/>
      <c r="B1872" s="242"/>
      <c r="C1872" s="413" t="s">
        <v>1822</v>
      </c>
      <c r="D1872" s="121" t="str">
        <f>INDEX(Regional.Technologies[Description],MATCH($B$2&amp;"."&amp;G.30.assumptions.EnergyDemandAfterAlternativeFuels[[#This Row],[Technology code]],Regional.Technologies[Code],0))</f>
        <v>Global Coal use in the Chemicals: High Value Chemicals  technology</v>
      </c>
      <c r="E1872" s="242"/>
      <c r="F1872" s="121" t="s">
        <v>1601</v>
      </c>
      <c r="G1872" s="242" t="s">
        <v>1961</v>
      </c>
      <c r="H1872" s="242" t="s">
        <v>2169</v>
      </c>
      <c r="I1872" s="318">
        <f ca="1">SUMIF(G.30.assumptions.EnergyDemandAfterProcessImprovements[.],G.30.assumptions.EnergyDemandAfterAlternativeFuels[[#This Row],[.]],INDIRECT("G.30.assumptions.EnergyDemandAfterProcessImprovements["&amp;I$1834&amp;"]"))
-SUM(I1871,I1873:I1876)</f>
        <v>0.24646345986547047</v>
      </c>
      <c r="J1872" s="318">
        <f ca="1">SUMIF(G.30.assumptions.EnergyDemandAfterProcessImprovements[.],G.30.assumptions.EnergyDemandAfterAlternativeFuels[[#This Row],[.]],INDIRECT("G.30.assumptions.EnergyDemandAfterProcessImprovements["&amp;J$1834&amp;"]"))
-SUM(J1871,J1873:J1876)</f>
        <v>0.2489912902230671</v>
      </c>
      <c r="K1872" s="318">
        <f ca="1">SUMIF(G.30.assumptions.EnergyDemandAfterProcessImprovements[.],G.30.assumptions.EnergyDemandAfterAlternativeFuels[[#This Row],[.]],INDIRECT("G.30.assumptions.EnergyDemandAfterProcessImprovements["&amp;K$1834&amp;"]"))
-SUM(K1871,K1873:K1876)</f>
        <v>0.25215107817005844</v>
      </c>
      <c r="L1872" s="318">
        <f ca="1">SUMIF(G.30.assumptions.EnergyDemandAfterProcessImprovements[.],G.30.assumptions.EnergyDemandAfterAlternativeFuels[[#This Row],[.]],INDIRECT("G.30.assumptions.EnergyDemandAfterProcessImprovements["&amp;L$1834&amp;"]"))
-SUM(L1871,L1873:L1876)</f>
        <v>0.25531086611705334</v>
      </c>
      <c r="M1872" s="318">
        <f ca="1">SUMIF(G.30.assumptions.EnergyDemandAfterProcessImprovements[.],G.30.assumptions.EnergyDemandAfterAlternativeFuels[[#This Row],[.]],INDIRECT("G.30.assumptions.EnergyDemandAfterProcessImprovements["&amp;M$1834&amp;"]"))
-SUM(M1871,M1873:M1876)</f>
        <v>0.25847065406404468</v>
      </c>
      <c r="N1872" s="318">
        <f ca="1">SUMIF(G.30.assumptions.EnergyDemandAfterProcessImprovements[.],G.30.assumptions.EnergyDemandAfterAlternativeFuels[[#This Row],[.]],INDIRECT("G.30.assumptions.EnergyDemandAfterProcessImprovements["&amp;N$1834&amp;"]"))
-SUM(N1871,N1873:N1876)</f>
        <v>0.26163044201103958</v>
      </c>
      <c r="O1872" s="318">
        <f ca="1">SUMIF(G.30.assumptions.EnergyDemandAfterProcessImprovements[.],G.30.assumptions.EnergyDemandAfterAlternativeFuels[[#This Row],[.]],INDIRECT("G.30.assumptions.EnergyDemandAfterProcessImprovements["&amp;O$1834&amp;"]"))
-SUM(O1871,O1873:O1876)</f>
        <v>0.26479022995803092</v>
      </c>
      <c r="P1872" s="318">
        <f ca="1">SUMIF(G.30.assumptions.EnergyDemandAfterProcessImprovements[.],G.30.assumptions.EnergyDemandAfterAlternativeFuels[[#This Row],[.]],INDIRECT("G.30.assumptions.EnergyDemandAfterProcessImprovements["&amp;P$1834&amp;"]"))
-SUM(P1871,P1873:P1876)</f>
        <v>0.26795001790502582</v>
      </c>
      <c r="Q1872" s="318">
        <f ca="1">SUMIF(G.30.assumptions.EnergyDemandAfterProcessImprovements[.],G.30.assumptions.EnergyDemandAfterAlternativeFuels[[#This Row],[.]],INDIRECT("G.30.assumptions.EnergyDemandAfterProcessImprovements["&amp;Q$1834&amp;"]"))
-SUM(Q1871,Q1873:Q1876)</f>
        <v>0.27110980585201716</v>
      </c>
      <c r="R1872" s="121"/>
      <c r="S1872" s="179"/>
      <c r="T1872" s="251"/>
      <c r="V1872" s="179"/>
      <c r="W1872" s="179"/>
    </row>
    <row r="1873" spans="1:23" s="65" customFormat="1" ht="15" customHeight="1" outlineLevel="2">
      <c r="A1873" s="219"/>
      <c r="B1873" s="242"/>
      <c r="C1873" s="413" t="s">
        <v>1823</v>
      </c>
      <c r="D1873" s="121" t="str">
        <f>INDEX(Regional.Technologies[Description],MATCH($B$2&amp;"."&amp;G.30.assumptions.EnergyDemandAfterAlternativeFuels[[#This Row],[Technology code]],Regional.Technologies[Code],0))</f>
        <v>Global Oil use in the Chemicals: High Value Chemicals  technology</v>
      </c>
      <c r="E1873" s="242"/>
      <c r="F1873" s="121" t="s">
        <v>1601</v>
      </c>
      <c r="G1873" s="242" t="s">
        <v>1961</v>
      </c>
      <c r="H1873" s="242"/>
      <c r="I1873" s="318">
        <f t="array" aca="1" ref="I187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19.210879294175736</v>
      </c>
      <c r="J1873" s="318">
        <f t="array" aca="1" ref="J187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19.407913953603178</v>
      </c>
      <c r="K1873" s="318">
        <f t="array" aca="1" ref="K187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19.654207277887483</v>
      </c>
      <c r="L1873" s="318">
        <f t="array" aca="1" ref="L187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19.900500602171789</v>
      </c>
      <c r="M1873" s="318">
        <f t="array" aca="1" ref="M187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20.146793926456095</v>
      </c>
      <c r="N1873" s="318">
        <f t="array" aca="1" ref="N187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20.393087250740397</v>
      </c>
      <c r="O1873" s="318">
        <f t="array" aca="1" ref="O187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20.639380575024706</v>
      </c>
      <c r="P1873" s="318">
        <f t="array" aca="1" ref="P187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20.885673899309008</v>
      </c>
      <c r="Q1873" s="318">
        <f t="array" aca="1" ref="Q187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21.131967223593314</v>
      </c>
      <c r="R1873" s="121"/>
      <c r="S1873" s="179"/>
      <c r="T1873" s="251"/>
      <c r="V1873" s="179"/>
      <c r="W1873" s="179"/>
    </row>
    <row r="1874" spans="1:23" s="65" customFormat="1" ht="15" customHeight="1" outlineLevel="2">
      <c r="A1874" s="219"/>
      <c r="B1874" s="242"/>
      <c r="C1874" s="413" t="s">
        <v>1824</v>
      </c>
      <c r="D1874" s="121" t="str">
        <f>INDEX(Regional.Technologies[Description],MATCH($B$2&amp;"."&amp;G.30.assumptions.EnergyDemandAfterAlternativeFuels[[#This Row],[Technology code]],Regional.Technologies[Code],0))</f>
        <v>Global Natural Gas use in the Chemicals: High Value Chemicals  technology</v>
      </c>
      <c r="E1874" s="242"/>
      <c r="F1874" s="121" t="s">
        <v>1601</v>
      </c>
      <c r="G1874" s="242" t="s">
        <v>1961</v>
      </c>
      <c r="H1874" s="242"/>
      <c r="I1874" s="318">
        <f t="array" aca="1" ref="I1874"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3.4032396515371989E-3</v>
      </c>
      <c r="J1874" s="318">
        <f t="array" aca="1" ref="J1874"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3.4381446736042463E-3</v>
      </c>
      <c r="K1874" s="318">
        <f t="array" aca="1" ref="K1874"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3.4817759511880566E-3</v>
      </c>
      <c r="L1874" s="318">
        <f t="array" aca="1" ref="L1874"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3.5254072287718677E-3</v>
      </c>
      <c r="M1874" s="318">
        <f t="array" aca="1" ref="M1874"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3.5690385063556775E-3</v>
      </c>
      <c r="N1874" s="318">
        <f t="array" aca="1" ref="N1874"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3.6126697839394878E-3</v>
      </c>
      <c r="O1874" s="318">
        <f t="array" aca="1" ref="O1874"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3.6563010615232984E-3</v>
      </c>
      <c r="P1874" s="318">
        <f t="array" aca="1" ref="P1874"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3.6999323391071087E-3</v>
      </c>
      <c r="Q1874" s="318">
        <f t="array" aca="1" ref="Q1874"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3.7435636166909189E-3</v>
      </c>
      <c r="R1874" s="121"/>
      <c r="S1874" s="179"/>
      <c r="T1874" s="251"/>
      <c r="V1874" s="179"/>
      <c r="W1874" s="179"/>
    </row>
    <row r="1875" spans="1:23" s="65" customFormat="1" ht="15" customHeight="1" outlineLevel="2">
      <c r="A1875" s="219"/>
      <c r="B1875" s="242"/>
      <c r="C1875" s="413" t="s">
        <v>1825</v>
      </c>
      <c r="D1875" s="121" t="str">
        <f>INDEX(Regional.Technologies[Description],MATCH($B$2&amp;"."&amp;G.30.assumptions.EnergyDemandAfterAlternativeFuels[[#This Row],[Technology code]],Regional.Technologies[Code],0))</f>
        <v>Global Solid Hydrocarbons use in the Chemicals: High Value Chemicals  technology</v>
      </c>
      <c r="E1875" s="242"/>
      <c r="F1875" s="121" t="s">
        <v>1601</v>
      </c>
      <c r="G1875" s="242" t="s">
        <v>1961</v>
      </c>
      <c r="H1875" s="242"/>
      <c r="I1875" s="318">
        <f t="array" aca="1" ref="I187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75" s="318">
        <f t="array" aca="1" ref="J187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75" s="318">
        <f t="array" aca="1" ref="K187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75" s="318">
        <f t="array" aca="1" ref="L187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75" s="318">
        <f t="array" aca="1" ref="M187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75" s="318">
        <f t="array" aca="1" ref="N187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75" s="318">
        <f t="array" aca="1" ref="O187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75" s="318">
        <f t="array" aca="1" ref="P187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75" s="318">
        <f t="array" aca="1" ref="Q187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75" s="121"/>
      <c r="S1875" s="179"/>
      <c r="T1875" s="251"/>
      <c r="V1875" s="179"/>
      <c r="W1875" s="179"/>
    </row>
    <row r="1876" spans="1:23" s="65" customFormat="1" ht="15" customHeight="1" outlineLevel="2">
      <c r="A1876" s="219"/>
      <c r="B1876" s="242"/>
      <c r="C1876" s="413" t="s">
        <v>1826</v>
      </c>
      <c r="D1876" s="121" t="str">
        <f>INDEX(Regional.Technologies[Description],MATCH($B$2&amp;"."&amp;G.30.assumptions.EnergyDemandAfterAlternativeFuels[[#This Row],[Technology code]],Regional.Technologies[Code],0))</f>
        <v>Global Heat use in the Chemicals: High Value Chemicals  technology</v>
      </c>
      <c r="E1876" s="242"/>
      <c r="F1876" s="121" t="s">
        <v>1601</v>
      </c>
      <c r="G1876" s="242" t="s">
        <v>1961</v>
      </c>
      <c r="H1876" s="242"/>
      <c r="I1876" s="318">
        <f t="array" aca="1" ref="I1876"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76" s="318">
        <f t="array" aca="1" ref="J1876"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76" s="318">
        <f t="array" aca="1" ref="K1876"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76" s="318">
        <f t="array" aca="1" ref="L1876"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76" s="318">
        <f t="array" aca="1" ref="M1876"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76" s="318">
        <f t="array" aca="1" ref="N1876"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76" s="318">
        <f t="array" aca="1" ref="O1876"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76" s="318">
        <f t="array" aca="1" ref="P1876"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76" s="318">
        <f t="array" aca="1" ref="Q1876"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76" s="121"/>
      <c r="S1876" s="179"/>
      <c r="T1876" s="251"/>
      <c r="V1876" s="179"/>
      <c r="W1876" s="179"/>
    </row>
    <row r="1877" spans="1:23" s="65" customFormat="1" ht="15" customHeight="1" outlineLevel="2">
      <c r="A1877" s="219"/>
      <c r="B1877" s="242"/>
      <c r="C1877" s="413" t="s">
        <v>1827</v>
      </c>
      <c r="D1877" s="121" t="str">
        <f>INDEX(Regional.Technologies[Description],MATCH($B$2&amp;"."&amp;G.30.assumptions.EnergyDemandAfterAlternativeFuels[[#This Row],[Technology code]],Regional.Technologies[Code],0))</f>
        <v>Global Electricity use in the Chemicals: Ammonia technology</v>
      </c>
      <c r="E1877" s="242"/>
      <c r="F1877" s="121" t="s">
        <v>1601</v>
      </c>
      <c r="G1877" s="242" t="s">
        <v>1962</v>
      </c>
      <c r="H1877" s="242"/>
      <c r="I1877" s="318">
        <f t="array" aca="1" ref="I187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77" s="318">
        <f t="array" aca="1" ref="J187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77" s="318">
        <f t="array" aca="1" ref="K187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77" s="318">
        <f t="array" aca="1" ref="L187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77" s="318">
        <f t="array" aca="1" ref="M187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77" s="318">
        <f t="array" aca="1" ref="N187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77" s="318">
        <f t="array" aca="1" ref="O187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77" s="318">
        <f t="array" aca="1" ref="P187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77" s="318">
        <f t="array" aca="1" ref="Q187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77" s="121"/>
      <c r="S1877" s="179"/>
      <c r="T1877" s="251"/>
      <c r="V1877" s="179"/>
      <c r="W1877" s="179"/>
    </row>
    <row r="1878" spans="1:23" s="65" customFormat="1" ht="15" customHeight="1" outlineLevel="2">
      <c r="A1878" s="219"/>
      <c r="B1878" s="242"/>
      <c r="C1878" s="413" t="s">
        <v>1828</v>
      </c>
      <c r="D1878" s="121" t="str">
        <f>INDEX(Regional.Technologies[Description],MATCH($B$2&amp;"."&amp;G.30.assumptions.EnergyDemandAfterAlternativeFuels[[#This Row],[Technology code]],Regional.Technologies[Code],0))</f>
        <v>Global Coal use in the Chemicals: Ammonia technology</v>
      </c>
      <c r="E1878" s="242"/>
      <c r="F1878" s="121" t="s">
        <v>1601</v>
      </c>
      <c r="G1878" s="242" t="s">
        <v>1962</v>
      </c>
      <c r="H1878" s="242" t="s">
        <v>2169</v>
      </c>
      <c r="I1878" s="318">
        <f ca="1">SUMIF(G.30.assumptions.EnergyDemandAfterProcessImprovements[.],G.30.assumptions.EnergyDemandAfterAlternativeFuels[[#This Row],[.]],INDIRECT("G.30.assumptions.EnergyDemandAfterProcessImprovements["&amp;I$1834&amp;"]"))
-SUM(I1877,I1879:I1882)</f>
        <v>1.4435125863870013</v>
      </c>
      <c r="J1878" s="318">
        <f ca="1">SUMIF(G.30.assumptions.EnergyDemandAfterProcessImprovements[.],G.30.assumptions.EnergyDemandAfterAlternativeFuels[[#This Row],[.]],INDIRECT("G.30.assumptions.EnergyDemandAfterProcessImprovements["&amp;J$1834&amp;"]"))
-SUM(J1877,J1879:J1882)</f>
        <v>1.458317843683278</v>
      </c>
      <c r="K1878" s="318">
        <f ca="1">SUMIF(G.30.assumptions.EnergyDemandAfterProcessImprovements[.],G.30.assumptions.EnergyDemandAfterAlternativeFuels[[#This Row],[.]],INDIRECT("G.30.assumptions.EnergyDemandAfterProcessImprovements["&amp;K$1834&amp;"]"))
-SUM(K1877,K1879:K1882)</f>
        <v>1.4768244153036241</v>
      </c>
      <c r="L1878" s="318">
        <f ca="1">SUMIF(G.30.assumptions.EnergyDemandAfterProcessImprovements[.],G.30.assumptions.EnergyDemandAfterAlternativeFuels[[#This Row],[.]],INDIRECT("G.30.assumptions.EnergyDemandAfterProcessImprovements["&amp;L$1834&amp;"]"))
-SUM(L1877,L1879:L1882)</f>
        <v>1.495330986923971</v>
      </c>
      <c r="M1878" s="318">
        <f ca="1">SUMIF(G.30.assumptions.EnergyDemandAfterProcessImprovements[.],G.30.assumptions.EnergyDemandAfterAlternativeFuels[[#This Row],[.]],INDIRECT("G.30.assumptions.EnergyDemandAfterProcessImprovements["&amp;M$1834&amp;"]"))
-SUM(M1877,M1879:M1882)</f>
        <v>1.5138375585443171</v>
      </c>
      <c r="N1878" s="318">
        <f ca="1">SUMIF(G.30.assumptions.EnergyDemandAfterProcessImprovements[.],G.30.assumptions.EnergyDemandAfterAlternativeFuels[[#This Row],[.]],INDIRECT("G.30.assumptions.EnergyDemandAfterProcessImprovements["&amp;N$1834&amp;"]"))
-SUM(N1877,N1879:N1882)</f>
        <v>1.5323441301646632</v>
      </c>
      <c r="O1878" s="318">
        <f ca="1">SUMIF(G.30.assumptions.EnergyDemandAfterProcessImprovements[.],G.30.assumptions.EnergyDemandAfterAlternativeFuels[[#This Row],[.]],INDIRECT("G.30.assumptions.EnergyDemandAfterProcessImprovements["&amp;O$1834&amp;"]"))
-SUM(O1877,O1879:O1882)</f>
        <v>1.5508507017850093</v>
      </c>
      <c r="P1878" s="318">
        <f ca="1">SUMIF(G.30.assumptions.EnergyDemandAfterProcessImprovements[.],G.30.assumptions.EnergyDemandAfterAlternativeFuels[[#This Row],[.]],INDIRECT("G.30.assumptions.EnergyDemandAfterProcessImprovements["&amp;P$1834&amp;"]"))
-SUM(P1877,P1879:P1882)</f>
        <v>1.5693572734053554</v>
      </c>
      <c r="Q1878" s="318">
        <f ca="1">SUMIF(G.30.assumptions.EnergyDemandAfterProcessImprovements[.],G.30.assumptions.EnergyDemandAfterAlternativeFuels[[#This Row],[.]],INDIRECT("G.30.assumptions.EnergyDemandAfterProcessImprovements["&amp;Q$1834&amp;"]"))
-SUM(Q1877,Q1879:Q1882)</f>
        <v>1.5878638450257014</v>
      </c>
      <c r="R1878" s="121"/>
      <c r="S1878" s="179"/>
      <c r="T1878" s="251"/>
      <c r="V1878" s="179"/>
      <c r="W1878" s="179"/>
    </row>
    <row r="1879" spans="1:23" s="65" customFormat="1" ht="15" customHeight="1" outlineLevel="2">
      <c r="A1879" s="219"/>
      <c r="B1879" s="242"/>
      <c r="C1879" s="413" t="s">
        <v>1829</v>
      </c>
      <c r="D1879" s="121" t="str">
        <f>INDEX(Regional.Technologies[Description],MATCH($B$2&amp;"."&amp;G.30.assumptions.EnergyDemandAfterAlternativeFuels[[#This Row],[Technology code]],Regional.Technologies[Code],0))</f>
        <v>Global Oil use in the Chemicals: Ammonia technology</v>
      </c>
      <c r="E1879" s="242"/>
      <c r="F1879" s="121" t="s">
        <v>1601</v>
      </c>
      <c r="G1879" s="242" t="s">
        <v>1962</v>
      </c>
      <c r="H1879" s="242"/>
      <c r="I1879" s="318">
        <f t="array" aca="1" ref="I187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79" s="318">
        <f t="array" aca="1" ref="J187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79" s="318">
        <f t="array" aca="1" ref="K187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79" s="318">
        <f t="array" aca="1" ref="L187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79" s="318">
        <f t="array" aca="1" ref="M187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79" s="318">
        <f t="array" aca="1" ref="N187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79" s="318">
        <f t="array" aca="1" ref="O187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79" s="318">
        <f t="array" aca="1" ref="P187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79" s="318">
        <f t="array" aca="1" ref="Q187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79" s="121"/>
      <c r="S1879" s="179"/>
      <c r="T1879" s="251"/>
      <c r="V1879" s="179"/>
      <c r="W1879" s="179"/>
    </row>
    <row r="1880" spans="1:23" s="65" customFormat="1" ht="15" customHeight="1" outlineLevel="2">
      <c r="A1880" s="219"/>
      <c r="B1880" s="242"/>
      <c r="C1880" s="413" t="s">
        <v>1830</v>
      </c>
      <c r="D1880" s="121" t="str">
        <f>INDEX(Regional.Technologies[Description],MATCH($B$2&amp;"."&amp;G.30.assumptions.EnergyDemandAfterAlternativeFuels[[#This Row],[Technology code]],Regional.Technologies[Code],0))</f>
        <v>Global Natural Gas use in the Chemicals: Ammonia technology</v>
      </c>
      <c r="E1880" s="242"/>
      <c r="F1880" s="121" t="s">
        <v>1601</v>
      </c>
      <c r="G1880" s="242" t="s">
        <v>1962</v>
      </c>
      <c r="H1880" s="242"/>
      <c r="I1880" s="318">
        <f t="array" aca="1" ref="I1880"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4.5138365842133039</v>
      </c>
      <c r="J1880" s="318">
        <f t="array" aca="1" ref="J1880"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4.5601323440513886</v>
      </c>
      <c r="K1880" s="318">
        <f t="array" aca="1" ref="K1880"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4.6180020438489944</v>
      </c>
      <c r="L1880" s="318">
        <f t="array" aca="1" ref="L1880"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4.675871743646602</v>
      </c>
      <c r="M1880" s="318">
        <f t="array" aca="1" ref="M1880"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4.7337414434442087</v>
      </c>
      <c r="N1880" s="318">
        <f t="array" aca="1" ref="N1880"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4.7916111432418145</v>
      </c>
      <c r="O1880" s="318">
        <f t="array" aca="1" ref="O1880"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4.8494808430394221</v>
      </c>
      <c r="P1880" s="318">
        <f t="array" aca="1" ref="P1880"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4.9073505428370279</v>
      </c>
      <c r="Q1880" s="318">
        <f t="array" aca="1" ref="Q1880"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4.9652202426346346</v>
      </c>
      <c r="R1880" s="121"/>
      <c r="S1880" s="179"/>
      <c r="T1880" s="251"/>
      <c r="V1880" s="179"/>
      <c r="W1880" s="179"/>
    </row>
    <row r="1881" spans="1:23" s="65" customFormat="1" ht="15" customHeight="1" outlineLevel="2">
      <c r="A1881" s="219"/>
      <c r="B1881" s="242"/>
      <c r="C1881" s="413" t="s">
        <v>1831</v>
      </c>
      <c r="D1881" s="121" t="str">
        <f>INDEX(Regional.Technologies[Description],MATCH($B$2&amp;"."&amp;G.30.assumptions.EnergyDemandAfterAlternativeFuels[[#This Row],[Technology code]],Regional.Technologies[Code],0))</f>
        <v>Global Solid Hydrocarbons use in the Chemicals: Ammonia technology</v>
      </c>
      <c r="E1881" s="242"/>
      <c r="F1881" s="121" t="s">
        <v>1601</v>
      </c>
      <c r="G1881" s="242" t="s">
        <v>1962</v>
      </c>
      <c r="H1881" s="242"/>
      <c r="I1881" s="318">
        <f t="array" aca="1" ref="I188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81" s="318">
        <f t="array" aca="1" ref="J188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81" s="318">
        <f t="array" aca="1" ref="K188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81" s="318">
        <f t="array" aca="1" ref="L188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81" s="318">
        <f t="array" aca="1" ref="M188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81" s="318">
        <f t="array" aca="1" ref="N188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81" s="318">
        <f t="array" aca="1" ref="O188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81" s="318">
        <f t="array" aca="1" ref="P188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81" s="318">
        <f t="array" aca="1" ref="Q188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81" s="121"/>
      <c r="S1881" s="179"/>
      <c r="T1881" s="251"/>
      <c r="V1881" s="179"/>
      <c r="W1881" s="179"/>
    </row>
    <row r="1882" spans="1:23" s="65" customFormat="1" ht="15" customHeight="1" outlineLevel="2">
      <c r="A1882" s="219"/>
      <c r="B1882" s="242"/>
      <c r="C1882" s="413" t="s">
        <v>1832</v>
      </c>
      <c r="D1882" s="121" t="str">
        <f>INDEX(Regional.Technologies[Description],MATCH($B$2&amp;"."&amp;G.30.assumptions.EnergyDemandAfterAlternativeFuels[[#This Row],[Technology code]],Regional.Technologies[Code],0))</f>
        <v>Global Heat use in the Chemicals: Ammonia technology</v>
      </c>
      <c r="E1882" s="242"/>
      <c r="F1882" s="121" t="s">
        <v>1601</v>
      </c>
      <c r="G1882" s="242" t="s">
        <v>1962</v>
      </c>
      <c r="H1882" s="242"/>
      <c r="I1882" s="318">
        <f t="array" aca="1" ref="I1882"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82" s="318">
        <f t="array" aca="1" ref="J1882"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82" s="318">
        <f t="array" aca="1" ref="K1882"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82" s="318">
        <f t="array" aca="1" ref="L1882"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82" s="318">
        <f t="array" aca="1" ref="M1882"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82" s="318">
        <f t="array" aca="1" ref="N1882"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82" s="318">
        <f t="array" aca="1" ref="O1882"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82" s="318">
        <f t="array" aca="1" ref="P1882"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82" s="318">
        <f t="array" aca="1" ref="Q1882"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82" s="121"/>
      <c r="S1882" s="179"/>
      <c r="T1882" s="251"/>
      <c r="V1882" s="179"/>
      <c r="W1882" s="179"/>
    </row>
    <row r="1883" spans="1:23" s="65" customFormat="1" ht="15" customHeight="1" outlineLevel="2">
      <c r="A1883" s="219"/>
      <c r="B1883" s="242"/>
      <c r="C1883" s="413" t="s">
        <v>1833</v>
      </c>
      <c r="D1883" s="121" t="str">
        <f>INDEX(Regional.Technologies[Description],MATCH($B$2&amp;"."&amp;G.30.assumptions.EnergyDemandAfterAlternativeFuels[[#This Row],[Technology code]],Regional.Technologies[Code],0))</f>
        <v>Global Electricity use in the Chemicals: Methanol technology</v>
      </c>
      <c r="E1883" s="242"/>
      <c r="F1883" s="121" t="s">
        <v>1601</v>
      </c>
      <c r="G1883" s="242" t="s">
        <v>1963</v>
      </c>
      <c r="H1883" s="242"/>
      <c r="I1883" s="318">
        <f t="array" aca="1" ref="I188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83" s="318">
        <f t="array" aca="1" ref="J188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83" s="318">
        <f t="array" aca="1" ref="K188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83" s="318">
        <f t="array" aca="1" ref="L188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83" s="318">
        <f t="array" aca="1" ref="M188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83" s="318">
        <f t="array" aca="1" ref="N188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83" s="318">
        <f t="array" aca="1" ref="O188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83" s="318">
        <f t="array" aca="1" ref="P188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83" s="318">
        <f t="array" aca="1" ref="Q188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83" s="121"/>
      <c r="S1883" s="179"/>
      <c r="T1883" s="251"/>
      <c r="V1883" s="179"/>
      <c r="W1883" s="179"/>
    </row>
    <row r="1884" spans="1:23" s="65" customFormat="1" ht="15" customHeight="1" outlineLevel="2">
      <c r="A1884" s="219"/>
      <c r="B1884" s="242"/>
      <c r="C1884" s="413" t="s">
        <v>1834</v>
      </c>
      <c r="D1884" s="121" t="str">
        <f>INDEX(Regional.Technologies[Description],MATCH($B$2&amp;"."&amp;G.30.assumptions.EnergyDemandAfterAlternativeFuels[[#This Row],[Technology code]],Regional.Technologies[Code],0))</f>
        <v>Global Coal use in the Chemicals: Methanol technology</v>
      </c>
      <c r="E1884" s="242"/>
      <c r="F1884" s="121" t="s">
        <v>1601</v>
      </c>
      <c r="G1884" s="242" t="s">
        <v>1963</v>
      </c>
      <c r="H1884" s="242" t="s">
        <v>2169</v>
      </c>
      <c r="I1884" s="318">
        <f ca="1">SUMIF(G.30.assumptions.EnergyDemandAfterProcessImprovements[.],G.30.assumptions.EnergyDemandAfterAlternativeFuels[[#This Row],[.]],INDIRECT("G.30.assumptions.EnergyDemandAfterProcessImprovements["&amp;I$1834&amp;"]"))
-SUM(I1883,I1885:I1888)</f>
        <v>0.726021750603001</v>
      </c>
      <c r="J1884" s="318">
        <f ca="1">SUMIF(G.30.assumptions.EnergyDemandAfterProcessImprovements[.],G.30.assumptions.EnergyDemandAfterAlternativeFuels[[#This Row],[.]],INDIRECT("G.30.assumptions.EnergyDemandAfterProcessImprovements["&amp;J$1834&amp;"]"))
-SUM(J1883,J1885:J1888)</f>
        <v>0.73346812753226243</v>
      </c>
      <c r="K1884" s="318">
        <f ca="1">SUMIF(G.30.assumptions.EnergyDemandAfterProcessImprovements[.],G.30.assumptions.EnergyDemandAfterAlternativeFuels[[#This Row],[.]],INDIRECT("G.30.assumptions.EnergyDemandAfterProcessImprovements["&amp;K$1834&amp;"]"))
-SUM(K1883,K1885:K1888)</f>
        <v>0.74277609869383943</v>
      </c>
      <c r="L1884" s="318">
        <f ca="1">SUMIF(G.30.assumptions.EnergyDemandAfterProcessImprovements[.],G.30.assumptions.EnergyDemandAfterAlternativeFuels[[#This Row],[.]],INDIRECT("G.30.assumptions.EnergyDemandAfterProcessImprovements["&amp;L$1834&amp;"]"))
-SUM(L1883,L1885:L1888)</f>
        <v>0.75208406985541643</v>
      </c>
      <c r="M1884" s="318">
        <f ca="1">SUMIF(G.30.assumptions.EnergyDemandAfterProcessImprovements[.],G.30.assumptions.EnergyDemandAfterAlternativeFuels[[#This Row],[.]],INDIRECT("G.30.assumptions.EnergyDemandAfterProcessImprovements["&amp;M$1834&amp;"]"))
-SUM(M1883,M1885:M1888)</f>
        <v>0.76139204101699354</v>
      </c>
      <c r="N1884" s="318">
        <f ca="1">SUMIF(G.30.assumptions.EnergyDemandAfterProcessImprovements[.],G.30.assumptions.EnergyDemandAfterAlternativeFuels[[#This Row],[.]],INDIRECT("G.30.assumptions.EnergyDemandAfterProcessImprovements["&amp;N$1834&amp;"]"))
-SUM(N1883,N1885:N1888)</f>
        <v>0.7707000121785702</v>
      </c>
      <c r="O1884" s="318">
        <f ca="1">SUMIF(G.30.assumptions.EnergyDemandAfterProcessImprovements[.],G.30.assumptions.EnergyDemandAfterAlternativeFuels[[#This Row],[.]],INDIRECT("G.30.assumptions.EnergyDemandAfterProcessImprovements["&amp;O$1834&amp;"]"))
-SUM(O1883,O1885:O1888)</f>
        <v>0.78000798334014743</v>
      </c>
      <c r="P1884" s="318">
        <f ca="1">SUMIF(G.30.assumptions.EnergyDemandAfterProcessImprovements[.],G.30.assumptions.EnergyDemandAfterAlternativeFuels[[#This Row],[.]],INDIRECT("G.30.assumptions.EnergyDemandAfterProcessImprovements["&amp;P$1834&amp;"]"))
-SUM(P1883,P1885:P1888)</f>
        <v>0.78931595450172432</v>
      </c>
      <c r="Q1884" s="318">
        <f ca="1">SUMIF(G.30.assumptions.EnergyDemandAfterProcessImprovements[.],G.30.assumptions.EnergyDemandAfterAlternativeFuels[[#This Row],[.]],INDIRECT("G.30.assumptions.EnergyDemandAfterProcessImprovements["&amp;Q$1834&amp;"]"))
-SUM(Q1883,Q1885:Q1888)</f>
        <v>0.7986239256633012</v>
      </c>
      <c r="R1884" s="121"/>
      <c r="S1884" s="179"/>
      <c r="T1884" s="251"/>
      <c r="V1884" s="179"/>
      <c r="W1884" s="179"/>
    </row>
    <row r="1885" spans="1:23" s="65" customFormat="1" ht="15" customHeight="1" outlineLevel="2">
      <c r="A1885" s="219"/>
      <c r="B1885" s="242"/>
      <c r="C1885" s="413" t="s">
        <v>1835</v>
      </c>
      <c r="D1885" s="121" t="str">
        <f>INDEX(Regional.Technologies[Description],MATCH($B$2&amp;"."&amp;G.30.assumptions.EnergyDemandAfterAlternativeFuels[[#This Row],[Technology code]],Regional.Technologies[Code],0))</f>
        <v>Global Oil use in the Chemicals: Methanol technology</v>
      </c>
      <c r="E1885" s="242"/>
      <c r="F1885" s="121" t="s">
        <v>1601</v>
      </c>
      <c r="G1885" s="242" t="s">
        <v>1963</v>
      </c>
      <c r="H1885" s="242"/>
      <c r="I1885" s="318">
        <f t="array" aca="1" ref="I188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85" s="318">
        <f t="array" aca="1" ref="J188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85" s="318">
        <f t="array" aca="1" ref="K188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85" s="318">
        <f t="array" aca="1" ref="L188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85" s="318">
        <f t="array" aca="1" ref="M188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85" s="318">
        <f t="array" aca="1" ref="N188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85" s="318">
        <f t="array" aca="1" ref="O188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85" s="318">
        <f t="array" aca="1" ref="P188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85" s="318">
        <f t="array" aca="1" ref="Q188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85" s="121"/>
      <c r="S1885" s="179"/>
      <c r="T1885" s="251"/>
      <c r="V1885" s="179"/>
      <c r="W1885" s="179"/>
    </row>
    <row r="1886" spans="1:23" s="65" customFormat="1" ht="15" customHeight="1" outlineLevel="2">
      <c r="A1886" s="219"/>
      <c r="B1886" s="242"/>
      <c r="C1886" s="413" t="s">
        <v>1836</v>
      </c>
      <c r="D1886" s="121" t="str">
        <f>INDEX(Regional.Technologies[Description],MATCH($B$2&amp;"."&amp;G.30.assumptions.EnergyDemandAfterAlternativeFuels[[#This Row],[Technology code]],Regional.Technologies[Code],0))</f>
        <v>Global Natural Gas use in the Chemicals: Methanol technology</v>
      </c>
      <c r="E1886" s="242"/>
      <c r="F1886" s="121" t="s">
        <v>1601</v>
      </c>
      <c r="G1886" s="242" t="s">
        <v>1963</v>
      </c>
      <c r="H1886" s="242"/>
      <c r="I1886" s="318">
        <f t="array" aca="1" ref="I1886"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0.937789568259083</v>
      </c>
      <c r="J1886" s="318">
        <f t="array" aca="1" ref="J1886"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0.94740792280532993</v>
      </c>
      <c r="K1886" s="318">
        <f t="array" aca="1" ref="K1886"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0.95943086598813876</v>
      </c>
      <c r="L1886" s="318">
        <f t="array" aca="1" ref="L1886"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0.97145380917094759</v>
      </c>
      <c r="M1886" s="318">
        <f t="array" aca="1" ref="M1886"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0.98347675235375631</v>
      </c>
      <c r="N1886" s="318">
        <f t="array" aca="1" ref="N1886"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0.99549969553656503</v>
      </c>
      <c r="O1886" s="318">
        <f t="array" aca="1" ref="O1886"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1.0075226387193739</v>
      </c>
      <c r="P1886" s="318">
        <f t="array" aca="1" ref="P1886"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1.0195455819021826</v>
      </c>
      <c r="Q1886" s="318">
        <f t="array" aca="1" ref="Q1886"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1.0315685250849913</v>
      </c>
      <c r="R1886" s="121"/>
      <c r="S1886" s="179"/>
      <c r="T1886" s="251"/>
      <c r="V1886" s="179"/>
      <c r="W1886" s="179"/>
    </row>
    <row r="1887" spans="1:23" s="65" customFormat="1" ht="15" customHeight="1" outlineLevel="2">
      <c r="A1887" s="219"/>
      <c r="B1887" s="242"/>
      <c r="C1887" s="413" t="s">
        <v>1837</v>
      </c>
      <c r="D1887" s="121" t="str">
        <f>INDEX(Regional.Technologies[Description],MATCH($B$2&amp;"."&amp;G.30.assumptions.EnergyDemandAfterAlternativeFuels[[#This Row],[Technology code]],Regional.Technologies[Code],0))</f>
        <v>Global Solid Hydrocarbons use in the Chemicals: Methanol technology</v>
      </c>
      <c r="E1887" s="242"/>
      <c r="F1887" s="121" t="s">
        <v>1601</v>
      </c>
      <c r="G1887" s="242" t="s">
        <v>1963</v>
      </c>
      <c r="H1887" s="242"/>
      <c r="I1887" s="318">
        <f t="array" aca="1" ref="I188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87" s="318">
        <f t="array" aca="1" ref="J188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87" s="318">
        <f t="array" aca="1" ref="K188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87" s="318">
        <f t="array" aca="1" ref="L188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87" s="318">
        <f t="array" aca="1" ref="M188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87" s="318">
        <f t="array" aca="1" ref="N188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87" s="318">
        <f t="array" aca="1" ref="O188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87" s="318">
        <f t="array" aca="1" ref="P188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87" s="318">
        <f t="array" aca="1" ref="Q188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87" s="121"/>
      <c r="S1887" s="179"/>
      <c r="T1887" s="251"/>
      <c r="V1887" s="179"/>
      <c r="W1887" s="179"/>
    </row>
    <row r="1888" spans="1:23" s="65" customFormat="1" ht="15" customHeight="1" outlineLevel="2">
      <c r="A1888" s="219"/>
      <c r="B1888" s="242"/>
      <c r="C1888" s="413" t="s">
        <v>1838</v>
      </c>
      <c r="D1888" s="121" t="str">
        <f>INDEX(Regional.Technologies[Description],MATCH($B$2&amp;"."&amp;G.30.assumptions.EnergyDemandAfterAlternativeFuels[[#This Row],[Technology code]],Regional.Technologies[Code],0))</f>
        <v>Global Heat use in the Chemicals: Methanol technology</v>
      </c>
      <c r="E1888" s="242"/>
      <c r="F1888" s="121" t="s">
        <v>1601</v>
      </c>
      <c r="G1888" s="242" t="s">
        <v>1963</v>
      </c>
      <c r="H1888" s="242"/>
      <c r="I1888" s="318">
        <f t="array" aca="1" ref="I1888"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888" s="318">
        <f t="array" aca="1" ref="J1888"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888" s="318">
        <f t="array" aca="1" ref="K1888"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888" s="318">
        <f t="array" aca="1" ref="L1888"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888" s="318">
        <f t="array" aca="1" ref="M1888"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888" s="318">
        <f t="array" aca="1" ref="N1888"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888" s="318">
        <f t="array" aca="1" ref="O1888"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888" s="318">
        <f t="array" aca="1" ref="P1888"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888" s="318">
        <f t="array" aca="1" ref="Q1888"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888" s="121"/>
      <c r="S1888" s="179"/>
      <c r="T1888" s="251"/>
      <c r="V1888" s="179"/>
      <c r="W1888" s="179"/>
    </row>
    <row r="1889" spans="1:23" s="65" customFormat="1" ht="15" customHeight="1" outlineLevel="2">
      <c r="A1889" s="219"/>
      <c r="B1889" s="242"/>
      <c r="C1889" s="413" t="s">
        <v>1839</v>
      </c>
      <c r="D1889" s="121" t="str">
        <f>INDEX(Regional.Technologies[Description],MATCH($B$2&amp;"."&amp;G.30.assumptions.EnergyDemandAfterAlternativeFuels[[#This Row],[Technology code]],Regional.Technologies[Code],0))</f>
        <v>Global Electricity use in the Chemicals: Others technology</v>
      </c>
      <c r="E1889" s="242"/>
      <c r="F1889" s="121" t="s">
        <v>1601</v>
      </c>
      <c r="G1889" s="242" t="s">
        <v>1964</v>
      </c>
      <c r="H1889" s="242"/>
      <c r="I1889" s="318">
        <f t="array" aca="1" ref="I188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4.3950447458562465</v>
      </c>
      <c r="J1889" s="318">
        <f t="array" aca="1" ref="J188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4.4401221278650285</v>
      </c>
      <c r="K1889" s="318">
        <f t="array" aca="1" ref="K188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4.4964688553760057</v>
      </c>
      <c r="L1889" s="318">
        <f t="array" aca="1" ref="L188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4.5528155828869838</v>
      </c>
      <c r="M1889" s="318">
        <f t="array" aca="1" ref="M188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4.6091623103979611</v>
      </c>
      <c r="N1889" s="318">
        <f t="array" aca="1" ref="N188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4.6655090379089383</v>
      </c>
      <c r="O1889" s="318">
        <f t="array" aca="1" ref="O188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4.7218557654199174</v>
      </c>
      <c r="P1889" s="318">
        <f t="array" aca="1" ref="P188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4.7782024929308946</v>
      </c>
      <c r="Q1889" s="318">
        <f t="array" aca="1" ref="Q188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4.8345492204418719</v>
      </c>
      <c r="R1889" s="121"/>
      <c r="S1889" s="179"/>
      <c r="T1889" s="251"/>
      <c r="V1889" s="179"/>
      <c r="W1889" s="179"/>
    </row>
    <row r="1890" spans="1:23" s="65" customFormat="1" ht="15" customHeight="1" outlineLevel="2">
      <c r="A1890" s="219"/>
      <c r="B1890" s="242"/>
      <c r="C1890" s="413" t="s">
        <v>1840</v>
      </c>
      <c r="D1890" s="121" t="str">
        <f>INDEX(Regional.Technologies[Description],MATCH($B$2&amp;"."&amp;G.30.assumptions.EnergyDemandAfterAlternativeFuels[[#This Row],[Technology code]],Regional.Technologies[Code],0))</f>
        <v>Global Coal use in the Chemicals: Others technology</v>
      </c>
      <c r="E1890" s="242"/>
      <c r="F1890" s="121" t="s">
        <v>1601</v>
      </c>
      <c r="G1890" s="242" t="s">
        <v>1964</v>
      </c>
      <c r="H1890" s="242" t="s">
        <v>2169</v>
      </c>
      <c r="I1890" s="318">
        <f ca="1">SUMIF(G.30.assumptions.EnergyDemandAfterProcessImprovements[.],G.30.assumptions.EnergyDemandAfterAlternativeFuels[[#This Row],[.]],INDIRECT("G.30.assumptions.EnergyDemandAfterProcessImprovements["&amp;I$1834&amp;"]"))
-SUM(I1889,I1891:I1894)</f>
        <v>0.37414965620854623</v>
      </c>
      <c r="J1890" s="318">
        <f ca="1">SUMIF(G.30.assumptions.EnergyDemandAfterProcessImprovements[.],G.30.assumptions.EnergyDemandAfterAlternativeFuels[[#This Row],[.]],INDIRECT("G.30.assumptions.EnergyDemandAfterProcessImprovements["&amp;J$1834&amp;"]"))
-SUM(J1889,J1891:J1894)</f>
        <v>0.37798708857991592</v>
      </c>
      <c r="K1890" s="318">
        <f ca="1">SUMIF(G.30.assumptions.EnergyDemandAfterProcessImprovements[.],G.30.assumptions.EnergyDemandAfterAlternativeFuels[[#This Row],[.]],INDIRECT("G.30.assumptions.EnergyDemandAfterProcessImprovements["&amp;K$1834&amp;"]"))
-SUM(K1889,K1891:K1894)</f>
        <v>0.38278387904412625</v>
      </c>
      <c r="L1890" s="318">
        <f ca="1">SUMIF(G.30.assumptions.EnergyDemandAfterProcessImprovements[.],G.30.assumptions.EnergyDemandAfterAlternativeFuels[[#This Row],[.]],INDIRECT("G.30.assumptions.EnergyDemandAfterProcessImprovements["&amp;L$1834&amp;"]"))
-SUM(L1889,L1891:L1894)</f>
        <v>0.38758066950834191</v>
      </c>
      <c r="M1890" s="318">
        <f ca="1">SUMIF(G.30.assumptions.EnergyDemandAfterProcessImprovements[.],G.30.assumptions.EnergyDemandAfterAlternativeFuels[[#This Row],[.]],INDIRECT("G.30.assumptions.EnergyDemandAfterProcessImprovements["&amp;M$1834&amp;"]"))
-SUM(M1889,M1891:M1894)</f>
        <v>0.39237745997255224</v>
      </c>
      <c r="N1890" s="318">
        <f ca="1">SUMIF(G.30.assumptions.EnergyDemandAfterProcessImprovements[.],G.30.assumptions.EnergyDemandAfterAlternativeFuels[[#This Row],[.]],INDIRECT("G.30.assumptions.EnergyDemandAfterProcessImprovements["&amp;N$1834&amp;"]"))
-SUM(N1889,N1891:N1894)</f>
        <v>0.39717425043676258</v>
      </c>
      <c r="O1890" s="318">
        <f ca="1">SUMIF(G.30.assumptions.EnergyDemandAfterProcessImprovements[.],G.30.assumptions.EnergyDemandAfterAlternativeFuels[[#This Row],[.]],INDIRECT("G.30.assumptions.EnergyDemandAfterProcessImprovements["&amp;O$1834&amp;"]"))
-SUM(O1889,O1891:O1894)</f>
        <v>0.40197104090097646</v>
      </c>
      <c r="P1890" s="318">
        <f ca="1">SUMIF(G.30.assumptions.EnergyDemandAfterProcessImprovements[.],G.30.assumptions.EnergyDemandAfterAlternativeFuels[[#This Row],[.]],INDIRECT("G.30.assumptions.EnergyDemandAfterProcessImprovements["&amp;P$1834&amp;"]"))
-SUM(P1889,P1891:P1894)</f>
        <v>0.40676783136519035</v>
      </c>
      <c r="Q1890" s="318">
        <f ca="1">SUMIF(G.30.assumptions.EnergyDemandAfterProcessImprovements[.],G.30.assumptions.EnergyDemandAfterAlternativeFuels[[#This Row],[.]],INDIRECT("G.30.assumptions.EnergyDemandAfterProcessImprovements["&amp;Q$1834&amp;"]"))
-SUM(Q1889,Q1891:Q1894)</f>
        <v>0.41156462182940068</v>
      </c>
      <c r="R1890" s="121"/>
      <c r="S1890" s="179"/>
      <c r="T1890" s="251"/>
      <c r="V1890" s="179"/>
      <c r="W1890" s="179"/>
    </row>
    <row r="1891" spans="1:23" s="65" customFormat="1" ht="15" customHeight="1" outlineLevel="2">
      <c r="A1891" s="219"/>
      <c r="B1891" s="242"/>
      <c r="C1891" s="413" t="s">
        <v>1841</v>
      </c>
      <c r="D1891" s="121" t="str">
        <f>INDEX(Regional.Technologies[Description],MATCH($B$2&amp;"."&amp;G.30.assumptions.EnergyDemandAfterAlternativeFuels[[#This Row],[Technology code]],Regional.Technologies[Code],0))</f>
        <v>Global Oil use in the Chemicals: Others technology</v>
      </c>
      <c r="E1891" s="242"/>
      <c r="F1891" s="121" t="s">
        <v>1601</v>
      </c>
      <c r="G1891" s="242" t="s">
        <v>1964</v>
      </c>
      <c r="H1891" s="242"/>
      <c r="I1891" s="318">
        <f t="array" aca="1" ref="I189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-2.3799202608643097E-15</v>
      </c>
      <c r="J1891" s="318">
        <f t="array" aca="1" ref="J189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-2.4043296994372769E-15</v>
      </c>
      <c r="K1891" s="318">
        <f t="array" aca="1" ref="K189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-2.434841497653486E-15</v>
      </c>
      <c r="L1891" s="318">
        <f t="array" aca="1" ref="L189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-2.4653532958696954E-15</v>
      </c>
      <c r="M1891" s="318">
        <f t="array" aca="1" ref="M189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-2.4958650940859044E-15</v>
      </c>
      <c r="N1891" s="318">
        <f t="array" aca="1" ref="N189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-2.5263768923021135E-15</v>
      </c>
      <c r="O1891" s="318">
        <f t="array" aca="1" ref="O189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-2.5568886905183229E-15</v>
      </c>
      <c r="P1891" s="318">
        <f t="array" aca="1" ref="P189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-2.5874004887345319E-15</v>
      </c>
      <c r="Q1891" s="318">
        <f t="array" aca="1" ref="Q189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-2.617912286950741E-15</v>
      </c>
      <c r="R1891" s="121"/>
      <c r="S1891" s="179"/>
      <c r="T1891" s="251"/>
      <c r="V1891" s="179"/>
      <c r="W1891" s="179"/>
    </row>
    <row r="1892" spans="1:23" s="65" customFormat="1" ht="15" customHeight="1" outlineLevel="2">
      <c r="A1892" s="219"/>
      <c r="B1892" s="242"/>
      <c r="C1892" s="413" t="s">
        <v>1842</v>
      </c>
      <c r="D1892" s="121" t="str">
        <f>INDEX(Regional.Technologies[Description],MATCH($B$2&amp;"."&amp;G.30.assumptions.EnergyDemandAfterAlternativeFuels[[#This Row],[Technology code]],Regional.Technologies[Code],0))</f>
        <v>Global Natural Gas use in the Chemicals: Others technology</v>
      </c>
      <c r="E1892" s="242"/>
      <c r="F1892" s="121" t="s">
        <v>1601</v>
      </c>
      <c r="G1892" s="242" t="s">
        <v>1964</v>
      </c>
      <c r="H1892" s="242"/>
      <c r="I1892" s="318">
        <f t="array" aca="1" ref="I1892"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5.824527824760918</v>
      </c>
      <c r="J1892" s="318">
        <f t="array" aca="1" ref="J1892"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5.8842665716815432</v>
      </c>
      <c r="K1892" s="318">
        <f t="array" aca="1" ref="K1892"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5.958940005332324</v>
      </c>
      <c r="L1892" s="318">
        <f t="array" aca="1" ref="L1892"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6.0336134389831049</v>
      </c>
      <c r="M1892" s="318">
        <f t="array" aca="1" ref="M1892"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6.1082868726338857</v>
      </c>
      <c r="N1892" s="318">
        <f t="array" aca="1" ref="N1892"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6.1829603062846665</v>
      </c>
      <c r="O1892" s="318">
        <f t="array" aca="1" ref="O1892"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6.2576337399354491</v>
      </c>
      <c r="P1892" s="318">
        <f t="array" aca="1" ref="P1892"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6.33230717358623</v>
      </c>
      <c r="Q1892" s="318">
        <f t="array" aca="1" ref="Q1892"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6.4069806072370108</v>
      </c>
      <c r="R1892" s="121"/>
      <c r="S1892" s="179"/>
      <c r="T1892" s="251"/>
      <c r="V1892" s="179"/>
      <c r="W1892" s="179"/>
    </row>
    <row r="1893" spans="1:23" s="65" customFormat="1" ht="15" customHeight="1" outlineLevel="2">
      <c r="A1893" s="219"/>
      <c r="B1893" s="242"/>
      <c r="C1893" s="413" t="s">
        <v>1843</v>
      </c>
      <c r="D1893" s="121" t="str">
        <f>INDEX(Regional.Technologies[Description],MATCH($B$2&amp;"."&amp;G.30.assumptions.EnergyDemandAfterAlternativeFuels[[#This Row],[Technology code]],Regional.Technologies[Code],0))</f>
        <v>Global Solid Hydrocarbons use in the Chemicals: Others technology</v>
      </c>
      <c r="E1893" s="242"/>
      <c r="F1893" s="121" t="s">
        <v>1601</v>
      </c>
      <c r="G1893" s="242" t="s">
        <v>1964</v>
      </c>
      <c r="H1893" s="242"/>
      <c r="I1893" s="318">
        <f t="array" aca="1" ref="I189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0.16313870478909601</v>
      </c>
      <c r="J1893" s="318">
        <f t="array" aca="1" ref="J189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0.16481192227411237</v>
      </c>
      <c r="K1893" s="318">
        <f t="array" aca="1" ref="K189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0.16690344413038283</v>
      </c>
      <c r="L1893" s="318">
        <f t="array" aca="1" ref="L189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0.16899496598665331</v>
      </c>
      <c r="M1893" s="318">
        <f t="array" aca="1" ref="M189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0.17108648784292377</v>
      </c>
      <c r="N1893" s="318">
        <f t="array" aca="1" ref="N189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0.17317800969919422</v>
      </c>
      <c r="O1893" s="318">
        <f t="array" aca="1" ref="O189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0.17526953155546471</v>
      </c>
      <c r="P1893" s="318">
        <f t="array" aca="1" ref="P189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0.17736105341173516</v>
      </c>
      <c r="Q1893" s="318">
        <f t="array" aca="1" ref="Q189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0.17945257526800562</v>
      </c>
      <c r="R1893" s="121"/>
      <c r="S1893" s="179"/>
      <c r="T1893" s="251"/>
      <c r="V1893" s="179"/>
      <c r="W1893" s="179"/>
    </row>
    <row r="1894" spans="1:23" s="65" customFormat="1" ht="15" customHeight="1" outlineLevel="2">
      <c r="A1894" s="219"/>
      <c r="B1894" s="242"/>
      <c r="C1894" s="413" t="s">
        <v>1844</v>
      </c>
      <c r="D1894" s="121" t="str">
        <f>INDEX(Regional.Technologies[Description],MATCH($B$2&amp;"."&amp;G.30.assumptions.EnergyDemandAfterAlternativeFuels[[#This Row],[Technology code]],Regional.Technologies[Code],0))</f>
        <v>Global Heat use in the Chemicals: Others technology</v>
      </c>
      <c r="E1894" s="242"/>
      <c r="F1894" s="121" t="s">
        <v>1601</v>
      </c>
      <c r="G1894" s="242" t="s">
        <v>1964</v>
      </c>
      <c r="H1894" s="242"/>
      <c r="I1894" s="318">
        <f t="array" aca="1" ref="I1894"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1.9701384317850921</v>
      </c>
      <c r="J1894" s="318">
        <f t="array" aca="1" ref="J1894"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1.9903449798034007</v>
      </c>
      <c r="K1894" s="318">
        <f t="array" aca="1" ref="K1894"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2.0156031648262864</v>
      </c>
      <c r="L1894" s="318">
        <f t="array" aca="1" ref="L1894"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2.0408613498491723</v>
      </c>
      <c r="M1894" s="318">
        <f t="array" aca="1" ref="M1894"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2.0661195348720582</v>
      </c>
      <c r="N1894" s="318">
        <f t="array" aca="1" ref="N1894"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2.0913777198949437</v>
      </c>
      <c r="O1894" s="318">
        <f t="array" aca="1" ref="O1894"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2.11663590491783</v>
      </c>
      <c r="P1894" s="318">
        <f t="array" aca="1" ref="P1894"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2.141894089940716</v>
      </c>
      <c r="Q1894" s="318">
        <f t="array" aca="1" ref="Q1894"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2.1671522749636014</v>
      </c>
      <c r="R1894" s="121"/>
      <c r="S1894" s="179"/>
      <c r="T1894" s="251"/>
      <c r="V1894" s="179"/>
      <c r="W1894" s="179"/>
    </row>
    <row r="1895" spans="1:23" s="65" customFormat="1" ht="15" customHeight="1" outlineLevel="2">
      <c r="A1895" s="219"/>
      <c r="B1895" s="242"/>
      <c r="C1895" s="413" t="s">
        <v>1845</v>
      </c>
      <c r="D1895" s="121" t="str">
        <f>INDEX(Regional.Technologies[Description],MATCH($B$2&amp;"."&amp;G.30.assumptions.EnergyDemandAfterAlternativeFuels[[#This Row],[Technology code]],Regional.Technologies[Code],0))</f>
        <v>Global Electricity use in the Pulp &amp; paper: Pulp technology</v>
      </c>
      <c r="E1895" s="242"/>
      <c r="F1895" s="121" t="s">
        <v>1447</v>
      </c>
      <c r="G1895" s="242" t="s">
        <v>1954</v>
      </c>
      <c r="H1895" s="242"/>
      <c r="I1895" s="318">
        <f t="array" aca="1" ref="I189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0.6926252422696052</v>
      </c>
      <c r="J1895" s="318">
        <f t="array" aca="1" ref="J189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0.69972909090826785</v>
      </c>
      <c r="K1895" s="318">
        <f t="array" aca="1" ref="K189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0.70860890170659607</v>
      </c>
      <c r="L1895" s="318">
        <f t="array" aca="1" ref="L189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0.71748871250492463</v>
      </c>
      <c r="M1895" s="318">
        <f t="array" aca="1" ref="M189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0.72636852330325274</v>
      </c>
      <c r="N1895" s="318">
        <f t="array" aca="1" ref="N189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0.73524833410158097</v>
      </c>
      <c r="O1895" s="318">
        <f t="array" aca="1" ref="O189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0.74412814489990942</v>
      </c>
      <c r="P1895" s="318">
        <f t="array" aca="1" ref="P189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0.75300795569823764</v>
      </c>
      <c r="Q1895" s="318">
        <f t="array" aca="1" ref="Q189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0.76188776649656575</v>
      </c>
      <c r="R1895" s="121"/>
      <c r="S1895" s="179"/>
      <c r="T1895" s="251"/>
      <c r="V1895" s="179"/>
      <c r="W1895" s="179"/>
    </row>
    <row r="1896" spans="1:23" s="65" customFormat="1" ht="15" customHeight="1" outlineLevel="2">
      <c r="A1896" s="219"/>
      <c r="B1896" s="242"/>
      <c r="C1896" s="413" t="s">
        <v>1846</v>
      </c>
      <c r="D1896" s="121" t="str">
        <f>INDEX(Regional.Technologies[Description],MATCH($B$2&amp;"."&amp;G.30.assumptions.EnergyDemandAfterAlternativeFuels[[#This Row],[Technology code]],Regional.Technologies[Code],0))</f>
        <v>Global Coal use in the Pulp &amp; paper: Pulp technology</v>
      </c>
      <c r="E1896" s="242"/>
      <c r="F1896" s="121" t="s">
        <v>1447</v>
      </c>
      <c r="G1896" s="242" t="s">
        <v>1954</v>
      </c>
      <c r="H1896" s="242" t="s">
        <v>2169</v>
      </c>
      <c r="I1896" s="318">
        <f ca="1">SUMIF(G.30.assumptions.EnergyDemandAfterProcessImprovements[.],G.30.assumptions.EnergyDemandAfterAlternativeFuels[[#This Row],[.]],INDIRECT("G.30.assumptions.EnergyDemandAfterProcessImprovements["&amp;I$1834&amp;"]"))
-SUM(I1895,I1897:I1900)</f>
        <v>0.59772552046925531</v>
      </c>
      <c r="J1896" s="318">
        <f ca="1">SUMIF(G.30.assumptions.EnergyDemandAfterProcessImprovements[.],G.30.assumptions.EnergyDemandAfterAlternativeFuels[[#This Row],[.]],INDIRECT("G.30.assumptions.EnergyDemandAfterProcessImprovements["&amp;J$1834&amp;"]"))
-SUM(J1895,J1897:J1900)</f>
        <v>0.60385603862791459</v>
      </c>
      <c r="K1896" s="318">
        <f ca="1">SUMIF(G.30.assumptions.EnergyDemandAfterProcessImprovements[.],G.30.assumptions.EnergyDemandAfterAlternativeFuels[[#This Row],[.]],INDIRECT("G.30.assumptions.EnergyDemandAfterProcessImprovements["&amp;K$1834&amp;"]"))
-SUM(K1895,K1897:K1900)</f>
        <v>0.61151918632623792</v>
      </c>
      <c r="L1896" s="318">
        <f ca="1">SUMIF(G.30.assumptions.EnergyDemandAfterProcessImprovements[.],G.30.assumptions.EnergyDemandAfterAlternativeFuels[[#This Row],[.]],INDIRECT("G.30.assumptions.EnergyDemandAfterProcessImprovements["&amp;L$1834&amp;"]"))
-SUM(L1895,L1897:L1900)</f>
        <v>0.61918233402456213</v>
      </c>
      <c r="M1896" s="318">
        <f ca="1">SUMIF(G.30.assumptions.EnergyDemandAfterProcessImprovements[.],G.30.assumptions.EnergyDemandAfterAlternativeFuels[[#This Row],[.]],INDIRECT("G.30.assumptions.EnergyDemandAfterProcessImprovements["&amp;M$1834&amp;"]"))
-SUM(M1895,M1897:M1900)</f>
        <v>0.62684548172288546</v>
      </c>
      <c r="N1896" s="318">
        <f ca="1">SUMIF(G.30.assumptions.EnergyDemandAfterProcessImprovements[.],G.30.assumptions.EnergyDemandAfterAlternativeFuels[[#This Row],[.]],INDIRECT("G.30.assumptions.EnergyDemandAfterProcessImprovements["&amp;N$1834&amp;"]"))
-SUM(N1895,N1897:N1900)</f>
        <v>0.63450862942120967</v>
      </c>
      <c r="O1896" s="318">
        <f ca="1">SUMIF(G.30.assumptions.EnergyDemandAfterProcessImprovements[.],G.30.assumptions.EnergyDemandAfterAlternativeFuels[[#This Row],[.]],INDIRECT("G.30.assumptions.EnergyDemandAfterProcessImprovements["&amp;O$1834&amp;"]"))
-SUM(O1895,O1897:O1900)</f>
        <v>0.64217177711953344</v>
      </c>
      <c r="P1896" s="318">
        <f ca="1">SUMIF(G.30.assumptions.EnergyDemandAfterProcessImprovements[.],G.30.assumptions.EnergyDemandAfterAlternativeFuels[[#This Row],[.]],INDIRECT("G.30.assumptions.EnergyDemandAfterProcessImprovements["&amp;P$1834&amp;"]"))
-SUM(P1895,P1897:P1900)</f>
        <v>0.64983492481785721</v>
      </c>
      <c r="Q1896" s="318">
        <f ca="1">SUMIF(G.30.assumptions.EnergyDemandAfterProcessImprovements[.],G.30.assumptions.EnergyDemandAfterAlternativeFuels[[#This Row],[.]],INDIRECT("G.30.assumptions.EnergyDemandAfterProcessImprovements["&amp;Q$1834&amp;"]"))
-SUM(Q1895,Q1897:Q1900)</f>
        <v>0.65749807251618186</v>
      </c>
      <c r="R1896" s="121"/>
      <c r="S1896" s="179"/>
      <c r="T1896" s="251"/>
      <c r="V1896" s="179"/>
      <c r="W1896" s="179"/>
    </row>
    <row r="1897" spans="1:23" s="65" customFormat="1" ht="15" customHeight="1" outlineLevel="2">
      <c r="A1897" s="219"/>
      <c r="B1897" s="242"/>
      <c r="C1897" s="413" t="s">
        <v>1847</v>
      </c>
      <c r="D1897" s="121" t="str">
        <f>INDEX(Regional.Technologies[Description],MATCH($B$2&amp;"."&amp;G.30.assumptions.EnergyDemandAfterAlternativeFuels[[#This Row],[Technology code]],Regional.Technologies[Code],0))</f>
        <v>Global Oil use in the Pulp &amp; paper: Pulp technology</v>
      </c>
      <c r="E1897" s="242"/>
      <c r="F1897" s="121" t="s">
        <v>1447</v>
      </c>
      <c r="G1897" s="242" t="s">
        <v>1954</v>
      </c>
      <c r="H1897" s="242"/>
      <c r="I1897" s="318">
        <f t="array" aca="1" ref="I189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0.18690202814673121</v>
      </c>
      <c r="J1897" s="318">
        <f t="array" aca="1" ref="J189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0.18881897202515924</v>
      </c>
      <c r="K1897" s="318">
        <f t="array" aca="1" ref="K189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0.19121515187319424</v>
      </c>
      <c r="L1897" s="318">
        <f t="array" aca="1" ref="L189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0.19361133172122932</v>
      </c>
      <c r="M1897" s="318">
        <f t="array" aca="1" ref="M189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0.1960075115692643</v>
      </c>
      <c r="N1897" s="318">
        <f t="array" aca="1" ref="N189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0.1984036914172993</v>
      </c>
      <c r="O1897" s="318">
        <f t="array" aca="1" ref="O189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0.20079987126533438</v>
      </c>
      <c r="P1897" s="318">
        <f t="array" aca="1" ref="P189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0.20319605111336939</v>
      </c>
      <c r="Q1897" s="318">
        <f t="array" aca="1" ref="Q189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0.20559223096140436</v>
      </c>
      <c r="R1897" s="121"/>
      <c r="S1897" s="179"/>
      <c r="T1897" s="251"/>
      <c r="V1897" s="179"/>
      <c r="W1897" s="179"/>
    </row>
    <row r="1898" spans="1:23" s="65" customFormat="1" ht="15" customHeight="1" outlineLevel="2">
      <c r="A1898" s="219"/>
      <c r="B1898" s="242"/>
      <c r="C1898" s="413" t="s">
        <v>1848</v>
      </c>
      <c r="D1898" s="121" t="str">
        <f>INDEX(Regional.Technologies[Description],MATCH($B$2&amp;"."&amp;G.30.assumptions.EnergyDemandAfterAlternativeFuels[[#This Row],[Technology code]],Regional.Technologies[Code],0))</f>
        <v>Global Natural Gas use in the Pulp &amp; paper: Pulp technology</v>
      </c>
      <c r="E1898" s="242"/>
      <c r="F1898" s="121" t="s">
        <v>1447</v>
      </c>
      <c r="G1898" s="242" t="s">
        <v>1954</v>
      </c>
      <c r="H1898" s="242"/>
      <c r="I1898" s="318">
        <f t="array" aca="1" ref="I1898"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0.44180526117246138</v>
      </c>
      <c r="J1898" s="318">
        <f t="array" aca="1" ref="J1898"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0.44633659718448665</v>
      </c>
      <c r="K1898" s="318">
        <f t="array" aca="1" ref="K1898"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0.45200076719951815</v>
      </c>
      <c r="L1898" s="318">
        <f t="array" aca="1" ref="L1898"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0.45766493721454987</v>
      </c>
      <c r="M1898" s="318">
        <f t="array" aca="1" ref="M1898"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0.46332910722958137</v>
      </c>
      <c r="N1898" s="318">
        <f t="array" aca="1" ref="N1898"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0.46899327724461287</v>
      </c>
      <c r="O1898" s="318">
        <f t="array" aca="1" ref="O1898"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0.47465744725964454</v>
      </c>
      <c r="P1898" s="318">
        <f t="array" aca="1" ref="P1898"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0.48032161727467609</v>
      </c>
      <c r="Q1898" s="318">
        <f t="array" aca="1" ref="Q1898"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0.48598578728970754</v>
      </c>
      <c r="R1898" s="121"/>
      <c r="S1898" s="179"/>
      <c r="T1898" s="251"/>
      <c r="V1898" s="179"/>
      <c r="W1898" s="179"/>
    </row>
    <row r="1899" spans="1:23" s="65" customFormat="1" ht="15" customHeight="1" outlineLevel="2">
      <c r="A1899" s="219"/>
      <c r="B1899" s="242"/>
      <c r="C1899" s="413" t="s">
        <v>1849</v>
      </c>
      <c r="D1899" s="121" t="str">
        <f>INDEX(Regional.Technologies[Description],MATCH($B$2&amp;"."&amp;G.30.assumptions.EnergyDemandAfterAlternativeFuels[[#This Row],[Technology code]],Regional.Technologies[Code],0))</f>
        <v>Global Solid Hydrocarbons use in the Pulp &amp; paper: Pulp technology</v>
      </c>
      <c r="E1899" s="242"/>
      <c r="F1899" s="121" t="s">
        <v>1447</v>
      </c>
      <c r="G1899" s="242" t="s">
        <v>1954</v>
      </c>
      <c r="H1899" s="242"/>
      <c r="I1899" s="318">
        <f t="array" aca="1" ref="I189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1.1015070797346034</v>
      </c>
      <c r="J1899" s="318">
        <f t="array" aca="1" ref="J189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1.1128045882447017</v>
      </c>
      <c r="K1899" s="318">
        <f t="array" aca="1" ref="K189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1.1269264738823248</v>
      </c>
      <c r="L1899" s="318">
        <f t="array" aca="1" ref="L189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1.1410483595199483</v>
      </c>
      <c r="M1899" s="318">
        <f t="array" aca="1" ref="M189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1.1551702451575714</v>
      </c>
      <c r="N1899" s="318">
        <f t="array" aca="1" ref="N189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1.1692921307951945</v>
      </c>
      <c r="O1899" s="318">
        <f t="array" aca="1" ref="O189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1.1834140164328177</v>
      </c>
      <c r="P1899" s="318">
        <f t="array" aca="1" ref="P189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1.1975359020704408</v>
      </c>
      <c r="Q1899" s="318">
        <f t="array" aca="1" ref="Q189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1.2116577877080636</v>
      </c>
      <c r="R1899" s="121"/>
      <c r="S1899" s="179"/>
      <c r="T1899" s="251"/>
      <c r="V1899" s="179"/>
      <c r="W1899" s="179"/>
    </row>
    <row r="1900" spans="1:23" s="65" customFormat="1" ht="15" customHeight="1" outlineLevel="2">
      <c r="A1900" s="219"/>
      <c r="B1900" s="242"/>
      <c r="C1900" s="413" t="s">
        <v>1850</v>
      </c>
      <c r="D1900" s="121" t="str">
        <f>INDEX(Regional.Technologies[Description],MATCH($B$2&amp;"."&amp;G.30.assumptions.EnergyDemandAfterAlternativeFuels[[#This Row],[Technology code]],Regional.Technologies[Code],0))</f>
        <v>Global Heat use in the Pulp &amp; paper: Pulp technology</v>
      </c>
      <c r="E1900" s="242"/>
      <c r="F1900" s="121" t="s">
        <v>1447</v>
      </c>
      <c r="G1900" s="242" t="s">
        <v>1954</v>
      </c>
      <c r="H1900" s="242"/>
      <c r="I1900" s="318">
        <f t="array" aca="1" ref="I1900"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900" s="318">
        <f t="array" aca="1" ref="J1900"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900" s="318">
        <f t="array" aca="1" ref="K1900"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900" s="318">
        <f t="array" aca="1" ref="L1900"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900" s="318">
        <f t="array" aca="1" ref="M1900"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900" s="318">
        <f t="array" aca="1" ref="N1900"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900" s="318">
        <f t="array" aca="1" ref="O1900"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900" s="318">
        <f t="array" aca="1" ref="P1900"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900" s="318">
        <f t="array" aca="1" ref="Q1900"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900" s="121"/>
      <c r="S1900" s="179"/>
      <c r="T1900" s="251"/>
      <c r="V1900" s="179"/>
      <c r="W1900" s="179"/>
    </row>
    <row r="1901" spans="1:23" s="65" customFormat="1" ht="15" customHeight="1" outlineLevel="2">
      <c r="A1901" s="219"/>
      <c r="B1901" s="242"/>
      <c r="C1901" s="413" t="s">
        <v>1631</v>
      </c>
      <c r="D1901" s="121" t="str">
        <f>INDEX(Regional.Technologies[Description],MATCH($B$2&amp;"."&amp;G.30.assumptions.EnergyDemandAfterAlternativeFuels[[#This Row],[Technology code]],Regional.Technologies[Code],0))</f>
        <v>Global Electricity use in the Pulp &amp; paper: Virgin technology</v>
      </c>
      <c r="E1901" s="242"/>
      <c r="F1901" s="121" t="s">
        <v>1447</v>
      </c>
      <c r="G1901" s="242" t="s">
        <v>1955</v>
      </c>
      <c r="H1901" s="242"/>
      <c r="I1901" s="318">
        <f t="array" aca="1" ref="I190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0.96830205621334242</v>
      </c>
      <c r="J1901" s="318">
        <f t="array" aca="1" ref="J190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0.97823335935399203</v>
      </c>
      <c r="K1901" s="318">
        <f t="array" aca="1" ref="K190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0.99064748827980409</v>
      </c>
      <c r="L1901" s="318">
        <f t="array" aca="1" ref="L190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1.0030616172056164</v>
      </c>
      <c r="M1901" s="318">
        <f t="array" aca="1" ref="M190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1.0154757461314283</v>
      </c>
      <c r="N1901" s="318">
        <f t="array" aca="1" ref="N190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1.0278898750572405</v>
      </c>
      <c r="O1901" s="318">
        <f t="array" aca="1" ref="O190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1.0403040039830527</v>
      </c>
      <c r="P1901" s="318">
        <f t="array" aca="1" ref="P190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1.0527181329088646</v>
      </c>
      <c r="Q1901" s="318">
        <f t="array" aca="1" ref="Q190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1.0651322618346766</v>
      </c>
      <c r="R1901" s="121"/>
      <c r="S1901" s="179"/>
      <c r="T1901" s="251"/>
      <c r="V1901" s="179"/>
      <c r="W1901" s="179"/>
    </row>
    <row r="1902" spans="1:23" s="65" customFormat="1" ht="15" customHeight="1" outlineLevel="2">
      <c r="A1902" s="219"/>
      <c r="B1902" s="242"/>
      <c r="C1902" s="413" t="s">
        <v>1851</v>
      </c>
      <c r="D1902" s="121" t="str">
        <f>INDEX(Regional.Technologies[Description],MATCH($B$2&amp;"."&amp;G.30.assumptions.EnergyDemandAfterAlternativeFuels[[#This Row],[Technology code]],Regional.Technologies[Code],0))</f>
        <v>Global Coal use in the Pulp &amp; paper: Virgin technology</v>
      </c>
      <c r="E1902" s="242"/>
      <c r="F1902" s="121" t="s">
        <v>1447</v>
      </c>
      <c r="G1902" s="242" t="s">
        <v>1955</v>
      </c>
      <c r="H1902" s="242" t="s">
        <v>2169</v>
      </c>
      <c r="I1902" s="318">
        <f ca="1">SUMIF(G.30.assumptions.EnergyDemandAfterProcessImprovements[.],G.30.assumptions.EnergyDemandAfterAlternativeFuels[[#This Row],[.]],INDIRECT("G.30.assumptions.EnergyDemandAfterProcessImprovements["&amp;I$1834&amp;"]"))
-SUM(I1901,I1903:I1906)</f>
        <v>0.77413991162387541</v>
      </c>
      <c r="J1902" s="318">
        <f ca="1">SUMIF(G.30.assumptions.EnergyDemandAfterProcessImprovements[.],G.30.assumptions.EnergyDemandAfterAlternativeFuels[[#This Row],[.]],INDIRECT("G.30.assumptions.EnergyDemandAfterProcessImprovements["&amp;J$1834&amp;"]"))
-SUM(J1901,J1903:J1906)</f>
        <v>0.78207980815335132</v>
      </c>
      <c r="K1902" s="318">
        <f ca="1">SUMIF(G.30.assumptions.EnergyDemandAfterProcessImprovements[.],G.30.assumptions.EnergyDemandAfterAlternativeFuels[[#This Row],[.]],INDIRECT("G.30.assumptions.EnergyDemandAfterProcessImprovements["&amp;K$1834&amp;"]"))
-SUM(K1901,K1903:K1906)</f>
        <v>0.79200467881519554</v>
      </c>
      <c r="L1902" s="318">
        <f ca="1">SUMIF(G.30.assumptions.EnergyDemandAfterProcessImprovements[.],G.30.assumptions.EnergyDemandAfterAlternativeFuels[[#This Row],[.]],INDIRECT("G.30.assumptions.EnergyDemandAfterProcessImprovements["&amp;L$1834&amp;"]"))
-SUM(L1901,L1903:L1906)</f>
        <v>0.80192954947704065</v>
      </c>
      <c r="M1902" s="318">
        <f ca="1">SUMIF(G.30.assumptions.EnergyDemandAfterProcessImprovements[.],G.30.assumptions.EnergyDemandAfterAlternativeFuels[[#This Row],[.]],INDIRECT("G.30.assumptions.EnergyDemandAfterProcessImprovements["&amp;M$1834&amp;"]"))
-SUM(M1901,M1903:M1906)</f>
        <v>0.81185442013888398</v>
      </c>
      <c r="N1902" s="318">
        <f ca="1">SUMIF(G.30.assumptions.EnergyDemandAfterProcessImprovements[.],G.30.assumptions.EnergyDemandAfterAlternativeFuels[[#This Row],[.]],INDIRECT("G.30.assumptions.EnergyDemandAfterProcessImprovements["&amp;N$1834&amp;"]"))
-SUM(N1901,N1903:N1906)</f>
        <v>0.82177929080072953</v>
      </c>
      <c r="O1902" s="318">
        <f ca="1">SUMIF(G.30.assumptions.EnergyDemandAfterProcessImprovements[.],G.30.assumptions.EnergyDemandAfterAlternativeFuels[[#This Row],[.]],INDIRECT("G.30.assumptions.EnergyDemandAfterProcessImprovements["&amp;O$1834&amp;"]"))
-SUM(O1901,O1903:O1906)</f>
        <v>0.8317041614625742</v>
      </c>
      <c r="P1902" s="318">
        <f ca="1">SUMIF(G.30.assumptions.EnergyDemandAfterProcessImprovements[.],G.30.assumptions.EnergyDemandAfterAlternativeFuels[[#This Row],[.]],INDIRECT("G.30.assumptions.EnergyDemandAfterProcessImprovements["&amp;P$1834&amp;"]"))
-SUM(P1901,P1903:P1906)</f>
        <v>0.84162903212441842</v>
      </c>
      <c r="Q1902" s="318">
        <f ca="1">SUMIF(G.30.assumptions.EnergyDemandAfterProcessImprovements[.],G.30.assumptions.EnergyDemandAfterAlternativeFuels[[#This Row],[.]],INDIRECT("G.30.assumptions.EnergyDemandAfterProcessImprovements["&amp;Q$1834&amp;"]"))
-SUM(Q1901,Q1903:Q1906)</f>
        <v>0.85155390278626353</v>
      </c>
      <c r="R1902" s="121"/>
      <c r="S1902" s="179"/>
      <c r="T1902" s="251"/>
      <c r="V1902" s="179"/>
      <c r="W1902" s="179"/>
    </row>
    <row r="1903" spans="1:23" s="65" customFormat="1" ht="15" customHeight="1" outlineLevel="2">
      <c r="A1903" s="219"/>
      <c r="B1903" s="242"/>
      <c r="C1903" s="413" t="s">
        <v>1852</v>
      </c>
      <c r="D1903" s="121" t="str">
        <f>INDEX(Regional.Technologies[Description],MATCH($B$2&amp;"."&amp;G.30.assumptions.EnergyDemandAfterAlternativeFuels[[#This Row],[Technology code]],Regional.Technologies[Code],0))</f>
        <v>Global Oil use in the Pulp &amp; paper: Virgin technology</v>
      </c>
      <c r="E1903" s="242"/>
      <c r="F1903" s="121" t="s">
        <v>1447</v>
      </c>
      <c r="G1903" s="242" t="s">
        <v>1955</v>
      </c>
      <c r="H1903" s="242"/>
      <c r="I1903" s="318">
        <f t="array" aca="1" ref="I190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0.17969717966158166</v>
      </c>
      <c r="J1903" s="318">
        <f t="array" aca="1" ref="J190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0.1815402276581107</v>
      </c>
      <c r="K1903" s="318">
        <f t="array" aca="1" ref="K190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0.18384403765377202</v>
      </c>
      <c r="L1903" s="318">
        <f t="array" aca="1" ref="L190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0.18614784764943337</v>
      </c>
      <c r="M1903" s="318">
        <f t="array" aca="1" ref="M190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0.18845165764509464</v>
      </c>
      <c r="N1903" s="318">
        <f t="array" aca="1" ref="N190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0.19075546764075593</v>
      </c>
      <c r="O1903" s="318">
        <f t="array" aca="1" ref="O190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0.19305927763641725</v>
      </c>
      <c r="P1903" s="318">
        <f t="array" aca="1" ref="P190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0.19536308763207857</v>
      </c>
      <c r="Q1903" s="318">
        <f t="array" aca="1" ref="Q190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0.19766689762773984</v>
      </c>
      <c r="R1903" s="121"/>
      <c r="S1903" s="179"/>
      <c r="T1903" s="251"/>
      <c r="V1903" s="179"/>
      <c r="W1903" s="179"/>
    </row>
    <row r="1904" spans="1:23" s="65" customFormat="1" ht="15" customHeight="1" outlineLevel="2">
      <c r="A1904" s="219"/>
      <c r="B1904" s="242"/>
      <c r="C1904" s="413" t="s">
        <v>1853</v>
      </c>
      <c r="D1904" s="121" t="str">
        <f>INDEX(Regional.Technologies[Description],MATCH($B$2&amp;"."&amp;G.30.assumptions.EnergyDemandAfterAlternativeFuels[[#This Row],[Technology code]],Regional.Technologies[Code],0))</f>
        <v>Global Natural Gas use in the Pulp &amp; paper: Virgin technology</v>
      </c>
      <c r="E1904" s="242"/>
      <c r="F1904" s="121" t="s">
        <v>1447</v>
      </c>
      <c r="G1904" s="242" t="s">
        <v>1955</v>
      </c>
      <c r="H1904" s="242"/>
      <c r="I1904" s="318">
        <f t="array" aca="1" ref="I1904"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0.45387282618987917</v>
      </c>
      <c r="J1904" s="318">
        <f t="array" aca="1" ref="J1904"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0.45852793209951892</v>
      </c>
      <c r="K1904" s="318">
        <f t="array" aca="1" ref="K1904"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0.46434681448656867</v>
      </c>
      <c r="L1904" s="318">
        <f t="array" aca="1" ref="L1904"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0.47016569687361848</v>
      </c>
      <c r="M1904" s="318">
        <f t="array" aca="1" ref="M1904"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0.47598457926066817</v>
      </c>
      <c r="N1904" s="318">
        <f t="array" aca="1" ref="N1904"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0.48180346164771787</v>
      </c>
      <c r="O1904" s="318">
        <f t="array" aca="1" ref="O1904"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0.48762234403476767</v>
      </c>
      <c r="P1904" s="318">
        <f t="array" aca="1" ref="P1904"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0.49344122642181742</v>
      </c>
      <c r="Q1904" s="318">
        <f t="array" aca="1" ref="Q1904"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0.49926010880886706</v>
      </c>
      <c r="R1904" s="121"/>
      <c r="S1904" s="179"/>
      <c r="T1904" s="251"/>
      <c r="V1904" s="179"/>
      <c r="W1904" s="179"/>
    </row>
    <row r="1905" spans="1:24" s="65" customFormat="1" ht="15" customHeight="1" outlineLevel="2">
      <c r="A1905" s="219"/>
      <c r="B1905" s="242"/>
      <c r="C1905" s="413" t="s">
        <v>1854</v>
      </c>
      <c r="D1905" s="121" t="str">
        <f>INDEX(Regional.Technologies[Description],MATCH($B$2&amp;"."&amp;G.30.assumptions.EnergyDemandAfterAlternativeFuels[[#This Row],[Technology code]],Regional.Technologies[Code],0))</f>
        <v>Global Solid Hydrocarbons use in the Pulp &amp; paper: Virgin technology</v>
      </c>
      <c r="E1905" s="242"/>
      <c r="F1905" s="121" t="s">
        <v>1447</v>
      </c>
      <c r="G1905" s="242" t="s">
        <v>1955</v>
      </c>
      <c r="H1905" s="242"/>
      <c r="I1905" s="318">
        <f t="array" aca="1" ref="I190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0.68393967671459854</v>
      </c>
      <c r="J1905" s="318">
        <f t="array" aca="1" ref="J190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0.69095444262962002</v>
      </c>
      <c r="K1905" s="318">
        <f t="array" aca="1" ref="K190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0.69972290002339688</v>
      </c>
      <c r="L1905" s="318">
        <f t="array" aca="1" ref="L190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0.70849135741717395</v>
      </c>
      <c r="M1905" s="318">
        <f t="array" aca="1" ref="M190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0.7172598148109508</v>
      </c>
      <c r="N1905" s="318">
        <f t="array" aca="1" ref="N190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0.72602827220472765</v>
      </c>
      <c r="O1905" s="318">
        <f t="array" aca="1" ref="O190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0.73479672959850462</v>
      </c>
      <c r="P1905" s="318">
        <f t="array" aca="1" ref="P190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0.74356518699228158</v>
      </c>
      <c r="Q1905" s="318">
        <f t="array" aca="1" ref="Q190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0.75233364438605832</v>
      </c>
      <c r="R1905" s="121"/>
      <c r="S1905" s="179"/>
      <c r="T1905" s="251"/>
      <c r="V1905" s="179"/>
      <c r="W1905" s="179"/>
    </row>
    <row r="1906" spans="1:24" s="65" customFormat="1" ht="15" customHeight="1" outlineLevel="2">
      <c r="A1906" s="219"/>
      <c r="B1906" s="242"/>
      <c r="C1906" s="413" t="s">
        <v>1855</v>
      </c>
      <c r="D1906" s="121" t="str">
        <f>INDEX(Regional.Technologies[Description],MATCH($B$2&amp;"."&amp;G.30.assumptions.EnergyDemandAfterAlternativeFuels[[#This Row],[Technology code]],Regional.Technologies[Code],0))</f>
        <v>Global Heat use in the Pulp &amp; paper: Virgin technology</v>
      </c>
      <c r="E1906" s="242"/>
      <c r="F1906" s="121" t="s">
        <v>1447</v>
      </c>
      <c r="G1906" s="242" t="s">
        <v>1955</v>
      </c>
      <c r="H1906" s="242"/>
      <c r="I1906" s="318">
        <f t="array" aca="1" ref="I1906"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906" s="318">
        <f t="array" aca="1" ref="J1906"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906" s="318">
        <f t="array" aca="1" ref="K1906"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906" s="318">
        <f t="array" aca="1" ref="L1906"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906" s="318">
        <f t="array" aca="1" ref="M1906"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906" s="318">
        <f t="array" aca="1" ref="N1906"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906" s="318">
        <f t="array" aca="1" ref="O1906"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906" s="318">
        <f t="array" aca="1" ref="P1906"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906" s="318">
        <f t="array" aca="1" ref="Q1906"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906" s="121"/>
      <c r="S1906" s="179"/>
      <c r="T1906" s="251"/>
      <c r="V1906" s="179"/>
      <c r="W1906" s="179"/>
    </row>
    <row r="1907" spans="1:24" s="65" customFormat="1" ht="15" customHeight="1" outlineLevel="2">
      <c r="A1907" s="219"/>
      <c r="B1907" s="242"/>
      <c r="C1907" s="413" t="s">
        <v>1632</v>
      </c>
      <c r="D1907" s="121" t="str">
        <f>INDEX(Regional.Technologies[Description],MATCH($B$2&amp;"."&amp;G.30.assumptions.EnergyDemandAfterAlternativeFuels[[#This Row],[Technology code]],Regional.Technologies[Code],0))</f>
        <v>Global Electricity use in the Pulp &amp; paper: Recycled technology</v>
      </c>
      <c r="E1907" s="242"/>
      <c r="F1907" s="121" t="s">
        <v>1447</v>
      </c>
      <c r="G1907" s="242" t="s">
        <v>1956</v>
      </c>
      <c r="H1907" s="242"/>
      <c r="I1907" s="318">
        <f t="array" aca="1" ref="I190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0.23830379865832832</v>
      </c>
      <c r="J1907" s="318">
        <f t="array" aca="1" ref="J190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0.24074794018302911</v>
      </c>
      <c r="K1907" s="318">
        <f t="array" aca="1" ref="K190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0.24380311708890515</v>
      </c>
      <c r="L1907" s="318">
        <f t="array" aca="1" ref="L190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0.24685829399478118</v>
      </c>
      <c r="M1907" s="318">
        <f t="array" aca="1" ref="M190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0.24991347090065716</v>
      </c>
      <c r="N1907" s="318">
        <f t="array" aca="1" ref="N190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0.25296864780653316</v>
      </c>
      <c r="O1907" s="318">
        <f t="array" aca="1" ref="O190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0.2560238247124092</v>
      </c>
      <c r="P1907" s="318">
        <f t="array" aca="1" ref="P190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0.25907900161828518</v>
      </c>
      <c r="Q1907" s="318">
        <f t="array" aca="1" ref="Q190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0.26213417852416115</v>
      </c>
      <c r="R1907" s="121"/>
      <c r="S1907" s="179"/>
      <c r="T1907" s="251"/>
      <c r="V1907" s="179"/>
      <c r="W1907" s="179"/>
    </row>
    <row r="1908" spans="1:24" s="65" customFormat="1" ht="15" customHeight="1" outlineLevel="2">
      <c r="A1908" s="219"/>
      <c r="B1908" s="242"/>
      <c r="C1908" s="413" t="s">
        <v>1856</v>
      </c>
      <c r="D1908" s="121" t="str">
        <f>INDEX(Regional.Technologies[Description],MATCH($B$2&amp;"."&amp;G.30.assumptions.EnergyDemandAfterAlternativeFuels[[#This Row],[Technology code]],Regional.Technologies[Code],0))</f>
        <v>Global Coal use in the Pulp &amp; paper: Recycled technology</v>
      </c>
      <c r="E1908" s="242"/>
      <c r="F1908" s="121" t="s">
        <v>1447</v>
      </c>
      <c r="G1908" s="242" t="s">
        <v>1956</v>
      </c>
      <c r="H1908" s="242" t="s">
        <v>2169</v>
      </c>
      <c r="I1908" s="318">
        <f ca="1">SUMIF(G.30.assumptions.EnergyDemandAfterProcessImprovements[.],G.30.assumptions.EnergyDemandAfterAlternativeFuels[[#This Row],[.]],INDIRECT("G.30.assumptions.EnergyDemandAfterProcessImprovements["&amp;I$1834&amp;"]"))
-SUM(I1907,I1909:I1912)</f>
        <v>0.14639565534575039</v>
      </c>
      <c r="J1908" s="318">
        <f ca="1">SUMIF(G.30.assumptions.EnergyDemandAfterProcessImprovements[.],G.30.assumptions.EnergyDemandAfterAlternativeFuels[[#This Row],[.]],INDIRECT("G.30.assumptions.EnergyDemandAfterProcessImprovements["&amp;J$1834&amp;"]"))
-SUM(J1907,J1909:J1912)</f>
        <v>0.14789714924673242</v>
      </c>
      <c r="K1908" s="318">
        <f ca="1">SUMIF(G.30.assumptions.EnergyDemandAfterProcessImprovements[.],G.30.assumptions.EnergyDemandAfterAlternativeFuels[[#This Row],[.]],INDIRECT("G.30.assumptions.EnergyDemandAfterProcessImprovements["&amp;K$1834&amp;"]"))
-SUM(K1907,K1909:K1912)</f>
        <v>0.14977401662295986</v>
      </c>
      <c r="L1908" s="318">
        <f ca="1">SUMIF(G.30.assumptions.EnergyDemandAfterProcessImprovements[.],G.30.assumptions.EnergyDemandAfterAlternativeFuels[[#This Row],[.]],INDIRECT("G.30.assumptions.EnergyDemandAfterProcessImprovements["&amp;L$1834&amp;"]"))
-SUM(L1907,L1909:L1912)</f>
        <v>0.15165088399918747</v>
      </c>
      <c r="M1908" s="318">
        <f ca="1">SUMIF(G.30.assumptions.EnergyDemandAfterProcessImprovements[.],G.30.assumptions.EnergyDemandAfterAlternativeFuels[[#This Row],[.]],INDIRECT("G.30.assumptions.EnergyDemandAfterProcessImprovements["&amp;M$1834&amp;"]"))
-SUM(M1907,M1909:M1912)</f>
        <v>0.15352775137541508</v>
      </c>
      <c r="N1908" s="318">
        <f ca="1">SUMIF(G.30.assumptions.EnergyDemandAfterProcessImprovements[.],G.30.assumptions.EnergyDemandAfterAlternativeFuels[[#This Row],[.]],INDIRECT("G.30.assumptions.EnergyDemandAfterProcessImprovements["&amp;N$1834&amp;"]"))
-SUM(N1907,N1909:N1912)</f>
        <v>0.15540461875164274</v>
      </c>
      <c r="O1908" s="318">
        <f ca="1">SUMIF(G.30.assumptions.EnergyDemandAfterProcessImprovements[.],G.30.assumptions.EnergyDemandAfterAlternativeFuels[[#This Row],[.]],INDIRECT("G.30.assumptions.EnergyDemandAfterProcessImprovements["&amp;O$1834&amp;"]"))
-SUM(O1907,O1909:O1912)</f>
        <v>0.15728148612787024</v>
      </c>
      <c r="P1908" s="318">
        <f ca="1">SUMIF(G.30.assumptions.EnergyDemandAfterProcessImprovements[.],G.30.assumptions.EnergyDemandAfterAlternativeFuels[[#This Row],[.]],INDIRECT("G.30.assumptions.EnergyDemandAfterProcessImprovements["&amp;P$1834&amp;"]"))
-SUM(P1907,P1909:P1912)</f>
        <v>0.15915835350409779</v>
      </c>
      <c r="Q1908" s="318">
        <f ca="1">SUMIF(G.30.assumptions.EnergyDemandAfterProcessImprovements[.],G.30.assumptions.EnergyDemandAfterAlternativeFuels[[#This Row],[.]],INDIRECT("G.30.assumptions.EnergyDemandAfterProcessImprovements["&amp;Q$1834&amp;"]"))
-SUM(Q1907,Q1909:Q1912)</f>
        <v>0.16103522088032529</v>
      </c>
      <c r="R1908" s="121"/>
      <c r="S1908" s="179"/>
      <c r="T1908" s="251"/>
      <c r="V1908" s="179"/>
      <c r="W1908" s="179"/>
    </row>
    <row r="1909" spans="1:24" s="65" customFormat="1" ht="15" customHeight="1" outlineLevel="2">
      <c r="A1909" s="219"/>
      <c r="B1909" s="242"/>
      <c r="C1909" s="413" t="s">
        <v>1857</v>
      </c>
      <c r="D1909" s="121" t="str">
        <f>INDEX(Regional.Technologies[Description],MATCH($B$2&amp;"."&amp;G.30.assumptions.EnergyDemandAfterAlternativeFuels[[#This Row],[Technology code]],Regional.Technologies[Code],0))</f>
        <v>Global Oil use in the Pulp &amp; paper: Recycled technology</v>
      </c>
      <c r="E1909" s="242"/>
      <c r="F1909" s="121" t="s">
        <v>1447</v>
      </c>
      <c r="G1909" s="242" t="s">
        <v>1956</v>
      </c>
      <c r="H1909" s="242"/>
      <c r="I1909" s="318">
        <f t="array" aca="1" ref="I190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3.8700157409069846E-2</v>
      </c>
      <c r="J1909" s="318">
        <f t="array" aca="1" ref="J190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3.9097082100444921E-2</v>
      </c>
      <c r="K1909" s="318">
        <f t="array" aca="1" ref="K190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3.9593237964663769E-2</v>
      </c>
      <c r="L1909" s="318">
        <f t="array" aca="1" ref="L190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4.0089393828882623E-2</v>
      </c>
      <c r="M1909" s="318">
        <f t="array" aca="1" ref="M190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4.0585549693101464E-2</v>
      </c>
      <c r="N1909" s="318">
        <f t="array" aca="1" ref="N190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4.1081705557320304E-2</v>
      </c>
      <c r="O1909" s="318">
        <f t="array" aca="1" ref="O190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4.1577861421539151E-2</v>
      </c>
      <c r="P1909" s="318">
        <f t="array" aca="1" ref="P190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4.2074017285757999E-2</v>
      </c>
      <c r="Q1909" s="318">
        <f t="array" aca="1" ref="Q190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4.2570173149976832E-2</v>
      </c>
      <c r="R1909" s="121"/>
      <c r="S1909" s="179"/>
      <c r="T1909" s="251"/>
      <c r="V1909" s="179"/>
      <c r="W1909" s="179"/>
    </row>
    <row r="1910" spans="1:24" s="65" customFormat="1" ht="15" customHeight="1" outlineLevel="2">
      <c r="A1910" s="219"/>
      <c r="B1910" s="242"/>
      <c r="C1910" s="413" t="s">
        <v>1858</v>
      </c>
      <c r="D1910" s="121" t="str">
        <f>INDEX(Regional.Technologies[Description],MATCH($B$2&amp;"."&amp;G.30.assumptions.EnergyDemandAfterAlternativeFuels[[#This Row],[Technology code]],Regional.Technologies[Code],0))</f>
        <v>Global Natural Gas use in the Pulp &amp; paper: Recycled technology</v>
      </c>
      <c r="E1910" s="242"/>
      <c r="F1910" s="121" t="s">
        <v>1447</v>
      </c>
      <c r="G1910" s="242" t="s">
        <v>1956</v>
      </c>
      <c r="H1910" s="242"/>
      <c r="I1910" s="318">
        <f t="array" aca="1" ref="I1910"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0.10744951136080463</v>
      </c>
      <c r="J1910" s="318">
        <f t="array" aca="1" ref="J1910"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0.10855155763117186</v>
      </c>
      <c r="K1910" s="318">
        <f t="array" aca="1" ref="K1910"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0.10992911546913091</v>
      </c>
      <c r="L1910" s="318">
        <f t="array" aca="1" ref="L1910"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0.11130667330708996</v>
      </c>
      <c r="M1910" s="318">
        <f t="array" aca="1" ref="M1910"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0.11268423114504898</v>
      </c>
      <c r="N1910" s="318">
        <f t="array" aca="1" ref="N1910"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0.11406178898300802</v>
      </c>
      <c r="O1910" s="318">
        <f t="array" aca="1" ref="O1910"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0.11543934682096706</v>
      </c>
      <c r="P1910" s="318">
        <f t="array" aca="1" ref="P1910"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0.11681690465892609</v>
      </c>
      <c r="Q1910" s="318">
        <f t="array" aca="1" ref="Q1910"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0.11819446249688512</v>
      </c>
      <c r="R1910" s="121"/>
      <c r="S1910" s="179"/>
      <c r="T1910" s="251"/>
      <c r="V1910" s="179"/>
      <c r="W1910" s="179"/>
    </row>
    <row r="1911" spans="1:24" s="65" customFormat="1" ht="15" customHeight="1" outlineLevel="2">
      <c r="A1911" s="219"/>
      <c r="B1911" s="242"/>
      <c r="C1911" s="413" t="s">
        <v>1859</v>
      </c>
      <c r="D1911" s="121" t="str">
        <f>INDEX(Regional.Technologies[Description],MATCH($B$2&amp;"."&amp;G.30.assumptions.EnergyDemandAfterAlternativeFuels[[#This Row],[Technology code]],Regional.Technologies[Code],0))</f>
        <v>Global Solid Hydrocarbons use in the Pulp &amp; paper: Recycled technology</v>
      </c>
      <c r="E1911" s="242"/>
      <c r="F1911" s="121" t="s">
        <v>1447</v>
      </c>
      <c r="G1911" s="242" t="s">
        <v>1956</v>
      </c>
      <c r="H1911" s="242"/>
      <c r="I1911" s="318">
        <f t="array" aca="1" ref="I191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911" s="318">
        <f t="array" aca="1" ref="J191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911" s="318">
        <f t="array" aca="1" ref="K191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911" s="318">
        <f t="array" aca="1" ref="L191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911" s="318">
        <f t="array" aca="1" ref="M191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911" s="318">
        <f t="array" aca="1" ref="N191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911" s="318">
        <f t="array" aca="1" ref="O191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911" s="318">
        <f t="array" aca="1" ref="P191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911" s="318">
        <f t="array" aca="1" ref="Q191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911" s="121"/>
      <c r="S1911" s="179"/>
      <c r="T1911" s="251"/>
      <c r="V1911" s="179"/>
      <c r="W1911" s="179"/>
    </row>
    <row r="1912" spans="1:24" s="65" customFormat="1" ht="15" customHeight="1" outlineLevel="2">
      <c r="A1912" s="219"/>
      <c r="B1912" s="242"/>
      <c r="C1912" s="413" t="s">
        <v>1860</v>
      </c>
      <c r="D1912" s="121" t="str">
        <f>INDEX(Regional.Technologies[Description],MATCH($B$2&amp;"."&amp;G.30.assumptions.EnergyDemandAfterAlternativeFuels[[#This Row],[Technology code]],Regional.Technologies[Code],0))</f>
        <v>Global Heat use in the Pulp &amp; paper: Recycled technology</v>
      </c>
      <c r="E1912" s="242"/>
      <c r="F1912" s="121" t="s">
        <v>1447</v>
      </c>
      <c r="G1912" s="242" t="s">
        <v>1956</v>
      </c>
      <c r="H1912" s="242"/>
      <c r="I1912" s="318">
        <f t="array" aca="1" ref="I1912"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912" s="318">
        <f t="array" aca="1" ref="J1912"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912" s="318">
        <f t="array" aca="1" ref="K1912"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912" s="318">
        <f t="array" aca="1" ref="L1912"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912" s="318">
        <f t="array" aca="1" ref="M1912"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912" s="318">
        <f t="array" aca="1" ref="N1912"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912" s="318">
        <f t="array" aca="1" ref="O1912"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912" s="318">
        <f t="array" aca="1" ref="P1912"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912" s="318">
        <f t="array" aca="1" ref="Q1912"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912" s="121"/>
      <c r="S1912" s="179"/>
      <c r="T1912" s="251"/>
      <c r="V1912" s="179"/>
      <c r="W1912" s="179"/>
    </row>
    <row r="1913" spans="1:24" s="65" customFormat="1" ht="15" customHeight="1" outlineLevel="2">
      <c r="A1913" s="219"/>
      <c r="B1913" s="242"/>
      <c r="C1913" s="413" t="s">
        <v>1633</v>
      </c>
      <c r="D1913" s="121" t="str">
        <f>INDEX(Regional.Technologies[Description],MATCH($B$2&amp;"."&amp;G.30.assumptions.EnergyDemandAfterAlternativeFuels[[#This Row],[Technology code]],Regional.Technologies[Code],0))</f>
        <v>Global Electricity use in the Cement technology</v>
      </c>
      <c r="E1913" s="242"/>
      <c r="F1913" s="121" t="s">
        <v>1426</v>
      </c>
      <c r="G1913" s="242" t="s">
        <v>1426</v>
      </c>
      <c r="H1913" s="242"/>
      <c r="I1913" s="318">
        <f t="array" aca="1" ref="I191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1.2878995795200781</v>
      </c>
      <c r="J1913" s="318">
        <f t="array" aca="1" ref="J191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1.247729983167394</v>
      </c>
      <c r="K1913" s="318">
        <f t="array" aca="1" ref="K191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1.1959938462123139</v>
      </c>
      <c r="L1913" s="318">
        <f t="array" aca="1" ref="L191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1.1425642186858731</v>
      </c>
      <c r="M1913" s="318">
        <f t="array" aca="1" ref="M191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1.0874411005880709</v>
      </c>
      <c r="N1913" s="318">
        <f t="array" aca="1" ref="N191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1.0306244919189076</v>
      </c>
      <c r="O1913" s="318">
        <f t="array" aca="1" ref="O191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0.97211439267838329</v>
      </c>
      <c r="P1913" s="318">
        <f t="array" aca="1" ref="P191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0.91191080286649806</v>
      </c>
      <c r="Q1913" s="318">
        <f t="array" aca="1" ref="Q191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0.85001372248325158</v>
      </c>
      <c r="R1913" s="121"/>
      <c r="S1913" s="179"/>
      <c r="T1913" s="251"/>
      <c r="V1913" s="179"/>
      <c r="W1913" s="179"/>
    </row>
    <row r="1914" spans="1:24" s="65" customFormat="1" ht="15" customHeight="1" outlineLevel="2">
      <c r="A1914" s="219"/>
      <c r="B1914" s="242"/>
      <c r="C1914" s="413" t="s">
        <v>1861</v>
      </c>
      <c r="D1914" s="121" t="str">
        <f>INDEX(Regional.Technologies[Description],MATCH($B$2&amp;"."&amp;G.30.assumptions.EnergyDemandAfterAlternativeFuels[[#This Row],[Technology code]],Regional.Technologies[Code],0))</f>
        <v>Global Coal use in the Cement technology</v>
      </c>
      <c r="E1914" s="242"/>
      <c r="F1914" s="121" t="s">
        <v>1426</v>
      </c>
      <c r="G1914" s="242" t="s">
        <v>1426</v>
      </c>
      <c r="H1914" s="242" t="s">
        <v>2169</v>
      </c>
      <c r="I1914" s="318">
        <f ca="1">SUMIF(G.30.assumptions.EnergyDemandAfterProcessImprovements[.],G.30.assumptions.EnergyDemandAfterAlternativeFuels[[#This Row],[.]],INDIRECT("G.30.assumptions.EnergyDemandAfterProcessImprovements["&amp;I$1834&amp;"]"))
-SUM(I1913,I1915:I1918)</f>
        <v>6.8409905230434269</v>
      </c>
      <c r="J1914" s="318">
        <f ca="1">SUMIF(G.30.assumptions.EnergyDemandAfterProcessImprovements[.],G.30.assumptions.EnergyDemandAfterAlternativeFuels[[#This Row],[.]],INDIRECT("G.30.assumptions.EnergyDemandAfterProcessImprovements["&amp;J$1834&amp;"]"))
-SUM(J1913,J1915:J1918)</f>
        <v>6.6276199836527798</v>
      </c>
      <c r="K1914" s="318">
        <f ca="1">SUMIF(G.30.assumptions.EnergyDemandAfterProcessImprovements[.],G.30.assumptions.EnergyDemandAfterAlternativeFuels[[#This Row],[.]],INDIRECT("G.30.assumptions.EnergyDemandAfterProcessImprovements["&amp;K$1834&amp;"]"))
-SUM(K1913,K1915:K1918)</f>
        <v>6.3528109626416303</v>
      </c>
      <c r="L1914" s="318">
        <f ca="1">SUMIF(G.30.assumptions.EnergyDemandAfterProcessImprovements[.],G.30.assumptions.EnergyDemandAfterAlternativeFuels[[#This Row],[.]],INDIRECT("G.30.assumptions.EnergyDemandAfterProcessImprovements["&amp;L$1834&amp;"]"))
-SUM(L1913,L1915:L1918)</f>
        <v>6.0690065563273379</v>
      </c>
      <c r="M1914" s="318">
        <f ca="1">SUMIF(G.30.assumptions.EnergyDemandAfterProcessImprovements[.],G.30.assumptions.EnergyDemandAfterAlternativeFuels[[#This Row],[.]],INDIRECT("G.30.assumptions.EnergyDemandAfterProcessImprovements["&amp;M$1834&amp;"]"))
-SUM(M1913,M1915:M1918)</f>
        <v>5.7762067647098974</v>
      </c>
      <c r="N1914" s="318">
        <f ca="1">SUMIF(G.30.assumptions.EnergyDemandAfterProcessImprovements[.],G.30.assumptions.EnergyDemandAfterAlternativeFuels[[#This Row],[.]],INDIRECT("G.30.assumptions.EnergyDemandAfterProcessImprovements["&amp;N$1834&amp;"]"))
-SUM(N1913,N1915:N1918)</f>
        <v>5.4744115877893105</v>
      </c>
      <c r="O1914" s="318">
        <f ca="1">SUMIF(G.30.assumptions.EnergyDemandAfterProcessImprovements[.],G.30.assumptions.EnergyDemandAfterAlternativeFuels[[#This Row],[.]],INDIRECT("G.30.assumptions.EnergyDemandAfterProcessImprovements["&amp;O$1834&amp;"]"))
-SUM(O1913,O1915:O1918)</f>
        <v>5.1636210255655746</v>
      </c>
      <c r="P1914" s="318">
        <f ca="1">SUMIF(G.30.assumptions.EnergyDemandAfterProcessImprovements[.],G.30.assumptions.EnergyDemandAfterAlternativeFuels[[#This Row],[.]],INDIRECT("G.30.assumptions.EnergyDemandAfterProcessImprovements["&amp;P$1834&amp;"]"))
-SUM(P1913,P1915:P1918)</f>
        <v>4.8438350780386941</v>
      </c>
      <c r="Q1914" s="318">
        <f ca="1">SUMIF(G.30.assumptions.EnergyDemandAfterProcessImprovements[.],G.30.assumptions.EnergyDemandAfterAlternativeFuels[[#This Row],[.]],INDIRECT("G.30.assumptions.EnergyDemandAfterProcessImprovements["&amp;Q$1834&amp;"]"))
-SUM(Q1913,Q1915:Q1918)</f>
        <v>4.5150537452086619</v>
      </c>
      <c r="R1914" s="121"/>
      <c r="S1914" s="179"/>
      <c r="T1914" s="251"/>
      <c r="V1914" s="179"/>
      <c r="W1914" s="179"/>
    </row>
    <row r="1915" spans="1:24" s="65" customFormat="1" ht="15" customHeight="1" outlineLevel="2">
      <c r="A1915" s="219"/>
      <c r="B1915" s="242"/>
      <c r="C1915" s="413" t="s">
        <v>1862</v>
      </c>
      <c r="D1915" s="121" t="str">
        <f>INDEX(Regional.Technologies[Description],MATCH($B$2&amp;"."&amp;G.30.assumptions.EnergyDemandAfterAlternativeFuels[[#This Row],[Technology code]],Regional.Technologies[Code],0))</f>
        <v>Global Oil use in the Cement technology</v>
      </c>
      <c r="E1915" s="242"/>
      <c r="F1915" s="121" t="s">
        <v>1426</v>
      </c>
      <c r="G1915" s="242" t="s">
        <v>1426</v>
      </c>
      <c r="H1915" s="242"/>
      <c r="I1915" s="318">
        <f t="array" aca="1" ref="I1915"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1.1283944201925584</v>
      </c>
      <c r="J1915" s="318">
        <f t="array" aca="1" ref="J1915"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1.0931997908079858</v>
      </c>
      <c r="K1915" s="318">
        <f t="array" aca="1" ref="K1915"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1.0478711260652078</v>
      </c>
      <c r="L1915" s="318">
        <f t="array" aca="1" ref="L1915"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1.0010587079756941</v>
      </c>
      <c r="M1915" s="318">
        <f t="array" aca="1" ref="M1915"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0.95276253653944454</v>
      </c>
      <c r="N1915" s="318">
        <f t="array" aca="1" ref="N1915"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0.90298261175645922</v>
      </c>
      <c r="O1915" s="318">
        <f t="array" aca="1" ref="O1915"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0.85171893362673812</v>
      </c>
      <c r="P1915" s="318">
        <f t="array" aca="1" ref="P1915"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0.79897150215028134</v>
      </c>
      <c r="Q1915" s="318">
        <f t="array" aca="1" ref="Q1915"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0.74474031732708856</v>
      </c>
      <c r="R1915" s="121"/>
      <c r="S1915" s="179"/>
      <c r="T1915" s="251"/>
      <c r="V1915" s="179"/>
      <c r="W1915" s="179"/>
    </row>
    <row r="1916" spans="1:24" s="65" customFormat="1" ht="15" customHeight="1" outlineLevel="2">
      <c r="A1916" s="219"/>
      <c r="B1916" s="242"/>
      <c r="C1916" s="413" t="s">
        <v>1863</v>
      </c>
      <c r="D1916" s="121" t="str">
        <f>INDEX(Regional.Technologies[Description],MATCH($B$2&amp;"."&amp;G.30.assumptions.EnergyDemandAfterAlternativeFuels[[#This Row],[Technology code]],Regional.Technologies[Code],0))</f>
        <v>Global Natural Gas use in the Cement technology</v>
      </c>
      <c r="E1916" s="242"/>
      <c r="F1916" s="121" t="s">
        <v>1426</v>
      </c>
      <c r="G1916" s="242" t="s">
        <v>1426</v>
      </c>
      <c r="H1916" s="242"/>
      <c r="I1916" s="318">
        <f t="array" aca="1" ref="I1916"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0.82844526016904629</v>
      </c>
      <c r="J1916" s="318">
        <f t="array" aca="1" ref="J1916"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0.80260604705765937</v>
      </c>
      <c r="K1916" s="318">
        <f t="array" aca="1" ref="K1916"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0.76932662207650959</v>
      </c>
      <c r="L1916" s="318">
        <f t="array" aca="1" ref="L1916"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0.73495785421545334</v>
      </c>
      <c r="M1916" s="318">
        <f t="array" aca="1" ref="M1916"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0.69949974347449018</v>
      </c>
      <c r="N1916" s="318">
        <f t="array" aca="1" ref="N1916"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0.66295228985362031</v>
      </c>
      <c r="O1916" s="318">
        <f t="array" aca="1" ref="O1916"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0.62531549335284375</v>
      </c>
      <c r="P1916" s="318">
        <f t="array" aca="1" ref="P1916"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0.58658935397216061</v>
      </c>
      <c r="Q1916" s="318">
        <f t="array" aca="1" ref="Q1916"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0.54677387171157055</v>
      </c>
      <c r="R1916" s="121"/>
      <c r="S1916" s="179"/>
      <c r="T1916" s="251"/>
      <c r="V1916" s="179"/>
      <c r="W1916" s="179"/>
    </row>
    <row r="1917" spans="1:24" s="65" customFormat="1" ht="15" customHeight="1" outlineLevel="2">
      <c r="A1917" s="219"/>
      <c r="B1917" s="242"/>
      <c r="C1917" s="413" t="s">
        <v>1864</v>
      </c>
      <c r="D1917" s="121" t="str">
        <f>INDEX(Regional.Technologies[Description],MATCH($B$2&amp;"."&amp;G.30.assumptions.EnergyDemandAfterAlternativeFuels[[#This Row],[Technology code]],Regional.Technologies[Code],0))</f>
        <v>Global Solid Hydrocarbons use in the Cement technology</v>
      </c>
      <c r="E1917" s="242"/>
      <c r="F1917" s="121" t="s">
        <v>1426</v>
      </c>
      <c r="G1917" s="242" t="s">
        <v>1426</v>
      </c>
      <c r="H1917" s="242"/>
      <c r="I1917" s="318">
        <f t="array" aca="1" ref="I1917"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0.49199351442122363</v>
      </c>
      <c r="J1917" s="318">
        <f t="array" aca="1" ref="J1917"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0.47664823347175428</v>
      </c>
      <c r="K1917" s="318">
        <f t="array" aca="1" ref="K1917"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0.4568843914394487</v>
      </c>
      <c r="L1917" s="318">
        <f t="array" aca="1" ref="L1917"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0.43647361513440003</v>
      </c>
      <c r="M1917" s="318">
        <f t="array" aca="1" ref="M1917"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0.41541590455660798</v>
      </c>
      <c r="N1917" s="318">
        <f t="array" aca="1" ref="N1917"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0.39371125970607268</v>
      </c>
      <c r="O1917" s="318">
        <f t="array" aca="1" ref="O1917"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0.37135968058279423</v>
      </c>
      <c r="P1917" s="318">
        <f t="array" aca="1" ref="P1917"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0.34836116718677257</v>
      </c>
      <c r="Q1917" s="318">
        <f t="array" aca="1" ref="Q1917"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0.3247157195180076</v>
      </c>
      <c r="R1917" s="121"/>
      <c r="S1917" s="179"/>
      <c r="T1917" s="251"/>
      <c r="V1917" s="179"/>
      <c r="W1917" s="179"/>
    </row>
    <row r="1918" spans="1:24" s="65" customFormat="1" ht="15" customHeight="1" outlineLevel="2">
      <c r="A1918" s="219"/>
      <c r="B1918" s="242"/>
      <c r="C1918" s="413" t="s">
        <v>1638</v>
      </c>
      <c r="D1918" s="121" t="str">
        <f>INDEX(Regional.Technologies[Description],MATCH($B$2&amp;"."&amp;G.30.assumptions.EnergyDemandAfterAlternativeFuels[[#This Row],[Technology code]],Regional.Technologies[Code],0))</f>
        <v>Global Heat use in the Cement technology</v>
      </c>
      <c r="E1918" s="242"/>
      <c r="F1918" s="121" t="s">
        <v>1426</v>
      </c>
      <c r="G1918" s="242" t="s">
        <v>1426</v>
      </c>
      <c r="H1918" s="242"/>
      <c r="I1918" s="318">
        <f t="array" aca="1" ref="I1918"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0</v>
      </c>
      <c r="J1918" s="318">
        <f t="array" aca="1" ref="J1918"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0</v>
      </c>
      <c r="K1918" s="318">
        <f t="array" aca="1" ref="K1918"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0</v>
      </c>
      <c r="L1918" s="318">
        <f t="array" aca="1" ref="L1918"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0</v>
      </c>
      <c r="M1918" s="318">
        <f t="array" aca="1" ref="M1918"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0</v>
      </c>
      <c r="N1918" s="318">
        <f t="array" aca="1" ref="N1918"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0</v>
      </c>
      <c r="O1918" s="318">
        <f t="array" aca="1" ref="O1918"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0</v>
      </c>
      <c r="P1918" s="318">
        <f t="array" aca="1" ref="P1918"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0</v>
      </c>
      <c r="Q1918" s="318">
        <f t="array" aca="1" ref="Q1918"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0</v>
      </c>
      <c r="R1918" s="121"/>
      <c r="S1918" s="179"/>
      <c r="T1918" s="251"/>
      <c r="V1918" s="179"/>
      <c r="W1918" s="179"/>
    </row>
    <row r="1919" spans="1:24" s="65" customFormat="1" ht="15" customHeight="1" outlineLevel="2">
      <c r="A1919" s="219"/>
      <c r="B1919" s="242"/>
      <c r="C1919" s="413" t="s">
        <v>1634</v>
      </c>
      <c r="D1919" s="121" t="str">
        <f>INDEX(Regional.Technologies[Description],MATCH($B$2&amp;"."&amp;G.30.assumptions.EnergyDemandAfterAlternativeFuels[[#This Row],[Technology code]],Regional.Technologies[Code],0))</f>
        <v>Global Electricity use in the Other industries technology</v>
      </c>
      <c r="E1919" s="242"/>
      <c r="F1919" s="121" t="s">
        <v>1457</v>
      </c>
      <c r="G1919" s="242" t="s">
        <v>1457</v>
      </c>
      <c r="H1919" s="242"/>
      <c r="I1919" s="318">
        <f t="array" aca="1" ref="I1919"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15.255453009293019</v>
      </c>
      <c r="J1919" s="318">
        <f t="array" aca="1" ref="J1919"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15.07932150478058</v>
      </c>
      <c r="K1919" s="318">
        <f t="array" aca="1" ref="K1919"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14.849660362709168</v>
      </c>
      <c r="L1919" s="318">
        <f t="array" aca="1" ref="L1919"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14.609447263492354</v>
      </c>
      <c r="M1919" s="318">
        <f t="array" aca="1" ref="M1919"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14.358682207130135</v>
      </c>
      <c r="N1919" s="318">
        <f t="array" aca="1" ref="N1919"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14.097365193622508</v>
      </c>
      <c r="O1919" s="318">
        <f t="array" aca="1" ref="O1919"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13.825496222969484</v>
      </c>
      <c r="P1919" s="318">
        <f t="array" aca="1" ref="P1919"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13.543075295171052</v>
      </c>
      <c r="Q1919" s="318">
        <f t="array" aca="1" ref="Q1919"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13.250102410227214</v>
      </c>
      <c r="R1919" s="121"/>
      <c r="S1919" s="179"/>
      <c r="T1919" s="251"/>
      <c r="V1919" s="179"/>
      <c r="W1919" s="179"/>
    </row>
    <row r="1920" spans="1:24" s="65" customFormat="1" ht="15" customHeight="1" outlineLevel="2">
      <c r="A1920" s="219"/>
      <c r="B1920" s="242"/>
      <c r="C1920" s="413" t="s">
        <v>1865</v>
      </c>
      <c r="D1920" s="121" t="str">
        <f>INDEX(Regional.Technologies[Description],MATCH($B$2&amp;"."&amp;G.30.assumptions.EnergyDemandAfterAlternativeFuels[[#This Row],[Technology code]],Regional.Technologies[Code],0))</f>
        <v>Global Coal use in the Other industries technology</v>
      </c>
      <c r="E1920" s="242"/>
      <c r="F1920" s="121" t="s">
        <v>1457</v>
      </c>
      <c r="G1920" s="242" t="s">
        <v>1457</v>
      </c>
      <c r="H1920" s="242" t="s">
        <v>2169</v>
      </c>
      <c r="I1920" s="318">
        <f ca="1">SUMIF(G.30.assumptions.EnergyDemandAfterProcessImprovements[.],G.30.assumptions.EnergyDemandAfterAlternativeFuels[[#This Row],[.]],INDIRECT("G.30.assumptions.EnergyDemandAfterProcessImprovements["&amp;I$1834&amp;"]"))
-SUM(I1919,I1921:I1924)</f>
        <v>7.1683560026671529</v>
      </c>
      <c r="J1920" s="318">
        <f ca="1">SUMIF(G.30.assumptions.EnergyDemandAfterProcessImprovements[.],G.30.assumptions.EnergyDemandAfterAlternativeFuels[[#This Row],[.]],INDIRECT("G.30.assumptions.EnergyDemandAfterProcessImprovements["&amp;J$1834&amp;"]"))
-SUM(J1919,J1921:J1924)</f>
        <v>7.0855939026586299</v>
      </c>
      <c r="K1920" s="318">
        <f ca="1">SUMIF(G.30.assumptions.EnergyDemandAfterProcessImprovements[.],G.30.assumptions.EnergyDemandAfterAlternativeFuels[[#This Row],[.]],INDIRECT("G.30.assumptions.EnergyDemandAfterProcessImprovements["&amp;K$1834&amp;"]"))
-SUM(K1919,K1921:K1924)</f>
        <v>6.977678862355063</v>
      </c>
      <c r="L1920" s="318">
        <f ca="1">SUMIF(G.30.assumptions.EnergyDemandAfterProcessImprovements[.],G.30.assumptions.EnergyDemandAfterAlternativeFuels[[#This Row],[.]],INDIRECT("G.30.assumptions.EnergyDemandAfterProcessImprovements["&amp;L$1834&amp;"]"))
-SUM(L1919,L1921:L1924)</f>
        <v>6.8648055828371639</v>
      </c>
      <c r="M1920" s="318">
        <f ca="1">SUMIF(G.30.assumptions.EnergyDemandAfterProcessImprovements[.],G.30.assumptions.EnergyDemandAfterAlternativeFuels[[#This Row],[.]],INDIRECT("G.30.assumptions.EnergyDemandAfterProcessImprovements["&amp;M$1834&amp;"]"))
-SUM(M1919,M1921:M1924)</f>
        <v>6.7469740641049327</v>
      </c>
      <c r="N1920" s="318">
        <f ca="1">SUMIF(G.30.assumptions.EnergyDemandAfterProcessImprovements[.],G.30.assumptions.EnergyDemandAfterAlternativeFuels[[#This Row],[.]],INDIRECT("G.30.assumptions.EnergyDemandAfterProcessImprovements["&amp;N$1834&amp;"]"))
-SUM(N1919,N1921:N1924)</f>
        <v>6.6241843061583481</v>
      </c>
      <c r="O1920" s="318">
        <f ca="1">SUMIF(G.30.assumptions.EnergyDemandAfterProcessImprovements[.],G.30.assumptions.EnergyDemandAfterAlternativeFuels[[#This Row],[.]],INDIRECT("G.30.assumptions.EnergyDemandAfterProcessImprovements["&amp;O$1834&amp;"]"))
-SUM(O1919,O1921:O1924)</f>
        <v>6.4964363089974384</v>
      </c>
      <c r="P1920" s="318">
        <f ca="1">SUMIF(G.30.assumptions.EnergyDemandAfterProcessImprovements[.],G.30.assumptions.EnergyDemandAfterAlternativeFuels[[#This Row],[.]],INDIRECT("G.30.assumptions.EnergyDemandAfterProcessImprovements["&amp;P$1834&amp;"]"))
-SUM(P1919,P1921:P1924)</f>
        <v>6.3637300726221824</v>
      </c>
      <c r="Q1920" s="318">
        <f ca="1">SUMIF(G.30.assumptions.EnergyDemandAfterProcessImprovements[.],G.30.assumptions.EnergyDemandAfterAlternativeFuels[[#This Row],[.]],INDIRECT("G.30.assumptions.EnergyDemandAfterProcessImprovements["&amp;Q$1834&amp;"]"))
-SUM(Q1919,Q1921:Q1924)</f>
        <v>6.2260655970326013</v>
      </c>
      <c r="R1920" s="239"/>
      <c r="T1920" s="251"/>
      <c r="U1920" s="179"/>
      <c r="W1920" s="179"/>
      <c r="X1920" s="179"/>
    </row>
    <row r="1921" spans="1:24" s="65" customFormat="1" ht="15" customHeight="1" outlineLevel="2">
      <c r="A1921" s="219"/>
      <c r="B1921" s="242"/>
      <c r="C1921" s="413" t="s">
        <v>1866</v>
      </c>
      <c r="D1921" s="121" t="str">
        <f>INDEX(Regional.Technologies[Description],MATCH($B$2&amp;"."&amp;G.30.assumptions.EnergyDemandAfterAlternativeFuels[[#This Row],[Technology code]],Regional.Technologies[Code],0))</f>
        <v>Global Oil use in the Other industries technology</v>
      </c>
      <c r="E1921" s="242"/>
      <c r="F1921" s="121" t="s">
        <v>1457</v>
      </c>
      <c r="G1921" s="242" t="s">
        <v>1457</v>
      </c>
      <c r="H1921" s="242"/>
      <c r="I1921" s="318">
        <f t="array" aca="1" ref="I1921"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8.9190113729480487</v>
      </c>
      <c r="J1921" s="318">
        <f t="array" aca="1" ref="J1921"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8.8160371190256015</v>
      </c>
      <c r="K1921" s="318">
        <f t="array" aca="1" ref="K1921"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8.6817670755984171</v>
      </c>
      <c r="L1921" s="318">
        <f t="array" aca="1" ref="L1921"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8.5413278921444249</v>
      </c>
      <c r="M1921" s="318">
        <f t="array" aca="1" ref="M1921"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8.3947195686636231</v>
      </c>
      <c r="N1921" s="318">
        <f t="array" aca="1" ref="N1921"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8.2419421051560118</v>
      </c>
      <c r="O1921" s="318">
        <f t="array" aca="1" ref="O1921"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8.0829955016215962</v>
      </c>
      <c r="P1921" s="318">
        <f t="array" aca="1" ref="P1921"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7.917879758060371</v>
      </c>
      <c r="Q1921" s="318">
        <f t="array" aca="1" ref="Q1921"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7.7465948744723363</v>
      </c>
      <c r="R1921" s="242"/>
      <c r="T1921" s="251"/>
      <c r="U1921" s="179"/>
      <c r="W1921" s="179"/>
      <c r="X1921" s="179"/>
    </row>
    <row r="1922" spans="1:24" s="65" customFormat="1" ht="15" customHeight="1" outlineLevel="2">
      <c r="A1922" s="219"/>
      <c r="B1922" s="242"/>
      <c r="C1922" s="413" t="s">
        <v>1867</v>
      </c>
      <c r="D1922" s="121" t="str">
        <f>INDEX(Regional.Technologies[Description],MATCH($B$2&amp;"."&amp;G.30.assumptions.EnergyDemandAfterAlternativeFuels[[#This Row],[Technology code]],Regional.Technologies[Code],0))</f>
        <v>Global Natural Gas use in the Other industries technology</v>
      </c>
      <c r="E1922" s="242"/>
      <c r="F1922" s="121" t="s">
        <v>1457</v>
      </c>
      <c r="G1922" s="242" t="s">
        <v>1457</v>
      </c>
      <c r="H1922" s="242"/>
      <c r="I1922" s="318">
        <f t="array" aca="1" ref="I1922"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11.204548951236234</v>
      </c>
      <c r="J1922" s="318">
        <f t="array" aca="1" ref="J1922"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11.075187072374797</v>
      </c>
      <c r="K1922" s="318">
        <f t="array" aca="1" ref="K1922"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10.906509714385596</v>
      </c>
      <c r="L1922" s="318">
        <f t="array" aca="1" ref="L1922"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10.730082345938168</v>
      </c>
      <c r="M1922" s="318">
        <f t="array" aca="1" ref="M1922"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10.545904967032511</v>
      </c>
      <c r="N1922" s="318">
        <f t="array" aca="1" ref="N1922"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10.353977577668624</v>
      </c>
      <c r="O1922" s="318">
        <f t="array" aca="1" ref="O1922"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10.154300177846514</v>
      </c>
      <c r="P1922" s="318">
        <f t="array" aca="1" ref="P1922"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9.9468727675661732</v>
      </c>
      <c r="Q1922" s="318">
        <f t="array" aca="1" ref="Q1922"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9.7316953468276033</v>
      </c>
      <c r="R1922" s="242"/>
      <c r="T1922" s="251"/>
      <c r="U1922" s="179"/>
      <c r="W1922" s="179"/>
      <c r="X1922" s="179"/>
    </row>
    <row r="1923" spans="1:24" s="65" customFormat="1" ht="15" customHeight="1" outlineLevel="2">
      <c r="A1923" s="219"/>
      <c r="B1923" s="242"/>
      <c r="C1923" s="413" t="s">
        <v>1868</v>
      </c>
      <c r="D1923" s="121" t="str">
        <f>INDEX(Regional.Technologies[Description],MATCH($B$2&amp;"."&amp;G.30.assumptions.EnergyDemandAfterAlternativeFuels[[#This Row],[Technology code]],Regional.Technologies[Code],0))</f>
        <v>Global Solid Hydrocarbons use in the Other industries technology</v>
      </c>
      <c r="E1923" s="242"/>
      <c r="F1923" s="121" t="s">
        <v>1457</v>
      </c>
      <c r="G1923" s="242" t="s">
        <v>1457</v>
      </c>
      <c r="H1923" s="242"/>
      <c r="I1923" s="318">
        <f t="array" aca="1" ref="I1923"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5.4326469694895918</v>
      </c>
      <c r="J1923" s="318">
        <f t="array" aca="1" ref="J1923"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5.3699244607815082</v>
      </c>
      <c r="K1923" s="318">
        <f t="array" aca="1" ref="K1923"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5.2881394160028483</v>
      </c>
      <c r="L1923" s="318">
        <f t="array" aca="1" ref="L1923"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5.202596694675794</v>
      </c>
      <c r="M1923" s="318">
        <f t="array" aca="1" ref="M1923"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5.1132962968003435</v>
      </c>
      <c r="N1923" s="318">
        <f t="array" aca="1" ref="N1923"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5.0202382223764976</v>
      </c>
      <c r="O1923" s="318">
        <f t="array" aca="1" ref="O1923"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4.9234224714042583</v>
      </c>
      <c r="P1923" s="318">
        <f t="array" aca="1" ref="P1923"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4.8228490438836227</v>
      </c>
      <c r="Q1923" s="318">
        <f t="array" aca="1" ref="Q1923"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4.7185179398145918</v>
      </c>
      <c r="R1923" s="242"/>
      <c r="S1923" s="179"/>
      <c r="T1923" s="251"/>
      <c r="V1923" s="179"/>
      <c r="W1923" s="179"/>
    </row>
    <row r="1924" spans="1:24" s="65" customFormat="1" ht="15" customHeight="1" outlineLevel="2">
      <c r="A1924" s="219"/>
      <c r="B1924" s="242"/>
      <c r="C1924" s="413" t="s">
        <v>1869</v>
      </c>
      <c r="D1924" s="121" t="str">
        <f>INDEX(Regional.Technologies[Description],MATCH($B$2&amp;"."&amp;G.30.assumptions.EnergyDemandAfterAlternativeFuels[[#This Row],[Technology code]],Regional.Technologies[Code],0))</f>
        <v>Global Heat use in the Other industries technology</v>
      </c>
      <c r="E1924" s="242"/>
      <c r="F1924" s="121" t="s">
        <v>1457</v>
      </c>
      <c r="G1924" s="242" t="s">
        <v>1457</v>
      </c>
      <c r="H1924" s="242"/>
      <c r="I1924" s="318">
        <f t="array" aca="1" ref="I1924" ca="1">SUM((G.30.assumptions.EnergyDemandAfterAlternativeFuels[[#This Row],[Technology code]]=G.30.assumptions.EnergyDemandAfterProcessImprovements[Technology code])
*INDIRECT("G.30.assumptions.EnergyDemandAfterProcessImprovements["&amp;I$1834&amp;"]"))
*(1+SUM((G.30.assumptions.EnergyDemandAfterAlternativeFuels[[#This Row],[Technology code]]=G.30.assumptions.AlternativeFuels[Technology code])
*INDIRECT("G.30.assumptions.AlternativeFuels["&amp;I$1834&amp;"]")))</f>
        <v>2.5365553629120043</v>
      </c>
      <c r="J1924" s="318">
        <f t="array" aca="1" ref="J1924" ca="1">SUM((G.30.assumptions.EnergyDemandAfterAlternativeFuels[[#This Row],[Technology code]]=G.30.assumptions.EnergyDemandAfterProcessImprovements[Technology code])
*INDIRECT("G.30.assumptions.EnergyDemandAfterProcessImprovements["&amp;J$1834&amp;"]"))
*(1+SUM((G.30.assumptions.EnergyDemandAfterAlternativeFuels[[#This Row],[Technology code]]=G.30.assumptions.AlternativeFuels[Technology code])
*INDIRECT("G.30.assumptions.AlternativeFuels["&amp;J$1834&amp;"]")))</f>
        <v>2.5072696175410454</v>
      </c>
      <c r="K1924" s="318">
        <f t="array" aca="1" ref="K1924" ca="1">SUM((G.30.assumptions.EnergyDemandAfterAlternativeFuels[[#This Row],[Technology code]]=G.30.assumptions.EnergyDemandAfterProcessImprovements[Technology code])
*INDIRECT("G.30.assumptions.EnergyDemandAfterProcessImprovements["&amp;K$1834&amp;"]"))
*(1+SUM((G.30.assumptions.EnergyDemandAfterAlternativeFuels[[#This Row],[Technology code]]=G.30.assumptions.AlternativeFuels[Technology code])
*INDIRECT("G.30.assumptions.AlternativeFuels["&amp;K$1834&amp;"]")))</f>
        <v>2.469083389887309</v>
      </c>
      <c r="L1924" s="318">
        <f t="array" aca="1" ref="L1924" ca="1">SUM((G.30.assumptions.EnergyDemandAfterAlternativeFuels[[#This Row],[Technology code]]=G.30.assumptions.EnergyDemandAfterProcessImprovements[Technology code])
*INDIRECT("G.30.assumptions.EnergyDemandAfterProcessImprovements["&amp;L$1834&amp;"]"))
*(1+SUM((G.30.assumptions.EnergyDemandAfterAlternativeFuels[[#This Row],[Technology code]]=G.30.assumptions.AlternativeFuels[Technology code])
*INDIRECT("G.30.assumptions.AlternativeFuels["&amp;L$1834&amp;"]")))</f>
        <v>2.4291426667446432</v>
      </c>
      <c r="M1924" s="318">
        <f t="array" aca="1" ref="M1924" ca="1">SUM((G.30.assumptions.EnergyDemandAfterAlternativeFuels[[#This Row],[Technology code]]=G.30.assumptions.EnergyDemandAfterProcessImprovements[Technology code])
*INDIRECT("G.30.assumptions.EnergyDemandAfterProcessImprovements["&amp;M$1834&amp;"]"))
*(1+SUM((G.30.assumptions.EnergyDemandAfterAlternativeFuels[[#This Row],[Technology code]]=G.30.assumptions.AlternativeFuels[Technology code])
*INDIRECT("G.30.assumptions.AlternativeFuels["&amp;M$1834&amp;"]")))</f>
        <v>2.387447448113047</v>
      </c>
      <c r="N1924" s="318">
        <f t="array" aca="1" ref="N1924" ca="1">SUM((G.30.assumptions.EnergyDemandAfterAlternativeFuels[[#This Row],[Technology code]]=G.30.assumptions.EnergyDemandAfterProcessImprovements[Technology code])
*INDIRECT("G.30.assumptions.EnergyDemandAfterProcessImprovements["&amp;N$1834&amp;"]"))
*(1+SUM((G.30.assumptions.EnergyDemandAfterAlternativeFuels[[#This Row],[Technology code]]=G.30.assumptions.AlternativeFuels[Technology code])
*INDIRECT("G.30.assumptions.AlternativeFuels["&amp;N$1834&amp;"]")))</f>
        <v>2.3439977339925195</v>
      </c>
      <c r="O1924" s="318">
        <f t="array" aca="1" ref="O1924" ca="1">SUM((G.30.assumptions.EnergyDemandAfterAlternativeFuels[[#This Row],[Technology code]]=G.30.assumptions.EnergyDemandAfterProcessImprovements[Technology code])
*INDIRECT("G.30.assumptions.EnergyDemandAfterProcessImprovements["&amp;O$1834&amp;"]"))
*(1+SUM((G.30.assumptions.EnergyDemandAfterAlternativeFuels[[#This Row],[Technology code]]=G.30.assumptions.AlternativeFuels[Technology code])
*INDIRECT("G.30.assumptions.AlternativeFuels["&amp;O$1834&amp;"]")))</f>
        <v>2.2987935243830631</v>
      </c>
      <c r="P1924" s="318">
        <f t="array" aca="1" ref="P1924" ca="1">SUM((G.30.assumptions.EnergyDemandAfterAlternativeFuels[[#This Row],[Technology code]]=G.30.assumptions.EnergyDemandAfterProcessImprovements[Technology code])
*INDIRECT("G.30.assumptions.EnergyDemandAfterProcessImprovements["&amp;P$1834&amp;"]"))
*(1+SUM((G.30.assumptions.EnergyDemandAfterAlternativeFuels[[#This Row],[Technology code]]=G.30.assumptions.AlternativeFuels[Technology code])
*INDIRECT("G.30.assumptions.AlternativeFuels["&amp;P$1834&amp;"]")))</f>
        <v>2.2518348192846758</v>
      </c>
      <c r="Q1924" s="318">
        <f t="array" aca="1" ref="Q1924" ca="1">SUM((G.30.assumptions.EnergyDemandAfterAlternativeFuels[[#This Row],[Technology code]]=G.30.assumptions.EnergyDemandAfterProcessImprovements[Technology code])
*INDIRECT("G.30.assumptions.EnergyDemandAfterProcessImprovements["&amp;Q$1834&amp;"]"))
*(1+SUM((G.30.assumptions.EnergyDemandAfterAlternativeFuels[[#This Row],[Technology code]]=G.30.assumptions.AlternativeFuels[Technology code])
*INDIRECT("G.30.assumptions.AlternativeFuels["&amp;Q$1834&amp;"]")))</f>
        <v>2.2031216186973581</v>
      </c>
      <c r="R1924" s="242"/>
      <c r="S1924" s="179"/>
      <c r="T1924" s="251"/>
      <c r="V1924" s="179"/>
      <c r="W1924" s="179"/>
    </row>
    <row r="1925" spans="1:24" s="65" customFormat="1" ht="15" customHeight="1" outlineLevel="2">
      <c r="A1925" s="219"/>
      <c r="B1925" s="242"/>
      <c r="C1925" s="310" t="s">
        <v>375</v>
      </c>
      <c r="D1925" s="311"/>
      <c r="E1925" s="312"/>
      <c r="F1925" s="307"/>
      <c r="G1925" s="312"/>
      <c r="H1925" s="312"/>
      <c r="I1925" s="341">
        <f ca="1">SUBTOTAL(109,G.30.assumptions.EnergyDemandAfterAlternativeFuels[2011])</f>
        <v>142.97457688351503</v>
      </c>
      <c r="J1925" s="341">
        <f ca="1">SUBTOTAL(109,G.30.assumptions.EnergyDemandAfterAlternativeFuels[2015])</f>
        <v>143.22619639397101</v>
      </c>
      <c r="K1925" s="341">
        <f ca="1">SUBTOTAL(109,G.30.assumptions.EnergyDemandAfterAlternativeFuels[2020])</f>
        <v>143.5060346219627</v>
      </c>
      <c r="L1925" s="341">
        <f ca="1">SUBTOTAL(109,G.30.assumptions.EnergyDemandAfterAlternativeFuels[2025])</f>
        <v>143.74733267208956</v>
      </c>
      <c r="M1925" s="341">
        <f ca="1">SUBTOTAL(109,G.30.assumptions.EnergyDemandAfterAlternativeFuels[2030])</f>
        <v>143.95009054435167</v>
      </c>
      <c r="N1925" s="341">
        <f ca="1">SUBTOTAL(109,G.30.assumptions.EnergyDemandAfterAlternativeFuels[2035])</f>
        <v>144.11430823874898</v>
      </c>
      <c r="O1925" s="341">
        <f ca="1">SUBTOTAL(109,G.30.assumptions.EnergyDemandAfterAlternativeFuels[2040])</f>
        <v>144.23998575528148</v>
      </c>
      <c r="P1925" s="341">
        <f ca="1">SUBTOTAL(109,G.30.assumptions.EnergyDemandAfterAlternativeFuels[2045])</f>
        <v>144.32712309394924</v>
      </c>
      <c r="Q1925" s="341">
        <f ca="1">SUBTOTAL(109,G.30.assumptions.EnergyDemandAfterAlternativeFuels[2050])</f>
        <v>144.3757202547522</v>
      </c>
      <c r="R1925" s="242"/>
      <c r="S1925" s="179"/>
      <c r="T1925" s="251"/>
      <c r="V1925" s="179"/>
      <c r="W1925" s="179"/>
    </row>
    <row r="1926" spans="1:24" s="65" customFormat="1" ht="15" customHeight="1" outlineLevel="2">
      <c r="A1926" s="219"/>
      <c r="B1926" s="242"/>
      <c r="C1926" s="242"/>
      <c r="D1926" s="242"/>
      <c r="E1926" s="242"/>
      <c r="F1926" s="242"/>
      <c r="G1926" s="242"/>
      <c r="H1926" s="242"/>
      <c r="I1926" s="242"/>
      <c r="J1926" s="246"/>
      <c r="K1926" s="246"/>
      <c r="L1926" s="246"/>
      <c r="M1926" s="246"/>
      <c r="N1926" s="246"/>
      <c r="O1926" s="246"/>
      <c r="P1926" s="246"/>
      <c r="Q1926" s="246"/>
      <c r="R1926" s="242"/>
      <c r="S1926" s="179"/>
      <c r="T1926" s="251"/>
      <c r="V1926" s="179"/>
      <c r="W1926" s="179"/>
    </row>
    <row r="1927" spans="1:24" s="65" customFormat="1" ht="15" customHeight="1" outlineLevel="1">
      <c r="A1927" s="219"/>
      <c r="B1927" s="242"/>
      <c r="C1927" s="244" t="s">
        <v>2180</v>
      </c>
      <c r="D1927" s="242"/>
      <c r="E1927" s="242"/>
      <c r="F1927" s="242"/>
      <c r="G1927" s="242"/>
      <c r="H1927" s="242"/>
      <c r="I1927" s="242"/>
      <c r="J1927" s="246"/>
      <c r="K1927" s="246"/>
      <c r="L1927" s="246"/>
      <c r="M1927" s="246"/>
      <c r="N1927" s="246"/>
      <c r="O1927" s="246"/>
      <c r="P1927" s="246"/>
      <c r="Q1927" s="246"/>
      <c r="R1927" s="242"/>
      <c r="S1927" s="179"/>
      <c r="T1927" s="251"/>
      <c r="V1927" s="179"/>
      <c r="W1927" s="179"/>
    </row>
    <row r="1928" spans="1:24" s="65" customFormat="1" ht="15" customHeight="1" outlineLevel="2">
      <c r="A1928" s="219"/>
      <c r="B1928" s="242"/>
      <c r="C1928" s="242"/>
      <c r="D1928" s="242"/>
      <c r="E1928" s="242"/>
      <c r="F1928" s="242"/>
      <c r="G1928" s="242"/>
      <c r="H1928" s="242"/>
      <c r="I1928" s="242"/>
      <c r="J1928" s="246"/>
      <c r="K1928" s="246"/>
      <c r="L1928" s="246"/>
      <c r="M1928" s="246"/>
      <c r="N1928" s="246"/>
      <c r="O1928" s="246"/>
      <c r="P1928" s="246"/>
      <c r="Q1928" s="246"/>
      <c r="R1928" s="242"/>
      <c r="S1928" s="179"/>
      <c r="T1928" s="251"/>
      <c r="V1928" s="179"/>
      <c r="W1928" s="179"/>
    </row>
    <row r="1929" spans="1:24" s="65" customFormat="1" ht="15" customHeight="1" outlineLevel="2">
      <c r="A1929" s="219"/>
      <c r="B1929" s="242"/>
      <c r="C1929" s="258" t="s">
        <v>454</v>
      </c>
      <c r="D1929" s="258" t="s">
        <v>241</v>
      </c>
      <c r="E1929" s="242" t="s">
        <v>207</v>
      </c>
      <c r="F1929" s="258" t="s">
        <v>274</v>
      </c>
      <c r="G1929" s="258" t="s">
        <v>509</v>
      </c>
      <c r="H1929" s="258" t="s">
        <v>510</v>
      </c>
      <c r="I1929" s="258" t="s">
        <v>1107</v>
      </c>
      <c r="J1929" s="258" t="s">
        <v>210</v>
      </c>
      <c r="K1929" s="258" t="s">
        <v>211</v>
      </c>
      <c r="L1929" s="258" t="s">
        <v>212</v>
      </c>
      <c r="M1929" s="258" t="s">
        <v>213</v>
      </c>
      <c r="N1929" s="258" t="s">
        <v>214</v>
      </c>
      <c r="O1929" s="258" t="s">
        <v>215</v>
      </c>
      <c r="P1929" s="258" t="s">
        <v>216</v>
      </c>
      <c r="Q1929" s="258" t="s">
        <v>217</v>
      </c>
      <c r="R1929" s="242"/>
      <c r="S1929" s="179"/>
      <c r="T1929" s="251"/>
      <c r="V1929" s="179"/>
      <c r="W1929" s="179"/>
    </row>
    <row r="1930" spans="1:24" s="65" customFormat="1" ht="15" customHeight="1" outlineLevel="2">
      <c r="A1930" s="219"/>
      <c r="B1930" s="242"/>
      <c r="C1930" s="242" t="s">
        <v>1376</v>
      </c>
      <c r="D1930" s="121" t="str">
        <f t="array" ref="D1930">INDEX(Regional.Technologies[Description],MATCH($B$2&amp;"."&amp;G.30.assumptions.EnergyEfficiencyCHP[[#This Row],[Technology code]],Regional.Technologies[Code],0))</f>
        <v>Global Electricity use in the Oxygen steel technology</v>
      </c>
      <c r="E1930" s="242">
        <f t="array" aca="1" ref="E1930" ca="1">INDEX(G.30.Levers[],MATCH(G.30.assumptions.EnergyEfficiencyCHP[[#This Row],[.]],G.30.Levers[Lever code],0),4)</f>
        <v>1</v>
      </c>
      <c r="F1930" s="121"/>
      <c r="G1930" s="242" t="str">
        <f t="shared" ref="G1930:G1939" si="182">$C$2037&amp;"."&amp;LEFT(C1930,FIND("|",SUBSTITUTE(C1930,".","|",LEN(C1930)-LEN(SUBSTITUTE(C1930,".",""))))-1)</f>
        <v>EnergyEfficiency.Steel.Oxygen</v>
      </c>
      <c r="H1930" s="242"/>
      <c r="I1930" s="419">
        <f t="array" aca="1" ref="I1930"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J1930" s="419">
        <f t="array" aca="1" ref="J1930"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K1930" s="419">
        <f t="array" aca="1" ref="K1930"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L1930" s="419">
        <f t="array" aca="1" ref="L1930"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M1930" s="419">
        <f t="array" aca="1" ref="M1930"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N1930" s="419">
        <f t="array" aca="1" ref="N1930"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O1930" s="419">
        <f t="array" aca="1" ref="O1930"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P1930" s="419">
        <f t="array" aca="1" ref="P1930"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Q1930" s="419">
        <f t="array" aca="1" ref="Q1930"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R1930" s="242"/>
      <c r="S1930" s="179"/>
      <c r="T1930" s="251"/>
      <c r="V1930" s="179"/>
      <c r="W1930" s="179"/>
    </row>
    <row r="1931" spans="1:24" s="65" customFormat="1" ht="15" customHeight="1" outlineLevel="2">
      <c r="A1931" s="219"/>
      <c r="B1931" s="242"/>
      <c r="C1931" s="242" t="s">
        <v>2053</v>
      </c>
      <c r="D1931" s="121" t="str">
        <f t="array" ref="D1931">INDEX(Regional.Technologies[Description],MATCH($B$2&amp;"."&amp;G.30.assumptions.EnergyEfficiencyCHP[[#This Row],[Technology code]],Regional.Technologies[Code],0))</f>
        <v>Global Electricity use in the Hisarna Oxygen steel technology</v>
      </c>
      <c r="E1931" s="242">
        <f t="array" aca="1" ref="E1931" ca="1">INDEX(G.30.Levers[],MATCH(G.30.assumptions.EnergyEfficiencyCHP[[#This Row],[.]],G.30.Levers[Lever code],0),4)</f>
        <v>1</v>
      </c>
      <c r="F1931" s="121"/>
      <c r="G1931" s="242" t="str">
        <f t="shared" si="182"/>
        <v>EnergyEfficiency.Steel.OxygenHisarna</v>
      </c>
      <c r="H1931" s="242"/>
      <c r="I1931" s="419">
        <f t="array" aca="1" ref="I1931"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J1931" s="419">
        <f t="array" aca="1" ref="J1931"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K1931" s="419">
        <f t="array" aca="1" ref="K1931"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L1931" s="419">
        <f t="array" aca="1" ref="L1931"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M1931" s="419">
        <f t="array" aca="1" ref="M1931"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N1931" s="419">
        <f t="array" aca="1" ref="N1931"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O1931" s="419">
        <f t="array" aca="1" ref="O1931"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P1931" s="419">
        <f t="array" aca="1" ref="P1931"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Q1931" s="419">
        <f t="array" aca="1" ref="Q1931"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v>
      </c>
      <c r="R1931" s="242"/>
      <c r="S1931" s="179"/>
      <c r="T1931" s="251"/>
      <c r="V1931" s="179"/>
      <c r="W1931" s="179"/>
    </row>
    <row r="1932" spans="1:24" s="65" customFormat="1" ht="15" customHeight="1" outlineLevel="2">
      <c r="A1932" s="219"/>
      <c r="B1932" s="242"/>
      <c r="C1932" s="242" t="s">
        <v>1639</v>
      </c>
      <c r="D1932" s="121" t="str">
        <f t="array" ref="D1932">INDEX(Regional.Technologies[Description],MATCH($B$2&amp;"."&amp;G.30.assumptions.EnergyEfficiencyCHP[[#This Row],[Technology code]],Regional.Technologies[Code],0))</f>
        <v>Global Electricity use in the Primary Aluminium technology</v>
      </c>
      <c r="E1932" s="242">
        <f t="array" aca="1" ref="E1932" ca="1">INDEX(G.30.Levers[],MATCH(G.30.assumptions.EnergyEfficiencyCHP[[#This Row],[.]],G.30.Levers[Lever code],0),4)</f>
        <v>1</v>
      </c>
      <c r="F1932" s="121" t="str">
        <f>VLOOKUP(C1932,Technology.codes[#Data],4,0)</f>
        <v>/</v>
      </c>
      <c r="G1932" s="242" t="str">
        <f t="shared" si="182"/>
        <v>EnergyEfficiency.Aluminium.Primary</v>
      </c>
      <c r="H1932" s="242"/>
      <c r="I1932" s="419">
        <f t="array" aca="1" ref="I1932"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2" s="419">
        <f t="array" aca="1" ref="J1932"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2" s="419">
        <f t="array" aca="1" ref="K1932"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2" s="419">
        <f t="array" aca="1" ref="L1932"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2" s="419">
        <f t="array" aca="1" ref="M1932"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2" s="419">
        <f t="array" aca="1" ref="N1932"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2" s="419">
        <f t="array" aca="1" ref="O1932"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2" s="419">
        <f t="array" aca="1" ref="P1932"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2" s="419">
        <f t="array" aca="1" ref="Q1932"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2" s="242"/>
      <c r="S1932" s="179"/>
      <c r="T1932" s="251"/>
      <c r="V1932" s="179"/>
      <c r="W1932" s="179"/>
    </row>
    <row r="1933" spans="1:24" s="65" customFormat="1" ht="15" customHeight="1" outlineLevel="2">
      <c r="A1933" s="219"/>
      <c r="B1933" s="242"/>
      <c r="C1933" s="251" t="s">
        <v>1821</v>
      </c>
      <c r="D1933" s="364" t="str">
        <f t="array" ref="D1933">INDEX(Regional.Technologies[Description],MATCH($B$2&amp;"."&amp;G.30.assumptions.EnergyEfficiencyCHP[[#This Row],[Technology code]],Regional.Technologies[Code],0))</f>
        <v>Global Electricity use in the Chemicals: High Value Chemicals  technology</v>
      </c>
      <c r="E1933" s="242">
        <f t="array" aca="1" ref="E1933" ca="1">INDEX(G.30.Levers[],MATCH(G.30.assumptions.EnergyEfficiencyCHP[[#This Row],[.]],G.30.Levers[Lever code],0),4)</f>
        <v>1</v>
      </c>
      <c r="F1933" s="121"/>
      <c r="G1933" s="242" t="str">
        <f t="shared" si="182"/>
        <v>EnergyEfficiency.Chemicals &amp; petrochemicals.HighValueChemicals</v>
      </c>
      <c r="H1933" s="242"/>
      <c r="I1933" s="419">
        <f t="array" aca="1" ref="I1933"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3" s="419">
        <f t="array" aca="1" ref="J1933"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3" s="419">
        <f t="array" aca="1" ref="K1933"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3" s="419">
        <f t="array" aca="1" ref="L1933"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3" s="419">
        <f t="array" aca="1" ref="M1933"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3" s="419">
        <f t="array" aca="1" ref="N1933"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3" s="419">
        <f t="array" aca="1" ref="O1933"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3" s="419">
        <f t="array" aca="1" ref="P1933"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3" s="419">
        <f t="array" aca="1" ref="Q1933"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3" s="242"/>
      <c r="S1933" s="179"/>
      <c r="T1933" s="251"/>
      <c r="V1933" s="179"/>
      <c r="W1933" s="179"/>
    </row>
    <row r="1934" spans="1:24" s="65" customFormat="1" ht="15" customHeight="1" outlineLevel="2">
      <c r="A1934" s="219"/>
      <c r="B1934" s="242"/>
      <c r="C1934" s="251" t="s">
        <v>1827</v>
      </c>
      <c r="D1934" s="121" t="str">
        <f t="array" ref="D1934">INDEX(Regional.Technologies[Description],MATCH($B$2&amp;"."&amp;G.30.assumptions.EnergyEfficiencyCHP[[#This Row],[Technology code]],Regional.Technologies[Code],0))</f>
        <v>Global Electricity use in the Chemicals: Ammonia technology</v>
      </c>
      <c r="E1934" s="242">
        <f t="array" aca="1" ref="E1934" ca="1">INDEX(G.30.Levers[],MATCH(G.30.assumptions.EnergyEfficiencyCHP[[#This Row],[.]],G.30.Levers[Lever code],0),4)</f>
        <v>1</v>
      </c>
      <c r="F1934" s="121"/>
      <c r="G1934" s="242" t="str">
        <f t="shared" si="182"/>
        <v>EnergyEfficiency.Chemicals &amp; petrochemicals.Ammonia</v>
      </c>
      <c r="H1934" s="242"/>
      <c r="I1934" s="419">
        <f t="array" aca="1" ref="I1934"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4" s="419">
        <f t="array" aca="1" ref="J1934"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4" s="419">
        <f t="array" aca="1" ref="K1934"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4" s="419">
        <f t="array" aca="1" ref="L1934"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4" s="419">
        <f t="array" aca="1" ref="M1934"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4" s="419">
        <f t="array" aca="1" ref="N1934"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4" s="419">
        <f t="array" aca="1" ref="O1934"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4" s="419">
        <f t="array" aca="1" ref="P1934"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4" s="419">
        <f t="array" aca="1" ref="Q1934"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4" s="242"/>
      <c r="S1934" s="179"/>
      <c r="T1934" s="251"/>
      <c r="V1934" s="179"/>
      <c r="W1934" s="179"/>
    </row>
    <row r="1935" spans="1:24" s="65" customFormat="1" ht="15" customHeight="1" outlineLevel="2">
      <c r="A1935" s="219"/>
      <c r="B1935" s="242"/>
      <c r="C1935" s="251" t="s">
        <v>1833</v>
      </c>
      <c r="D1935" s="121" t="str">
        <f t="array" ref="D1935">INDEX(Regional.Technologies[Description],MATCH($B$2&amp;"."&amp;G.30.assumptions.EnergyEfficiencyCHP[[#This Row],[Technology code]],Regional.Technologies[Code],0))</f>
        <v>Global Electricity use in the Chemicals: Methanol technology</v>
      </c>
      <c r="E1935" s="242">
        <f t="array" aca="1" ref="E1935" ca="1">INDEX(G.30.Levers[],MATCH(G.30.assumptions.EnergyEfficiencyCHP[[#This Row],[.]],G.30.Levers[Lever code],0),4)</f>
        <v>1</v>
      </c>
      <c r="F1935" s="121"/>
      <c r="G1935" s="242" t="str">
        <f t="shared" si="182"/>
        <v>EnergyEfficiency.Chemicals &amp; petrochemicals.Methanol</v>
      </c>
      <c r="H1935" s="242"/>
      <c r="I1935" s="419">
        <f t="array" aca="1" ref="I1935"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5" s="419">
        <f t="array" aca="1" ref="J1935"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5" s="419">
        <f t="array" aca="1" ref="K1935"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5" s="419">
        <f t="array" aca="1" ref="L1935"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5" s="419">
        <f t="array" aca="1" ref="M1935"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5" s="419">
        <f t="array" aca="1" ref="N1935"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5" s="419">
        <f t="array" aca="1" ref="O1935"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5" s="419">
        <f t="array" aca="1" ref="P1935"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5" s="419">
        <f t="array" aca="1" ref="Q1935"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5" s="242"/>
      <c r="S1935" s="179"/>
      <c r="T1935" s="251"/>
      <c r="V1935" s="179"/>
      <c r="W1935" s="179"/>
    </row>
    <row r="1936" spans="1:24" s="65" customFormat="1" ht="15" customHeight="1" outlineLevel="2">
      <c r="A1936" s="219"/>
      <c r="B1936" s="242"/>
      <c r="C1936" s="251" t="s">
        <v>1839</v>
      </c>
      <c r="D1936" s="364" t="str">
        <f t="array" ref="D1936">INDEX(Regional.Technologies[Description],MATCH($B$2&amp;"."&amp;G.30.assumptions.EnergyEfficiencyCHP[[#This Row],[Technology code]],Regional.Technologies[Code],0))</f>
        <v>Global Electricity use in the Chemicals: Others technology</v>
      </c>
      <c r="E1936" s="242">
        <f t="array" aca="1" ref="E1936" ca="1">INDEX(G.30.Levers[],MATCH(G.30.assumptions.EnergyEfficiencyCHP[[#This Row],[.]],G.30.Levers[Lever code],0),4)</f>
        <v>1</v>
      </c>
      <c r="F1936" s="121"/>
      <c r="G1936" s="242" t="str">
        <f t="shared" si="182"/>
        <v>EnergyEfficiency.Chemicals &amp; petrochemicals.Others</v>
      </c>
      <c r="H1936" s="242"/>
      <c r="I1936" s="419">
        <f t="array" aca="1" ref="I1936"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6" s="419">
        <f t="array" aca="1" ref="J1936"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6" s="419">
        <f t="array" aca="1" ref="K1936"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6" s="419">
        <f t="array" aca="1" ref="L1936"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6" s="419">
        <f t="array" aca="1" ref="M1936"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6" s="419">
        <f t="array" aca="1" ref="N1936"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6" s="419">
        <f t="array" aca="1" ref="O1936"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6" s="419">
        <f t="array" aca="1" ref="P1936"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6" s="419">
        <f t="array" aca="1" ref="Q1936"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6" s="242"/>
      <c r="S1936" s="179"/>
      <c r="T1936" s="251"/>
      <c r="V1936" s="179"/>
      <c r="W1936" s="179"/>
    </row>
    <row r="1937" spans="1:23" s="65" customFormat="1" ht="15" customHeight="1" outlineLevel="2">
      <c r="A1937" s="219"/>
      <c r="B1937" s="242"/>
      <c r="C1937" s="251" t="s">
        <v>1845</v>
      </c>
      <c r="D1937" s="121" t="str">
        <f t="array" ref="D1937">INDEX(Regional.Technologies[Description],MATCH($B$2&amp;"."&amp;G.30.assumptions.EnergyEfficiencyCHP[[#This Row],[Technology code]],Regional.Technologies[Code],0))</f>
        <v>Global Electricity use in the Pulp &amp; paper: Pulp technology</v>
      </c>
      <c r="E1937" s="242">
        <f t="array" aca="1" ref="E1937" ca="1">INDEX(G.30.Levers[],MATCH(G.30.assumptions.EnergyEfficiencyCHP[[#This Row],[.]],G.30.Levers[Lever code],0),4)</f>
        <v>1</v>
      </c>
      <c r="F1937" s="121"/>
      <c r="G1937" s="242" t="str">
        <f t="shared" si="182"/>
        <v>EnergyEfficiency.Pulp &amp; paper.Pulp</v>
      </c>
      <c r="H1937" s="242"/>
      <c r="I1937" s="419">
        <f t="array" aca="1" ref="I1937"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7" s="419">
        <f t="array" aca="1" ref="J1937"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7" s="419">
        <f t="array" aca="1" ref="K1937"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7" s="419">
        <f t="array" aca="1" ref="L1937"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7" s="419">
        <f t="array" aca="1" ref="M1937"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7" s="419">
        <f t="array" aca="1" ref="N1937"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7" s="419">
        <f t="array" aca="1" ref="O1937"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7" s="419">
        <f t="array" aca="1" ref="P1937"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7" s="419">
        <f t="array" aca="1" ref="Q1937"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7" s="242"/>
      <c r="S1937" s="179"/>
      <c r="T1937" s="251"/>
      <c r="V1937" s="179"/>
      <c r="W1937" s="179"/>
    </row>
    <row r="1938" spans="1:23" s="65" customFormat="1" ht="15" customHeight="1" outlineLevel="2">
      <c r="A1938" s="219"/>
      <c r="B1938" s="242"/>
      <c r="C1938" s="251" t="s">
        <v>1632</v>
      </c>
      <c r="D1938" s="121" t="str">
        <f t="array" ref="D1938">INDEX(Regional.Technologies[Description],MATCH($B$2&amp;"."&amp;G.30.assumptions.EnergyEfficiencyCHP[[#This Row],[Technology code]],Regional.Technologies[Code],0))</f>
        <v>Global Electricity use in the Pulp &amp; paper: Recycled technology</v>
      </c>
      <c r="E1938" s="242">
        <f t="array" aca="1" ref="E1938" ca="1">INDEX(G.30.Levers[],MATCH(G.30.assumptions.EnergyEfficiencyCHP[[#This Row],[.]],G.30.Levers[Lever code],0),4)</f>
        <v>1</v>
      </c>
      <c r="F1938" s="121"/>
      <c r="G1938" s="242" t="str">
        <f t="shared" si="182"/>
        <v>EnergyEfficiency.Pulp &amp; paper.Recycled</v>
      </c>
      <c r="H1938" s="242"/>
      <c r="I1938" s="419">
        <f t="array" aca="1" ref="I1938"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8" s="419">
        <f t="array" aca="1" ref="J1938"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8" s="419">
        <f t="array" aca="1" ref="K1938"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8" s="419">
        <f t="array" aca="1" ref="L1938"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8" s="419">
        <f t="array" aca="1" ref="M1938"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8" s="419">
        <f t="array" aca="1" ref="N1938"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8" s="419">
        <f t="array" aca="1" ref="O1938"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8" s="419">
        <f t="array" aca="1" ref="P1938"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8" s="419">
        <f t="array" aca="1" ref="Q1938"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8" s="242"/>
      <c r="S1938" s="179"/>
      <c r="T1938" s="251"/>
      <c r="V1938" s="179"/>
      <c r="W1938" s="179"/>
    </row>
    <row r="1939" spans="1:23" s="65" customFormat="1" ht="15" customHeight="1" outlineLevel="2">
      <c r="A1939" s="219"/>
      <c r="B1939" s="242"/>
      <c r="C1939" s="251" t="s">
        <v>1634</v>
      </c>
      <c r="D1939" s="121" t="str">
        <f t="array" ref="D1939">INDEX(Regional.Technologies[Description],MATCH($B$2&amp;"."&amp;G.30.assumptions.EnergyEfficiencyCHP[[#This Row],[Technology code]],Regional.Technologies[Code],0))</f>
        <v>Global Electricity use in the Other industries technology</v>
      </c>
      <c r="E1939" s="242">
        <f t="array" aca="1" ref="E1939" ca="1">INDEX(G.30.Levers[],MATCH(G.30.assumptions.EnergyEfficiencyCHP[[#This Row],[.]],G.30.Levers[Lever code],0),4)</f>
        <v>1</v>
      </c>
      <c r="F1939" s="121"/>
      <c r="G1939" s="242" t="str">
        <f t="shared" si="182"/>
        <v>EnergyEfficiency.Other industries</v>
      </c>
      <c r="H1939" s="242"/>
      <c r="I1939" s="419">
        <f t="array" aca="1" ref="I1939" ca="1">(SUMIFS(INDIRECT("G.30.levels.EnergyEfficiencyCHP["&amp;I$2039&amp;"]"),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+(SUMIFS(INDIRECT("G.30.levels.EnergyEfficiencyCHP["&amp;I$2039&amp;"]"),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J1939" s="419">
        <f t="array" aca="1" ref="J1939" ca="1">(SUMIFS(INDIRECT("G.30.levels.EnergyEfficiencyCHP["&amp;J$2039&amp;"]"),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+(SUMIFS(INDIRECT("G.30.levels.EnergyEfficiencyCHP["&amp;J$2039&amp;"]"),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K1939" s="419">
        <f t="array" aca="1" ref="K1939" ca="1">(SUMIFS(INDIRECT("G.30.levels.EnergyEfficiencyCHP["&amp;K$2039&amp;"]"),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+(SUMIFS(INDIRECT("G.30.levels.EnergyEfficiencyCHP["&amp;K$2039&amp;"]"),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L1939" s="419">
        <f t="array" aca="1" ref="L1939" ca="1">(SUMIFS(INDIRECT("G.30.levels.EnergyEfficiencyCHP["&amp;L$2039&amp;"]"),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+(SUMIFS(INDIRECT("G.30.levels.EnergyEfficiencyCHP["&amp;L$2039&amp;"]"),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M1939" s="419">
        <f t="array" aca="1" ref="M1939" ca="1">(SUMIFS(INDIRECT("G.30.levels.EnergyEfficiencyCHP["&amp;M$2039&amp;"]"),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+(SUMIFS(INDIRECT("G.30.levels.EnergyEfficiencyCHP["&amp;M$2039&amp;"]"),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N1939" s="419">
        <f t="array" aca="1" ref="N1939" ca="1">(SUMIFS(INDIRECT("G.30.levels.EnergyEfficiencyCHP["&amp;N$2039&amp;"]"),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+(SUMIFS(INDIRECT("G.30.levels.EnergyEfficiencyCHP["&amp;N$2039&amp;"]"),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O1939" s="419">
        <f t="array" aca="1" ref="O1939" ca="1">(SUMIFS(INDIRECT("G.30.levels.EnergyEfficiencyCHP["&amp;O$2039&amp;"]"),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+(SUMIFS(INDIRECT("G.30.levels.EnergyEfficiencyCHP["&amp;O$2039&amp;"]"),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P1939" s="419">
        <f t="array" aca="1" ref="P1939" ca="1">(SUMIFS(INDIRECT("G.30.levels.EnergyEfficiencyCHP["&amp;P$2039&amp;"]"),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+(SUMIFS(INDIRECT("G.30.levels.EnergyEfficiencyCHP["&amp;P$2039&amp;"]"),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Q1939" s="419">
        <f t="array" aca="1" ref="Q1939" ca="1">(SUMIFS(INDIRECT("G.30.levels.EnergyEfficiencyCHP["&amp;Q$2039&amp;"]"),
               G.30.levels.EnergyEfficiencyCHP[[Description]:[Description]],G.30.assumptions.EnergyEfficiencyCHP[[#This Row],[Description]:[Description]],
               G.30.levels.EnergyEfficiencyCHP[[Level]:[Level]],ROUNDDOWN(G.30.assumptions.EnergyEfficiencyCHP[[#This Row],[Level]:[Level]],0))*(1-MOD(G.30.assumptions.EnergyEfficiencyCHP[[#This Row],[Level]:[Level]],1)))
+(SUMIFS(INDIRECT("G.30.levels.EnergyEfficiencyCHP["&amp;Q$2039&amp;"]"),
               G.30.levels.EnergyEfficiencyCHP[[Description]:[Description]],G.30.assumptions.EnergyEfficiencyCHP[[#This Row],[Description]:[Description]],
               G.30.levels.EnergyEfficiencyCHP[[Level]:[Level]],ROUNDUP(G.30.assumptions.EnergyEfficiencyCHP[[#This Row],[Level]:[Level]],0))*MOD(G.30.assumptions.EnergyEfficiencyCHP[[#This Row],[Level]:[Level]],1))</f>
        <v>0.05</v>
      </c>
      <c r="R1939" s="242"/>
      <c r="S1939" s="179"/>
      <c r="T1939" s="251"/>
      <c r="V1939" s="179"/>
      <c r="W1939" s="179"/>
    </row>
    <row r="1940" spans="1:23" s="65" customFormat="1" ht="15" customHeight="1" outlineLevel="2">
      <c r="A1940" s="219"/>
      <c r="B1940" s="242"/>
      <c r="C1940" s="242"/>
      <c r="D1940" s="242"/>
      <c r="E1940" s="242"/>
      <c r="F1940" s="242"/>
      <c r="G1940" s="242"/>
      <c r="H1940" s="242"/>
      <c r="I1940" s="242"/>
      <c r="J1940" s="246"/>
      <c r="K1940" s="246"/>
      <c r="L1940" s="246"/>
      <c r="M1940" s="246"/>
      <c r="N1940" s="246"/>
      <c r="O1940" s="246"/>
      <c r="P1940" s="246"/>
      <c r="Q1940" s="246"/>
      <c r="R1940" s="242"/>
      <c r="S1940" s="179"/>
      <c r="T1940" s="251"/>
      <c r="V1940" s="179"/>
      <c r="W1940" s="179"/>
    </row>
    <row r="1941" spans="1:23" s="65" customFormat="1" ht="15" customHeight="1" outlineLevel="2">
      <c r="A1941" s="219"/>
      <c r="B1941" s="242"/>
      <c r="C1941" s="248" t="s">
        <v>2195</v>
      </c>
      <c r="D1941" s="242"/>
      <c r="E1941" s="242"/>
      <c r="F1941" s="242"/>
      <c r="G1941" s="242"/>
      <c r="H1941" s="242"/>
      <c r="I1941" s="242"/>
      <c r="J1941" s="246"/>
      <c r="K1941" s="246"/>
      <c r="L1941" s="246"/>
      <c r="M1941" s="246"/>
      <c r="N1941" s="246"/>
      <c r="O1941" s="246"/>
      <c r="P1941" s="246"/>
      <c r="Q1941" s="246"/>
      <c r="R1941" s="242"/>
      <c r="S1941" s="179"/>
      <c r="T1941" s="251"/>
      <c r="V1941" s="179"/>
      <c r="W1941" s="179"/>
    </row>
    <row r="1942" spans="1:23" s="65" customFormat="1" ht="15" customHeight="1" outlineLevel="2">
      <c r="A1942" s="219"/>
      <c r="B1942" s="242"/>
      <c r="C1942" s="242"/>
      <c r="D1942" s="242"/>
      <c r="E1942" s="242"/>
      <c r="F1942" s="242"/>
      <c r="G1942" s="242"/>
      <c r="H1942" s="242"/>
      <c r="I1942" s="242"/>
      <c r="J1942" s="246"/>
      <c r="K1942" s="246"/>
      <c r="L1942" s="246"/>
      <c r="M1942" s="246"/>
      <c r="N1942" s="246"/>
      <c r="O1942" s="246"/>
      <c r="P1942" s="246"/>
      <c r="Q1942" s="246"/>
      <c r="R1942" s="242"/>
      <c r="S1942" s="179"/>
      <c r="T1942" s="251"/>
      <c r="V1942" s="179"/>
      <c r="W1942" s="179"/>
    </row>
    <row r="1943" spans="1:23" s="65" customFormat="1" ht="15" customHeight="1" outlineLevel="2">
      <c r="A1943" s="219"/>
      <c r="B1943" s="242"/>
      <c r="C1943" s="258" t="s">
        <v>454</v>
      </c>
      <c r="D1943" s="258" t="s">
        <v>241</v>
      </c>
      <c r="E1943" s="258" t="s">
        <v>598</v>
      </c>
      <c r="F1943" s="258" t="s">
        <v>274</v>
      </c>
      <c r="G1943" s="258" t="s">
        <v>509</v>
      </c>
      <c r="H1943" s="258" t="s">
        <v>510</v>
      </c>
      <c r="I1943" s="258" t="s">
        <v>1107</v>
      </c>
      <c r="J1943" s="258" t="s">
        <v>210</v>
      </c>
      <c r="K1943" s="258" t="s">
        <v>211</v>
      </c>
      <c r="L1943" s="258" t="s">
        <v>212</v>
      </c>
      <c r="M1943" s="258" t="s">
        <v>213</v>
      </c>
      <c r="N1943" s="258" t="s">
        <v>214</v>
      </c>
      <c r="O1943" s="258" t="s">
        <v>215</v>
      </c>
      <c r="P1943" s="258" t="s">
        <v>216</v>
      </c>
      <c r="Q1943" s="258" t="s">
        <v>217</v>
      </c>
      <c r="R1943" s="242"/>
      <c r="S1943" s="179"/>
      <c r="T1943" s="251"/>
      <c r="V1943" s="179"/>
      <c r="W1943" s="179"/>
    </row>
    <row r="1944" spans="1:23" s="65" customFormat="1" ht="15" customHeight="1" outlineLevel="2">
      <c r="A1944" s="219"/>
      <c r="B1944" s="242"/>
      <c r="C1944" s="242" t="s">
        <v>1376</v>
      </c>
      <c r="D1944" s="121" t="str">
        <f>INDEX(Regional.Technologies[Description],MATCH($B$2&amp;"."&amp;G.30.assumptions.EnergyDemandAfterEnergyEfficiencyCHP[[#This Row],[Technology code]],Regional.Technologies[Code],0))</f>
        <v>Global Electricity use in the Oxygen steel technology</v>
      </c>
      <c r="E1944" s="242"/>
      <c r="F1944" s="121" t="s">
        <v>1396</v>
      </c>
      <c r="G1944" s="242" t="s">
        <v>1377</v>
      </c>
      <c r="H1944" s="242"/>
      <c r="I1944" s="318">
        <f t="array" aca="1" ref="I194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2.3089557437005142</v>
      </c>
      <c r="J1944" s="318">
        <f t="array" aca="1" ref="J194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2.296584564817489</v>
      </c>
      <c r="K1944" s="318">
        <f t="array" aca="1" ref="K194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2.2800911654957865</v>
      </c>
      <c r="L1944" s="318">
        <f t="array" aca="1" ref="L194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2.2624539598208386</v>
      </c>
      <c r="M1944" s="318">
        <f t="array" aca="1" ref="M194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2.243672947792644</v>
      </c>
      <c r="N1944" s="318">
        <f t="array" aca="1" ref="N194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2.223748129411204</v>
      </c>
      <c r="O1944" s="318">
        <f t="array" aca="1" ref="O194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2.2026795046765182</v>
      </c>
      <c r="P1944" s="318">
        <f t="array" aca="1" ref="P194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2.1804670735885865</v>
      </c>
      <c r="Q1944" s="318">
        <f t="array" aca="1" ref="Q194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2.1571108361474076</v>
      </c>
      <c r="R1944" s="242"/>
      <c r="S1944" s="179"/>
      <c r="T1944" s="251"/>
      <c r="V1944" s="179"/>
      <c r="W1944" s="179"/>
    </row>
    <row r="1945" spans="1:23" s="65" customFormat="1" ht="15" customHeight="1" outlineLevel="2">
      <c r="A1945" s="219"/>
      <c r="B1945" s="242"/>
      <c r="C1945" s="251" t="s">
        <v>1798</v>
      </c>
      <c r="D1945" s="121" t="str">
        <f>INDEX(Regional.Technologies[Description],MATCH($B$2&amp;"."&amp;G.30.assumptions.EnergyDemandAfterEnergyEfficiencyCHP[[#This Row],[Technology code]],Regional.Technologies[Code],0))</f>
        <v>Global Coal use in the Oxygen steel technology</v>
      </c>
      <c r="E1945" s="242"/>
      <c r="F1945" s="121" t="s">
        <v>1396</v>
      </c>
      <c r="G1945" s="242" t="s">
        <v>1377</v>
      </c>
      <c r="H1945" s="242"/>
      <c r="I1945" s="318">
        <f t="array" aca="1" ref="I1945"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12.811296723305107</v>
      </c>
      <c r="J1945" s="318">
        <f t="array" aca="1" ref="J1945"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12.74265493841169</v>
      </c>
      <c r="K1945" s="318">
        <f t="array" aca="1" ref="K1945"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12.651140913830325</v>
      </c>
      <c r="L1945" s="318">
        <f t="array" aca="1" ref="L1945"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12.553280452066092</v>
      </c>
      <c r="M1945" s="318">
        <f t="array" aca="1" ref="M1945"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12.449073553118971</v>
      </c>
      <c r="N1945" s="318">
        <f t="array" aca="1" ref="N1945"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12.338520216988986</v>
      </c>
      <c r="O1945" s="318">
        <f t="array" aca="1" ref="O1945"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12.22162044367612</v>
      </c>
      <c r="P1945" s="318">
        <f t="array" aca="1" ref="P1945"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12.09837423318038</v>
      </c>
      <c r="Q1945" s="318">
        <f t="array" aca="1" ref="Q1945"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11.968781585501759</v>
      </c>
      <c r="R1945" s="242"/>
      <c r="S1945" s="179"/>
      <c r="T1945" s="251"/>
      <c r="V1945" s="179"/>
      <c r="W1945" s="179"/>
    </row>
    <row r="1946" spans="1:23" s="65" customFormat="1" ht="15" customHeight="1" outlineLevel="2">
      <c r="A1946" s="219"/>
      <c r="B1946" s="242"/>
      <c r="C1946" s="251" t="s">
        <v>1799</v>
      </c>
      <c r="D1946" s="121" t="str">
        <f>INDEX(Regional.Technologies[Description],MATCH($B$2&amp;"."&amp;G.30.assumptions.EnergyDemandAfterEnergyEfficiencyCHP[[#This Row],[Technology code]],Regional.Technologies[Code],0))</f>
        <v>Global Oil use in the Oxygen steel technology</v>
      </c>
      <c r="E1946" s="242"/>
      <c r="F1946" s="121" t="s">
        <v>1396</v>
      </c>
      <c r="G1946" s="242" t="s">
        <v>1377</v>
      </c>
      <c r="H1946" s="242"/>
      <c r="I1946" s="318">
        <f t="array" aca="1" ref="I194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0.6053795859240001</v>
      </c>
      <c r="J1946" s="318">
        <f t="array" aca="1" ref="J194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0.60213601611109646</v>
      </c>
      <c r="K1946" s="318">
        <f t="array" aca="1" ref="K194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0.59781165117725454</v>
      </c>
      <c r="L1946" s="318">
        <f t="array" aca="1" ref="L194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0.5931873943903988</v>
      </c>
      <c r="M1946" s="318">
        <f t="array" aca="1" ref="M194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0.58826324575052924</v>
      </c>
      <c r="N1946" s="318">
        <f t="array" aca="1" ref="N194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0.58303920525764585</v>
      </c>
      <c r="O1946" s="318">
        <f t="array" aca="1" ref="O194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0.57751527291174864</v>
      </c>
      <c r="P1946" s="318">
        <f t="array" aca="1" ref="P194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0.57169144871283772</v>
      </c>
      <c r="Q1946" s="318">
        <f t="array" aca="1" ref="Q194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0.56556773266091265</v>
      </c>
      <c r="R1946" s="242"/>
      <c r="S1946" s="179"/>
      <c r="T1946" s="251"/>
      <c r="V1946" s="179"/>
      <c r="W1946" s="179"/>
    </row>
    <row r="1947" spans="1:23" s="65" customFormat="1" ht="15" customHeight="1" outlineLevel="2">
      <c r="A1947" s="219"/>
      <c r="B1947" s="242"/>
      <c r="C1947" s="251" t="s">
        <v>1800</v>
      </c>
      <c r="D1947" s="121" t="str">
        <f>INDEX(Regional.Technologies[Description],MATCH($B$2&amp;"."&amp;G.30.assumptions.EnergyDemandAfterEnergyEfficiencyCHP[[#This Row],[Technology code]],Regional.Technologies[Code],0))</f>
        <v>Global Natural Gas use in the Oxygen steel technology</v>
      </c>
      <c r="E1947" s="242"/>
      <c r="F1947" s="121" t="s">
        <v>1396</v>
      </c>
      <c r="G1947" s="242" t="s">
        <v>1377</v>
      </c>
      <c r="H1947" s="242" t="s">
        <v>2169</v>
      </c>
      <c r="I1947" s="318">
        <f ca="1">SUMIF(G.30.assumptions.EnergyDemandAfterAlternativeFuels[.],G.30.assumptions.EnergyDemandAfterEnergyEfficiencyCHP[[#This Row],[.]],INDIRECT("G.30.assumptions.EnergyDemandAfterAlternativeFuels["&amp;I$1834&amp;"]"))
-SUM(I1944:I1946,I1948:I1949)</f>
        <v>1.0517591114635856</v>
      </c>
      <c r="J1947" s="318">
        <f ca="1">SUMIF(G.30.assumptions.EnergyDemandAfterAlternativeFuels[.],G.30.assumptions.EnergyDemandAfterEnergyEfficiencyCHP[[#This Row],[.]],INDIRECT("G.30.assumptions.EnergyDemandAfterAlternativeFuels["&amp;J$1834&amp;"]"))
-SUM(J1944:J1946,J1948:J1949)</f>
        <v>1.0461238799762498</v>
      </c>
      <c r="K1947" s="318">
        <f ca="1">SUMIF(G.30.assumptions.EnergyDemandAfterAlternativeFuels[.],G.30.assumptions.EnergyDemandAfterEnergyEfficiencyCHP[[#This Row],[.]],INDIRECT("G.30.assumptions.EnergyDemandAfterAlternativeFuels["&amp;K$1834&amp;"]"))
-SUM(K1944:K1946,K1948:K1949)</f>
        <v>1.0386109239298094</v>
      </c>
      <c r="L1947" s="318">
        <f ca="1">SUMIF(G.30.assumptions.EnergyDemandAfterAlternativeFuels[.],G.30.assumptions.EnergyDemandAfterEnergyEfficiencyCHP[[#This Row],[.]],INDIRECT("G.30.assumptions.EnergyDemandAfterAlternativeFuels["&amp;L$1834&amp;"]"))
-SUM(L1944:L1946,L1948:L1949)</f>
        <v>1.030576949341949</v>
      </c>
      <c r="M1947" s="318">
        <f ca="1">SUMIF(G.30.assumptions.EnergyDemandAfterAlternativeFuels[.],G.30.assumptions.EnergyDemandAfterEnergyEfficiencyCHP[[#This Row],[.]],INDIRECT("G.30.assumptions.EnergyDemandAfterAlternativeFuels["&amp;M$1834&amp;"]"))
-SUM(M1944:M1946,M1948:M1949)</f>
        <v>1.0220219562126687</v>
      </c>
      <c r="N1947" s="318">
        <f ca="1">SUMIF(G.30.assumptions.EnergyDemandAfterAlternativeFuels[.],G.30.assumptions.EnergyDemandAfterEnergyEfficiencyCHP[[#This Row],[.]],INDIRECT("G.30.assumptions.EnergyDemandAfterAlternativeFuels["&amp;N$1834&amp;"]"))
-SUM(N1944:N1946,N1948:N1949)</f>
        <v>1.0129459445419791</v>
      </c>
      <c r="O1947" s="318">
        <f ca="1">SUMIF(G.30.assumptions.EnergyDemandAfterAlternativeFuels[.],G.30.assumptions.EnergyDemandAfterEnergyEfficiencyCHP[[#This Row],[.]],INDIRECT("G.30.assumptions.EnergyDemandAfterAlternativeFuels["&amp;O$1834&amp;"]"))
-SUM(O1944:O1946,O1948:O1949)</f>
        <v>1.0033489143298713</v>
      </c>
      <c r="P1947" s="318">
        <f ca="1">SUMIF(G.30.assumptions.EnergyDemandAfterAlternativeFuels[.],G.30.assumptions.EnergyDemandAfterEnergyEfficiencyCHP[[#This Row],[.]],INDIRECT("G.30.assumptions.EnergyDemandAfterAlternativeFuels["&amp;P$1834&amp;"]"))
-SUM(P1944:P1946,P1948:P1949)</f>
        <v>0.9932308655763471</v>
      </c>
      <c r="Q1947" s="318">
        <f ca="1">SUMIF(G.30.assumptions.EnergyDemandAfterAlternativeFuels[.],G.30.assumptions.EnergyDemandAfterEnergyEfficiencyCHP[[#This Row],[.]],INDIRECT("G.30.assumptions.EnergyDemandAfterAlternativeFuels["&amp;Q$1834&amp;"]"))
-SUM(Q1944:Q1946,Q1948:Q1949)</f>
        <v>0.9825917982814083</v>
      </c>
      <c r="R1947" s="242"/>
      <c r="S1947" s="179"/>
      <c r="T1947" s="251"/>
      <c r="V1947" s="179"/>
      <c r="W1947" s="179"/>
    </row>
    <row r="1948" spans="1:23" s="65" customFormat="1" ht="15" customHeight="1" outlineLevel="2">
      <c r="A1948" s="219"/>
      <c r="B1948" s="242"/>
      <c r="C1948" s="251" t="s">
        <v>1802</v>
      </c>
      <c r="D1948" s="121" t="str">
        <f>INDEX(Regional.Technologies[Description],MATCH($B$2&amp;"."&amp;G.30.assumptions.EnergyDemandAfterEnergyEfficiencyCHP[[#This Row],[Technology code]],Regional.Technologies[Code],0))</f>
        <v>Global Solid Hydrocarbons use in the Oxygen steel technology</v>
      </c>
      <c r="E1948" s="242"/>
      <c r="F1948" s="121" t="s">
        <v>1396</v>
      </c>
      <c r="G1948" s="242" t="s">
        <v>1377</v>
      </c>
      <c r="H1948" s="242"/>
      <c r="I1948" s="318">
        <f t="array" aca="1" ref="I194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0.17590630860000006</v>
      </c>
      <c r="J1948" s="318">
        <f t="array" aca="1" ref="J194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0.17496381829186816</v>
      </c>
      <c r="K1948" s="318">
        <f t="array" aca="1" ref="K194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0.17370727927033774</v>
      </c>
      <c r="L1948" s="318">
        <f t="array" aca="1" ref="L194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0.17236360009729013</v>
      </c>
      <c r="M1948" s="318">
        <f t="array" aca="1" ref="M194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0.1709327807727252</v>
      </c>
      <c r="N1948" s="318">
        <f t="array" aca="1" ref="N194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0.16941482129664301</v>
      </c>
      <c r="O1948" s="318">
        <f t="array" aca="1" ref="O194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0.16780972166904359</v>
      </c>
      <c r="P1948" s="318">
        <f t="array" aca="1" ref="P194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0.16611748188992692</v>
      </c>
      <c r="Q1948" s="318">
        <f t="array" aca="1" ref="Q194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0.16433810195929288</v>
      </c>
      <c r="R1948" s="242"/>
      <c r="S1948" s="179"/>
      <c r="T1948" s="251"/>
      <c r="V1948" s="179"/>
      <c r="W1948" s="179"/>
    </row>
    <row r="1949" spans="1:23" s="65" customFormat="1" ht="15" customHeight="1" outlineLevel="2">
      <c r="A1949" s="219"/>
      <c r="B1949" s="242"/>
      <c r="C1949" s="251" t="s">
        <v>1635</v>
      </c>
      <c r="D1949" s="121" t="str">
        <f>INDEX(Regional.Technologies[Description],MATCH($B$2&amp;"."&amp;G.30.assumptions.EnergyDemandAfterEnergyEfficiencyCHP[[#This Row],[Technology code]],Regional.Technologies[Code],0))</f>
        <v>Global Heat use in the Oxygen steel technology</v>
      </c>
      <c r="E1949" s="242"/>
      <c r="F1949" s="121" t="s">
        <v>1396</v>
      </c>
      <c r="G1949" s="242" t="s">
        <v>1377</v>
      </c>
      <c r="H1949" s="242"/>
      <c r="I1949" s="318">
        <f t="array" aca="1" ref="I1949"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0.80340865264799999</v>
      </c>
      <c r="J1949" s="318">
        <f t="array" aca="1" ref="J1949"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0.7991040607626011</v>
      </c>
      <c r="K1949" s="318">
        <f t="array" aca="1" ref="K1949"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0.79336512888277322</v>
      </c>
      <c r="L1949" s="318">
        <f t="array" aca="1" ref="L1949"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0.78722820586619091</v>
      </c>
      <c r="M1949" s="318">
        <f t="array" aca="1" ref="M1949"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0.78069329171285384</v>
      </c>
      <c r="N1949" s="318">
        <f t="array" aca="1" ref="N1949"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0.77376038642276201</v>
      </c>
      <c r="O1949" s="318">
        <f t="array" aca="1" ref="O1949"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0.76642948999591576</v>
      </c>
      <c r="P1949" s="318">
        <f t="array" aca="1" ref="P1949"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0.75870060243231485</v>
      </c>
      <c r="Q1949" s="318">
        <f t="array" aca="1" ref="Q1949"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0.75057372373195896</v>
      </c>
      <c r="R1949" s="242"/>
      <c r="S1949" s="179"/>
      <c r="T1949" s="251"/>
      <c r="V1949" s="179"/>
      <c r="W1949" s="179"/>
    </row>
    <row r="1950" spans="1:23" s="65" customFormat="1" ht="15" customHeight="1" outlineLevel="2">
      <c r="A1950" s="219"/>
      <c r="B1950" s="242"/>
      <c r="C1950" s="242" t="s">
        <v>2053</v>
      </c>
      <c r="D1950" s="121" t="str">
        <f>INDEX(Regional.Technologies[Description],MATCH($B$2&amp;"."&amp;G.30.assumptions.EnergyDemandAfterEnergyEfficiencyCHP[[#This Row],[Technology code]],Regional.Technologies[Code],0))</f>
        <v>Global Electricity use in the Hisarna Oxygen steel technology</v>
      </c>
      <c r="E1950" s="242"/>
      <c r="F1950" s="121" t="s">
        <v>1396</v>
      </c>
      <c r="G1950" s="242" t="s">
        <v>2193</v>
      </c>
      <c r="H1950" s="242"/>
      <c r="I1950" s="318">
        <f t="array" aca="1" ref="I195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50" s="318">
        <f t="array" aca="1" ref="J195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50" s="318">
        <f t="array" aca="1" ref="K195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50" s="318">
        <f t="array" aca="1" ref="L195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50" s="318">
        <f t="array" aca="1" ref="M195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50" s="318">
        <f t="array" aca="1" ref="N195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50" s="318">
        <f t="array" aca="1" ref="O195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50" s="318">
        <f t="array" aca="1" ref="P195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50" s="318">
        <f t="array" aca="1" ref="Q195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50" s="242"/>
      <c r="S1950" s="179"/>
      <c r="T1950" s="251"/>
      <c r="V1950" s="179"/>
      <c r="W1950" s="179"/>
    </row>
    <row r="1951" spans="1:23" s="65" customFormat="1" ht="15" customHeight="1" outlineLevel="2">
      <c r="A1951" s="219"/>
      <c r="B1951" s="242"/>
      <c r="C1951" s="251" t="s">
        <v>2054</v>
      </c>
      <c r="D1951" s="121" t="str">
        <f>INDEX(Regional.Technologies[Description],MATCH($B$2&amp;"."&amp;G.30.assumptions.EnergyDemandAfterEnergyEfficiencyCHP[[#This Row],[Technology code]],Regional.Technologies[Code],0))</f>
        <v>Global Coal use in the Hisarna Oxygen steel technology</v>
      </c>
      <c r="E1951" s="242"/>
      <c r="F1951" s="121" t="s">
        <v>1396</v>
      </c>
      <c r="G1951" s="242" t="s">
        <v>2193</v>
      </c>
      <c r="H1951" s="242"/>
      <c r="I1951" s="318">
        <f t="array" aca="1" ref="I1951"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51" s="318">
        <f t="array" aca="1" ref="J1951"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51" s="318">
        <f t="array" aca="1" ref="K1951"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51" s="318">
        <f t="array" aca="1" ref="L1951"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51" s="318">
        <f t="array" aca="1" ref="M1951"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51" s="318">
        <f t="array" aca="1" ref="N1951"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51" s="318">
        <f t="array" aca="1" ref="O1951"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51" s="318">
        <f t="array" aca="1" ref="P1951"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51" s="318">
        <f t="array" aca="1" ref="Q1951"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51" s="242"/>
      <c r="S1951" s="179"/>
      <c r="T1951" s="251"/>
      <c r="V1951" s="179"/>
      <c r="W1951" s="179"/>
    </row>
    <row r="1952" spans="1:23" s="65" customFormat="1" ht="15" customHeight="1" outlineLevel="2">
      <c r="A1952" s="219"/>
      <c r="B1952" s="242"/>
      <c r="C1952" s="251" t="s">
        <v>2055</v>
      </c>
      <c r="D1952" s="121" t="str">
        <f>INDEX(Regional.Technologies[Description],MATCH($B$2&amp;"."&amp;G.30.assumptions.EnergyDemandAfterEnergyEfficiencyCHP[[#This Row],[Technology code]],Regional.Technologies[Code],0))</f>
        <v>Global Oil use in the Hisarna Oxygen steel technology</v>
      </c>
      <c r="E1952" s="242"/>
      <c r="F1952" s="121" t="s">
        <v>1396</v>
      </c>
      <c r="G1952" s="242" t="s">
        <v>2193</v>
      </c>
      <c r="H1952" s="242"/>
      <c r="I1952" s="318">
        <f t="array" aca="1" ref="I195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52" s="318">
        <f t="array" aca="1" ref="J195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52" s="318">
        <f t="array" aca="1" ref="K195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52" s="318">
        <f t="array" aca="1" ref="L195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52" s="318">
        <f t="array" aca="1" ref="M195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52" s="318">
        <f t="array" aca="1" ref="N195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52" s="318">
        <f t="array" aca="1" ref="O195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52" s="318">
        <f t="array" aca="1" ref="P195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52" s="318">
        <f t="array" aca="1" ref="Q195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52" s="242"/>
      <c r="S1952" s="179"/>
      <c r="T1952" s="251"/>
      <c r="V1952" s="179"/>
      <c r="W1952" s="179"/>
    </row>
    <row r="1953" spans="1:23" s="65" customFormat="1" ht="15" customHeight="1" outlineLevel="2">
      <c r="A1953" s="219"/>
      <c r="B1953" s="242"/>
      <c r="C1953" s="251" t="s">
        <v>2056</v>
      </c>
      <c r="D1953" s="121" t="str">
        <f>INDEX(Regional.Technologies[Description],MATCH($B$2&amp;"."&amp;G.30.assumptions.EnergyDemandAfterEnergyEfficiencyCHP[[#This Row],[Technology code]],Regional.Technologies[Code],0))</f>
        <v>Global Natural Gas use in the Hisarna Oxygen steel technology</v>
      </c>
      <c r="E1953" s="242"/>
      <c r="F1953" s="121" t="s">
        <v>1396</v>
      </c>
      <c r="G1953" s="242" t="s">
        <v>2193</v>
      </c>
      <c r="H1953" s="242" t="s">
        <v>2169</v>
      </c>
      <c r="I1953" s="318">
        <f ca="1">SUMIF(G.30.assumptions.EnergyDemandAfterAlternativeFuels[.],G.30.assumptions.EnergyDemandAfterEnergyEfficiencyCHP[[#This Row],[.]],INDIRECT("G.30.assumptions.EnergyDemandAfterAlternativeFuels["&amp;I$1834&amp;"]"))
-SUM(I1950:I1952,I1954:I1955)</f>
        <v>0</v>
      </c>
      <c r="J1953" s="318">
        <f ca="1">SUMIF(G.30.assumptions.EnergyDemandAfterAlternativeFuels[.],G.30.assumptions.EnergyDemandAfterEnergyEfficiencyCHP[[#This Row],[.]],INDIRECT("G.30.assumptions.EnergyDemandAfterAlternativeFuels["&amp;J$1834&amp;"]"))
-SUM(J1950:J1952,J1954:J1955)</f>
        <v>0</v>
      </c>
      <c r="K1953" s="318">
        <f ca="1">SUMIF(G.30.assumptions.EnergyDemandAfterAlternativeFuels[.],G.30.assumptions.EnergyDemandAfterEnergyEfficiencyCHP[[#This Row],[.]],INDIRECT("G.30.assumptions.EnergyDemandAfterAlternativeFuels["&amp;K$1834&amp;"]"))
-SUM(K1950:K1952,K1954:K1955)</f>
        <v>0</v>
      </c>
      <c r="L1953" s="318">
        <f ca="1">SUMIF(G.30.assumptions.EnergyDemandAfterAlternativeFuels[.],G.30.assumptions.EnergyDemandAfterEnergyEfficiencyCHP[[#This Row],[.]],INDIRECT("G.30.assumptions.EnergyDemandAfterAlternativeFuels["&amp;L$1834&amp;"]"))
-SUM(L1950:L1952,L1954:L1955)</f>
        <v>0</v>
      </c>
      <c r="M1953" s="318">
        <f ca="1">SUMIF(G.30.assumptions.EnergyDemandAfterAlternativeFuels[.],G.30.assumptions.EnergyDemandAfterEnergyEfficiencyCHP[[#This Row],[.]],INDIRECT("G.30.assumptions.EnergyDemandAfterAlternativeFuels["&amp;M$1834&amp;"]"))
-SUM(M1950:M1952,M1954:M1955)</f>
        <v>0</v>
      </c>
      <c r="N1953" s="318">
        <f ca="1">SUMIF(G.30.assumptions.EnergyDemandAfterAlternativeFuels[.],G.30.assumptions.EnergyDemandAfterEnergyEfficiencyCHP[[#This Row],[.]],INDIRECT("G.30.assumptions.EnergyDemandAfterAlternativeFuels["&amp;N$1834&amp;"]"))
-SUM(N1950:N1952,N1954:N1955)</f>
        <v>0</v>
      </c>
      <c r="O1953" s="318">
        <f ca="1">SUMIF(G.30.assumptions.EnergyDemandAfterAlternativeFuels[.],G.30.assumptions.EnergyDemandAfterEnergyEfficiencyCHP[[#This Row],[.]],INDIRECT("G.30.assumptions.EnergyDemandAfterAlternativeFuels["&amp;O$1834&amp;"]"))
-SUM(O1950:O1952,O1954:O1955)</f>
        <v>0</v>
      </c>
      <c r="P1953" s="318">
        <f ca="1">SUMIF(G.30.assumptions.EnergyDemandAfterAlternativeFuels[.],G.30.assumptions.EnergyDemandAfterEnergyEfficiencyCHP[[#This Row],[.]],INDIRECT("G.30.assumptions.EnergyDemandAfterAlternativeFuels["&amp;P$1834&amp;"]"))
-SUM(P1950:P1952,P1954:P1955)</f>
        <v>0</v>
      </c>
      <c r="Q1953" s="318">
        <f ca="1">SUMIF(G.30.assumptions.EnergyDemandAfterAlternativeFuels[.],G.30.assumptions.EnergyDemandAfterEnergyEfficiencyCHP[[#This Row],[.]],INDIRECT("G.30.assumptions.EnergyDemandAfterAlternativeFuels["&amp;Q$1834&amp;"]"))
-SUM(Q1950:Q1952,Q1954:Q1955)</f>
        <v>0</v>
      </c>
      <c r="R1953" s="242"/>
      <c r="S1953" s="179"/>
      <c r="T1953" s="251"/>
      <c r="V1953" s="179"/>
      <c r="W1953" s="179"/>
    </row>
    <row r="1954" spans="1:23" s="65" customFormat="1" ht="15" customHeight="1" outlineLevel="2">
      <c r="A1954" s="219"/>
      <c r="B1954" s="242"/>
      <c r="C1954" s="251" t="s">
        <v>2057</v>
      </c>
      <c r="D1954" s="121" t="str">
        <f>INDEX(Regional.Technologies[Description],MATCH($B$2&amp;"."&amp;G.30.assumptions.EnergyDemandAfterEnergyEfficiencyCHP[[#This Row],[Technology code]],Regional.Technologies[Code],0))</f>
        <v>Global Solid Hydrocarbons use in the Hisarna Oxygen steel technology</v>
      </c>
      <c r="E1954" s="242"/>
      <c r="F1954" s="121" t="s">
        <v>1396</v>
      </c>
      <c r="G1954" s="242" t="s">
        <v>2193</v>
      </c>
      <c r="H1954" s="242"/>
      <c r="I1954" s="318">
        <f t="array" aca="1" ref="I195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54" s="318">
        <f t="array" aca="1" ref="J195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54" s="318">
        <f t="array" aca="1" ref="K195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54" s="318">
        <f t="array" aca="1" ref="L195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54" s="318">
        <f t="array" aca="1" ref="M195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54" s="318">
        <f t="array" aca="1" ref="N195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54" s="318">
        <f t="array" aca="1" ref="O195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54" s="318">
        <f t="array" aca="1" ref="P195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54" s="318">
        <f t="array" aca="1" ref="Q195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54" s="242"/>
      <c r="S1954" s="179"/>
      <c r="T1954" s="251"/>
      <c r="V1954" s="179"/>
      <c r="W1954" s="179"/>
    </row>
    <row r="1955" spans="1:23" s="65" customFormat="1" ht="15" customHeight="1" outlineLevel="2">
      <c r="A1955" s="219"/>
      <c r="B1955" s="242"/>
      <c r="C1955" s="251" t="s">
        <v>2058</v>
      </c>
      <c r="D1955" s="121" t="str">
        <f>INDEX(Regional.Technologies[Description],MATCH($B$2&amp;"."&amp;G.30.assumptions.EnergyDemandAfterEnergyEfficiencyCHP[[#This Row],[Technology code]],Regional.Technologies[Code],0))</f>
        <v>Global Heat use in the Hisarna Oxygen steel technology</v>
      </c>
      <c r="E1955" s="242"/>
      <c r="F1955" s="121" t="s">
        <v>1396</v>
      </c>
      <c r="G1955" s="242" t="s">
        <v>2193</v>
      </c>
      <c r="H1955" s="242"/>
      <c r="I1955" s="318">
        <f t="array" aca="1" ref="I1955"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55" s="318">
        <f t="array" aca="1" ref="J1955"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55" s="318">
        <f t="array" aca="1" ref="K1955"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55" s="318">
        <f t="array" aca="1" ref="L1955"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55" s="318">
        <f t="array" aca="1" ref="M1955"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55" s="318">
        <f t="array" aca="1" ref="N1955"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55" s="318">
        <f t="array" aca="1" ref="O1955"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55" s="318">
        <f t="array" aca="1" ref="P1955"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55" s="318">
        <f t="array" aca="1" ref="Q1955"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55" s="242"/>
      <c r="S1955" s="179"/>
      <c r="T1955" s="251"/>
      <c r="V1955" s="179"/>
      <c r="W1955" s="179"/>
    </row>
    <row r="1956" spans="1:23" s="65" customFormat="1" ht="15" customHeight="1" outlineLevel="2">
      <c r="A1956" s="219"/>
      <c r="B1956" s="242"/>
      <c r="C1956" s="251" t="s">
        <v>1379</v>
      </c>
      <c r="D1956" s="121" t="str">
        <f>INDEX(Regional.Technologies[Description],MATCH($B$2&amp;"."&amp;G.30.assumptions.EnergyDemandAfterEnergyEfficiencyCHP[[#This Row],[Technology code]],Regional.Technologies[Code],0))</f>
        <v>Global Electricity use in the Electric steel technology</v>
      </c>
      <c r="E1956" s="242"/>
      <c r="F1956" s="121" t="s">
        <v>1396</v>
      </c>
      <c r="G1956" s="242" t="s">
        <v>1380</v>
      </c>
      <c r="H1956" s="242"/>
      <c r="I1956" s="318">
        <f t="array" aca="1" ref="I195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1.6352704427314861</v>
      </c>
      <c r="J1956" s="318">
        <f t="array" aca="1" ref="J195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1.7134937789391276</v>
      </c>
      <c r="K1956" s="318">
        <f t="array" aca="1" ref="K195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1.8130275874759676</v>
      </c>
      <c r="L1956" s="318">
        <f t="array" aca="1" ref="L195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1.9145109940986842</v>
      </c>
      <c r="M1956" s="318">
        <f t="array" aca="1" ref="M195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2.0179439988072758</v>
      </c>
      <c r="N1956" s="318">
        <f t="array" aca="1" ref="N195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2.123326601601744</v>
      </c>
      <c r="O1956" s="318">
        <f t="array" aca="1" ref="O195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2.2306588024820879</v>
      </c>
      <c r="P1956" s="318">
        <f t="array" aca="1" ref="P195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2.3399406014483071</v>
      </c>
      <c r="Q1956" s="318">
        <f t="array" aca="1" ref="Q195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2.4511719985004023</v>
      </c>
      <c r="R1956" s="242"/>
      <c r="S1956" s="179"/>
      <c r="T1956" s="251"/>
      <c r="V1956" s="179"/>
      <c r="W1956" s="179"/>
    </row>
    <row r="1957" spans="1:23" s="65" customFormat="1" ht="15" customHeight="1" outlineLevel="2">
      <c r="A1957" s="219"/>
      <c r="B1957" s="242"/>
      <c r="C1957" s="251" t="s">
        <v>1803</v>
      </c>
      <c r="D1957" s="121" t="str">
        <f>INDEX(Regional.Technologies[Description],MATCH($B$2&amp;"."&amp;G.30.assumptions.EnergyDemandAfterEnergyEfficiencyCHP[[#This Row],[Technology code]],Regional.Technologies[Code],0))</f>
        <v>Global Coal use in the Electric steel technology</v>
      </c>
      <c r="E1957" s="242"/>
      <c r="F1957" s="121" t="s">
        <v>1396</v>
      </c>
      <c r="G1957" s="242" t="s">
        <v>1380</v>
      </c>
      <c r="H1957" s="242"/>
      <c r="I1957" s="318">
        <f t="array" aca="1" ref="I1957"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10.424196405786889</v>
      </c>
      <c r="J1957" s="318">
        <f t="array" aca="1" ref="J1957"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10.922838953732857</v>
      </c>
      <c r="K1957" s="318">
        <f t="array" aca="1" ref="K1957"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11.557327257374492</v>
      </c>
      <c r="L1957" s="318">
        <f t="array" aca="1" ref="L1957"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12.204243470692997</v>
      </c>
      <c r="M1957" s="318">
        <f t="array" aca="1" ref="M1957"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12.863587593688365</v>
      </c>
      <c r="N1957" s="318">
        <f t="array" aca="1" ref="N1957"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13.535359626360606</v>
      </c>
      <c r="O1957" s="318">
        <f t="array" aca="1" ref="O1957"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14.219559568709709</v>
      </c>
      <c r="P1957" s="318">
        <f t="array" aca="1" ref="P1957"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14.916187420735676</v>
      </c>
      <c r="Q1957" s="318">
        <f t="array" aca="1" ref="Q1957"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15.62524318243851</v>
      </c>
      <c r="R1957" s="242"/>
      <c r="S1957" s="179"/>
      <c r="T1957" s="251"/>
      <c r="V1957" s="179"/>
      <c r="W1957" s="179"/>
    </row>
    <row r="1958" spans="1:23" s="65" customFormat="1" ht="15" customHeight="1" outlineLevel="2">
      <c r="A1958" s="219"/>
      <c r="B1958" s="242"/>
      <c r="C1958" s="251" t="s">
        <v>1804</v>
      </c>
      <c r="D1958" s="121" t="str">
        <f>INDEX(Regional.Technologies[Description],MATCH($B$2&amp;"."&amp;G.30.assumptions.EnergyDemandAfterEnergyEfficiencyCHP[[#This Row],[Technology code]],Regional.Technologies[Code],0))</f>
        <v>Global Oil use in the Electric steel technology</v>
      </c>
      <c r="E1958" s="242"/>
      <c r="F1958" s="121" t="s">
        <v>1396</v>
      </c>
      <c r="G1958" s="242" t="s">
        <v>1380</v>
      </c>
      <c r="H1958" s="242"/>
      <c r="I1958" s="318">
        <f t="array" aca="1" ref="I195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58" s="318">
        <f t="array" aca="1" ref="J195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58" s="318">
        <f t="array" aca="1" ref="K195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58" s="318">
        <f t="array" aca="1" ref="L195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58" s="318">
        <f t="array" aca="1" ref="M195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58" s="318">
        <f t="array" aca="1" ref="N195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58" s="318">
        <f t="array" aca="1" ref="O195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58" s="318">
        <f t="array" aca="1" ref="P195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58" s="318">
        <f t="array" aca="1" ref="Q195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58" s="242"/>
      <c r="S1958" s="179"/>
      <c r="T1958" s="251"/>
      <c r="V1958" s="179"/>
      <c r="W1958" s="179"/>
    </row>
    <row r="1959" spans="1:23" s="65" customFormat="1" ht="15" customHeight="1" outlineLevel="2">
      <c r="A1959" s="219"/>
      <c r="B1959" s="242"/>
      <c r="C1959" s="251" t="s">
        <v>1805</v>
      </c>
      <c r="D1959" s="121" t="str">
        <f>INDEX(Regional.Technologies[Description],MATCH($B$2&amp;"."&amp;G.30.assumptions.EnergyDemandAfterEnergyEfficiencyCHP[[#This Row],[Technology code]],Regional.Technologies[Code],0))</f>
        <v>Global Natural Gas use in the Electric steel technology</v>
      </c>
      <c r="E1959" s="242"/>
      <c r="F1959" s="121" t="s">
        <v>1396</v>
      </c>
      <c r="G1959" s="242" t="s">
        <v>1380</v>
      </c>
      <c r="H1959" s="242" t="s">
        <v>2169</v>
      </c>
      <c r="I1959" s="318">
        <f ca="1">SUMIF(G.30.assumptions.EnergyDemandAfterAlternativeFuels[.],G.30.assumptions.EnergyDemandAfterEnergyEfficiencyCHP[[#This Row],[.]],INDIRECT("G.30.assumptions.EnergyDemandAfterAlternativeFuels["&amp;I$1834&amp;"]"))
-SUM(I1956:I1958,I1960:I1961)</f>
        <v>1.2528070032244134</v>
      </c>
      <c r="J1959" s="318">
        <f ca="1">SUMIF(G.30.assumptions.EnergyDemandAfterAlternativeFuels[.],G.30.assumptions.EnergyDemandAfterEnergyEfficiencyCHP[[#This Row],[.]],INDIRECT("G.30.assumptions.EnergyDemandAfterAlternativeFuels["&amp;J$1834&amp;"]"))
-SUM(J1956:J1958,J1960:J1961)</f>
        <v>1.3127351599718793</v>
      </c>
      <c r="K1959" s="318">
        <f ca="1">SUMIF(G.30.assumptions.EnergyDemandAfterAlternativeFuels[.],G.30.assumptions.EnergyDemandAfterEnergyEfficiencyCHP[[#This Row],[.]],INDIRECT("G.30.assumptions.EnergyDemandAfterAlternativeFuels["&amp;K$1834&amp;"]"))
-SUM(K1956:K1958,K1960:K1961)</f>
        <v>1.3889896125285226</v>
      </c>
      <c r="L1959" s="318">
        <f ca="1">SUMIF(G.30.assumptions.EnergyDemandAfterAlternativeFuels[.],G.30.assumptions.EnergyDemandAfterEnergyEfficiencyCHP[[#This Row],[.]],INDIRECT("G.30.assumptions.EnergyDemandAfterAlternativeFuels["&amp;L$1834&amp;"]"))
-SUM(L1956:L1958,L1960:L1961)</f>
        <v>1.4667376835544026</v>
      </c>
      <c r="M1959" s="318">
        <f ca="1">SUMIF(G.30.assumptions.EnergyDemandAfterAlternativeFuels[.],G.30.assumptions.EnergyDemandAfterEnergyEfficiencyCHP[[#This Row],[.]],INDIRECT("G.30.assumptions.EnergyDemandAfterAlternativeFuels["&amp;M$1834&amp;"]"))
-SUM(M1956:M1958,M1960:M1961)</f>
        <v>1.5459793730495193</v>
      </c>
      <c r="N1959" s="318">
        <f ca="1">SUMIF(G.30.assumptions.EnergyDemandAfterAlternativeFuels[.],G.30.assumptions.EnergyDemandAfterEnergyEfficiencyCHP[[#This Row],[.]],INDIRECT("G.30.assumptions.EnergyDemandAfterAlternativeFuels["&amp;N$1834&amp;"]"))
-SUM(N1956:N1958,N1960:N1961)</f>
        <v>1.6267146810138691</v>
      </c>
      <c r="O1959" s="318">
        <f ca="1">SUMIF(G.30.assumptions.EnergyDemandAfterAlternativeFuels[.],G.30.assumptions.EnergyDemandAfterEnergyEfficiencyCHP[[#This Row],[.]],INDIRECT("G.30.assumptions.EnergyDemandAfterAlternativeFuels["&amp;O$1834&amp;"]"))
-SUM(O1956:O1958,O1960:O1961)</f>
        <v>1.7089436074474555</v>
      </c>
      <c r="P1959" s="318">
        <f ca="1">SUMIF(G.30.assumptions.EnergyDemandAfterAlternativeFuels[.],G.30.assumptions.EnergyDemandAfterEnergyEfficiencyCHP[[#This Row],[.]],INDIRECT("G.30.assumptions.EnergyDemandAfterAlternativeFuels["&amp;P$1834&amp;"]"))
-SUM(P1956:P1958,P1960:P1961)</f>
        <v>1.7926661523502752</v>
      </c>
      <c r="Q1959" s="318">
        <f ca="1">SUMIF(G.30.assumptions.EnergyDemandAfterAlternativeFuels[.],G.30.assumptions.EnergyDemandAfterEnergyEfficiencyCHP[[#This Row],[.]],INDIRECT("G.30.assumptions.EnergyDemandAfterAlternativeFuels["&amp;Q$1834&amp;"]"))
-SUM(Q1956:Q1958,Q1960:Q1961)</f>
        <v>1.8778823157223314</v>
      </c>
      <c r="R1959" s="242"/>
      <c r="S1959" s="179"/>
      <c r="T1959" s="251"/>
      <c r="V1959" s="179"/>
      <c r="W1959" s="179"/>
    </row>
    <row r="1960" spans="1:23" s="65" customFormat="1" ht="15" customHeight="1" outlineLevel="2">
      <c r="A1960" s="219"/>
      <c r="B1960" s="242"/>
      <c r="C1960" s="251" t="s">
        <v>1806</v>
      </c>
      <c r="D1960" s="121" t="str">
        <f>INDEX(Regional.Technologies[Description],MATCH($B$2&amp;"."&amp;G.30.assumptions.EnergyDemandAfterEnergyEfficiencyCHP[[#This Row],[Technology code]],Regional.Technologies[Code],0))</f>
        <v>Global Solid Hydrocarbons use in the Electric steel technology</v>
      </c>
      <c r="E1960" s="242"/>
      <c r="F1960" s="121" t="s">
        <v>1396</v>
      </c>
      <c r="G1960" s="242" t="s">
        <v>1380</v>
      </c>
      <c r="H1960" s="242"/>
      <c r="I1960" s="318">
        <f t="array" aca="1" ref="I196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60" s="318">
        <f t="array" aca="1" ref="J196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60" s="318">
        <f t="array" aca="1" ref="K196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60" s="318">
        <f t="array" aca="1" ref="L196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60" s="318">
        <f t="array" aca="1" ref="M196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60" s="318">
        <f t="array" aca="1" ref="N196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60" s="318">
        <f t="array" aca="1" ref="O196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60" s="318">
        <f t="array" aca="1" ref="P196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60" s="318">
        <f t="array" aca="1" ref="Q196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60" s="242"/>
      <c r="S1960" s="179"/>
      <c r="T1960" s="251"/>
      <c r="V1960" s="179"/>
      <c r="W1960" s="179"/>
    </row>
    <row r="1961" spans="1:23" s="65" customFormat="1" ht="15" customHeight="1" outlineLevel="2">
      <c r="A1961" s="219"/>
      <c r="B1961" s="242"/>
      <c r="C1961" s="251" t="s">
        <v>1636</v>
      </c>
      <c r="D1961" s="121" t="str">
        <f>INDEX(Regional.Technologies[Description],MATCH($B$2&amp;"."&amp;G.30.assumptions.EnergyDemandAfterEnergyEfficiencyCHP[[#This Row],[Technology code]],Regional.Technologies[Code],0))</f>
        <v>Global Heat use in the Electric steel technology</v>
      </c>
      <c r="E1961" s="242"/>
      <c r="F1961" s="121" t="s">
        <v>1396</v>
      </c>
      <c r="G1961" s="242" t="s">
        <v>1380</v>
      </c>
      <c r="H1961" s="242"/>
      <c r="I1961" s="318">
        <f t="array" aca="1" ref="I1961"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61" s="318">
        <f t="array" aca="1" ref="J1961"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61" s="318">
        <f t="array" aca="1" ref="K1961"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61" s="318">
        <f t="array" aca="1" ref="L1961"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61" s="318">
        <f t="array" aca="1" ref="M1961"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61" s="318">
        <f t="array" aca="1" ref="N1961"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61" s="318">
        <f t="array" aca="1" ref="O1961"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61" s="318">
        <f t="array" aca="1" ref="P1961"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61" s="318">
        <f t="array" aca="1" ref="Q1961"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61" s="242"/>
      <c r="S1961" s="179"/>
      <c r="T1961" s="251"/>
      <c r="V1961" s="179"/>
      <c r="W1961" s="179"/>
    </row>
    <row r="1962" spans="1:23" s="65" customFormat="1" ht="15" customHeight="1" outlineLevel="2">
      <c r="A1962" s="219"/>
      <c r="B1962" s="242"/>
      <c r="C1962" s="242" t="s">
        <v>1807</v>
      </c>
      <c r="D1962" s="121" t="str">
        <f>INDEX(Regional.Technologies[Description],MATCH($B$2&amp;"."&amp;G.30.assumptions.EnergyDemandAfterEnergyEfficiencyCHP[[#This Row],[Technology code]],Regional.Technologies[Code],0))</f>
        <v>Global Electricity use in the Alumina Aluminium technology</v>
      </c>
      <c r="E1962" s="242"/>
      <c r="F1962" s="121" t="s">
        <v>1418</v>
      </c>
      <c r="G1962" s="242" t="s">
        <v>1625</v>
      </c>
      <c r="H1962" s="242"/>
      <c r="I1962" s="318">
        <f t="array" aca="1" ref="I196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5.7780487765234236E-2</v>
      </c>
      <c r="J1962" s="318">
        <f t="array" aca="1" ref="J196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5.9889708832233816E-2</v>
      </c>
      <c r="K1962" s="318">
        <f t="array" aca="1" ref="K196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6.2569539119400122E-2</v>
      </c>
      <c r="L1962" s="318">
        <f t="array" aca="1" ref="L196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6.529748491036283E-2</v>
      </c>
      <c r="M1962" s="318">
        <f t="array" aca="1" ref="M196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6.8073546205122029E-2</v>
      </c>
      <c r="N1962" s="318">
        <f t="array" aca="1" ref="N196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7.0897723003677623E-2</v>
      </c>
      <c r="O1962" s="318">
        <f t="array" aca="1" ref="O196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7.377001530602971E-2</v>
      </c>
      <c r="P1962" s="318">
        <f t="array" aca="1" ref="P196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7.6690423112178219E-2</v>
      </c>
      <c r="Q1962" s="318">
        <f t="array" aca="1" ref="Q196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7.9658946422123164E-2</v>
      </c>
      <c r="R1962" s="242"/>
      <c r="S1962" s="179"/>
      <c r="T1962" s="251"/>
      <c r="V1962" s="179"/>
      <c r="W1962" s="179"/>
    </row>
    <row r="1963" spans="1:23" s="65" customFormat="1" ht="15" customHeight="1" outlineLevel="2">
      <c r="A1963" s="219"/>
      <c r="B1963" s="242"/>
      <c r="C1963" s="251" t="s">
        <v>1808</v>
      </c>
      <c r="D1963" s="121" t="str">
        <f>INDEX(Regional.Technologies[Description],MATCH($B$2&amp;"."&amp;G.30.assumptions.EnergyDemandAfterEnergyEfficiencyCHP[[#This Row],[Technology code]],Regional.Technologies[Code],0))</f>
        <v>Global Coal use in the Alumina Aluminium technology</v>
      </c>
      <c r="E1963" s="242"/>
      <c r="F1963" s="121" t="s">
        <v>1418</v>
      </c>
      <c r="G1963" s="242" t="s">
        <v>1625</v>
      </c>
      <c r="H1963" s="242"/>
      <c r="I1963" s="318">
        <f t="array" aca="1" ref="I1963"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0.61777191351520933</v>
      </c>
      <c r="J1963" s="318">
        <f t="array" aca="1" ref="J1963"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0.64032308234371027</v>
      </c>
      <c r="K1963" s="318">
        <f t="array" aca="1" ref="K1963"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0.66897503646229173</v>
      </c>
      <c r="L1963" s="318">
        <f t="array" aca="1" ref="L1963"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0.6981414273397113</v>
      </c>
      <c r="M1963" s="318">
        <f t="array" aca="1" ref="M1963"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0.72782225497597042</v>
      </c>
      <c r="N1963" s="318">
        <f t="array" aca="1" ref="N1963"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0.75801751937106809</v>
      </c>
      <c r="O1963" s="318">
        <f t="array" aca="1" ref="O1963"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0.7887272205250051</v>
      </c>
      <c r="P1963" s="318">
        <f t="array" aca="1" ref="P1963"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0.81995135843778066</v>
      </c>
      <c r="Q1963" s="318">
        <f t="array" aca="1" ref="Q1963"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0.851689933109395</v>
      </c>
      <c r="R1963" s="242"/>
      <c r="S1963" s="179"/>
      <c r="T1963" s="251"/>
      <c r="V1963" s="179"/>
      <c r="W1963" s="179"/>
    </row>
    <row r="1964" spans="1:23" s="65" customFormat="1" ht="15" customHeight="1" outlineLevel="2">
      <c r="A1964" s="219"/>
      <c r="B1964" s="242"/>
      <c r="C1964" s="251" t="s">
        <v>1809</v>
      </c>
      <c r="D1964" s="121" t="str">
        <f>INDEX(Regional.Technologies[Description],MATCH($B$2&amp;"."&amp;G.30.assumptions.EnergyDemandAfterEnergyEfficiencyCHP[[#This Row],[Technology code]],Regional.Technologies[Code],0))</f>
        <v>Global Oil use in the Alumina Aluminium technology</v>
      </c>
      <c r="E1964" s="242"/>
      <c r="F1964" s="121" t="s">
        <v>1418</v>
      </c>
      <c r="G1964" s="242" t="s">
        <v>1625</v>
      </c>
      <c r="H1964" s="242"/>
      <c r="I1964" s="318">
        <f t="array" aca="1" ref="I196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0.36003980562967391</v>
      </c>
      <c r="J1964" s="318">
        <f t="array" aca="1" ref="J196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0.37318271203915326</v>
      </c>
      <c r="K1964" s="318">
        <f t="array" aca="1" ref="K196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0.38988117916930454</v>
      </c>
      <c r="L1964" s="318">
        <f t="array" aca="1" ref="L196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0.40687946198645758</v>
      </c>
      <c r="M1964" s="318">
        <f t="array" aca="1" ref="M196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0.42417756049061289</v>
      </c>
      <c r="N1964" s="318">
        <f t="array" aca="1" ref="N196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0.44177547468176992</v>
      </c>
      <c r="O1964" s="318">
        <f t="array" aca="1" ref="O196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0.45967320455992927</v>
      </c>
      <c r="P1964" s="318">
        <f t="array" aca="1" ref="P196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0.47787075012509045</v>
      </c>
      <c r="Q1964" s="318">
        <f t="array" aca="1" ref="Q196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0.49636811137725367</v>
      </c>
      <c r="R1964" s="242"/>
      <c r="S1964" s="179"/>
      <c r="T1964" s="251"/>
      <c r="V1964" s="179"/>
      <c r="W1964" s="179"/>
    </row>
    <row r="1965" spans="1:23" s="65" customFormat="1" ht="15" customHeight="1" outlineLevel="2">
      <c r="A1965" s="219"/>
      <c r="B1965" s="242"/>
      <c r="C1965" s="251" t="s">
        <v>1810</v>
      </c>
      <c r="D1965" s="121" t="str">
        <f>INDEX(Regional.Technologies[Description],MATCH($B$2&amp;"."&amp;G.30.assumptions.EnergyDemandAfterEnergyEfficiencyCHP[[#This Row],[Technology code]],Regional.Technologies[Code],0))</f>
        <v>Global Natural Gas use in the Alumina Aluminium technology</v>
      </c>
      <c r="E1965" s="242"/>
      <c r="F1965" s="121" t="s">
        <v>1418</v>
      </c>
      <c r="G1965" s="242" t="s">
        <v>1625</v>
      </c>
      <c r="H1965" s="242" t="s">
        <v>2169</v>
      </c>
      <c r="I1965" s="318">
        <f ca="1">SUMIF(G.30.assumptions.EnergyDemandAfterAlternativeFuels[.],G.30.assumptions.EnergyDemandAfterEnergyEfficiencyCHP[[#This Row],[.]],INDIRECT("G.30.assumptions.EnergyDemandAfterAlternativeFuels["&amp;I$1834&amp;"]"))
-SUM(I1962:I1964,I1966:I1967)</f>
        <v>0.33333998618469551</v>
      </c>
      <c r="J1965" s="318">
        <f ca="1">SUMIF(G.30.assumptions.EnergyDemandAfterAlternativeFuels[.],G.30.assumptions.EnergyDemandAfterEnergyEfficiencyCHP[[#This Row],[.]],INDIRECT("G.30.assumptions.EnergyDemandAfterAlternativeFuels["&amp;J$1834&amp;"]"))
-SUM(J1962:J1964,J1966:J1967)</f>
        <v>0.34550824139553415</v>
      </c>
      <c r="K1965" s="318">
        <f ca="1">SUMIF(G.30.assumptions.EnergyDemandAfterAlternativeFuels[.],G.30.assumptions.EnergyDemandAfterEnergyEfficiencyCHP[[#This Row],[.]],INDIRECT("G.30.assumptions.EnergyDemandAfterAlternativeFuels["&amp;K$1834&amp;"]"))
-SUM(K1962:K1964,K1966:K1967)</f>
        <v>0.36096838417817834</v>
      </c>
      <c r="L1965" s="318">
        <f ca="1">SUMIF(G.30.assumptions.EnergyDemandAfterAlternativeFuels[.],G.30.assumptions.EnergyDemandAfterEnergyEfficiencyCHP[[#This Row],[.]],INDIRECT("G.30.assumptions.EnergyDemandAfterAlternativeFuels["&amp;L$1834&amp;"]"))
-SUM(L1962:L1964,L1966:L1967)</f>
        <v>0.37670610892648404</v>
      </c>
      <c r="M1965" s="318">
        <f ca="1">SUMIF(G.30.assumptions.EnergyDemandAfterAlternativeFuels[.],G.30.assumptions.EnergyDemandAfterEnergyEfficiencyCHP[[#This Row],[.]],INDIRECT("G.30.assumptions.EnergyDemandAfterAlternativeFuels["&amp;M$1834&amp;"]"))
-SUM(M1962:M1964,M1966:M1967)</f>
        <v>0.39272141564045193</v>
      </c>
      <c r="N1965" s="318">
        <f ca="1">SUMIF(G.30.assumptions.EnergyDemandAfterAlternativeFuels[.],G.30.assumptions.EnergyDemandAfterEnergyEfficiencyCHP[[#This Row],[.]],INDIRECT("G.30.assumptions.EnergyDemandAfterAlternativeFuels["&amp;N$1834&amp;"]"))
-SUM(N1962:N1964,N1966:N1967)</f>
        <v>0.40901430432008157</v>
      </c>
      <c r="O1965" s="318">
        <f ca="1">SUMIF(G.30.assumptions.EnergyDemandAfterAlternativeFuels[.],G.30.assumptions.EnergyDemandAfterEnergyEfficiencyCHP[[#This Row],[.]],INDIRECT("G.30.assumptions.EnergyDemandAfterAlternativeFuels["&amp;O$1834&amp;"]"))
-SUM(O1962:O1964,O1966:O1967)</f>
        <v>0.42558477496537339</v>
      </c>
      <c r="P1965" s="318">
        <f ca="1">SUMIF(G.30.assumptions.EnergyDemandAfterAlternativeFuels[.],G.30.assumptions.EnergyDemandAfterEnergyEfficiencyCHP[[#This Row],[.]],INDIRECT("G.30.assumptions.EnergyDemandAfterAlternativeFuels["&amp;P$1834&amp;"]"))
-SUM(P1962:P1964,P1966:P1967)</f>
        <v>0.44243282757632674</v>
      </c>
      <c r="Q1965" s="318">
        <f ca="1">SUMIF(G.30.assumptions.EnergyDemandAfterAlternativeFuels[.],G.30.assumptions.EnergyDemandAfterEnergyEfficiencyCHP[[#This Row],[.]],INDIRECT("G.30.assumptions.EnergyDemandAfterAlternativeFuels["&amp;Q$1834&amp;"]"))
-SUM(Q1962:Q1964,Q1966:Q1967)</f>
        <v>0.45955846215294205</v>
      </c>
      <c r="R1965" s="242"/>
      <c r="S1965" s="179"/>
      <c r="T1965" s="251"/>
      <c r="V1965" s="179"/>
      <c r="W1965" s="179"/>
    </row>
    <row r="1966" spans="1:23" s="65" customFormat="1" ht="15" customHeight="1" outlineLevel="2">
      <c r="A1966" s="219"/>
      <c r="B1966" s="242"/>
      <c r="C1966" s="251" t="s">
        <v>1811</v>
      </c>
      <c r="D1966" s="121" t="str">
        <f>INDEX(Regional.Technologies[Description],MATCH($B$2&amp;"."&amp;G.30.assumptions.EnergyDemandAfterEnergyEfficiencyCHP[[#This Row],[Technology code]],Regional.Technologies[Code],0))</f>
        <v>Global Solid Hydrocarbons use in the Alumina Aluminium technology</v>
      </c>
      <c r="E1966" s="242"/>
      <c r="F1966" s="121" t="s">
        <v>1418</v>
      </c>
      <c r="G1966" s="242" t="s">
        <v>1625</v>
      </c>
      <c r="H1966" s="242"/>
      <c r="I1966" s="318">
        <f t="array" aca="1" ref="I196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66" s="318">
        <f t="array" aca="1" ref="J196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66" s="318">
        <f t="array" aca="1" ref="K196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66" s="318">
        <f t="array" aca="1" ref="L196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66" s="318">
        <f t="array" aca="1" ref="M196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66" s="318">
        <f t="array" aca="1" ref="N196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66" s="318">
        <f t="array" aca="1" ref="O196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66" s="318">
        <f t="array" aca="1" ref="P196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66" s="318">
        <f t="array" aca="1" ref="Q196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66" s="242"/>
      <c r="S1966" s="179"/>
      <c r="T1966" s="251"/>
      <c r="V1966" s="179"/>
      <c r="W1966" s="179"/>
    </row>
    <row r="1967" spans="1:23" s="65" customFormat="1" ht="15" customHeight="1" outlineLevel="2">
      <c r="A1967" s="219"/>
      <c r="B1967" s="242"/>
      <c r="C1967" s="251" t="s">
        <v>1812</v>
      </c>
      <c r="D1967" s="121" t="str">
        <f>INDEX(Regional.Technologies[Description],MATCH($B$2&amp;"."&amp;G.30.assumptions.EnergyDemandAfterEnergyEfficiencyCHP[[#This Row],[Technology code]],Regional.Technologies[Code],0))</f>
        <v>Global Heat use in the Alumina Aluminium technology</v>
      </c>
      <c r="E1967" s="242"/>
      <c r="F1967" s="121" t="s">
        <v>1418</v>
      </c>
      <c r="G1967" s="242" t="s">
        <v>1625</v>
      </c>
      <c r="H1967" s="242"/>
      <c r="I1967" s="318">
        <f t="array" aca="1" ref="I1967"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67" s="318">
        <f t="array" aca="1" ref="J1967"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67" s="318">
        <f t="array" aca="1" ref="K1967"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67" s="318">
        <f t="array" aca="1" ref="L1967"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67" s="318">
        <f t="array" aca="1" ref="M1967"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67" s="318">
        <f t="array" aca="1" ref="N1967"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67" s="318">
        <f t="array" aca="1" ref="O1967"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67" s="318">
        <f t="array" aca="1" ref="P1967"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67" s="318">
        <f t="array" aca="1" ref="Q1967"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67" s="242"/>
      <c r="S1967" s="179"/>
      <c r="T1967" s="251"/>
      <c r="V1967" s="179"/>
      <c r="W1967" s="179"/>
    </row>
    <row r="1968" spans="1:23" s="65" customFormat="1" ht="15" customHeight="1" outlineLevel="2">
      <c r="A1968" s="219"/>
      <c r="B1968" s="242"/>
      <c r="C1968" s="242" t="s">
        <v>1639</v>
      </c>
      <c r="D1968" s="121" t="str">
        <f>INDEX(Regional.Technologies[Description],MATCH($B$2&amp;"."&amp;G.30.assumptions.EnergyDemandAfterEnergyEfficiencyCHP[[#This Row],[Technology code]],Regional.Technologies[Code],0))</f>
        <v>Global Electricity use in the Primary Aluminium technology</v>
      </c>
      <c r="E1968" s="242"/>
      <c r="F1968" s="121" t="s">
        <v>1418</v>
      </c>
      <c r="G1968" s="242" t="s">
        <v>1939</v>
      </c>
      <c r="H1968" s="242"/>
      <c r="I1968" s="318">
        <f t="array" aca="1" ref="I196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2.3556733001938612</v>
      </c>
      <c r="J1968" s="318">
        <f t="array" aca="1" ref="J196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2.441664885656504</v>
      </c>
      <c r="K1968" s="318">
        <f t="array" aca="1" ref="K196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2.5509198417963317</v>
      </c>
      <c r="L1968" s="318">
        <f t="array" aca="1" ref="L196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2.6621364360600723</v>
      </c>
      <c r="M1968" s="318">
        <f t="array" aca="1" ref="M196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2.775314668447729</v>
      </c>
      <c r="N1968" s="318">
        <f t="array" aca="1" ref="N196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2.8904545389592986</v>
      </c>
      <c r="O1968" s="318">
        <f t="array" aca="1" ref="O196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3.0075560475947847</v>
      </c>
      <c r="P1968" s="318">
        <f t="array" aca="1" ref="P196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3.1266191943541837</v>
      </c>
      <c r="Q1968" s="318">
        <f t="array" aca="1" ref="Q196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3.2476439792374969</v>
      </c>
      <c r="R1968" s="242"/>
      <c r="S1968" s="179"/>
      <c r="T1968" s="251"/>
      <c r="V1968" s="179"/>
      <c r="W1968" s="179"/>
    </row>
    <row r="1969" spans="1:23" s="65" customFormat="1" ht="15" customHeight="1" outlineLevel="2">
      <c r="A1969" s="219"/>
      <c r="B1969" s="242"/>
      <c r="C1969" s="251" t="s">
        <v>1813</v>
      </c>
      <c r="D1969" s="121" t="str">
        <f>INDEX(Regional.Technologies[Description],MATCH($B$2&amp;"."&amp;G.30.assumptions.EnergyDemandAfterEnergyEfficiencyCHP[[#This Row],[Technology code]],Regional.Technologies[Code],0))</f>
        <v>Global Coal use in the Primary Aluminium technology</v>
      </c>
      <c r="E1969" s="242"/>
      <c r="F1969" s="121" t="s">
        <v>1418</v>
      </c>
      <c r="G1969" s="242" t="s">
        <v>1939</v>
      </c>
      <c r="H1969" s="242"/>
      <c r="I1969" s="318">
        <f t="array" aca="1" ref="I1969"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0.11615556705932617</v>
      </c>
      <c r="J1969" s="318">
        <f t="array" aca="1" ref="J1969"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0.1203957141845331</v>
      </c>
      <c r="K1969" s="318">
        <f t="array" aca="1" ref="K1969"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0.1257829516182718</v>
      </c>
      <c r="L1969" s="318">
        <f t="array" aca="1" ref="L1969"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0.13126691519337763</v>
      </c>
      <c r="M1969" s="318">
        <f t="array" aca="1" ref="M1969"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0.13684760490985015</v>
      </c>
      <c r="N1969" s="318">
        <f t="array" aca="1" ref="N1969"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0.14252502076768891</v>
      </c>
      <c r="O1969" s="318">
        <f t="array" aca="1" ref="O1969"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0.14829916276689481</v>
      </c>
      <c r="P1969" s="318">
        <f t="array" aca="1" ref="P1969"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0.15417003090746784</v>
      </c>
      <c r="Q1969" s="318">
        <f t="array" aca="1" ref="Q1969"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0.16013762518940711</v>
      </c>
      <c r="R1969" s="242"/>
      <c r="S1969" s="179"/>
      <c r="T1969" s="251"/>
      <c r="V1969" s="179"/>
      <c r="W1969" s="179"/>
    </row>
    <row r="1970" spans="1:23" s="65" customFormat="1" ht="15" customHeight="1" outlineLevel="2">
      <c r="A1970" s="219"/>
      <c r="B1970" s="242"/>
      <c r="C1970" s="251" t="s">
        <v>1814</v>
      </c>
      <c r="D1970" s="121" t="str">
        <f>INDEX(Regional.Technologies[Description],MATCH($B$2&amp;"."&amp;G.30.assumptions.EnergyDemandAfterEnergyEfficiencyCHP[[#This Row],[Technology code]],Regional.Technologies[Code],0))</f>
        <v>Global Oil use in the Primary Aluminium technology</v>
      </c>
      <c r="E1970" s="242"/>
      <c r="F1970" s="121" t="s">
        <v>1418</v>
      </c>
      <c r="G1970" s="242" t="s">
        <v>1939</v>
      </c>
      <c r="H1970" s="242"/>
      <c r="I1970" s="318">
        <f t="array" aca="1" ref="I197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0.18032133468483588</v>
      </c>
      <c r="J1970" s="318">
        <f t="array" aca="1" ref="J197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0.18690379136973051</v>
      </c>
      <c r="K1970" s="318">
        <f t="array" aca="1" ref="K197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0.1952670051950286</v>
      </c>
      <c r="L1970" s="318">
        <f t="array" aca="1" ref="L197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0.20378037787497078</v>
      </c>
      <c r="M1970" s="318">
        <f t="array" aca="1" ref="M197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0.21244390940955721</v>
      </c>
      <c r="N1970" s="318">
        <f t="array" aca="1" ref="N197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0.22125759979878762</v>
      </c>
      <c r="O1970" s="318">
        <f t="array" aca="1" ref="O197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0.23022144904266237</v>
      </c>
      <c r="P1970" s="318">
        <f t="array" aca="1" ref="P197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0.23933545714118118</v>
      </c>
      <c r="Q1970" s="318">
        <f t="array" aca="1" ref="Q197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0.24859962409434408</v>
      </c>
      <c r="R1970" s="242"/>
      <c r="S1970" s="179"/>
      <c r="T1970" s="251"/>
      <c r="V1970" s="179"/>
      <c r="W1970" s="179"/>
    </row>
    <row r="1971" spans="1:23" s="65" customFormat="1" ht="15" customHeight="1" outlineLevel="2">
      <c r="A1971" s="219"/>
      <c r="B1971" s="242"/>
      <c r="C1971" s="251" t="s">
        <v>1815</v>
      </c>
      <c r="D1971" s="121" t="str">
        <f>INDEX(Regional.Technologies[Description],MATCH($B$2&amp;"."&amp;G.30.assumptions.EnergyDemandAfterEnergyEfficiencyCHP[[#This Row],[Technology code]],Regional.Technologies[Code],0))</f>
        <v>Global Natural Gas use in the Primary Aluminium technology</v>
      </c>
      <c r="E1971" s="242"/>
      <c r="F1971" s="121" t="s">
        <v>1418</v>
      </c>
      <c r="G1971" s="242" t="s">
        <v>1939</v>
      </c>
      <c r="H1971" s="242" t="s">
        <v>2169</v>
      </c>
      <c r="I1971" s="318">
        <f ca="1">SUMIF(G.30.assumptions.EnergyDemandAfterAlternativeFuels[.],G.30.assumptions.EnergyDemandAfterEnergyEfficiencyCHP[[#This Row],[.]],INDIRECT("G.30.assumptions.EnergyDemandAfterAlternativeFuels["&amp;I$1834&amp;"]"))
-SUM(I1968:I1970,I1972:I1973)</f>
        <v>0.10632786060601518</v>
      </c>
      <c r="J1971" s="318">
        <f ca="1">SUMIF(G.30.assumptions.EnergyDemandAfterAlternativeFuels[.],G.30.assumptions.EnergyDemandAfterEnergyEfficiencyCHP[[#This Row],[.]],INDIRECT("G.30.assumptions.EnergyDemandAfterAlternativeFuels["&amp;J$1834&amp;"]"))
-SUM(J1968:J1970,J1972:J1973)</f>
        <v>0.11020925677058946</v>
      </c>
      <c r="K1971" s="318">
        <f ca="1">SUMIF(G.30.assumptions.EnergyDemandAfterAlternativeFuels[.],G.30.assumptions.EnergyDemandAfterEnergyEfficiencyCHP[[#This Row],[.]],INDIRECT("G.30.assumptions.EnergyDemandAfterAlternativeFuels["&amp;K$1834&amp;"]"))
-SUM(K1968:K1970,K1972:K1973)</f>
        <v>0.11514069006653749</v>
      </c>
      <c r="L1971" s="318">
        <f ca="1">SUMIF(G.30.assumptions.EnergyDemandAfterAlternativeFuels[.],G.30.assumptions.EnergyDemandAfterEnergyEfficiencyCHP[[#This Row],[.]],INDIRECT("G.30.assumptions.EnergyDemandAfterAlternativeFuels["&amp;L$1834&amp;"]"))
-SUM(L1968:L1970,L1972:L1973)</f>
        <v>0.12016066568496386</v>
      </c>
      <c r="M1971" s="318">
        <f ca="1">SUMIF(G.30.assumptions.EnergyDemandAfterAlternativeFuels[.],G.30.assumptions.EnergyDemandAfterEnergyEfficiencyCHP[[#This Row],[.]],INDIRECT("G.30.assumptions.EnergyDemandAfterAlternativeFuels["&amp;M$1834&amp;"]"))
-SUM(M1968:M1970,M1972:M1973)</f>
        <v>0.12526918362586814</v>
      </c>
      <c r="N1971" s="318">
        <f ca="1">SUMIF(G.30.assumptions.EnergyDemandAfterAlternativeFuels[.],G.30.assumptions.EnergyDemandAfterEnergyEfficiencyCHP[[#This Row],[.]],INDIRECT("G.30.assumptions.EnergyDemandAfterAlternativeFuels["&amp;N$1834&amp;"]"))
-SUM(N1968:N1970,N1972:N1973)</f>
        <v>0.13046624388925077</v>
      </c>
      <c r="O1971" s="318">
        <f ca="1">SUMIF(G.30.assumptions.EnergyDemandAfterAlternativeFuels[.],G.30.assumptions.EnergyDemandAfterEnergyEfficiencyCHP[[#This Row],[.]],INDIRECT("G.30.assumptions.EnergyDemandAfterAlternativeFuels["&amp;O$1834&amp;"]"))
-SUM(O1968:O1970,O1972:O1973)</f>
        <v>0.13575184647511174</v>
      </c>
      <c r="P1971" s="318">
        <f ca="1">SUMIF(G.30.assumptions.EnergyDemandAfterAlternativeFuels[.],G.30.assumptions.EnergyDemandAfterEnergyEfficiencyCHP[[#This Row],[.]],INDIRECT("G.30.assumptions.EnergyDemandAfterAlternativeFuels["&amp;P$1834&amp;"]"))
-SUM(P1968:P1970,P1972:P1973)</f>
        <v>0.14112599138345061</v>
      </c>
      <c r="Q1971" s="318">
        <f ca="1">SUMIF(G.30.assumptions.EnergyDemandAfterAlternativeFuels[.],G.30.assumptions.EnergyDemandAfterEnergyEfficiencyCHP[[#This Row],[.]],INDIRECT("G.30.assumptions.EnergyDemandAfterAlternativeFuels["&amp;Q$1834&amp;"]"))
-SUM(Q1968:Q1970,Q1972:Q1973)</f>
        <v>0.14658867861426783</v>
      </c>
      <c r="R1971" s="242"/>
      <c r="S1971" s="179"/>
      <c r="T1971" s="251"/>
      <c r="V1971" s="179"/>
      <c r="W1971" s="179"/>
    </row>
    <row r="1972" spans="1:23" s="65" customFormat="1" ht="15" customHeight="1" outlineLevel="2">
      <c r="A1972" s="219"/>
      <c r="B1972" s="242"/>
      <c r="C1972" s="251" t="s">
        <v>1816</v>
      </c>
      <c r="D1972" s="121" t="str">
        <f>INDEX(Regional.Technologies[Description],MATCH($B$2&amp;"."&amp;G.30.assumptions.EnergyDemandAfterEnergyEfficiencyCHP[[#This Row],[Technology code]],Regional.Technologies[Code],0))</f>
        <v>Global Solid Hydrocarbons use in the Primary Aluminium technology</v>
      </c>
      <c r="E1972" s="242"/>
      <c r="F1972" s="121" t="s">
        <v>1418</v>
      </c>
      <c r="G1972" s="242" t="s">
        <v>1939</v>
      </c>
      <c r="H1972" s="242"/>
      <c r="I1972" s="318">
        <f t="array" aca="1" ref="I197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72" s="318">
        <f t="array" aca="1" ref="J197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72" s="318">
        <f t="array" aca="1" ref="K197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72" s="318">
        <f t="array" aca="1" ref="L197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72" s="318">
        <f t="array" aca="1" ref="M197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72" s="318">
        <f t="array" aca="1" ref="N197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72" s="318">
        <f t="array" aca="1" ref="O197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72" s="318">
        <f t="array" aca="1" ref="P197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72" s="318">
        <f t="array" aca="1" ref="Q197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72" s="242"/>
      <c r="S1972" s="179"/>
      <c r="T1972" s="251"/>
      <c r="V1972" s="179"/>
      <c r="W1972" s="179"/>
    </row>
    <row r="1973" spans="1:23" s="65" customFormat="1" ht="15" customHeight="1" outlineLevel="2">
      <c r="A1973" s="219"/>
      <c r="B1973" s="242"/>
      <c r="C1973" s="251" t="s">
        <v>1640</v>
      </c>
      <c r="D1973" s="121" t="str">
        <f>INDEX(Regional.Technologies[Description],MATCH($B$2&amp;"."&amp;G.30.assumptions.EnergyDemandAfterEnergyEfficiencyCHP[[#This Row],[Technology code]],Regional.Technologies[Code],0))</f>
        <v>Global Heat use in the Primary Aluminium technology</v>
      </c>
      <c r="E1973" s="242"/>
      <c r="F1973" s="121" t="s">
        <v>1418</v>
      </c>
      <c r="G1973" s="242" t="s">
        <v>1939</v>
      </c>
      <c r="H1973" s="242"/>
      <c r="I1973" s="318">
        <f t="array" aca="1" ref="I1973"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73" s="318">
        <f t="array" aca="1" ref="J1973"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73" s="318">
        <f t="array" aca="1" ref="K1973"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73" s="318">
        <f t="array" aca="1" ref="L1973"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73" s="318">
        <f t="array" aca="1" ref="M1973"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73" s="318">
        <f t="array" aca="1" ref="N1973"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73" s="318">
        <f t="array" aca="1" ref="O1973"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73" s="318">
        <f t="array" aca="1" ref="P1973"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73" s="318">
        <f t="array" aca="1" ref="Q1973"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73" s="242"/>
      <c r="S1973" s="179"/>
      <c r="T1973" s="251"/>
      <c r="V1973" s="179"/>
      <c r="W1973" s="179"/>
    </row>
    <row r="1974" spans="1:23" s="65" customFormat="1" ht="15" customHeight="1" outlineLevel="2">
      <c r="A1974" s="219"/>
      <c r="B1974" s="242"/>
      <c r="C1974" s="251" t="s">
        <v>1641</v>
      </c>
      <c r="D1974" s="121" t="str">
        <f>INDEX(Regional.Technologies[Description],MATCH($B$2&amp;"."&amp;G.30.assumptions.EnergyDemandAfterEnergyEfficiencyCHP[[#This Row],[Technology code]],Regional.Technologies[Code],0))</f>
        <v>Global Electricity use in the Secondary Aluminium technology</v>
      </c>
      <c r="E1974" s="242"/>
      <c r="F1974" s="121" t="s">
        <v>1418</v>
      </c>
      <c r="G1974" s="242" t="s">
        <v>1940</v>
      </c>
      <c r="H1974" s="242"/>
      <c r="I1974" s="318">
        <f t="array" aca="1" ref="I197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2.0996808027856011E-2</v>
      </c>
      <c r="J1974" s="318">
        <f t="array" aca="1" ref="J197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2.0706019378521439E-2</v>
      </c>
      <c r="K1974" s="318">
        <f t="array" aca="1" ref="K197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2.0328081584813605E-2</v>
      </c>
      <c r="L1974" s="318">
        <f t="array" aca="1" ref="L197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1.9934086033283963E-2</v>
      </c>
      <c r="M1974" s="318">
        <f t="array" aca="1" ref="M197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1.9524032723932511E-2</v>
      </c>
      <c r="N1974" s="318">
        <f t="array" aca="1" ref="N197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1.9097921656759255E-2</v>
      </c>
      <c r="O1974" s="318">
        <f t="array" aca="1" ref="O197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1.8655752831764193E-2</v>
      </c>
      <c r="P1974" s="318">
        <f t="array" aca="1" ref="P197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1.819752624894732E-2</v>
      </c>
      <c r="Q1974" s="318">
        <f t="array" aca="1" ref="Q197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1.7723241908308644E-2</v>
      </c>
      <c r="R1974" s="242"/>
      <c r="S1974" s="179"/>
      <c r="T1974" s="251"/>
      <c r="V1974" s="179"/>
      <c r="W1974" s="179"/>
    </row>
    <row r="1975" spans="1:23" s="65" customFormat="1" ht="15" customHeight="1" outlineLevel="2">
      <c r="A1975" s="219"/>
      <c r="B1975" s="242"/>
      <c r="C1975" s="251" t="s">
        <v>1817</v>
      </c>
      <c r="D1975" s="121" t="str">
        <f>INDEX(Regional.Technologies[Description],MATCH($B$2&amp;"."&amp;G.30.assumptions.EnergyDemandAfterEnergyEfficiencyCHP[[#This Row],[Technology code]],Regional.Technologies[Code],0))</f>
        <v>Global Coal use in the Secondary Aluminium technology</v>
      </c>
      <c r="E1975" s="242"/>
      <c r="F1975" s="121" t="s">
        <v>1418</v>
      </c>
      <c r="G1975" s="242" t="s">
        <v>1940</v>
      </c>
      <c r="H1975" s="242"/>
      <c r="I1975" s="318">
        <f t="array" aca="1" ref="I1975"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75" s="318">
        <f t="array" aca="1" ref="J1975"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75" s="318">
        <f t="array" aca="1" ref="K1975"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75" s="318">
        <f t="array" aca="1" ref="L1975"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75" s="318">
        <f t="array" aca="1" ref="M1975"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75" s="318">
        <f t="array" aca="1" ref="N1975"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75" s="318">
        <f t="array" aca="1" ref="O1975"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75" s="318">
        <f t="array" aca="1" ref="P1975"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75" s="318">
        <f t="array" aca="1" ref="Q1975"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75" s="242"/>
      <c r="S1975" s="179"/>
      <c r="T1975" s="251"/>
      <c r="V1975" s="179"/>
      <c r="W1975" s="179"/>
    </row>
    <row r="1976" spans="1:23" s="65" customFormat="1" ht="15" customHeight="1" outlineLevel="2">
      <c r="A1976" s="219"/>
      <c r="B1976" s="242"/>
      <c r="C1976" s="251" t="s">
        <v>1818</v>
      </c>
      <c r="D1976" s="121" t="str">
        <f>INDEX(Regional.Technologies[Description],MATCH($B$2&amp;"."&amp;G.30.assumptions.EnergyDemandAfterEnergyEfficiencyCHP[[#This Row],[Technology code]],Regional.Technologies[Code],0))</f>
        <v>Global Oil use in the Secondary Aluminium technology</v>
      </c>
      <c r="E1976" s="242"/>
      <c r="F1976" s="121" t="s">
        <v>1418</v>
      </c>
      <c r="G1976" s="242" t="s">
        <v>1940</v>
      </c>
      <c r="H1976" s="242"/>
      <c r="I1976" s="318">
        <f t="array" aca="1" ref="I197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1.8172055149596165E-4</v>
      </c>
      <c r="J1976" s="318">
        <f t="array" aca="1" ref="J197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1.7920387021489552E-4</v>
      </c>
      <c r="K1976" s="318">
        <f t="array" aca="1" ref="K197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1.7593294140454306E-4</v>
      </c>
      <c r="L1976" s="318">
        <f t="array" aca="1" ref="L197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1.7252303791750177E-4</v>
      </c>
      <c r="M1976" s="318">
        <f t="array" aca="1" ref="M197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1.6897415975377175E-4</v>
      </c>
      <c r="N1976" s="318">
        <f t="array" aca="1" ref="N197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1.6528630691335294E-4</v>
      </c>
      <c r="O1976" s="318">
        <f t="array" aca="1" ref="O197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1.6145947939624541E-4</v>
      </c>
      <c r="P1976" s="318">
        <f t="array" aca="1" ref="P197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1.5749367720244904E-4</v>
      </c>
      <c r="Q1976" s="318">
        <f t="array" aca="1" ref="Q197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1.5338890033196395E-4</v>
      </c>
      <c r="R1976" s="242"/>
      <c r="S1976" s="179"/>
      <c r="T1976" s="251"/>
      <c r="V1976" s="179"/>
      <c r="W1976" s="179"/>
    </row>
    <row r="1977" spans="1:23" s="65" customFormat="1" ht="15" customHeight="1" outlineLevel="2">
      <c r="A1977" s="219"/>
      <c r="B1977" s="242"/>
      <c r="C1977" s="251" t="s">
        <v>1819</v>
      </c>
      <c r="D1977" s="121" t="str">
        <f>INDEX(Regional.Technologies[Description],MATCH($B$2&amp;"."&amp;G.30.assumptions.EnergyDemandAfterEnergyEfficiencyCHP[[#This Row],[Technology code]],Regional.Technologies[Code],0))</f>
        <v>Global Natural Gas use in the Secondary Aluminium technology</v>
      </c>
      <c r="E1977" s="242"/>
      <c r="F1977" s="121" t="s">
        <v>1418</v>
      </c>
      <c r="G1977" s="242" t="s">
        <v>1940</v>
      </c>
      <c r="H1977" s="242" t="s">
        <v>2169</v>
      </c>
      <c r="I1977" s="318">
        <f ca="1">SUMIF(G.30.assumptions.EnergyDemandAfterAlternativeFuels[.],G.30.assumptions.EnergyDemandAfterEnergyEfficiencyCHP[[#This Row],[.]],INDIRECT("G.30.assumptions.EnergyDemandAfterAlternativeFuels["&amp;I$1834&amp;"]"))
-SUM(I1974:I1976,I1978:I1979)</f>
        <v>0.24244140449555462</v>
      </c>
      <c r="J1977" s="318">
        <f ca="1">SUMIF(G.30.assumptions.EnergyDemandAfterAlternativeFuels[.],G.30.assumptions.EnergyDemandAfterEnergyEfficiencyCHP[[#This Row],[.]],INDIRECT("G.30.assumptions.EnergyDemandAfterAlternativeFuels["&amp;J$1834&amp;"]"))
-SUM(J1974:J1976,J1978:J1979)</f>
        <v>0.2390837889731138</v>
      </c>
      <c r="K1977" s="318">
        <f ca="1">SUMIF(G.30.assumptions.EnergyDemandAfterAlternativeFuels[.],G.30.assumptions.EnergyDemandAfterEnergyEfficiencyCHP[[#This Row],[.]],INDIRECT("G.30.assumptions.EnergyDemandAfterAlternativeFuels["&amp;K$1834&amp;"]"))
-SUM(K1974:K1976,K1978:K1979)</f>
        <v>0.23471989854763026</v>
      </c>
      <c r="L1977" s="318">
        <f ca="1">SUMIF(G.30.assumptions.EnergyDemandAfterAlternativeFuels[.],G.30.assumptions.EnergyDemandAfterEnergyEfficiencyCHP[[#This Row],[.]],INDIRECT("G.30.assumptions.EnergyDemandAfterAlternativeFuels["&amp;L$1834&amp;"]"))
-SUM(L1974:L1976,L1978:L1979)</f>
        <v>0.23017059587499919</v>
      </c>
      <c r="M1977" s="318">
        <f ca="1">SUMIF(G.30.assumptions.EnergyDemandAfterAlternativeFuels[.],G.30.assumptions.EnergyDemandAfterEnergyEfficiencyCHP[[#This Row],[.]],INDIRECT("G.30.assumptions.EnergyDemandAfterAlternativeFuels["&amp;M$1834&amp;"]"))
-SUM(M1974:M1976,M1978:M1979)</f>
        <v>0.2254358809552206</v>
      </c>
      <c r="N1977" s="318">
        <f ca="1">SUMIF(G.30.assumptions.EnergyDemandAfterAlternativeFuels[.],G.30.assumptions.EnergyDemandAfterEnergyEfficiencyCHP[[#This Row],[.]],INDIRECT("G.30.assumptions.EnergyDemandAfterAlternativeFuels["&amp;N$1834&amp;"]"))
-SUM(N1974:N1976,N1978:N1979)</f>
        <v>0.22051575378829461</v>
      </c>
      <c r="O1977" s="318">
        <f ca="1">SUMIF(G.30.assumptions.EnergyDemandAfterAlternativeFuels[.],G.30.assumptions.EnergyDemandAfterEnergyEfficiencyCHP[[#This Row],[.]],INDIRECT("G.30.assumptions.EnergyDemandAfterAlternativeFuels["&amp;O$1834&amp;"]"))
-SUM(O1974:O1976,O1978:O1979)</f>
        <v>0.2154102143742212</v>
      </c>
      <c r="P1977" s="318">
        <f ca="1">SUMIF(G.30.assumptions.EnergyDemandAfterAlternativeFuels[.],G.30.assumptions.EnergyDemandAfterEnergyEfficiencyCHP[[#This Row],[.]],INDIRECT("G.30.assumptions.EnergyDemandAfterAlternativeFuels["&amp;P$1834&amp;"]"))
-SUM(P1974:P1976,P1978:P1979)</f>
        <v>0.2101192627130003</v>
      </c>
      <c r="Q1977" s="318">
        <f ca="1">SUMIF(G.30.assumptions.EnergyDemandAfterAlternativeFuels[.],G.30.assumptions.EnergyDemandAfterEnergyEfficiencyCHP[[#This Row],[.]],INDIRECT("G.30.assumptions.EnergyDemandAfterAlternativeFuels["&amp;Q$1834&amp;"]"))
-SUM(Q1974:Q1976,Q1978:Q1979)</f>
        <v>0.20464289880463196</v>
      </c>
      <c r="R1977" s="242"/>
      <c r="S1977" s="179"/>
      <c r="T1977" s="251"/>
      <c r="V1977" s="179"/>
      <c r="W1977" s="179"/>
    </row>
    <row r="1978" spans="1:23" s="65" customFormat="1" ht="15" customHeight="1" outlineLevel="2">
      <c r="A1978" s="219"/>
      <c r="B1978" s="242"/>
      <c r="C1978" s="251" t="s">
        <v>1820</v>
      </c>
      <c r="D1978" s="121" t="str">
        <f>INDEX(Regional.Technologies[Description],MATCH($B$2&amp;"."&amp;G.30.assumptions.EnergyDemandAfterEnergyEfficiencyCHP[[#This Row],[Technology code]],Regional.Technologies[Code],0))</f>
        <v>Global Solid Hydrocarbons use in the Secondary Aluminium technology</v>
      </c>
      <c r="E1978" s="242"/>
      <c r="F1978" s="121" t="s">
        <v>1418</v>
      </c>
      <c r="G1978" s="242" t="s">
        <v>1940</v>
      </c>
      <c r="H1978" s="242"/>
      <c r="I1978" s="318">
        <f t="array" aca="1" ref="I197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78" s="318">
        <f t="array" aca="1" ref="J197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78" s="318">
        <f t="array" aca="1" ref="K197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78" s="318">
        <f t="array" aca="1" ref="L197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78" s="318">
        <f t="array" aca="1" ref="M197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78" s="318">
        <f t="array" aca="1" ref="N197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78" s="318">
        <f t="array" aca="1" ref="O197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78" s="318">
        <f t="array" aca="1" ref="P197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78" s="318">
        <f t="array" aca="1" ref="Q197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78" s="242"/>
      <c r="S1978" s="179"/>
      <c r="T1978" s="251"/>
      <c r="V1978" s="179"/>
      <c r="W1978" s="179"/>
    </row>
    <row r="1979" spans="1:23" s="65" customFormat="1" ht="15" customHeight="1" outlineLevel="2">
      <c r="A1979" s="219"/>
      <c r="B1979" s="242"/>
      <c r="C1979" s="251" t="s">
        <v>1642</v>
      </c>
      <c r="D1979" s="121" t="str">
        <f>INDEX(Regional.Technologies[Description],MATCH($B$2&amp;"."&amp;G.30.assumptions.EnergyDemandAfterEnergyEfficiencyCHP[[#This Row],[Technology code]],Regional.Technologies[Code],0))</f>
        <v>Global Heat use in the Secondary Aluminium technology</v>
      </c>
      <c r="E1979" s="242"/>
      <c r="F1979" s="121" t="s">
        <v>1418</v>
      </c>
      <c r="G1979" s="242" t="s">
        <v>1940</v>
      </c>
      <c r="H1979" s="242"/>
      <c r="I1979" s="318">
        <f t="array" aca="1" ref="I1979"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79" s="318">
        <f t="array" aca="1" ref="J1979"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79" s="318">
        <f t="array" aca="1" ref="K1979"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79" s="318">
        <f t="array" aca="1" ref="L1979"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79" s="318">
        <f t="array" aca="1" ref="M1979"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79" s="318">
        <f t="array" aca="1" ref="N1979"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79" s="318">
        <f t="array" aca="1" ref="O1979"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79" s="318">
        <f t="array" aca="1" ref="P1979"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79" s="318">
        <f t="array" aca="1" ref="Q1979"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79" s="242"/>
      <c r="S1979" s="179"/>
      <c r="T1979" s="251"/>
      <c r="V1979" s="179"/>
      <c r="W1979" s="179"/>
    </row>
    <row r="1980" spans="1:23" s="65" customFormat="1" ht="15" customHeight="1" outlineLevel="2">
      <c r="A1980" s="219"/>
      <c r="B1980" s="242"/>
      <c r="C1980" s="413" t="s">
        <v>1821</v>
      </c>
      <c r="D1980" s="121" t="str">
        <f>INDEX(Regional.Technologies[Description],MATCH($B$2&amp;"."&amp;G.30.assumptions.EnergyDemandAfterEnergyEfficiencyCHP[[#This Row],[Technology code]],Regional.Technologies[Code],0))</f>
        <v>Global Electricity use in the Chemicals: High Value Chemicals  technology</v>
      </c>
      <c r="E1980" s="242"/>
      <c r="F1980" s="121" t="s">
        <v>1601</v>
      </c>
      <c r="G1980" s="242" t="s">
        <v>1961</v>
      </c>
      <c r="H1980" s="242"/>
      <c r="I1980" s="318">
        <f t="array" aca="1" ref="I198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80" s="318">
        <f t="array" aca="1" ref="J198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80" s="318">
        <f t="array" aca="1" ref="K198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80" s="318">
        <f t="array" aca="1" ref="L198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80" s="318">
        <f t="array" aca="1" ref="M198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80" s="318">
        <f t="array" aca="1" ref="N198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80" s="318">
        <f t="array" aca="1" ref="O198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80" s="318">
        <f t="array" aca="1" ref="P198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80" s="318">
        <f t="array" aca="1" ref="Q198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80" s="242"/>
      <c r="S1980" s="179"/>
      <c r="T1980" s="251"/>
      <c r="V1980" s="179"/>
      <c r="W1980" s="179"/>
    </row>
    <row r="1981" spans="1:23" s="65" customFormat="1" ht="15" customHeight="1" outlineLevel="2">
      <c r="A1981" s="219"/>
      <c r="B1981" s="242"/>
      <c r="C1981" s="413" t="s">
        <v>1822</v>
      </c>
      <c r="D1981" s="121" t="str">
        <f>INDEX(Regional.Technologies[Description],MATCH($B$2&amp;"."&amp;G.30.assumptions.EnergyDemandAfterEnergyEfficiencyCHP[[#This Row],[Technology code]],Regional.Technologies[Code],0))</f>
        <v>Global Coal use in the Chemicals: High Value Chemicals  technology</v>
      </c>
      <c r="E1981" s="242"/>
      <c r="F1981" s="121" t="s">
        <v>1601</v>
      </c>
      <c r="G1981" s="242" t="s">
        <v>1961</v>
      </c>
      <c r="H1981" s="242"/>
      <c r="I1981" s="318">
        <f t="array" aca="1" ref="I1981"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0.24646345986547047</v>
      </c>
      <c r="J1981" s="318">
        <f t="array" aca="1" ref="J1981"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0.2489912902230671</v>
      </c>
      <c r="K1981" s="318">
        <f t="array" aca="1" ref="K1981"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0.25215107817005844</v>
      </c>
      <c r="L1981" s="318">
        <f t="array" aca="1" ref="L1981"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0.25531086611705334</v>
      </c>
      <c r="M1981" s="318">
        <f t="array" aca="1" ref="M1981"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0.25847065406404468</v>
      </c>
      <c r="N1981" s="318">
        <f t="array" aca="1" ref="N1981"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0.26163044201103958</v>
      </c>
      <c r="O1981" s="318">
        <f t="array" aca="1" ref="O1981"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0.26479022995803092</v>
      </c>
      <c r="P1981" s="318">
        <f t="array" aca="1" ref="P1981"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0.26795001790502582</v>
      </c>
      <c r="Q1981" s="318">
        <f t="array" aca="1" ref="Q1981"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0.27110980585201716</v>
      </c>
      <c r="R1981" s="242"/>
      <c r="S1981" s="179"/>
      <c r="T1981" s="251"/>
      <c r="V1981" s="179"/>
      <c r="W1981" s="179"/>
    </row>
    <row r="1982" spans="1:23" s="65" customFormat="1" ht="15" customHeight="1" outlineLevel="2">
      <c r="A1982" s="219"/>
      <c r="B1982" s="242"/>
      <c r="C1982" s="413" t="s">
        <v>1823</v>
      </c>
      <c r="D1982" s="121" t="str">
        <f>INDEX(Regional.Technologies[Description],MATCH($B$2&amp;"."&amp;G.30.assumptions.EnergyDemandAfterEnergyEfficiencyCHP[[#This Row],[Technology code]],Regional.Technologies[Code],0))</f>
        <v>Global Oil use in the Chemicals: High Value Chemicals  technology</v>
      </c>
      <c r="E1982" s="242"/>
      <c r="F1982" s="121" t="s">
        <v>1601</v>
      </c>
      <c r="G1982" s="242" t="s">
        <v>1961</v>
      </c>
      <c r="H1982" s="242"/>
      <c r="I1982" s="318">
        <f t="array" aca="1" ref="I198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19.210879294175736</v>
      </c>
      <c r="J1982" s="318">
        <f t="array" aca="1" ref="J198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19.407913953603178</v>
      </c>
      <c r="K1982" s="318">
        <f t="array" aca="1" ref="K198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19.654207277887483</v>
      </c>
      <c r="L1982" s="318">
        <f t="array" aca="1" ref="L198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19.900500602171789</v>
      </c>
      <c r="M1982" s="318">
        <f t="array" aca="1" ref="M198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20.146793926456095</v>
      </c>
      <c r="N1982" s="318">
        <f t="array" aca="1" ref="N198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20.393087250740397</v>
      </c>
      <c r="O1982" s="318">
        <f t="array" aca="1" ref="O198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20.639380575024706</v>
      </c>
      <c r="P1982" s="318">
        <f t="array" aca="1" ref="P198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20.885673899309008</v>
      </c>
      <c r="Q1982" s="318">
        <f t="array" aca="1" ref="Q198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21.131967223593314</v>
      </c>
      <c r="R1982" s="242"/>
      <c r="S1982" s="179"/>
      <c r="T1982" s="251"/>
      <c r="V1982" s="179"/>
      <c r="W1982" s="179"/>
    </row>
    <row r="1983" spans="1:23" s="65" customFormat="1" ht="15" customHeight="1" outlineLevel="2">
      <c r="A1983" s="219"/>
      <c r="B1983" s="242"/>
      <c r="C1983" s="413" t="s">
        <v>1824</v>
      </c>
      <c r="D1983" s="121" t="str">
        <f>INDEX(Regional.Technologies[Description],MATCH($B$2&amp;"."&amp;G.30.assumptions.EnergyDemandAfterEnergyEfficiencyCHP[[#This Row],[Technology code]],Regional.Technologies[Code],0))</f>
        <v>Global Natural Gas use in the Chemicals: High Value Chemicals  technology</v>
      </c>
      <c r="E1983" s="242"/>
      <c r="F1983" s="121" t="s">
        <v>1601</v>
      </c>
      <c r="G1983" s="242" t="s">
        <v>1961</v>
      </c>
      <c r="H1983" s="242" t="s">
        <v>2169</v>
      </c>
      <c r="I1983" s="318">
        <f ca="1">SUMIF(G.30.assumptions.EnergyDemandAfterAlternativeFuels[.],G.30.assumptions.EnergyDemandAfterEnergyEfficiencyCHP[[#This Row],[.]],INDIRECT("G.30.assumptions.EnergyDemandAfterAlternativeFuels["&amp;I$1834&amp;"]"))
-SUM(I1980:I1982,I1984:I1985)</f>
        <v>3.4032396515364383E-3</v>
      </c>
      <c r="J1983" s="318">
        <f ca="1">SUMIF(G.30.assumptions.EnergyDemandAfterAlternativeFuels[.],G.30.assumptions.EnergyDemandAfterEnergyEfficiencyCHP[[#This Row],[.]],INDIRECT("G.30.assumptions.EnergyDemandAfterAlternativeFuels["&amp;J$1834&amp;"]"))
-SUM(J1980:J1982,J1984:J1985)</f>
        <v>3.4381446736055921E-3</v>
      </c>
      <c r="K1983" s="318">
        <f ca="1">SUMIF(G.30.assumptions.EnergyDemandAfterAlternativeFuels[.],G.30.assumptions.EnergyDemandAfterEnergyEfficiencyCHP[[#This Row],[.]],INDIRECT("G.30.assumptions.EnergyDemandAfterAlternativeFuels["&amp;K$1834&amp;"]"))
-SUM(K1980:K1982,K1984:K1985)</f>
        <v>3.4817759511867052E-3</v>
      </c>
      <c r="L1983" s="318">
        <f ca="1">SUMIF(G.30.assumptions.EnergyDemandAfterAlternativeFuels[.],G.30.assumptions.EnergyDemandAfterEnergyEfficiencyCHP[[#This Row],[.]],INDIRECT("G.30.assumptions.EnergyDemandAfterAlternativeFuels["&amp;L$1834&amp;"]"))
-SUM(L1980:L1982,L1984:L1985)</f>
        <v>3.5254072287713711E-3</v>
      </c>
      <c r="M1983" s="318">
        <f ca="1">SUMIF(G.30.assumptions.EnergyDemandAfterAlternativeFuels[.],G.30.assumptions.EnergyDemandAfterEnergyEfficiencyCHP[[#This Row],[.]],INDIRECT("G.30.assumptions.EnergyDemandAfterAlternativeFuels["&amp;M$1834&amp;"]"))
-SUM(M1980:M1982,M1984:M1985)</f>
        <v>3.569038506356037E-3</v>
      </c>
      <c r="N1983" s="318">
        <f ca="1">SUMIF(G.30.assumptions.EnergyDemandAfterAlternativeFuels[.],G.30.assumptions.EnergyDemandAfterEnergyEfficiencyCHP[[#This Row],[.]],INDIRECT("G.30.assumptions.EnergyDemandAfterAlternativeFuels["&amp;N$1834&amp;"]"))
-SUM(N1980:N1982,N1984:N1985)</f>
        <v>3.6126697839407029E-3</v>
      </c>
      <c r="O1983" s="318">
        <f ca="1">SUMIF(G.30.assumptions.EnergyDemandAfterAlternativeFuels[.],G.30.assumptions.EnergyDemandAfterEnergyEfficiencyCHP[[#This Row],[.]],INDIRECT("G.30.assumptions.EnergyDemandAfterAlternativeFuels["&amp;O$1834&amp;"]"))
-SUM(O1980:O1982,O1984:O1985)</f>
        <v>3.6563010615218161E-3</v>
      </c>
      <c r="P1983" s="318">
        <f ca="1">SUMIF(G.30.assumptions.EnergyDemandAfterAlternativeFuels[.],G.30.assumptions.EnergyDemandAfterEnergyEfficiencyCHP[[#This Row],[.]],INDIRECT("G.30.assumptions.EnergyDemandAfterAlternativeFuels["&amp;P$1834&amp;"]"))
-SUM(P1980:P1982,P1984:P1985)</f>
        <v>3.699932339106482E-3</v>
      </c>
      <c r="Q1983" s="318">
        <f ca="1">SUMIF(G.30.assumptions.EnergyDemandAfterAlternativeFuels[.],G.30.assumptions.EnergyDemandAfterEnergyEfficiencyCHP[[#This Row],[.]],INDIRECT("G.30.assumptions.EnergyDemandAfterAlternativeFuels["&amp;Q$1834&amp;"]"))
-SUM(Q1980:Q1982,Q1984:Q1985)</f>
        <v>3.7435636166911479E-3</v>
      </c>
      <c r="R1983" s="242"/>
      <c r="S1983" s="179"/>
      <c r="T1983" s="251"/>
      <c r="V1983" s="179"/>
      <c r="W1983" s="179"/>
    </row>
    <row r="1984" spans="1:23" s="65" customFormat="1" ht="15" customHeight="1" outlineLevel="2">
      <c r="A1984" s="219"/>
      <c r="B1984" s="242"/>
      <c r="C1984" s="413" t="s">
        <v>1825</v>
      </c>
      <c r="D1984" s="121" t="str">
        <f>INDEX(Regional.Technologies[Description],MATCH($B$2&amp;"."&amp;G.30.assumptions.EnergyDemandAfterEnergyEfficiencyCHP[[#This Row],[Technology code]],Regional.Technologies[Code],0))</f>
        <v>Global Solid Hydrocarbons use in the Chemicals: High Value Chemicals  technology</v>
      </c>
      <c r="E1984" s="242"/>
      <c r="F1984" s="121" t="s">
        <v>1601</v>
      </c>
      <c r="G1984" s="242" t="s">
        <v>1961</v>
      </c>
      <c r="H1984" s="242"/>
      <c r="I1984" s="318">
        <f t="array" aca="1" ref="I198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84" s="318">
        <f t="array" aca="1" ref="J198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84" s="318">
        <f t="array" aca="1" ref="K198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84" s="318">
        <f t="array" aca="1" ref="L198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84" s="318">
        <f t="array" aca="1" ref="M198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84" s="318">
        <f t="array" aca="1" ref="N198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84" s="318">
        <f t="array" aca="1" ref="O198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84" s="318">
        <f t="array" aca="1" ref="P198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84" s="318">
        <f t="array" aca="1" ref="Q198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84" s="242"/>
      <c r="S1984" s="179"/>
      <c r="T1984" s="251"/>
      <c r="V1984" s="179"/>
      <c r="W1984" s="179"/>
    </row>
    <row r="1985" spans="1:23" s="65" customFormat="1" ht="15" customHeight="1" outlineLevel="2">
      <c r="A1985" s="219"/>
      <c r="B1985" s="242"/>
      <c r="C1985" s="413" t="s">
        <v>1826</v>
      </c>
      <c r="D1985" s="121" t="str">
        <f>INDEX(Regional.Technologies[Description],MATCH($B$2&amp;"."&amp;G.30.assumptions.EnergyDemandAfterEnergyEfficiencyCHP[[#This Row],[Technology code]],Regional.Technologies[Code],0))</f>
        <v>Global Heat use in the Chemicals: High Value Chemicals  technology</v>
      </c>
      <c r="E1985" s="242"/>
      <c r="F1985" s="121" t="s">
        <v>1601</v>
      </c>
      <c r="G1985" s="242" t="s">
        <v>1961</v>
      </c>
      <c r="H1985" s="242"/>
      <c r="I1985" s="318">
        <f t="array" aca="1" ref="I1985"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85" s="318">
        <f t="array" aca="1" ref="J1985"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85" s="318">
        <f t="array" aca="1" ref="K1985"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85" s="318">
        <f t="array" aca="1" ref="L1985"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85" s="318">
        <f t="array" aca="1" ref="M1985"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85" s="318">
        <f t="array" aca="1" ref="N1985"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85" s="318">
        <f t="array" aca="1" ref="O1985"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85" s="318">
        <f t="array" aca="1" ref="P1985"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85" s="318">
        <f t="array" aca="1" ref="Q1985"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85" s="242"/>
      <c r="S1985" s="179"/>
      <c r="T1985" s="251"/>
      <c r="V1985" s="179"/>
      <c r="W1985" s="179"/>
    </row>
    <row r="1986" spans="1:23" s="65" customFormat="1" ht="15" customHeight="1" outlineLevel="2">
      <c r="A1986" s="219"/>
      <c r="B1986" s="242"/>
      <c r="C1986" s="413" t="s">
        <v>1827</v>
      </c>
      <c r="D1986" s="121" t="str">
        <f>INDEX(Regional.Technologies[Description],MATCH($B$2&amp;"."&amp;G.30.assumptions.EnergyDemandAfterEnergyEfficiencyCHP[[#This Row],[Technology code]],Regional.Technologies[Code],0))</f>
        <v>Global Electricity use in the Chemicals: Ammonia technology</v>
      </c>
      <c r="E1986" s="242"/>
      <c r="F1986" s="121" t="s">
        <v>1601</v>
      </c>
      <c r="G1986" s="242" t="s">
        <v>1962</v>
      </c>
      <c r="H1986" s="242"/>
      <c r="I1986" s="318">
        <f t="array" aca="1" ref="I198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86" s="318">
        <f t="array" aca="1" ref="J198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86" s="318">
        <f t="array" aca="1" ref="K198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86" s="318">
        <f t="array" aca="1" ref="L198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86" s="318">
        <f t="array" aca="1" ref="M198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86" s="318">
        <f t="array" aca="1" ref="N198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86" s="318">
        <f t="array" aca="1" ref="O198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86" s="318">
        <f t="array" aca="1" ref="P198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86" s="318">
        <f t="array" aca="1" ref="Q198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86" s="242"/>
      <c r="S1986" s="179"/>
      <c r="T1986" s="251"/>
      <c r="V1986" s="179"/>
      <c r="W1986" s="179"/>
    </row>
    <row r="1987" spans="1:23" s="65" customFormat="1" ht="15" customHeight="1" outlineLevel="2">
      <c r="A1987" s="219"/>
      <c r="B1987" s="242"/>
      <c r="C1987" s="413" t="s">
        <v>1828</v>
      </c>
      <c r="D1987" s="121" t="str">
        <f>INDEX(Regional.Technologies[Description],MATCH($B$2&amp;"."&amp;G.30.assumptions.EnergyDemandAfterEnergyEfficiencyCHP[[#This Row],[Technology code]],Regional.Technologies[Code],0))</f>
        <v>Global Coal use in the Chemicals: Ammonia technology</v>
      </c>
      <c r="E1987" s="242"/>
      <c r="F1987" s="121" t="s">
        <v>1601</v>
      </c>
      <c r="G1987" s="242" t="s">
        <v>1962</v>
      </c>
      <c r="H1987" s="242"/>
      <c r="I1987" s="318">
        <f t="array" aca="1" ref="I1987"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1.4435125863870013</v>
      </c>
      <c r="J1987" s="318">
        <f t="array" aca="1" ref="J1987"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1.458317843683278</v>
      </c>
      <c r="K1987" s="318">
        <f t="array" aca="1" ref="K1987"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1.4768244153036241</v>
      </c>
      <c r="L1987" s="318">
        <f t="array" aca="1" ref="L1987"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1.495330986923971</v>
      </c>
      <c r="M1987" s="318">
        <f t="array" aca="1" ref="M1987"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1.5138375585443171</v>
      </c>
      <c r="N1987" s="318">
        <f t="array" aca="1" ref="N1987"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1.5323441301646632</v>
      </c>
      <c r="O1987" s="318">
        <f t="array" aca="1" ref="O1987"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1.5508507017850093</v>
      </c>
      <c r="P1987" s="318">
        <f t="array" aca="1" ref="P1987"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1.5693572734053554</v>
      </c>
      <c r="Q1987" s="318">
        <f t="array" aca="1" ref="Q1987"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1.5878638450257014</v>
      </c>
      <c r="R1987" s="242"/>
      <c r="S1987" s="179"/>
      <c r="T1987" s="251"/>
      <c r="V1987" s="179"/>
      <c r="W1987" s="179"/>
    </row>
    <row r="1988" spans="1:23" s="65" customFormat="1" ht="15" customHeight="1" outlineLevel="2">
      <c r="A1988" s="219"/>
      <c r="B1988" s="242"/>
      <c r="C1988" s="413" t="s">
        <v>1829</v>
      </c>
      <c r="D1988" s="121" t="str">
        <f>INDEX(Regional.Technologies[Description],MATCH($B$2&amp;"."&amp;G.30.assumptions.EnergyDemandAfterEnergyEfficiencyCHP[[#This Row],[Technology code]],Regional.Technologies[Code],0))</f>
        <v>Global Oil use in the Chemicals: Ammonia technology</v>
      </c>
      <c r="E1988" s="242"/>
      <c r="F1988" s="121" t="s">
        <v>1601</v>
      </c>
      <c r="G1988" s="242" t="s">
        <v>1962</v>
      </c>
      <c r="H1988" s="242"/>
      <c r="I1988" s="318">
        <f t="array" aca="1" ref="I198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88" s="318">
        <f t="array" aca="1" ref="J198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88" s="318">
        <f t="array" aca="1" ref="K198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88" s="318">
        <f t="array" aca="1" ref="L198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88" s="318">
        <f t="array" aca="1" ref="M198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88" s="318">
        <f t="array" aca="1" ref="N198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88" s="318">
        <f t="array" aca="1" ref="O198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88" s="318">
        <f t="array" aca="1" ref="P198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88" s="318">
        <f t="array" aca="1" ref="Q198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88" s="242"/>
      <c r="S1988" s="179"/>
      <c r="T1988" s="251"/>
      <c r="V1988" s="179"/>
      <c r="W1988" s="179"/>
    </row>
    <row r="1989" spans="1:23" s="65" customFormat="1" ht="15" customHeight="1" outlineLevel="2">
      <c r="A1989" s="219"/>
      <c r="B1989" s="242"/>
      <c r="C1989" s="413" t="s">
        <v>1830</v>
      </c>
      <c r="D1989" s="121" t="str">
        <f>INDEX(Regional.Technologies[Description],MATCH($B$2&amp;"."&amp;G.30.assumptions.EnergyDemandAfterEnergyEfficiencyCHP[[#This Row],[Technology code]],Regional.Technologies[Code],0))</f>
        <v>Global Natural Gas use in the Chemicals: Ammonia technology</v>
      </c>
      <c r="E1989" s="242"/>
      <c r="F1989" s="121" t="s">
        <v>1601</v>
      </c>
      <c r="G1989" s="242" t="s">
        <v>1962</v>
      </c>
      <c r="H1989" s="242" t="s">
        <v>2169</v>
      </c>
      <c r="I1989" s="318">
        <f ca="1">SUMIF(G.30.assumptions.EnergyDemandAfterAlternativeFuels[.],G.30.assumptions.EnergyDemandAfterEnergyEfficiencyCHP[[#This Row],[.]],INDIRECT("G.30.assumptions.EnergyDemandAfterAlternativeFuels["&amp;I$1834&amp;"]"))
-SUM(I1986:I1988,I1990:I1991)</f>
        <v>4.5138365842133039</v>
      </c>
      <c r="J1989" s="318">
        <f ca="1">SUMIF(G.30.assumptions.EnergyDemandAfterAlternativeFuels[.],G.30.assumptions.EnergyDemandAfterEnergyEfficiencyCHP[[#This Row],[.]],INDIRECT("G.30.assumptions.EnergyDemandAfterAlternativeFuels["&amp;J$1834&amp;"]"))
-SUM(J1986:J1988,J1990:J1991)</f>
        <v>4.5601323440513886</v>
      </c>
      <c r="K1989" s="318">
        <f ca="1">SUMIF(G.30.assumptions.EnergyDemandAfterAlternativeFuels[.],G.30.assumptions.EnergyDemandAfterEnergyEfficiencyCHP[[#This Row],[.]],INDIRECT("G.30.assumptions.EnergyDemandAfterAlternativeFuels["&amp;K$1834&amp;"]"))
-SUM(K1986:K1988,K1990:K1991)</f>
        <v>4.6180020438489944</v>
      </c>
      <c r="L1989" s="318">
        <f ca="1">SUMIF(G.30.assumptions.EnergyDemandAfterAlternativeFuels[.],G.30.assumptions.EnergyDemandAfterEnergyEfficiencyCHP[[#This Row],[.]],INDIRECT("G.30.assumptions.EnergyDemandAfterAlternativeFuels["&amp;L$1834&amp;"]"))
-SUM(L1986:L1988,L1990:L1991)</f>
        <v>4.675871743646602</v>
      </c>
      <c r="M1989" s="318">
        <f ca="1">SUMIF(G.30.assumptions.EnergyDemandAfterAlternativeFuels[.],G.30.assumptions.EnergyDemandAfterEnergyEfficiencyCHP[[#This Row],[.]],INDIRECT("G.30.assumptions.EnergyDemandAfterAlternativeFuels["&amp;M$1834&amp;"]"))
-SUM(M1986:M1988,M1990:M1991)</f>
        <v>4.7337414434442087</v>
      </c>
      <c r="N1989" s="318">
        <f ca="1">SUMIF(G.30.assumptions.EnergyDemandAfterAlternativeFuels[.],G.30.assumptions.EnergyDemandAfterEnergyEfficiencyCHP[[#This Row],[.]],INDIRECT("G.30.assumptions.EnergyDemandAfterAlternativeFuels["&amp;N$1834&amp;"]"))
-SUM(N1986:N1988,N1990:N1991)</f>
        <v>4.7916111432418145</v>
      </c>
      <c r="O1989" s="318">
        <f ca="1">SUMIF(G.30.assumptions.EnergyDemandAfterAlternativeFuels[.],G.30.assumptions.EnergyDemandAfterEnergyEfficiencyCHP[[#This Row],[.]],INDIRECT("G.30.assumptions.EnergyDemandAfterAlternativeFuels["&amp;O$1834&amp;"]"))
-SUM(O1986:O1988,O1990:O1991)</f>
        <v>4.8494808430394221</v>
      </c>
      <c r="P1989" s="318">
        <f ca="1">SUMIF(G.30.assumptions.EnergyDemandAfterAlternativeFuels[.],G.30.assumptions.EnergyDemandAfterEnergyEfficiencyCHP[[#This Row],[.]],INDIRECT("G.30.assumptions.EnergyDemandAfterAlternativeFuels["&amp;P$1834&amp;"]"))
-SUM(P1986:P1988,P1990:P1991)</f>
        <v>4.9073505428370279</v>
      </c>
      <c r="Q1989" s="318">
        <f ca="1">SUMIF(G.30.assumptions.EnergyDemandAfterAlternativeFuels[.],G.30.assumptions.EnergyDemandAfterEnergyEfficiencyCHP[[#This Row],[.]],INDIRECT("G.30.assumptions.EnergyDemandAfterAlternativeFuels["&amp;Q$1834&amp;"]"))
-SUM(Q1986:Q1988,Q1990:Q1991)</f>
        <v>4.9652202426346346</v>
      </c>
      <c r="R1989" s="242"/>
      <c r="S1989" s="179"/>
      <c r="T1989" s="251"/>
      <c r="V1989" s="179"/>
      <c r="W1989" s="179"/>
    </row>
    <row r="1990" spans="1:23" s="65" customFormat="1" ht="15" customHeight="1" outlineLevel="2">
      <c r="A1990" s="219"/>
      <c r="B1990" s="242"/>
      <c r="C1990" s="413" t="s">
        <v>1831</v>
      </c>
      <c r="D1990" s="121" t="str">
        <f>INDEX(Regional.Technologies[Description],MATCH($B$2&amp;"."&amp;G.30.assumptions.EnergyDemandAfterEnergyEfficiencyCHP[[#This Row],[Technology code]],Regional.Technologies[Code],0))</f>
        <v>Global Solid Hydrocarbons use in the Chemicals: Ammonia technology</v>
      </c>
      <c r="E1990" s="242"/>
      <c r="F1990" s="121" t="s">
        <v>1601</v>
      </c>
      <c r="G1990" s="242" t="s">
        <v>1962</v>
      </c>
      <c r="H1990" s="242"/>
      <c r="I1990" s="318">
        <f t="array" aca="1" ref="I199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90" s="318">
        <f t="array" aca="1" ref="J199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90" s="318">
        <f t="array" aca="1" ref="K199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90" s="318">
        <f t="array" aca="1" ref="L199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90" s="318">
        <f t="array" aca="1" ref="M199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90" s="318">
        <f t="array" aca="1" ref="N199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90" s="318">
        <f t="array" aca="1" ref="O199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90" s="318">
        <f t="array" aca="1" ref="P199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90" s="318">
        <f t="array" aca="1" ref="Q199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90" s="242"/>
      <c r="S1990" s="179"/>
      <c r="T1990" s="251"/>
      <c r="V1990" s="179"/>
      <c r="W1990" s="179"/>
    </row>
    <row r="1991" spans="1:23" s="65" customFormat="1" ht="15" customHeight="1" outlineLevel="2">
      <c r="A1991" s="219"/>
      <c r="B1991" s="242"/>
      <c r="C1991" s="413" t="s">
        <v>1832</v>
      </c>
      <c r="D1991" s="121" t="str">
        <f>INDEX(Regional.Technologies[Description],MATCH($B$2&amp;"."&amp;G.30.assumptions.EnergyDemandAfterEnergyEfficiencyCHP[[#This Row],[Technology code]],Regional.Technologies[Code],0))</f>
        <v>Global Heat use in the Chemicals: Ammonia technology</v>
      </c>
      <c r="E1991" s="242"/>
      <c r="F1991" s="121" t="s">
        <v>1601</v>
      </c>
      <c r="G1991" s="242" t="s">
        <v>1962</v>
      </c>
      <c r="H1991" s="242"/>
      <c r="I1991" s="318">
        <f t="array" aca="1" ref="I1991"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91" s="318">
        <f t="array" aca="1" ref="J1991"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91" s="318">
        <f t="array" aca="1" ref="K1991"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91" s="318">
        <f t="array" aca="1" ref="L1991"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91" s="318">
        <f t="array" aca="1" ref="M1991"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91" s="318">
        <f t="array" aca="1" ref="N1991"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91" s="318">
        <f t="array" aca="1" ref="O1991"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91" s="318">
        <f t="array" aca="1" ref="P1991"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91" s="318">
        <f t="array" aca="1" ref="Q1991"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91" s="242"/>
      <c r="S1991" s="179"/>
      <c r="T1991" s="251"/>
      <c r="V1991" s="179"/>
      <c r="W1991" s="179"/>
    </row>
    <row r="1992" spans="1:23" s="65" customFormat="1" ht="15" customHeight="1" outlineLevel="2">
      <c r="A1992" s="219"/>
      <c r="B1992" s="242"/>
      <c r="C1992" s="413" t="s">
        <v>1833</v>
      </c>
      <c r="D1992" s="121" t="str">
        <f>INDEX(Regional.Technologies[Description],MATCH($B$2&amp;"."&amp;G.30.assumptions.EnergyDemandAfterEnergyEfficiencyCHP[[#This Row],[Technology code]],Regional.Technologies[Code],0))</f>
        <v>Global Electricity use in the Chemicals: Methanol technology</v>
      </c>
      <c r="E1992" s="242"/>
      <c r="F1992" s="121" t="s">
        <v>1601</v>
      </c>
      <c r="G1992" s="242" t="s">
        <v>1963</v>
      </c>
      <c r="H1992" s="242"/>
      <c r="I1992" s="318">
        <f t="array" aca="1" ref="I199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92" s="318">
        <f t="array" aca="1" ref="J199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92" s="318">
        <f t="array" aca="1" ref="K199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92" s="318">
        <f t="array" aca="1" ref="L199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92" s="318">
        <f t="array" aca="1" ref="M199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92" s="318">
        <f t="array" aca="1" ref="N199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92" s="318">
        <f t="array" aca="1" ref="O199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92" s="318">
        <f t="array" aca="1" ref="P199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92" s="318">
        <f t="array" aca="1" ref="Q199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92" s="242"/>
      <c r="S1992" s="179"/>
      <c r="T1992" s="251"/>
      <c r="V1992" s="179"/>
      <c r="W1992" s="179"/>
    </row>
    <row r="1993" spans="1:23" s="65" customFormat="1" ht="15" customHeight="1" outlineLevel="2">
      <c r="A1993" s="219"/>
      <c r="B1993" s="242"/>
      <c r="C1993" s="413" t="s">
        <v>1834</v>
      </c>
      <c r="D1993" s="121" t="str">
        <f>INDEX(Regional.Technologies[Description],MATCH($B$2&amp;"."&amp;G.30.assumptions.EnergyDemandAfterEnergyEfficiencyCHP[[#This Row],[Technology code]],Regional.Technologies[Code],0))</f>
        <v>Global Coal use in the Chemicals: Methanol technology</v>
      </c>
      <c r="E1993" s="242"/>
      <c r="F1993" s="121" t="s">
        <v>1601</v>
      </c>
      <c r="G1993" s="242" t="s">
        <v>1963</v>
      </c>
      <c r="H1993" s="242"/>
      <c r="I1993" s="318">
        <f t="array" aca="1" ref="I1993"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0.726021750603001</v>
      </c>
      <c r="J1993" s="318">
        <f t="array" aca="1" ref="J1993"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0.73346812753226243</v>
      </c>
      <c r="K1993" s="318">
        <f t="array" aca="1" ref="K1993"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0.74277609869383943</v>
      </c>
      <c r="L1993" s="318">
        <f t="array" aca="1" ref="L1993"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0.75208406985541643</v>
      </c>
      <c r="M1993" s="318">
        <f t="array" aca="1" ref="M1993"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0.76139204101699354</v>
      </c>
      <c r="N1993" s="318">
        <f t="array" aca="1" ref="N1993"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0.7707000121785702</v>
      </c>
      <c r="O1993" s="318">
        <f t="array" aca="1" ref="O1993"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0.78000798334014743</v>
      </c>
      <c r="P1993" s="318">
        <f t="array" aca="1" ref="P1993"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0.78931595450172432</v>
      </c>
      <c r="Q1993" s="318">
        <f t="array" aca="1" ref="Q1993"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0.7986239256633012</v>
      </c>
      <c r="R1993" s="242"/>
      <c r="S1993" s="179"/>
      <c r="T1993" s="251"/>
      <c r="V1993" s="179"/>
      <c r="W1993" s="179"/>
    </row>
    <row r="1994" spans="1:23" s="65" customFormat="1" ht="15" customHeight="1" outlineLevel="2">
      <c r="A1994" s="219"/>
      <c r="B1994" s="242"/>
      <c r="C1994" s="413" t="s">
        <v>1835</v>
      </c>
      <c r="D1994" s="121" t="str">
        <f>INDEX(Regional.Technologies[Description],MATCH($B$2&amp;"."&amp;G.30.assumptions.EnergyDemandAfterEnergyEfficiencyCHP[[#This Row],[Technology code]],Regional.Technologies[Code],0))</f>
        <v>Global Oil use in the Chemicals: Methanol technology</v>
      </c>
      <c r="E1994" s="242"/>
      <c r="F1994" s="121" t="s">
        <v>1601</v>
      </c>
      <c r="G1994" s="242" t="s">
        <v>1963</v>
      </c>
      <c r="H1994" s="242"/>
      <c r="I1994" s="318">
        <f t="array" aca="1" ref="I199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94" s="318">
        <f t="array" aca="1" ref="J199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94" s="318">
        <f t="array" aca="1" ref="K199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94" s="318">
        <f t="array" aca="1" ref="L199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94" s="318">
        <f t="array" aca="1" ref="M199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94" s="318">
        <f t="array" aca="1" ref="N199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94" s="318">
        <f t="array" aca="1" ref="O199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94" s="318">
        <f t="array" aca="1" ref="P199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94" s="318">
        <f t="array" aca="1" ref="Q199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94" s="242"/>
      <c r="S1994" s="179"/>
      <c r="T1994" s="251"/>
      <c r="V1994" s="179"/>
      <c r="W1994" s="179"/>
    </row>
    <row r="1995" spans="1:23" s="65" customFormat="1" ht="15" customHeight="1" outlineLevel="2">
      <c r="A1995" s="219"/>
      <c r="B1995" s="242"/>
      <c r="C1995" s="413" t="s">
        <v>1836</v>
      </c>
      <c r="D1995" s="121" t="str">
        <f>INDEX(Regional.Technologies[Description],MATCH($B$2&amp;"."&amp;G.30.assumptions.EnergyDemandAfterEnergyEfficiencyCHP[[#This Row],[Technology code]],Regional.Technologies[Code],0))</f>
        <v>Global Natural Gas use in the Chemicals: Methanol technology</v>
      </c>
      <c r="E1995" s="242"/>
      <c r="F1995" s="121" t="s">
        <v>1601</v>
      </c>
      <c r="G1995" s="242" t="s">
        <v>1963</v>
      </c>
      <c r="H1995" s="242" t="s">
        <v>2169</v>
      </c>
      <c r="I1995" s="318">
        <f ca="1">SUMIF(G.30.assumptions.EnergyDemandAfterAlternativeFuels[.],G.30.assumptions.EnergyDemandAfterEnergyEfficiencyCHP[[#This Row],[.]],INDIRECT("G.30.assumptions.EnergyDemandAfterAlternativeFuels["&amp;I$1834&amp;"]"))
-SUM(I1992:I1994,I1996:I1997)</f>
        <v>0.937789568259083</v>
      </c>
      <c r="J1995" s="318">
        <f ca="1">SUMIF(G.30.assumptions.EnergyDemandAfterAlternativeFuels[.],G.30.assumptions.EnergyDemandAfterEnergyEfficiencyCHP[[#This Row],[.]],INDIRECT("G.30.assumptions.EnergyDemandAfterAlternativeFuels["&amp;J$1834&amp;"]"))
-SUM(J1992:J1994,J1996:J1997)</f>
        <v>0.94740792280532993</v>
      </c>
      <c r="K1995" s="318">
        <f ca="1">SUMIF(G.30.assumptions.EnergyDemandAfterAlternativeFuels[.],G.30.assumptions.EnergyDemandAfterEnergyEfficiencyCHP[[#This Row],[.]],INDIRECT("G.30.assumptions.EnergyDemandAfterAlternativeFuels["&amp;K$1834&amp;"]"))
-SUM(K1992:K1994,K1996:K1997)</f>
        <v>0.95943086598813876</v>
      </c>
      <c r="L1995" s="318">
        <f ca="1">SUMIF(G.30.assumptions.EnergyDemandAfterAlternativeFuels[.],G.30.assumptions.EnergyDemandAfterEnergyEfficiencyCHP[[#This Row],[.]],INDIRECT("G.30.assumptions.EnergyDemandAfterAlternativeFuels["&amp;L$1834&amp;"]"))
-SUM(L1992:L1994,L1996:L1997)</f>
        <v>0.97145380917094759</v>
      </c>
      <c r="M1995" s="318">
        <f ca="1">SUMIF(G.30.assumptions.EnergyDemandAfterAlternativeFuels[.],G.30.assumptions.EnergyDemandAfterEnergyEfficiencyCHP[[#This Row],[.]],INDIRECT("G.30.assumptions.EnergyDemandAfterAlternativeFuels["&amp;M$1834&amp;"]"))
-SUM(M1992:M1994,M1996:M1997)</f>
        <v>0.98347675235375631</v>
      </c>
      <c r="N1995" s="318">
        <f ca="1">SUMIF(G.30.assumptions.EnergyDemandAfterAlternativeFuels[.],G.30.assumptions.EnergyDemandAfterEnergyEfficiencyCHP[[#This Row],[.]],INDIRECT("G.30.assumptions.EnergyDemandAfterAlternativeFuels["&amp;N$1834&amp;"]"))
-SUM(N1992:N1994,N1996:N1997)</f>
        <v>0.99549969553656503</v>
      </c>
      <c r="O1995" s="318">
        <f ca="1">SUMIF(G.30.assumptions.EnergyDemandAfterAlternativeFuels[.],G.30.assumptions.EnergyDemandAfterEnergyEfficiencyCHP[[#This Row],[.]],INDIRECT("G.30.assumptions.EnergyDemandAfterAlternativeFuels["&amp;O$1834&amp;"]"))
-SUM(O1992:O1994,O1996:O1997)</f>
        <v>1.0075226387193739</v>
      </c>
      <c r="P1995" s="318">
        <f ca="1">SUMIF(G.30.assumptions.EnergyDemandAfterAlternativeFuels[.],G.30.assumptions.EnergyDemandAfterEnergyEfficiencyCHP[[#This Row],[.]],INDIRECT("G.30.assumptions.EnergyDemandAfterAlternativeFuels["&amp;P$1834&amp;"]"))
-SUM(P1992:P1994,P1996:P1997)</f>
        <v>1.0195455819021826</v>
      </c>
      <c r="Q1995" s="318">
        <f ca="1">SUMIF(G.30.assumptions.EnergyDemandAfterAlternativeFuels[.],G.30.assumptions.EnergyDemandAfterEnergyEfficiencyCHP[[#This Row],[.]],INDIRECT("G.30.assumptions.EnergyDemandAfterAlternativeFuels["&amp;Q$1834&amp;"]"))
-SUM(Q1992:Q1994,Q1996:Q1997)</f>
        <v>1.0315685250849913</v>
      </c>
      <c r="R1995" s="242"/>
      <c r="S1995" s="179"/>
      <c r="T1995" s="251"/>
      <c r="V1995" s="179"/>
      <c r="W1995" s="179"/>
    </row>
    <row r="1996" spans="1:23" s="65" customFormat="1" ht="15" customHeight="1" outlineLevel="2">
      <c r="A1996" s="219"/>
      <c r="B1996" s="242"/>
      <c r="C1996" s="413" t="s">
        <v>1837</v>
      </c>
      <c r="D1996" s="121" t="str">
        <f>INDEX(Regional.Technologies[Description],MATCH($B$2&amp;"."&amp;G.30.assumptions.EnergyDemandAfterEnergyEfficiencyCHP[[#This Row],[Technology code]],Regional.Technologies[Code],0))</f>
        <v>Global Solid Hydrocarbons use in the Chemicals: Methanol technology</v>
      </c>
      <c r="E1996" s="242"/>
      <c r="F1996" s="121" t="s">
        <v>1601</v>
      </c>
      <c r="G1996" s="242" t="s">
        <v>1963</v>
      </c>
      <c r="H1996" s="242"/>
      <c r="I1996" s="318">
        <f t="array" aca="1" ref="I199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96" s="318">
        <f t="array" aca="1" ref="J199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96" s="318">
        <f t="array" aca="1" ref="K199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96" s="318">
        <f t="array" aca="1" ref="L199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96" s="318">
        <f t="array" aca="1" ref="M199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96" s="318">
        <f t="array" aca="1" ref="N199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96" s="318">
        <f t="array" aca="1" ref="O199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96" s="318">
        <f t="array" aca="1" ref="P199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96" s="318">
        <f t="array" aca="1" ref="Q199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96" s="242"/>
      <c r="S1996" s="179"/>
      <c r="T1996" s="251"/>
      <c r="V1996" s="179"/>
      <c r="W1996" s="179"/>
    </row>
    <row r="1997" spans="1:23" s="65" customFormat="1" ht="15" customHeight="1" outlineLevel="2">
      <c r="A1997" s="219"/>
      <c r="B1997" s="242"/>
      <c r="C1997" s="413" t="s">
        <v>1838</v>
      </c>
      <c r="D1997" s="121" t="str">
        <f>INDEX(Regional.Technologies[Description],MATCH($B$2&amp;"."&amp;G.30.assumptions.EnergyDemandAfterEnergyEfficiencyCHP[[#This Row],[Technology code]],Regional.Technologies[Code],0))</f>
        <v>Global Heat use in the Chemicals: Methanol technology</v>
      </c>
      <c r="E1997" s="242"/>
      <c r="F1997" s="121" t="s">
        <v>1601</v>
      </c>
      <c r="G1997" s="242" t="s">
        <v>1963</v>
      </c>
      <c r="H1997" s="242"/>
      <c r="I1997" s="318">
        <f t="array" aca="1" ref="I1997"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1997" s="318">
        <f t="array" aca="1" ref="J1997"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1997" s="318">
        <f t="array" aca="1" ref="K1997"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1997" s="318">
        <f t="array" aca="1" ref="L1997"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1997" s="318">
        <f t="array" aca="1" ref="M1997"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1997" s="318">
        <f t="array" aca="1" ref="N1997"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1997" s="318">
        <f t="array" aca="1" ref="O1997"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1997" s="318">
        <f t="array" aca="1" ref="P1997"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1997" s="318">
        <f t="array" aca="1" ref="Q1997"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1997" s="242"/>
      <c r="S1997" s="179"/>
      <c r="T1997" s="251"/>
      <c r="V1997" s="179"/>
      <c r="W1997" s="179"/>
    </row>
    <row r="1998" spans="1:23" s="65" customFormat="1" ht="15" customHeight="1" outlineLevel="2">
      <c r="A1998" s="219"/>
      <c r="B1998" s="242"/>
      <c r="C1998" s="413" t="s">
        <v>1839</v>
      </c>
      <c r="D1998" s="121" t="str">
        <f>INDEX(Regional.Technologies[Description],MATCH($B$2&amp;"."&amp;G.30.assumptions.EnergyDemandAfterEnergyEfficiencyCHP[[#This Row],[Technology code]],Regional.Technologies[Code],0))</f>
        <v>Global Electricity use in the Chemicals: Others technology</v>
      </c>
      <c r="E1998" s="242"/>
      <c r="F1998" s="121" t="s">
        <v>1601</v>
      </c>
      <c r="G1998" s="242" t="s">
        <v>1964</v>
      </c>
      <c r="H1998" s="242"/>
      <c r="I1998" s="318">
        <f t="array" aca="1" ref="I199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4.1752925085634338</v>
      </c>
      <c r="J1998" s="318">
        <f t="array" aca="1" ref="J199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4.2181160214717766</v>
      </c>
      <c r="K1998" s="318">
        <f t="array" aca="1" ref="K199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4.2716454126072056</v>
      </c>
      <c r="L1998" s="318">
        <f t="array" aca="1" ref="L199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4.3251748037426347</v>
      </c>
      <c r="M1998" s="318">
        <f t="array" aca="1" ref="M199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4.3787041948780629</v>
      </c>
      <c r="N1998" s="318">
        <f t="array" aca="1" ref="N199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4.4322335860134912</v>
      </c>
      <c r="O1998" s="318">
        <f t="array" aca="1" ref="O199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4.4857629771489211</v>
      </c>
      <c r="P1998" s="318">
        <f t="array" aca="1" ref="P199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4.5392923682843493</v>
      </c>
      <c r="Q1998" s="318">
        <f t="array" aca="1" ref="Q199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4.5928217594197784</v>
      </c>
      <c r="R1998" s="242"/>
      <c r="S1998" s="179"/>
      <c r="T1998" s="251"/>
      <c r="V1998" s="179"/>
      <c r="W1998" s="179"/>
    </row>
    <row r="1999" spans="1:23" s="65" customFormat="1" ht="15" customHeight="1" outlineLevel="2">
      <c r="A1999" s="219"/>
      <c r="B1999" s="242"/>
      <c r="C1999" s="413" t="s">
        <v>1840</v>
      </c>
      <c r="D1999" s="121" t="str">
        <f>INDEX(Regional.Technologies[Description],MATCH($B$2&amp;"."&amp;G.30.assumptions.EnergyDemandAfterEnergyEfficiencyCHP[[#This Row],[Technology code]],Regional.Technologies[Code],0))</f>
        <v>Global Coal use in the Chemicals: Others technology</v>
      </c>
      <c r="E1999" s="242"/>
      <c r="F1999" s="121" t="s">
        <v>1601</v>
      </c>
      <c r="G1999" s="242" t="s">
        <v>1964</v>
      </c>
      <c r="H1999" s="242"/>
      <c r="I1999" s="318">
        <f t="array" aca="1" ref="I1999"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0.37414965620854623</v>
      </c>
      <c r="J1999" s="318">
        <f t="array" aca="1" ref="J1999"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0.37798708857991592</v>
      </c>
      <c r="K1999" s="318">
        <f t="array" aca="1" ref="K1999"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0.38278387904412625</v>
      </c>
      <c r="L1999" s="318">
        <f t="array" aca="1" ref="L1999"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0.38758066950834191</v>
      </c>
      <c r="M1999" s="318">
        <f t="array" aca="1" ref="M1999"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0.39237745997255224</v>
      </c>
      <c r="N1999" s="318">
        <f t="array" aca="1" ref="N1999"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0.39717425043676258</v>
      </c>
      <c r="O1999" s="318">
        <f t="array" aca="1" ref="O1999"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0.40197104090097646</v>
      </c>
      <c r="P1999" s="318">
        <f t="array" aca="1" ref="P1999"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0.40676783136519035</v>
      </c>
      <c r="Q1999" s="318">
        <f t="array" aca="1" ref="Q1999"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0.41156462182940068</v>
      </c>
      <c r="R1999" s="242"/>
      <c r="S1999" s="179"/>
      <c r="T1999" s="251"/>
      <c r="V1999" s="179"/>
      <c r="W1999" s="179"/>
    </row>
    <row r="2000" spans="1:23" s="65" customFormat="1" ht="15" customHeight="1" outlineLevel="2">
      <c r="A2000" s="219"/>
      <c r="B2000" s="242"/>
      <c r="C2000" s="413" t="s">
        <v>1841</v>
      </c>
      <c r="D2000" s="121" t="str">
        <f>INDEX(Regional.Technologies[Description],MATCH($B$2&amp;"."&amp;G.30.assumptions.EnergyDemandAfterEnergyEfficiencyCHP[[#This Row],[Technology code]],Regional.Technologies[Code],0))</f>
        <v>Global Oil use in the Chemicals: Others technology</v>
      </c>
      <c r="E2000" s="242"/>
      <c r="F2000" s="121" t="s">
        <v>1601</v>
      </c>
      <c r="G2000" s="242" t="s">
        <v>1964</v>
      </c>
      <c r="H2000" s="242"/>
      <c r="I2000" s="318">
        <f t="array" aca="1" ref="I200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-2.3799202608643097E-15</v>
      </c>
      <c r="J2000" s="318">
        <f t="array" aca="1" ref="J200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-2.4043296994372769E-15</v>
      </c>
      <c r="K2000" s="318">
        <f t="array" aca="1" ref="K200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-2.434841497653486E-15</v>
      </c>
      <c r="L2000" s="318">
        <f t="array" aca="1" ref="L200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-2.4653532958696954E-15</v>
      </c>
      <c r="M2000" s="318">
        <f t="array" aca="1" ref="M200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-2.4958650940859044E-15</v>
      </c>
      <c r="N2000" s="318">
        <f t="array" aca="1" ref="N200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-2.5263768923021135E-15</v>
      </c>
      <c r="O2000" s="318">
        <f t="array" aca="1" ref="O200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-2.5568886905183229E-15</v>
      </c>
      <c r="P2000" s="318">
        <f t="array" aca="1" ref="P200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-2.5874004887345319E-15</v>
      </c>
      <c r="Q2000" s="318">
        <f t="array" aca="1" ref="Q200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-2.617912286950741E-15</v>
      </c>
      <c r="R2000" s="242"/>
      <c r="S2000" s="179"/>
      <c r="T2000" s="251"/>
      <c r="V2000" s="179"/>
      <c r="W2000" s="179"/>
    </row>
    <row r="2001" spans="1:23" s="65" customFormat="1" ht="15" customHeight="1" outlineLevel="2">
      <c r="A2001" s="219"/>
      <c r="B2001" s="242"/>
      <c r="C2001" s="413" t="s">
        <v>1842</v>
      </c>
      <c r="D2001" s="121" t="str">
        <f>INDEX(Regional.Technologies[Description],MATCH($B$2&amp;"."&amp;G.30.assumptions.EnergyDemandAfterEnergyEfficiencyCHP[[#This Row],[Technology code]],Regional.Technologies[Code],0))</f>
        <v>Global Natural Gas use in the Chemicals: Others technology</v>
      </c>
      <c r="E2001" s="242"/>
      <c r="F2001" s="121" t="s">
        <v>1601</v>
      </c>
      <c r="G2001" s="242" t="s">
        <v>1964</v>
      </c>
      <c r="H2001" s="242" t="s">
        <v>2169</v>
      </c>
      <c r="I2001" s="318">
        <f ca="1">SUMIF(G.30.assumptions.EnergyDemandAfterAlternativeFuels[.],G.30.assumptions.EnergyDemandAfterEnergyEfficiencyCHP[[#This Row],[.]],INDIRECT("G.30.assumptions.EnergyDemandAfterAlternativeFuels["&amp;I$1834&amp;"]"))
-SUM(I1998:I2000,I2002:I2003)</f>
        <v>6.0442800620537298</v>
      </c>
      <c r="J2001" s="318">
        <f ca="1">SUMIF(G.30.assumptions.EnergyDemandAfterAlternativeFuels[.],G.30.assumptions.EnergyDemandAfterEnergyEfficiencyCHP[[#This Row],[.]],INDIRECT("G.30.assumptions.EnergyDemandAfterAlternativeFuels["&amp;J$1834&amp;"]"))
-SUM(J1998:J2000,J2002:J2003)</f>
        <v>6.1062726780747951</v>
      </c>
      <c r="K2001" s="318">
        <f ca="1">SUMIF(G.30.assumptions.EnergyDemandAfterAlternativeFuels[.],G.30.assumptions.EnergyDemandAfterEnergyEfficiencyCHP[[#This Row],[.]],INDIRECT("G.30.assumptions.EnergyDemandAfterAlternativeFuels["&amp;K$1834&amp;"]"))
-SUM(K1998:K2000,K2002:K2003)</f>
        <v>6.1837634481011259</v>
      </c>
      <c r="L2001" s="318">
        <f ca="1">SUMIF(G.30.assumptions.EnergyDemandAfterAlternativeFuels[.],G.30.assumptions.EnergyDemandAfterEnergyEfficiencyCHP[[#This Row],[.]],INDIRECT("G.30.assumptions.EnergyDemandAfterAlternativeFuels["&amp;L$1834&amp;"]"))
-SUM(L1998:L2000,L2002:L2003)</f>
        <v>6.2612542181274531</v>
      </c>
      <c r="M2001" s="318">
        <f ca="1">SUMIF(G.30.assumptions.EnergyDemandAfterAlternativeFuels[.],G.30.assumptions.EnergyDemandAfterEnergyEfficiencyCHP[[#This Row],[.]],INDIRECT("G.30.assumptions.EnergyDemandAfterAlternativeFuels["&amp;M$1834&amp;"]"))
-SUM(M1998:M2000,M2002:M2003)</f>
        <v>6.3387449881537838</v>
      </c>
      <c r="N2001" s="318">
        <f ca="1">SUMIF(G.30.assumptions.EnergyDemandAfterAlternativeFuels[.],G.30.assumptions.EnergyDemandAfterEnergyEfficiencyCHP[[#This Row],[.]],INDIRECT("G.30.assumptions.EnergyDemandAfterAlternativeFuels["&amp;N$1834&amp;"]"))
-SUM(N1998:N2000,N2002:N2003)</f>
        <v>6.4162357581801146</v>
      </c>
      <c r="O2001" s="318">
        <f ca="1">SUMIF(G.30.assumptions.EnergyDemandAfterAlternativeFuels[.],G.30.assumptions.EnergyDemandAfterEnergyEfficiencyCHP[[#This Row],[.]],INDIRECT("G.30.assumptions.EnergyDemandAfterAlternativeFuels["&amp;O$1834&amp;"]"))
-SUM(O1998:O2000,O2002:O2003)</f>
        <v>6.4937265282064454</v>
      </c>
      <c r="P2001" s="318">
        <f ca="1">SUMIF(G.30.assumptions.EnergyDemandAfterAlternativeFuels[.],G.30.assumptions.EnergyDemandAfterEnergyEfficiencyCHP[[#This Row],[.]],INDIRECT("G.30.assumptions.EnergyDemandAfterAlternativeFuels["&amp;P$1834&amp;"]"))
-SUM(P1998:P2000,P2002:P2003)</f>
        <v>6.5712172982327735</v>
      </c>
      <c r="Q2001" s="318">
        <f ca="1">SUMIF(G.30.assumptions.EnergyDemandAfterAlternativeFuels[.],G.30.assumptions.EnergyDemandAfterEnergyEfficiencyCHP[[#This Row],[.]],INDIRECT("G.30.assumptions.EnergyDemandAfterAlternativeFuels["&amp;Q$1834&amp;"]"))
-SUM(Q1998:Q2000,Q2002:Q2003)</f>
        <v>6.6487080682591042</v>
      </c>
      <c r="R2001" s="242"/>
      <c r="S2001" s="179"/>
      <c r="T2001" s="251"/>
      <c r="V2001" s="179"/>
      <c r="W2001" s="179"/>
    </row>
    <row r="2002" spans="1:23" s="65" customFormat="1" ht="15" customHeight="1" outlineLevel="2">
      <c r="A2002" s="219"/>
      <c r="B2002" s="242"/>
      <c r="C2002" s="413" t="s">
        <v>1843</v>
      </c>
      <c r="D2002" s="121" t="str">
        <f>INDEX(Regional.Technologies[Description],MATCH($B$2&amp;"."&amp;G.30.assumptions.EnergyDemandAfterEnergyEfficiencyCHP[[#This Row],[Technology code]],Regional.Technologies[Code],0))</f>
        <v>Global Solid Hydrocarbons use in the Chemicals: Others technology</v>
      </c>
      <c r="E2002" s="242"/>
      <c r="F2002" s="121" t="s">
        <v>1601</v>
      </c>
      <c r="G2002" s="242" t="s">
        <v>1964</v>
      </c>
      <c r="H2002" s="242"/>
      <c r="I2002" s="318">
        <f t="array" aca="1" ref="I200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0.16313870478909601</v>
      </c>
      <c r="J2002" s="318">
        <f t="array" aca="1" ref="J200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0.16481192227411237</v>
      </c>
      <c r="K2002" s="318">
        <f t="array" aca="1" ref="K200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0.16690344413038283</v>
      </c>
      <c r="L2002" s="318">
        <f t="array" aca="1" ref="L200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0.16899496598665331</v>
      </c>
      <c r="M2002" s="318">
        <f t="array" aca="1" ref="M200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0.17108648784292377</v>
      </c>
      <c r="N2002" s="318">
        <f t="array" aca="1" ref="N200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0.17317800969919422</v>
      </c>
      <c r="O2002" s="318">
        <f t="array" aca="1" ref="O200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0.17526953155546471</v>
      </c>
      <c r="P2002" s="318">
        <f t="array" aca="1" ref="P200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0.17736105341173516</v>
      </c>
      <c r="Q2002" s="318">
        <f t="array" aca="1" ref="Q200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0.17945257526800562</v>
      </c>
      <c r="R2002" s="242"/>
      <c r="S2002" s="179"/>
      <c r="T2002" s="251"/>
      <c r="V2002" s="179"/>
      <c r="W2002" s="179"/>
    </row>
    <row r="2003" spans="1:23" s="65" customFormat="1" ht="15" customHeight="1" outlineLevel="2">
      <c r="A2003" s="219"/>
      <c r="B2003" s="242"/>
      <c r="C2003" s="413" t="s">
        <v>1844</v>
      </c>
      <c r="D2003" s="121" t="str">
        <f>INDEX(Regional.Technologies[Description],MATCH($B$2&amp;"."&amp;G.30.assumptions.EnergyDemandAfterEnergyEfficiencyCHP[[#This Row],[Technology code]],Regional.Technologies[Code],0))</f>
        <v>Global Heat use in the Chemicals: Others technology</v>
      </c>
      <c r="E2003" s="242"/>
      <c r="F2003" s="121" t="s">
        <v>1601</v>
      </c>
      <c r="G2003" s="242" t="s">
        <v>1964</v>
      </c>
      <c r="H2003" s="242"/>
      <c r="I2003" s="318">
        <f t="array" aca="1" ref="I2003"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1.9701384317850921</v>
      </c>
      <c r="J2003" s="318">
        <f t="array" aca="1" ref="J2003"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1.9903449798034007</v>
      </c>
      <c r="K2003" s="318">
        <f t="array" aca="1" ref="K2003"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2.0156031648262864</v>
      </c>
      <c r="L2003" s="318">
        <f t="array" aca="1" ref="L2003"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2.0408613498491723</v>
      </c>
      <c r="M2003" s="318">
        <f t="array" aca="1" ref="M2003"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2.0661195348720582</v>
      </c>
      <c r="N2003" s="318">
        <f t="array" aca="1" ref="N2003"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2.0913777198949437</v>
      </c>
      <c r="O2003" s="318">
        <f t="array" aca="1" ref="O2003"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2.11663590491783</v>
      </c>
      <c r="P2003" s="318">
        <f t="array" aca="1" ref="P2003"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2.141894089940716</v>
      </c>
      <c r="Q2003" s="318">
        <f t="array" aca="1" ref="Q2003"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2.1671522749636014</v>
      </c>
      <c r="R2003" s="242"/>
      <c r="S2003" s="179"/>
      <c r="T2003" s="251"/>
      <c r="V2003" s="179"/>
      <c r="W2003" s="179"/>
    </row>
    <row r="2004" spans="1:23" s="65" customFormat="1" ht="15" customHeight="1" outlineLevel="2">
      <c r="A2004" s="219"/>
      <c r="B2004" s="242"/>
      <c r="C2004" s="413" t="s">
        <v>1845</v>
      </c>
      <c r="D2004" s="121" t="str">
        <f>INDEX(Regional.Technologies[Description],MATCH($B$2&amp;"."&amp;G.30.assumptions.EnergyDemandAfterEnergyEfficiencyCHP[[#This Row],[Technology code]],Regional.Technologies[Code],0))</f>
        <v>Global Electricity use in the Pulp &amp; paper: Pulp technology</v>
      </c>
      <c r="E2004" s="242"/>
      <c r="F2004" s="121" t="s">
        <v>1447</v>
      </c>
      <c r="G2004" s="242" t="s">
        <v>1954</v>
      </c>
      <c r="H2004" s="242"/>
      <c r="I2004" s="318">
        <f t="array" aca="1" ref="I200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0.65799398015612487</v>
      </c>
      <c r="J2004" s="318">
        <f t="array" aca="1" ref="J200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0.66474263636285447</v>
      </c>
      <c r="K2004" s="318">
        <f t="array" aca="1" ref="K200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0.67317845662126619</v>
      </c>
      <c r="L2004" s="318">
        <f t="array" aca="1" ref="L200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0.68161427687967835</v>
      </c>
      <c r="M2004" s="318">
        <f t="array" aca="1" ref="M200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0.69005009713809007</v>
      </c>
      <c r="N2004" s="318">
        <f t="array" aca="1" ref="N200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0.6984859173965019</v>
      </c>
      <c r="O2004" s="318">
        <f t="array" aca="1" ref="O200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0.70692173765491395</v>
      </c>
      <c r="P2004" s="318">
        <f t="array" aca="1" ref="P200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0.71535755791332567</v>
      </c>
      <c r="Q2004" s="318">
        <f t="array" aca="1" ref="Q200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0.72379337817173739</v>
      </c>
      <c r="R2004" s="242"/>
      <c r="S2004" s="179"/>
      <c r="T2004" s="251"/>
      <c r="V2004" s="179"/>
      <c r="W2004" s="179"/>
    </row>
    <row r="2005" spans="1:23" s="65" customFormat="1" ht="15" customHeight="1" outlineLevel="2">
      <c r="A2005" s="219"/>
      <c r="B2005" s="242"/>
      <c r="C2005" s="413" t="s">
        <v>1846</v>
      </c>
      <c r="D2005" s="121" t="str">
        <f>INDEX(Regional.Technologies[Description],MATCH($B$2&amp;"."&amp;G.30.assumptions.EnergyDemandAfterEnergyEfficiencyCHP[[#This Row],[Technology code]],Regional.Technologies[Code],0))</f>
        <v>Global Coal use in the Pulp &amp; paper: Pulp technology</v>
      </c>
      <c r="E2005" s="242"/>
      <c r="F2005" s="121" t="s">
        <v>1447</v>
      </c>
      <c r="G2005" s="242" t="s">
        <v>1954</v>
      </c>
      <c r="H2005" s="242"/>
      <c r="I2005" s="318">
        <f t="array" aca="1" ref="I2005"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0.59772552046925531</v>
      </c>
      <c r="J2005" s="318">
        <f t="array" aca="1" ref="J2005"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0.60385603862791459</v>
      </c>
      <c r="K2005" s="318">
        <f t="array" aca="1" ref="K2005"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0.61151918632623792</v>
      </c>
      <c r="L2005" s="318">
        <f t="array" aca="1" ref="L2005"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0.61918233402456213</v>
      </c>
      <c r="M2005" s="318">
        <f t="array" aca="1" ref="M2005"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0.62684548172288546</v>
      </c>
      <c r="N2005" s="318">
        <f t="array" aca="1" ref="N2005"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0.63450862942120967</v>
      </c>
      <c r="O2005" s="318">
        <f t="array" aca="1" ref="O2005"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0.64217177711953344</v>
      </c>
      <c r="P2005" s="318">
        <f t="array" aca="1" ref="P2005"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0.64983492481785721</v>
      </c>
      <c r="Q2005" s="318">
        <f t="array" aca="1" ref="Q2005"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0.65749807251618186</v>
      </c>
      <c r="R2005" s="242"/>
      <c r="S2005" s="179"/>
      <c r="T2005" s="251"/>
      <c r="V2005" s="179"/>
      <c r="W2005" s="179"/>
    </row>
    <row r="2006" spans="1:23" s="65" customFormat="1" ht="15" customHeight="1" outlineLevel="2">
      <c r="A2006" s="219"/>
      <c r="B2006" s="242"/>
      <c r="C2006" s="413" t="s">
        <v>1847</v>
      </c>
      <c r="D2006" s="121" t="str">
        <f>INDEX(Regional.Technologies[Description],MATCH($B$2&amp;"."&amp;G.30.assumptions.EnergyDemandAfterEnergyEfficiencyCHP[[#This Row],[Technology code]],Regional.Technologies[Code],0))</f>
        <v>Global Oil use in the Pulp &amp; paper: Pulp technology</v>
      </c>
      <c r="E2006" s="242"/>
      <c r="F2006" s="121" t="s">
        <v>1447</v>
      </c>
      <c r="G2006" s="242" t="s">
        <v>1954</v>
      </c>
      <c r="H2006" s="242"/>
      <c r="I2006" s="318">
        <f t="array" aca="1" ref="I200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0.18690202814673121</v>
      </c>
      <c r="J2006" s="318">
        <f t="array" aca="1" ref="J200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0.18881897202515924</v>
      </c>
      <c r="K2006" s="318">
        <f t="array" aca="1" ref="K200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0.19121515187319424</v>
      </c>
      <c r="L2006" s="318">
        <f t="array" aca="1" ref="L200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0.19361133172122932</v>
      </c>
      <c r="M2006" s="318">
        <f t="array" aca="1" ref="M200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0.1960075115692643</v>
      </c>
      <c r="N2006" s="318">
        <f t="array" aca="1" ref="N200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0.1984036914172993</v>
      </c>
      <c r="O2006" s="318">
        <f t="array" aca="1" ref="O200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0.20079987126533438</v>
      </c>
      <c r="P2006" s="318">
        <f t="array" aca="1" ref="P200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0.20319605111336939</v>
      </c>
      <c r="Q2006" s="318">
        <f t="array" aca="1" ref="Q200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0.20559223096140436</v>
      </c>
      <c r="R2006" s="242"/>
      <c r="S2006" s="179"/>
      <c r="T2006" s="251"/>
      <c r="V2006" s="179"/>
      <c r="W2006" s="179"/>
    </row>
    <row r="2007" spans="1:23" s="65" customFormat="1" ht="15" customHeight="1" outlineLevel="2">
      <c r="A2007" s="219"/>
      <c r="B2007" s="242"/>
      <c r="C2007" s="413" t="s">
        <v>1848</v>
      </c>
      <c r="D2007" s="121" t="str">
        <f>INDEX(Regional.Technologies[Description],MATCH($B$2&amp;"."&amp;G.30.assumptions.EnergyDemandAfterEnergyEfficiencyCHP[[#This Row],[Technology code]],Regional.Technologies[Code],0))</f>
        <v>Global Natural Gas use in the Pulp &amp; paper: Pulp technology</v>
      </c>
      <c r="E2007" s="242"/>
      <c r="F2007" s="121" t="s">
        <v>1447</v>
      </c>
      <c r="G2007" s="242" t="s">
        <v>1954</v>
      </c>
      <c r="H2007" s="242" t="s">
        <v>2169</v>
      </c>
      <c r="I2007" s="318">
        <f ca="1">SUMIF(G.30.assumptions.EnergyDemandAfterAlternativeFuels[.],G.30.assumptions.EnergyDemandAfterEnergyEfficiencyCHP[[#This Row],[.]],INDIRECT("G.30.assumptions.EnergyDemandAfterAlternativeFuels["&amp;I$1834&amp;"]"))
-SUM(I2004:I2006,I2008:I2009)</f>
        <v>0.47643652328594177</v>
      </c>
      <c r="J2007" s="318">
        <f ca="1">SUMIF(G.30.assumptions.EnergyDemandAfterAlternativeFuels[.],G.30.assumptions.EnergyDemandAfterEnergyEfficiencyCHP[[#This Row],[.]],INDIRECT("G.30.assumptions.EnergyDemandAfterAlternativeFuels["&amp;J$1834&amp;"]"))
-SUM(J2004:J2006,J2008:J2009)</f>
        <v>0.48132305172990009</v>
      </c>
      <c r="K2007" s="318">
        <f ca="1">SUMIF(G.30.assumptions.EnergyDemandAfterAlternativeFuels[.],G.30.assumptions.EnergyDemandAfterEnergyEfficiencyCHP[[#This Row],[.]],INDIRECT("G.30.assumptions.EnergyDemandAfterAlternativeFuels["&amp;K$1834&amp;"]"))
-SUM(K2004:K2006,K2008:K2009)</f>
        <v>0.48743121228484831</v>
      </c>
      <c r="L2007" s="318">
        <f ca="1">SUMIF(G.30.assumptions.EnergyDemandAfterAlternativeFuels[.],G.30.assumptions.EnergyDemandAfterEnergyEfficiencyCHP[[#This Row],[.]],INDIRECT("G.30.assumptions.EnergyDemandAfterAlternativeFuels["&amp;L$1834&amp;"]"))
-SUM(L2004:L2006,L2008:L2009)</f>
        <v>0.49353937283979565</v>
      </c>
      <c r="M2007" s="318">
        <f ca="1">SUMIF(G.30.assumptions.EnergyDemandAfterAlternativeFuels[.],G.30.assumptions.EnergyDemandAfterEnergyEfficiencyCHP[[#This Row],[.]],INDIRECT("G.30.assumptions.EnergyDemandAfterAlternativeFuels["&amp;M$1834&amp;"]"))
-SUM(M2004:M2006,M2008:M2009)</f>
        <v>0.49964753339474388</v>
      </c>
      <c r="N2007" s="318">
        <f ca="1">SUMIF(G.30.assumptions.EnergyDemandAfterAlternativeFuels[.],G.30.assumptions.EnergyDemandAfterEnergyEfficiencyCHP[[#This Row],[.]],INDIRECT("G.30.assumptions.EnergyDemandAfterAlternativeFuels["&amp;N$1834&amp;"]"))
-SUM(N2004:N2006,N2008:N2009)</f>
        <v>0.50575569394969211</v>
      </c>
      <c r="O2007" s="318">
        <f ca="1">SUMIF(G.30.assumptions.EnergyDemandAfterAlternativeFuels[.],G.30.assumptions.EnergyDemandAfterEnergyEfficiencyCHP[[#This Row],[.]],INDIRECT("G.30.assumptions.EnergyDemandAfterAlternativeFuels["&amp;O$1834&amp;"]"))
-SUM(O2004:O2006,O2008:O2009)</f>
        <v>0.51186385450463989</v>
      </c>
      <c r="P2007" s="318">
        <f ca="1">SUMIF(G.30.assumptions.EnergyDemandAfterAlternativeFuels[.],G.30.assumptions.EnergyDemandAfterEnergyEfficiencyCHP[[#This Row],[.]],INDIRECT("G.30.assumptions.EnergyDemandAfterAlternativeFuels["&amp;P$1834&amp;"]"))
-SUM(P2004:P2006,P2008:P2009)</f>
        <v>0.51797201505958812</v>
      </c>
      <c r="Q2007" s="318">
        <f ca="1">SUMIF(G.30.assumptions.EnergyDemandAfterAlternativeFuels[.],G.30.assumptions.EnergyDemandAfterEnergyEfficiencyCHP[[#This Row],[.]],INDIRECT("G.30.assumptions.EnergyDemandAfterAlternativeFuels["&amp;Q$1834&amp;"]"))
-SUM(Q2004:Q2006,Q2008:Q2009)</f>
        <v>0.52408017561453635</v>
      </c>
      <c r="R2007" s="242"/>
      <c r="S2007" s="179"/>
      <c r="T2007" s="251"/>
      <c r="V2007" s="179"/>
      <c r="W2007" s="179"/>
    </row>
    <row r="2008" spans="1:23" s="65" customFormat="1" ht="15" customHeight="1" outlineLevel="2">
      <c r="A2008" s="219"/>
      <c r="B2008" s="242"/>
      <c r="C2008" s="413" t="s">
        <v>1849</v>
      </c>
      <c r="D2008" s="121" t="str">
        <f>INDEX(Regional.Technologies[Description],MATCH($B$2&amp;"."&amp;G.30.assumptions.EnergyDemandAfterEnergyEfficiencyCHP[[#This Row],[Technology code]],Regional.Technologies[Code],0))</f>
        <v>Global Solid Hydrocarbons use in the Pulp &amp; paper: Pulp technology</v>
      </c>
      <c r="E2008" s="242"/>
      <c r="F2008" s="121" t="s">
        <v>1447</v>
      </c>
      <c r="G2008" s="242" t="s">
        <v>1954</v>
      </c>
      <c r="H2008" s="242"/>
      <c r="I2008" s="318">
        <f t="array" aca="1" ref="I200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1.1015070797346034</v>
      </c>
      <c r="J2008" s="318">
        <f t="array" aca="1" ref="J200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1.1128045882447017</v>
      </c>
      <c r="K2008" s="318">
        <f t="array" aca="1" ref="K200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1.1269264738823248</v>
      </c>
      <c r="L2008" s="318">
        <f t="array" aca="1" ref="L200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1.1410483595199483</v>
      </c>
      <c r="M2008" s="318">
        <f t="array" aca="1" ref="M200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1.1551702451575714</v>
      </c>
      <c r="N2008" s="318">
        <f t="array" aca="1" ref="N200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1.1692921307951945</v>
      </c>
      <c r="O2008" s="318">
        <f t="array" aca="1" ref="O200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1.1834140164328177</v>
      </c>
      <c r="P2008" s="318">
        <f t="array" aca="1" ref="P200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1.1975359020704408</v>
      </c>
      <c r="Q2008" s="318">
        <f t="array" aca="1" ref="Q200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1.2116577877080636</v>
      </c>
      <c r="R2008" s="242"/>
      <c r="S2008" s="179"/>
      <c r="T2008" s="251"/>
      <c r="V2008" s="179"/>
      <c r="W2008" s="179"/>
    </row>
    <row r="2009" spans="1:23" s="65" customFormat="1" ht="15" customHeight="1" outlineLevel="2">
      <c r="A2009" s="219"/>
      <c r="B2009" s="242"/>
      <c r="C2009" s="413" t="s">
        <v>1850</v>
      </c>
      <c r="D2009" s="121" t="str">
        <f>INDEX(Regional.Technologies[Description],MATCH($B$2&amp;"."&amp;G.30.assumptions.EnergyDemandAfterEnergyEfficiencyCHP[[#This Row],[Technology code]],Regional.Technologies[Code],0))</f>
        <v>Global Heat use in the Pulp &amp; paper: Pulp technology</v>
      </c>
      <c r="E2009" s="242"/>
      <c r="F2009" s="121" t="s">
        <v>1447</v>
      </c>
      <c r="G2009" s="242" t="s">
        <v>1954</v>
      </c>
      <c r="H2009" s="242"/>
      <c r="I2009" s="318">
        <f t="array" aca="1" ref="I2009"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2009" s="318">
        <f t="array" aca="1" ref="J2009"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2009" s="318">
        <f t="array" aca="1" ref="K2009"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2009" s="318">
        <f t="array" aca="1" ref="L2009"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2009" s="318">
        <f t="array" aca="1" ref="M2009"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2009" s="318">
        <f t="array" aca="1" ref="N2009"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2009" s="318">
        <f t="array" aca="1" ref="O2009"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2009" s="318">
        <f t="array" aca="1" ref="P2009"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2009" s="318">
        <f t="array" aca="1" ref="Q2009"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2009" s="242"/>
      <c r="S2009" s="179"/>
      <c r="T2009" s="251"/>
      <c r="V2009" s="179"/>
      <c r="W2009" s="179"/>
    </row>
    <row r="2010" spans="1:23" s="65" customFormat="1" ht="15" customHeight="1" outlineLevel="2">
      <c r="A2010" s="219"/>
      <c r="B2010" s="242"/>
      <c r="C2010" s="413" t="s">
        <v>1631</v>
      </c>
      <c r="D2010" s="121" t="str">
        <f>INDEX(Regional.Technologies[Description],MATCH($B$2&amp;"."&amp;G.30.assumptions.EnergyDemandAfterEnergyEfficiencyCHP[[#This Row],[Technology code]],Regional.Technologies[Code],0))</f>
        <v>Global Electricity use in the Pulp &amp; paper: Virgin technology</v>
      </c>
      <c r="E2010" s="242"/>
      <c r="F2010" s="121" t="s">
        <v>1447</v>
      </c>
      <c r="G2010" s="242" t="s">
        <v>1955</v>
      </c>
      <c r="H2010" s="242"/>
      <c r="I2010" s="318">
        <f t="array" aca="1" ref="I201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0.96830205621334242</v>
      </c>
      <c r="J2010" s="318">
        <f t="array" aca="1" ref="J201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0.97823335935399203</v>
      </c>
      <c r="K2010" s="318">
        <f t="array" aca="1" ref="K201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0.99064748827980409</v>
      </c>
      <c r="L2010" s="318">
        <f t="array" aca="1" ref="L201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1.0030616172056164</v>
      </c>
      <c r="M2010" s="318">
        <f t="array" aca="1" ref="M201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1.0154757461314283</v>
      </c>
      <c r="N2010" s="318">
        <f t="array" aca="1" ref="N201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1.0278898750572405</v>
      </c>
      <c r="O2010" s="318">
        <f t="array" aca="1" ref="O201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1.0403040039830527</v>
      </c>
      <c r="P2010" s="318">
        <f t="array" aca="1" ref="P201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1.0527181329088646</v>
      </c>
      <c r="Q2010" s="318">
        <f t="array" aca="1" ref="Q201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1.0651322618346766</v>
      </c>
      <c r="R2010" s="242"/>
      <c r="S2010" s="179"/>
      <c r="T2010" s="251"/>
      <c r="V2010" s="179"/>
      <c r="W2010" s="179"/>
    </row>
    <row r="2011" spans="1:23" s="65" customFormat="1" ht="15" customHeight="1" outlineLevel="2">
      <c r="A2011" s="219"/>
      <c r="B2011" s="242"/>
      <c r="C2011" s="413" t="s">
        <v>1851</v>
      </c>
      <c r="D2011" s="121" t="str">
        <f>INDEX(Regional.Technologies[Description],MATCH($B$2&amp;"."&amp;G.30.assumptions.EnergyDemandAfterEnergyEfficiencyCHP[[#This Row],[Technology code]],Regional.Technologies[Code],0))</f>
        <v>Global Coal use in the Pulp &amp; paper: Virgin technology</v>
      </c>
      <c r="E2011" s="242"/>
      <c r="F2011" s="121" t="s">
        <v>1447</v>
      </c>
      <c r="G2011" s="242" t="s">
        <v>1955</v>
      </c>
      <c r="H2011" s="242"/>
      <c r="I2011" s="318">
        <f t="array" aca="1" ref="I2011"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0.77413991162387541</v>
      </c>
      <c r="J2011" s="318">
        <f t="array" aca="1" ref="J2011"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0.78207980815335132</v>
      </c>
      <c r="K2011" s="318">
        <f t="array" aca="1" ref="K2011"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0.79200467881519554</v>
      </c>
      <c r="L2011" s="318">
        <f t="array" aca="1" ref="L2011"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0.80192954947704065</v>
      </c>
      <c r="M2011" s="318">
        <f t="array" aca="1" ref="M2011"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0.81185442013888398</v>
      </c>
      <c r="N2011" s="318">
        <f t="array" aca="1" ref="N2011"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0.82177929080072953</v>
      </c>
      <c r="O2011" s="318">
        <f t="array" aca="1" ref="O2011"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0.8317041614625742</v>
      </c>
      <c r="P2011" s="318">
        <f t="array" aca="1" ref="P2011"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0.84162903212441842</v>
      </c>
      <c r="Q2011" s="318">
        <f t="array" aca="1" ref="Q2011"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0.85155390278626353</v>
      </c>
      <c r="R2011" s="242"/>
      <c r="S2011" s="179"/>
      <c r="T2011" s="251"/>
      <c r="V2011" s="179"/>
      <c r="W2011" s="179"/>
    </row>
    <row r="2012" spans="1:23" s="65" customFormat="1" ht="15" customHeight="1" outlineLevel="2">
      <c r="A2012" s="219"/>
      <c r="B2012" s="242"/>
      <c r="C2012" s="413" t="s">
        <v>1852</v>
      </c>
      <c r="D2012" s="121" t="str">
        <f>INDEX(Regional.Technologies[Description],MATCH($B$2&amp;"."&amp;G.30.assumptions.EnergyDemandAfterEnergyEfficiencyCHP[[#This Row],[Technology code]],Regional.Technologies[Code],0))</f>
        <v>Global Oil use in the Pulp &amp; paper: Virgin technology</v>
      </c>
      <c r="E2012" s="242"/>
      <c r="F2012" s="121" t="s">
        <v>1447</v>
      </c>
      <c r="G2012" s="242" t="s">
        <v>1955</v>
      </c>
      <c r="H2012" s="242"/>
      <c r="I2012" s="318">
        <f t="array" aca="1" ref="I201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0.17969717966158166</v>
      </c>
      <c r="J2012" s="318">
        <f t="array" aca="1" ref="J201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0.1815402276581107</v>
      </c>
      <c r="K2012" s="318">
        <f t="array" aca="1" ref="K201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0.18384403765377202</v>
      </c>
      <c r="L2012" s="318">
        <f t="array" aca="1" ref="L201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0.18614784764943337</v>
      </c>
      <c r="M2012" s="318">
        <f t="array" aca="1" ref="M201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0.18845165764509464</v>
      </c>
      <c r="N2012" s="318">
        <f t="array" aca="1" ref="N201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0.19075546764075593</v>
      </c>
      <c r="O2012" s="318">
        <f t="array" aca="1" ref="O201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0.19305927763641725</v>
      </c>
      <c r="P2012" s="318">
        <f t="array" aca="1" ref="P201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0.19536308763207857</v>
      </c>
      <c r="Q2012" s="318">
        <f t="array" aca="1" ref="Q201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0.19766689762773984</v>
      </c>
      <c r="R2012" s="242"/>
      <c r="S2012" s="179"/>
      <c r="T2012" s="251"/>
      <c r="V2012" s="179"/>
      <c r="W2012" s="179"/>
    </row>
    <row r="2013" spans="1:23" s="65" customFormat="1" ht="15" customHeight="1" outlineLevel="2">
      <c r="A2013" s="219"/>
      <c r="B2013" s="242"/>
      <c r="C2013" s="413" t="s">
        <v>1853</v>
      </c>
      <c r="D2013" s="121" t="str">
        <f>INDEX(Regional.Technologies[Description],MATCH($B$2&amp;"."&amp;G.30.assumptions.EnergyDemandAfterEnergyEfficiencyCHP[[#This Row],[Technology code]],Regional.Technologies[Code],0))</f>
        <v>Global Natural Gas use in the Pulp &amp; paper: Virgin technology</v>
      </c>
      <c r="E2013" s="242"/>
      <c r="F2013" s="121" t="s">
        <v>1447</v>
      </c>
      <c r="G2013" s="242" t="s">
        <v>1955</v>
      </c>
      <c r="H2013" s="242" t="s">
        <v>2169</v>
      </c>
      <c r="I2013" s="318">
        <f ca="1">SUMIF(G.30.assumptions.EnergyDemandAfterAlternativeFuels[.],G.30.assumptions.EnergyDemandAfterEnergyEfficiencyCHP[[#This Row],[.]],INDIRECT("G.30.assumptions.EnergyDemandAfterAlternativeFuels["&amp;I$1834&amp;"]"))
-SUM(I2010:I2012,I2014:I2015)</f>
        <v>0.45387282618987923</v>
      </c>
      <c r="J2013" s="318">
        <f ca="1">SUMIF(G.30.assumptions.EnergyDemandAfterAlternativeFuels[.],G.30.assumptions.EnergyDemandAfterEnergyEfficiencyCHP[[#This Row],[.]],INDIRECT("G.30.assumptions.EnergyDemandAfterAlternativeFuels["&amp;J$1834&amp;"]"))
-SUM(J2010:J2012,J2014:J2015)</f>
        <v>0.45852793209951903</v>
      </c>
      <c r="K2013" s="318">
        <f ca="1">SUMIF(G.30.assumptions.EnergyDemandAfterAlternativeFuels[.],G.30.assumptions.EnergyDemandAfterEnergyEfficiencyCHP[[#This Row],[.]],INDIRECT("G.30.assumptions.EnergyDemandAfterAlternativeFuels["&amp;K$1834&amp;"]"))
-SUM(K2010:K2012,K2014:K2015)</f>
        <v>0.46434681448656878</v>
      </c>
      <c r="L2013" s="318">
        <f ca="1">SUMIF(G.30.assumptions.EnergyDemandAfterAlternativeFuels[.],G.30.assumptions.EnergyDemandAfterEnergyEfficiencyCHP[[#This Row],[.]],INDIRECT("G.30.assumptions.EnergyDemandAfterAlternativeFuels["&amp;L$1834&amp;"]"))
-SUM(L2010:L2012,L2014:L2015)</f>
        <v>0.47016569687361853</v>
      </c>
      <c r="M2013" s="318">
        <f ca="1">SUMIF(G.30.assumptions.EnergyDemandAfterAlternativeFuels[.],G.30.assumptions.EnergyDemandAfterEnergyEfficiencyCHP[[#This Row],[.]],INDIRECT("G.30.assumptions.EnergyDemandAfterAlternativeFuels["&amp;M$1834&amp;"]"))
-SUM(M2010:M2012,M2014:M2015)</f>
        <v>0.47598457926066828</v>
      </c>
      <c r="N2013" s="318">
        <f ca="1">SUMIF(G.30.assumptions.EnergyDemandAfterAlternativeFuels[.],G.30.assumptions.EnergyDemandAfterEnergyEfficiencyCHP[[#This Row],[.]],INDIRECT("G.30.assumptions.EnergyDemandAfterAlternativeFuels["&amp;N$1834&amp;"]"))
-SUM(N2010:N2012,N2014:N2015)</f>
        <v>0.48180346164771803</v>
      </c>
      <c r="O2013" s="318">
        <f ca="1">SUMIF(G.30.assumptions.EnergyDemandAfterAlternativeFuels[.],G.30.assumptions.EnergyDemandAfterEnergyEfficiencyCHP[[#This Row],[.]],INDIRECT("G.30.assumptions.EnergyDemandAfterAlternativeFuels["&amp;O$1834&amp;"]"))
-SUM(O2010:O2012,O2014:O2015)</f>
        <v>0.48762234403476779</v>
      </c>
      <c r="P2013" s="318">
        <f ca="1">SUMIF(G.30.assumptions.EnergyDemandAfterAlternativeFuels[.],G.30.assumptions.EnergyDemandAfterEnergyEfficiencyCHP[[#This Row],[.]],INDIRECT("G.30.assumptions.EnergyDemandAfterAlternativeFuels["&amp;P$1834&amp;"]"))
-SUM(P2010:P2012,P2014:P2015)</f>
        <v>0.49344122642181754</v>
      </c>
      <c r="Q2013" s="318">
        <f ca="1">SUMIF(G.30.assumptions.EnergyDemandAfterAlternativeFuels[.],G.30.assumptions.EnergyDemandAfterEnergyEfficiencyCHP[[#This Row],[.]],INDIRECT("G.30.assumptions.EnergyDemandAfterAlternativeFuels["&amp;Q$1834&amp;"]"))
-SUM(Q2010:Q2012,Q2014:Q2015)</f>
        <v>0.49926010880886684</v>
      </c>
      <c r="R2013" s="242"/>
      <c r="S2013" s="179"/>
      <c r="T2013" s="251"/>
      <c r="V2013" s="179"/>
      <c r="W2013" s="179"/>
    </row>
    <row r="2014" spans="1:23" s="65" customFormat="1" ht="15" customHeight="1" outlineLevel="2">
      <c r="A2014" s="219"/>
      <c r="B2014" s="242"/>
      <c r="C2014" s="413" t="s">
        <v>1854</v>
      </c>
      <c r="D2014" s="121" t="str">
        <f>INDEX(Regional.Technologies[Description],MATCH($B$2&amp;"."&amp;G.30.assumptions.EnergyDemandAfterEnergyEfficiencyCHP[[#This Row],[Technology code]],Regional.Technologies[Code],0))</f>
        <v>Global Solid Hydrocarbons use in the Pulp &amp; paper: Virgin technology</v>
      </c>
      <c r="E2014" s="242"/>
      <c r="F2014" s="121" t="s">
        <v>1447</v>
      </c>
      <c r="G2014" s="242" t="s">
        <v>1955</v>
      </c>
      <c r="H2014" s="242"/>
      <c r="I2014" s="318">
        <f t="array" aca="1" ref="I201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0.68393967671459854</v>
      </c>
      <c r="J2014" s="318">
        <f t="array" aca="1" ref="J201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0.69095444262962002</v>
      </c>
      <c r="K2014" s="318">
        <f t="array" aca="1" ref="K201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0.69972290002339688</v>
      </c>
      <c r="L2014" s="318">
        <f t="array" aca="1" ref="L201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0.70849135741717395</v>
      </c>
      <c r="M2014" s="318">
        <f t="array" aca="1" ref="M201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0.7172598148109508</v>
      </c>
      <c r="N2014" s="318">
        <f t="array" aca="1" ref="N201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0.72602827220472765</v>
      </c>
      <c r="O2014" s="318">
        <f t="array" aca="1" ref="O201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0.73479672959850462</v>
      </c>
      <c r="P2014" s="318">
        <f t="array" aca="1" ref="P201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0.74356518699228158</v>
      </c>
      <c r="Q2014" s="318">
        <f t="array" aca="1" ref="Q201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0.75233364438605832</v>
      </c>
      <c r="R2014" s="242"/>
      <c r="S2014" s="179"/>
      <c r="T2014" s="251"/>
      <c r="V2014" s="179"/>
      <c r="W2014" s="179"/>
    </row>
    <row r="2015" spans="1:23" s="65" customFormat="1" ht="15" customHeight="1" outlineLevel="2">
      <c r="A2015" s="219"/>
      <c r="B2015" s="242"/>
      <c r="C2015" s="413" t="s">
        <v>1855</v>
      </c>
      <c r="D2015" s="121" t="str">
        <f>INDEX(Regional.Technologies[Description],MATCH($B$2&amp;"."&amp;G.30.assumptions.EnergyDemandAfterEnergyEfficiencyCHP[[#This Row],[Technology code]],Regional.Technologies[Code],0))</f>
        <v>Global Heat use in the Pulp &amp; paper: Virgin technology</v>
      </c>
      <c r="E2015" s="242"/>
      <c r="F2015" s="121" t="s">
        <v>1447</v>
      </c>
      <c r="G2015" s="242" t="s">
        <v>1955</v>
      </c>
      <c r="H2015" s="242"/>
      <c r="I2015" s="318">
        <f t="array" aca="1" ref="I2015"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2015" s="318">
        <f t="array" aca="1" ref="J2015"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2015" s="318">
        <f t="array" aca="1" ref="K2015"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2015" s="318">
        <f t="array" aca="1" ref="L2015"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2015" s="318">
        <f t="array" aca="1" ref="M2015"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2015" s="318">
        <f t="array" aca="1" ref="N2015"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2015" s="318">
        <f t="array" aca="1" ref="O2015"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2015" s="318">
        <f t="array" aca="1" ref="P2015"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2015" s="318">
        <f t="array" aca="1" ref="Q2015"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2015" s="242"/>
      <c r="S2015" s="179"/>
      <c r="T2015" s="251"/>
      <c r="V2015" s="179"/>
      <c r="W2015" s="179"/>
    </row>
    <row r="2016" spans="1:23" s="65" customFormat="1" ht="15" customHeight="1" outlineLevel="2">
      <c r="A2016" s="219"/>
      <c r="B2016" s="242"/>
      <c r="C2016" s="413" t="s">
        <v>1632</v>
      </c>
      <c r="D2016" s="121" t="str">
        <f>INDEX(Regional.Technologies[Description],MATCH($B$2&amp;"."&amp;G.30.assumptions.EnergyDemandAfterEnergyEfficiencyCHP[[#This Row],[Technology code]],Regional.Technologies[Code],0))</f>
        <v>Global Electricity use in the Pulp &amp; paper: Recycled technology</v>
      </c>
      <c r="E2016" s="242"/>
      <c r="F2016" s="121" t="s">
        <v>1447</v>
      </c>
      <c r="G2016" s="242" t="s">
        <v>1956</v>
      </c>
      <c r="H2016" s="242"/>
      <c r="I2016" s="318">
        <f t="array" aca="1" ref="I201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0.22638860872541189</v>
      </c>
      <c r="J2016" s="318">
        <f t="array" aca="1" ref="J201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0.22871054317387765</v>
      </c>
      <c r="K2016" s="318">
        <f t="array" aca="1" ref="K201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0.23161296123445987</v>
      </c>
      <c r="L2016" s="318">
        <f t="array" aca="1" ref="L201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0.2345153792950421</v>
      </c>
      <c r="M2016" s="318">
        <f t="array" aca="1" ref="M201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0.23741779735562429</v>
      </c>
      <c r="N2016" s="318">
        <f t="array" aca="1" ref="N201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0.24032021541620649</v>
      </c>
      <c r="O2016" s="318">
        <f t="array" aca="1" ref="O201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0.24322263347678871</v>
      </c>
      <c r="P2016" s="318">
        <f t="array" aca="1" ref="P201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0.24612505153737091</v>
      </c>
      <c r="Q2016" s="318">
        <f t="array" aca="1" ref="Q201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0.24902746959795308</v>
      </c>
      <c r="R2016" s="242"/>
      <c r="S2016" s="179"/>
      <c r="T2016" s="251"/>
      <c r="V2016" s="179"/>
      <c r="W2016" s="179"/>
    </row>
    <row r="2017" spans="1:23" s="65" customFormat="1" ht="15" customHeight="1" outlineLevel="2">
      <c r="A2017" s="219"/>
      <c r="B2017" s="242"/>
      <c r="C2017" s="413" t="s">
        <v>1856</v>
      </c>
      <c r="D2017" s="121" t="str">
        <f>INDEX(Regional.Technologies[Description],MATCH($B$2&amp;"."&amp;G.30.assumptions.EnergyDemandAfterEnergyEfficiencyCHP[[#This Row],[Technology code]],Regional.Technologies[Code],0))</f>
        <v>Global Coal use in the Pulp &amp; paper: Recycled technology</v>
      </c>
      <c r="E2017" s="242"/>
      <c r="F2017" s="121" t="s">
        <v>1447</v>
      </c>
      <c r="G2017" s="242" t="s">
        <v>1956</v>
      </c>
      <c r="H2017" s="242"/>
      <c r="I2017" s="318">
        <f t="array" aca="1" ref="I2017"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0.14639565534575039</v>
      </c>
      <c r="J2017" s="318">
        <f t="array" aca="1" ref="J2017"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0.14789714924673242</v>
      </c>
      <c r="K2017" s="318">
        <f t="array" aca="1" ref="K2017"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0.14977401662295986</v>
      </c>
      <c r="L2017" s="318">
        <f t="array" aca="1" ref="L2017"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0.15165088399918747</v>
      </c>
      <c r="M2017" s="318">
        <f t="array" aca="1" ref="M2017"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0.15352775137541508</v>
      </c>
      <c r="N2017" s="318">
        <f t="array" aca="1" ref="N2017"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0.15540461875164274</v>
      </c>
      <c r="O2017" s="318">
        <f t="array" aca="1" ref="O2017"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0.15728148612787024</v>
      </c>
      <c r="P2017" s="318">
        <f t="array" aca="1" ref="P2017"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0.15915835350409779</v>
      </c>
      <c r="Q2017" s="318">
        <f t="array" aca="1" ref="Q2017"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0.16103522088032529</v>
      </c>
      <c r="R2017" s="242"/>
      <c r="S2017" s="179"/>
      <c r="T2017" s="251"/>
      <c r="V2017" s="179"/>
      <c r="W2017" s="179"/>
    </row>
    <row r="2018" spans="1:23" s="65" customFormat="1" ht="15" customHeight="1" outlineLevel="2">
      <c r="A2018" s="219"/>
      <c r="B2018" s="242"/>
      <c r="C2018" s="413" t="s">
        <v>1857</v>
      </c>
      <c r="D2018" s="121" t="str">
        <f>INDEX(Regional.Technologies[Description],MATCH($B$2&amp;"."&amp;G.30.assumptions.EnergyDemandAfterEnergyEfficiencyCHP[[#This Row],[Technology code]],Regional.Technologies[Code],0))</f>
        <v>Global Oil use in the Pulp &amp; paper: Recycled technology</v>
      </c>
      <c r="E2018" s="242"/>
      <c r="F2018" s="121" t="s">
        <v>1447</v>
      </c>
      <c r="G2018" s="242" t="s">
        <v>1956</v>
      </c>
      <c r="H2018" s="242"/>
      <c r="I2018" s="318">
        <f t="array" aca="1" ref="I201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3.8700157409069846E-2</v>
      </c>
      <c r="J2018" s="318">
        <f t="array" aca="1" ref="J201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3.9097082100444921E-2</v>
      </c>
      <c r="K2018" s="318">
        <f t="array" aca="1" ref="K201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3.9593237964663769E-2</v>
      </c>
      <c r="L2018" s="318">
        <f t="array" aca="1" ref="L201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4.0089393828882623E-2</v>
      </c>
      <c r="M2018" s="318">
        <f t="array" aca="1" ref="M201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4.0585549693101464E-2</v>
      </c>
      <c r="N2018" s="318">
        <f t="array" aca="1" ref="N201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4.1081705557320304E-2</v>
      </c>
      <c r="O2018" s="318">
        <f t="array" aca="1" ref="O201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4.1577861421539151E-2</v>
      </c>
      <c r="P2018" s="318">
        <f t="array" aca="1" ref="P201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4.2074017285757999E-2</v>
      </c>
      <c r="Q2018" s="318">
        <f t="array" aca="1" ref="Q201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4.2570173149976832E-2</v>
      </c>
      <c r="R2018" s="242"/>
      <c r="S2018" s="179"/>
      <c r="T2018" s="251"/>
      <c r="V2018" s="179"/>
      <c r="W2018" s="179"/>
    </row>
    <row r="2019" spans="1:23" s="65" customFormat="1" ht="15" customHeight="1" outlineLevel="2">
      <c r="A2019" s="219"/>
      <c r="B2019" s="242"/>
      <c r="C2019" s="413" t="s">
        <v>1858</v>
      </c>
      <c r="D2019" s="121" t="str">
        <f>INDEX(Regional.Technologies[Description],MATCH($B$2&amp;"."&amp;G.30.assumptions.EnergyDemandAfterEnergyEfficiencyCHP[[#This Row],[Technology code]],Regional.Technologies[Code],0))</f>
        <v>Global Natural Gas use in the Pulp &amp; paper: Recycled technology</v>
      </c>
      <c r="E2019" s="242"/>
      <c r="F2019" s="121" t="s">
        <v>1447</v>
      </c>
      <c r="G2019" s="242" t="s">
        <v>1956</v>
      </c>
      <c r="H2019" s="242" t="s">
        <v>2169</v>
      </c>
      <c r="I2019" s="318">
        <f ca="1">SUMIF(G.30.assumptions.EnergyDemandAfterAlternativeFuels[.],G.30.assumptions.EnergyDemandAfterEnergyEfficiencyCHP[[#This Row],[.]],INDIRECT("G.30.assumptions.EnergyDemandAfterAlternativeFuels["&amp;I$1834&amp;"]"))
-SUM(I2016:I2018,I2020:I2021)</f>
        <v>0.11936470129372101</v>
      </c>
      <c r="J2019" s="318">
        <f ca="1">SUMIF(G.30.assumptions.EnergyDemandAfterAlternativeFuels[.],G.30.assumptions.EnergyDemandAfterEnergyEfficiencyCHP[[#This Row],[.]],INDIRECT("G.30.assumptions.EnergyDemandAfterAlternativeFuels["&amp;J$1834&amp;"]"))
-SUM(J2016:J2018,J2020:J2021)</f>
        <v>0.12058895464032326</v>
      </c>
      <c r="K2019" s="318">
        <f ca="1">SUMIF(G.30.assumptions.EnergyDemandAfterAlternativeFuels[.],G.30.assumptions.EnergyDemandAfterEnergyEfficiencyCHP[[#This Row],[.]],INDIRECT("G.30.assumptions.EnergyDemandAfterAlternativeFuels["&amp;K$1834&amp;"]"))
-SUM(K2016:K2018,K2020:K2021)</f>
        <v>0.12211927132357614</v>
      </c>
      <c r="L2019" s="318">
        <f ca="1">SUMIF(G.30.assumptions.EnergyDemandAfterAlternativeFuels[.],G.30.assumptions.EnergyDemandAfterEnergyEfficiencyCHP[[#This Row],[.]],INDIRECT("G.30.assumptions.EnergyDemandAfterAlternativeFuels["&amp;L$1834&amp;"]"))
-SUM(L2016:L2018,L2020:L2021)</f>
        <v>0.12364958800682907</v>
      </c>
      <c r="M2019" s="318">
        <f ca="1">SUMIF(G.30.assumptions.EnergyDemandAfterAlternativeFuels[.],G.30.assumptions.EnergyDemandAfterEnergyEfficiencyCHP[[#This Row],[.]],INDIRECT("G.30.assumptions.EnergyDemandAfterAlternativeFuels["&amp;M$1834&amp;"]"))
-SUM(M2016:M2018,M2020:M2021)</f>
        <v>0.12517990469008189</v>
      </c>
      <c r="N2019" s="318">
        <f ca="1">SUMIF(G.30.assumptions.EnergyDemandAfterAlternativeFuels[.],G.30.assumptions.EnergyDemandAfterEnergyEfficiencyCHP[[#This Row],[.]],INDIRECT("G.30.assumptions.EnergyDemandAfterAlternativeFuels["&amp;N$1834&amp;"]"))
-SUM(N2016:N2018,N2020:N2021)</f>
        <v>0.12671022137333471</v>
      </c>
      <c r="O2019" s="318">
        <f ca="1">SUMIF(G.30.assumptions.EnergyDemandAfterAlternativeFuels[.],G.30.assumptions.EnergyDemandAfterEnergyEfficiencyCHP[[#This Row],[.]],INDIRECT("G.30.assumptions.EnergyDemandAfterAlternativeFuels["&amp;O$1834&amp;"]"))
-SUM(O2016:O2018,O2020:O2021)</f>
        <v>0.12824053805658758</v>
      </c>
      <c r="P2019" s="318">
        <f ca="1">SUMIF(G.30.assumptions.EnergyDemandAfterAlternativeFuels[.],G.30.assumptions.EnergyDemandAfterEnergyEfficiencyCHP[[#This Row],[.]],INDIRECT("G.30.assumptions.EnergyDemandAfterAlternativeFuels["&amp;P$1834&amp;"]"))
-SUM(P2016:P2018,P2020:P2021)</f>
        <v>0.12977085473984035</v>
      </c>
      <c r="Q2019" s="318">
        <f ca="1">SUMIF(G.30.assumptions.EnergyDemandAfterAlternativeFuels[.],G.30.assumptions.EnergyDemandAfterEnergyEfficiencyCHP[[#This Row],[.]],INDIRECT("G.30.assumptions.EnergyDemandAfterAlternativeFuels["&amp;Q$1834&amp;"]"))
-SUM(Q2016:Q2018,Q2020:Q2021)</f>
        <v>0.13130117142309322</v>
      </c>
      <c r="R2019" s="242"/>
      <c r="S2019" s="179"/>
      <c r="T2019" s="251"/>
      <c r="V2019" s="179"/>
      <c r="W2019" s="179"/>
    </row>
    <row r="2020" spans="1:23" s="65" customFormat="1" ht="15" customHeight="1" outlineLevel="2">
      <c r="A2020" s="219"/>
      <c r="B2020" s="242"/>
      <c r="C2020" s="413" t="s">
        <v>1859</v>
      </c>
      <c r="D2020" s="121" t="str">
        <f>INDEX(Regional.Technologies[Description],MATCH($B$2&amp;"."&amp;G.30.assumptions.EnergyDemandAfterEnergyEfficiencyCHP[[#This Row],[Technology code]],Regional.Technologies[Code],0))</f>
        <v>Global Solid Hydrocarbons use in the Pulp &amp; paper: Recycled technology</v>
      </c>
      <c r="E2020" s="242"/>
      <c r="F2020" s="121" t="s">
        <v>1447</v>
      </c>
      <c r="G2020" s="242" t="s">
        <v>1956</v>
      </c>
      <c r="H2020" s="242"/>
      <c r="I2020" s="318">
        <f t="array" aca="1" ref="I202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2020" s="318">
        <f t="array" aca="1" ref="J202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2020" s="318">
        <f t="array" aca="1" ref="K202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2020" s="318">
        <f t="array" aca="1" ref="L202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2020" s="318">
        <f t="array" aca="1" ref="M202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2020" s="318">
        <f t="array" aca="1" ref="N202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2020" s="318">
        <f t="array" aca="1" ref="O202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2020" s="318">
        <f t="array" aca="1" ref="P202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2020" s="318">
        <f t="array" aca="1" ref="Q202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2020" s="242"/>
      <c r="S2020" s="179"/>
      <c r="T2020" s="251"/>
      <c r="V2020" s="179"/>
      <c r="W2020" s="179"/>
    </row>
    <row r="2021" spans="1:23" s="65" customFormat="1" ht="15" customHeight="1" outlineLevel="2">
      <c r="A2021" s="219"/>
      <c r="B2021" s="242"/>
      <c r="C2021" s="413" t="s">
        <v>1860</v>
      </c>
      <c r="D2021" s="121" t="str">
        <f>INDEX(Regional.Technologies[Description],MATCH($B$2&amp;"."&amp;G.30.assumptions.EnergyDemandAfterEnergyEfficiencyCHP[[#This Row],[Technology code]],Regional.Technologies[Code],0))</f>
        <v>Global Heat use in the Pulp &amp; paper: Recycled technology</v>
      </c>
      <c r="E2021" s="242"/>
      <c r="F2021" s="121" t="s">
        <v>1447</v>
      </c>
      <c r="G2021" s="242" t="s">
        <v>1956</v>
      </c>
      <c r="H2021" s="242"/>
      <c r="I2021" s="318">
        <f t="array" aca="1" ref="I2021"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2021" s="318">
        <f t="array" aca="1" ref="J2021"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2021" s="318">
        <f t="array" aca="1" ref="K2021"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2021" s="318">
        <f t="array" aca="1" ref="L2021"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2021" s="318">
        <f t="array" aca="1" ref="M2021"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2021" s="318">
        <f t="array" aca="1" ref="N2021"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2021" s="318">
        <f t="array" aca="1" ref="O2021"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2021" s="318">
        <f t="array" aca="1" ref="P2021"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2021" s="318">
        <f t="array" aca="1" ref="Q2021"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2021" s="242"/>
      <c r="S2021" s="179"/>
      <c r="T2021" s="251"/>
      <c r="V2021" s="179"/>
      <c r="W2021" s="179"/>
    </row>
    <row r="2022" spans="1:23" s="65" customFormat="1" ht="15" customHeight="1" outlineLevel="2">
      <c r="A2022" s="219"/>
      <c r="B2022" s="242"/>
      <c r="C2022" s="413" t="s">
        <v>1633</v>
      </c>
      <c r="D2022" s="121" t="str">
        <f>INDEX(Regional.Technologies[Description],MATCH($B$2&amp;"."&amp;G.30.assumptions.EnergyDemandAfterEnergyEfficiencyCHP[[#This Row],[Technology code]],Regional.Technologies[Code],0))</f>
        <v>Global Electricity use in the Cement technology</v>
      </c>
      <c r="E2022" s="242"/>
      <c r="F2022" s="121" t="s">
        <v>1426</v>
      </c>
      <c r="G2022" s="242" t="s">
        <v>1426</v>
      </c>
      <c r="H2022" s="242"/>
      <c r="I2022" s="318">
        <f t="array" aca="1" ref="I202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1.2878995795200781</v>
      </c>
      <c r="J2022" s="318">
        <f t="array" aca="1" ref="J202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1.247729983167394</v>
      </c>
      <c r="K2022" s="318">
        <f t="array" aca="1" ref="K202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1.1959938462123139</v>
      </c>
      <c r="L2022" s="318">
        <f t="array" aca="1" ref="L202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1.1425642186858731</v>
      </c>
      <c r="M2022" s="318">
        <f t="array" aca="1" ref="M202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1.0874411005880709</v>
      </c>
      <c r="N2022" s="318">
        <f t="array" aca="1" ref="N202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1.0306244919189076</v>
      </c>
      <c r="O2022" s="318">
        <f t="array" aca="1" ref="O202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0.97211439267838329</v>
      </c>
      <c r="P2022" s="318">
        <f t="array" aca="1" ref="P202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0.91191080286649806</v>
      </c>
      <c r="Q2022" s="318">
        <f t="array" aca="1" ref="Q202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0.85001372248325158</v>
      </c>
      <c r="R2022" s="242"/>
      <c r="S2022" s="179"/>
      <c r="T2022" s="251"/>
      <c r="V2022" s="179"/>
      <c r="W2022" s="179"/>
    </row>
    <row r="2023" spans="1:23" s="65" customFormat="1" ht="15" customHeight="1" outlineLevel="2">
      <c r="A2023" s="219"/>
      <c r="B2023" s="242"/>
      <c r="C2023" s="413" t="s">
        <v>1861</v>
      </c>
      <c r="D2023" s="121" t="str">
        <f>INDEX(Regional.Technologies[Description],MATCH($B$2&amp;"."&amp;G.30.assumptions.EnergyDemandAfterEnergyEfficiencyCHP[[#This Row],[Technology code]],Regional.Technologies[Code],0))</f>
        <v>Global Coal use in the Cement technology</v>
      </c>
      <c r="E2023" s="242"/>
      <c r="F2023" s="121" t="s">
        <v>1426</v>
      </c>
      <c r="G2023" s="242" t="s">
        <v>1426</v>
      </c>
      <c r="H2023" s="242"/>
      <c r="I2023" s="318">
        <f t="array" aca="1" ref="I2023"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6.8409905230434269</v>
      </c>
      <c r="J2023" s="318">
        <f t="array" aca="1" ref="J2023"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6.6276199836527798</v>
      </c>
      <c r="K2023" s="318">
        <f t="array" aca="1" ref="K2023"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6.3528109626416303</v>
      </c>
      <c r="L2023" s="318">
        <f t="array" aca="1" ref="L2023"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6.0690065563273379</v>
      </c>
      <c r="M2023" s="318">
        <f t="array" aca="1" ref="M2023"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5.7762067647098974</v>
      </c>
      <c r="N2023" s="318">
        <f t="array" aca="1" ref="N2023"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5.4744115877893105</v>
      </c>
      <c r="O2023" s="318">
        <f t="array" aca="1" ref="O2023"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5.1636210255655746</v>
      </c>
      <c r="P2023" s="318">
        <f t="array" aca="1" ref="P2023"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4.8438350780386941</v>
      </c>
      <c r="Q2023" s="318">
        <f t="array" aca="1" ref="Q2023"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4.5150537452086619</v>
      </c>
      <c r="R2023" s="242"/>
      <c r="S2023" s="179"/>
      <c r="T2023" s="251"/>
      <c r="V2023" s="179"/>
      <c r="W2023" s="179"/>
    </row>
    <row r="2024" spans="1:23" s="65" customFormat="1" ht="15" customHeight="1" outlineLevel="2">
      <c r="A2024" s="219"/>
      <c r="B2024" s="242"/>
      <c r="C2024" s="413" t="s">
        <v>1862</v>
      </c>
      <c r="D2024" s="121" t="str">
        <f>INDEX(Regional.Technologies[Description],MATCH($B$2&amp;"."&amp;G.30.assumptions.EnergyDemandAfterEnergyEfficiencyCHP[[#This Row],[Technology code]],Regional.Technologies[Code],0))</f>
        <v>Global Oil use in the Cement technology</v>
      </c>
      <c r="E2024" s="242"/>
      <c r="F2024" s="121" t="s">
        <v>1426</v>
      </c>
      <c r="G2024" s="242" t="s">
        <v>1426</v>
      </c>
      <c r="H2024" s="242"/>
      <c r="I2024" s="318">
        <f t="array" aca="1" ref="I2024"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1.1283944201925584</v>
      </c>
      <c r="J2024" s="318">
        <f t="array" aca="1" ref="J2024"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1.0931997908079858</v>
      </c>
      <c r="K2024" s="318">
        <f t="array" aca="1" ref="K2024"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1.0478711260652078</v>
      </c>
      <c r="L2024" s="318">
        <f t="array" aca="1" ref="L2024"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1.0010587079756941</v>
      </c>
      <c r="M2024" s="318">
        <f t="array" aca="1" ref="M2024"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0.95276253653944454</v>
      </c>
      <c r="N2024" s="318">
        <f t="array" aca="1" ref="N2024"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0.90298261175645922</v>
      </c>
      <c r="O2024" s="318">
        <f t="array" aca="1" ref="O2024"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0.85171893362673812</v>
      </c>
      <c r="P2024" s="318">
        <f t="array" aca="1" ref="P2024"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0.79897150215028134</v>
      </c>
      <c r="Q2024" s="318">
        <f t="array" aca="1" ref="Q2024"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0.74474031732708856</v>
      </c>
      <c r="R2024" s="242"/>
      <c r="S2024" s="179"/>
      <c r="T2024" s="251"/>
      <c r="V2024" s="179"/>
      <c r="W2024" s="179"/>
    </row>
    <row r="2025" spans="1:23" s="65" customFormat="1" ht="15" customHeight="1" outlineLevel="2">
      <c r="A2025" s="219"/>
      <c r="B2025" s="242"/>
      <c r="C2025" s="413" t="s">
        <v>1863</v>
      </c>
      <c r="D2025" s="121" t="str">
        <f>INDEX(Regional.Technologies[Description],MATCH($B$2&amp;"."&amp;G.30.assumptions.EnergyDemandAfterEnergyEfficiencyCHP[[#This Row],[Technology code]],Regional.Technologies[Code],0))</f>
        <v>Global Natural Gas use in the Cement technology</v>
      </c>
      <c r="E2025" s="242"/>
      <c r="F2025" s="121" t="s">
        <v>1426</v>
      </c>
      <c r="G2025" s="242" t="s">
        <v>1426</v>
      </c>
      <c r="H2025" s="242" t="s">
        <v>2169</v>
      </c>
      <c r="I2025" s="318">
        <f ca="1">SUMIF(G.30.assumptions.EnergyDemandAfterAlternativeFuels[.],G.30.assumptions.EnergyDemandAfterEnergyEfficiencyCHP[[#This Row],[.]],INDIRECT("G.30.assumptions.EnergyDemandAfterAlternativeFuels["&amp;I$1834&amp;"]"))
-SUM(I2022:I2024,I2026:I2027)</f>
        <v>0.82844526016904574</v>
      </c>
      <c r="J2025" s="318">
        <f ca="1">SUMIF(G.30.assumptions.EnergyDemandAfterAlternativeFuels[.],G.30.assumptions.EnergyDemandAfterEnergyEfficiencyCHP[[#This Row],[.]],INDIRECT("G.30.assumptions.EnergyDemandAfterAlternativeFuels["&amp;J$1834&amp;"]"))
-SUM(J2022:J2024,J2026:J2027)</f>
        <v>0.80260604705765992</v>
      </c>
      <c r="K2025" s="318">
        <f ca="1">SUMIF(G.30.assumptions.EnergyDemandAfterAlternativeFuels[.],G.30.assumptions.EnergyDemandAfterEnergyEfficiencyCHP[[#This Row],[.]],INDIRECT("G.30.assumptions.EnergyDemandAfterAlternativeFuels["&amp;K$1834&amp;"]"))
-SUM(K2022:K2024,K2026:K2027)</f>
        <v>0.76932662207650893</v>
      </c>
      <c r="L2025" s="318">
        <f ca="1">SUMIF(G.30.assumptions.EnergyDemandAfterAlternativeFuels[.],G.30.assumptions.EnergyDemandAfterEnergyEfficiencyCHP[[#This Row],[.]],INDIRECT("G.30.assumptions.EnergyDemandAfterAlternativeFuels["&amp;L$1834&amp;"]"))
-SUM(L2022:L2024,L2026:L2027)</f>
        <v>0.73495785421545357</v>
      </c>
      <c r="M2025" s="318">
        <f ca="1">SUMIF(G.30.assumptions.EnergyDemandAfterAlternativeFuels[.],G.30.assumptions.EnergyDemandAfterEnergyEfficiencyCHP[[#This Row],[.]],INDIRECT("G.30.assumptions.EnergyDemandAfterAlternativeFuels["&amp;M$1834&amp;"]"))
-SUM(M2022:M2024,M2026:M2027)</f>
        <v>0.69949974347449029</v>
      </c>
      <c r="N2025" s="318">
        <f ca="1">SUMIF(G.30.assumptions.EnergyDemandAfterAlternativeFuels[.],G.30.assumptions.EnergyDemandAfterEnergyEfficiencyCHP[[#This Row],[.]],INDIRECT("G.30.assumptions.EnergyDemandAfterAlternativeFuels["&amp;N$1834&amp;"]"))
-SUM(N2022:N2024,N2026:N2027)</f>
        <v>0.66295228985362176</v>
      </c>
      <c r="O2025" s="318">
        <f ca="1">SUMIF(G.30.assumptions.EnergyDemandAfterAlternativeFuels[.],G.30.assumptions.EnergyDemandAfterEnergyEfficiencyCHP[[#This Row],[.]],INDIRECT("G.30.assumptions.EnergyDemandAfterAlternativeFuels["&amp;O$1834&amp;"]"))
-SUM(O2022:O2024,O2026:O2027)</f>
        <v>0.62531549335284353</v>
      </c>
      <c r="P2025" s="318">
        <f ca="1">SUMIF(G.30.assumptions.EnergyDemandAfterAlternativeFuels[.],G.30.assumptions.EnergyDemandAfterEnergyEfficiencyCHP[[#This Row],[.]],INDIRECT("G.30.assumptions.EnergyDemandAfterAlternativeFuels["&amp;P$1834&amp;"]"))
-SUM(P2022:P2024,P2026:P2027)</f>
        <v>0.58658935397216094</v>
      </c>
      <c r="Q2025" s="318">
        <f ca="1">SUMIF(G.30.assumptions.EnergyDemandAfterAlternativeFuels[.],G.30.assumptions.EnergyDemandAfterEnergyEfficiencyCHP[[#This Row],[.]],INDIRECT("G.30.assumptions.EnergyDemandAfterAlternativeFuels["&amp;Q$1834&amp;"]"))
-SUM(Q2022:Q2024,Q2026:Q2027)</f>
        <v>0.54677387171157044</v>
      </c>
      <c r="R2025" s="242"/>
      <c r="S2025" s="179"/>
      <c r="T2025" s="251"/>
      <c r="V2025" s="179"/>
      <c r="W2025" s="179"/>
    </row>
    <row r="2026" spans="1:23" s="65" customFormat="1" ht="15" customHeight="1" outlineLevel="2">
      <c r="A2026" s="219"/>
      <c r="B2026" s="242"/>
      <c r="C2026" s="413" t="s">
        <v>1864</v>
      </c>
      <c r="D2026" s="121" t="str">
        <f>INDEX(Regional.Technologies[Description],MATCH($B$2&amp;"."&amp;G.30.assumptions.EnergyDemandAfterEnergyEfficiencyCHP[[#This Row],[Technology code]],Regional.Technologies[Code],0))</f>
        <v>Global Solid Hydrocarbons use in the Cement technology</v>
      </c>
      <c r="E2026" s="242"/>
      <c r="F2026" s="121" t="s">
        <v>1426</v>
      </c>
      <c r="G2026" s="242" t="s">
        <v>1426</v>
      </c>
      <c r="H2026" s="242"/>
      <c r="I2026" s="318">
        <f t="array" aca="1" ref="I2026"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0.49199351442122363</v>
      </c>
      <c r="J2026" s="318">
        <f t="array" aca="1" ref="J2026"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0.47664823347175428</v>
      </c>
      <c r="K2026" s="318">
        <f t="array" aca="1" ref="K2026"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0.4568843914394487</v>
      </c>
      <c r="L2026" s="318">
        <f t="array" aca="1" ref="L2026"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0.43647361513440003</v>
      </c>
      <c r="M2026" s="318">
        <f t="array" aca="1" ref="M2026"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0.41541590455660798</v>
      </c>
      <c r="N2026" s="318">
        <f t="array" aca="1" ref="N2026"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0.39371125970607268</v>
      </c>
      <c r="O2026" s="318">
        <f t="array" aca="1" ref="O2026"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0.37135968058279423</v>
      </c>
      <c r="P2026" s="318">
        <f t="array" aca="1" ref="P2026"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0.34836116718677257</v>
      </c>
      <c r="Q2026" s="318">
        <f t="array" aca="1" ref="Q2026"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0.3247157195180076</v>
      </c>
      <c r="R2026" s="242"/>
      <c r="S2026" s="179"/>
      <c r="T2026" s="251"/>
      <c r="V2026" s="179"/>
      <c r="W2026" s="179"/>
    </row>
    <row r="2027" spans="1:23" s="65" customFormat="1" ht="15" customHeight="1" outlineLevel="2">
      <c r="A2027" s="219"/>
      <c r="B2027" s="242"/>
      <c r="C2027" s="413" t="s">
        <v>1638</v>
      </c>
      <c r="D2027" s="121" t="str">
        <f>INDEX(Regional.Technologies[Description],MATCH($B$2&amp;"."&amp;G.30.assumptions.EnergyDemandAfterEnergyEfficiencyCHP[[#This Row],[Technology code]],Regional.Technologies[Code],0))</f>
        <v>Global Heat use in the Cement technology</v>
      </c>
      <c r="E2027" s="242"/>
      <c r="F2027" s="121" t="s">
        <v>1426</v>
      </c>
      <c r="G2027" s="242" t="s">
        <v>1426</v>
      </c>
      <c r="H2027" s="242"/>
      <c r="I2027" s="318">
        <f t="array" aca="1" ref="I2027"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0</v>
      </c>
      <c r="J2027" s="318">
        <f t="array" aca="1" ref="J2027"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0</v>
      </c>
      <c r="K2027" s="318">
        <f t="array" aca="1" ref="K2027"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0</v>
      </c>
      <c r="L2027" s="318">
        <f t="array" aca="1" ref="L2027"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0</v>
      </c>
      <c r="M2027" s="318">
        <f t="array" aca="1" ref="M2027"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0</v>
      </c>
      <c r="N2027" s="318">
        <f t="array" aca="1" ref="N2027"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0</v>
      </c>
      <c r="O2027" s="318">
        <f t="array" aca="1" ref="O2027"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0</v>
      </c>
      <c r="P2027" s="318">
        <f t="array" aca="1" ref="P2027"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0</v>
      </c>
      <c r="Q2027" s="318">
        <f t="array" aca="1" ref="Q2027"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0</v>
      </c>
      <c r="R2027" s="242"/>
      <c r="S2027" s="179"/>
      <c r="T2027" s="251"/>
      <c r="V2027" s="179"/>
      <c r="W2027" s="179"/>
    </row>
    <row r="2028" spans="1:23" s="65" customFormat="1" ht="15" customHeight="1" outlineLevel="2">
      <c r="A2028" s="219"/>
      <c r="B2028" s="242"/>
      <c r="C2028" s="413" t="s">
        <v>1634</v>
      </c>
      <c r="D2028" s="121" t="str">
        <f>INDEX(Regional.Technologies[Description],MATCH($B$2&amp;"."&amp;G.30.assumptions.EnergyDemandAfterEnergyEfficiencyCHP[[#This Row],[Technology code]],Regional.Technologies[Code],0))</f>
        <v>Global Electricity use in the Other industries technology</v>
      </c>
      <c r="E2028" s="242"/>
      <c r="F2028" s="121" t="s">
        <v>1457</v>
      </c>
      <c r="G2028" s="242" t="s">
        <v>1457</v>
      </c>
      <c r="H2028" s="242"/>
      <c r="I2028" s="318">
        <f t="array" aca="1" ref="I2028"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14.492680358828368</v>
      </c>
      <c r="J2028" s="318">
        <f t="array" aca="1" ref="J2028"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14.325355429541551</v>
      </c>
      <c r="K2028" s="318">
        <f t="array" aca="1" ref="K2028"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14.107177344573708</v>
      </c>
      <c r="L2028" s="318">
        <f t="array" aca="1" ref="L2028"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13.878974900317736</v>
      </c>
      <c r="M2028" s="318">
        <f t="array" aca="1" ref="M2028"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13.640748096773628</v>
      </c>
      <c r="N2028" s="318">
        <f t="array" aca="1" ref="N2028"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13.392496933941382</v>
      </c>
      <c r="O2028" s="318">
        <f t="array" aca="1" ref="O2028"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13.134221411821009</v>
      </c>
      <c r="P2028" s="318">
        <f t="array" aca="1" ref="P2028"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12.865921530412498</v>
      </c>
      <c r="Q2028" s="318">
        <f t="array" aca="1" ref="Q2028"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12.587597289715852</v>
      </c>
      <c r="R2028" s="242"/>
      <c r="S2028" s="179"/>
      <c r="T2028" s="251"/>
      <c r="V2028" s="179"/>
      <c r="W2028" s="179"/>
    </row>
    <row r="2029" spans="1:23" s="65" customFormat="1" ht="15" customHeight="1" outlineLevel="2">
      <c r="A2029" s="219"/>
      <c r="B2029" s="242"/>
      <c r="C2029" s="413" t="s">
        <v>1865</v>
      </c>
      <c r="D2029" s="121" t="str">
        <f>INDEX(Regional.Technologies[Description],MATCH($B$2&amp;"."&amp;G.30.assumptions.EnergyDemandAfterEnergyEfficiencyCHP[[#This Row],[Technology code]],Regional.Technologies[Code],0))</f>
        <v>Global Coal use in the Other industries technology</v>
      </c>
      <c r="E2029" s="242"/>
      <c r="F2029" s="121" t="s">
        <v>1457</v>
      </c>
      <c r="G2029" s="242" t="s">
        <v>1457</v>
      </c>
      <c r="H2029" s="242"/>
      <c r="I2029" s="318">
        <f t="array" aca="1" ref="I2029"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7.1683560026671529</v>
      </c>
      <c r="J2029" s="318">
        <f t="array" aca="1" ref="J2029"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7.0855939026586299</v>
      </c>
      <c r="K2029" s="318">
        <f t="array" aca="1" ref="K2029"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6.977678862355063</v>
      </c>
      <c r="L2029" s="318">
        <f t="array" aca="1" ref="L2029"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6.8648055828371639</v>
      </c>
      <c r="M2029" s="318">
        <f t="array" aca="1" ref="M2029"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6.7469740641049327</v>
      </c>
      <c r="N2029" s="318">
        <f t="array" aca="1" ref="N2029"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6.6241843061583481</v>
      </c>
      <c r="O2029" s="318">
        <f t="array" aca="1" ref="O2029"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6.4964363089974384</v>
      </c>
      <c r="P2029" s="318">
        <f t="array" aca="1" ref="P2029"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6.3637300726221824</v>
      </c>
      <c r="Q2029" s="318">
        <f t="array" aca="1" ref="Q2029"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6.2260655970326013</v>
      </c>
      <c r="R2029" s="242"/>
      <c r="S2029" s="179"/>
      <c r="T2029" s="251"/>
      <c r="V2029" s="179"/>
      <c r="W2029" s="179"/>
    </row>
    <row r="2030" spans="1:23" s="65" customFormat="1" ht="15" customHeight="1" outlineLevel="2">
      <c r="A2030" s="219"/>
      <c r="B2030" s="242"/>
      <c r="C2030" s="413" t="s">
        <v>1866</v>
      </c>
      <c r="D2030" s="121" t="str">
        <f>INDEX(Regional.Technologies[Description],MATCH($B$2&amp;"."&amp;G.30.assumptions.EnergyDemandAfterEnergyEfficiencyCHP[[#This Row],[Technology code]],Regional.Technologies[Code],0))</f>
        <v>Global Oil use in the Other industries technology</v>
      </c>
      <c r="E2030" s="242"/>
      <c r="F2030" s="121" t="s">
        <v>1457</v>
      </c>
      <c r="G2030" s="242" t="s">
        <v>1457</v>
      </c>
      <c r="H2030" s="242"/>
      <c r="I2030" s="318">
        <f t="array" aca="1" ref="I2030"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8.9190113729480487</v>
      </c>
      <c r="J2030" s="318">
        <f t="array" aca="1" ref="J2030"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8.8160371190256015</v>
      </c>
      <c r="K2030" s="318">
        <f t="array" aca="1" ref="K2030"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8.6817670755984171</v>
      </c>
      <c r="L2030" s="318">
        <f t="array" aca="1" ref="L2030"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8.5413278921444249</v>
      </c>
      <c r="M2030" s="318">
        <f t="array" aca="1" ref="M2030"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8.3947195686636231</v>
      </c>
      <c r="N2030" s="318">
        <f t="array" aca="1" ref="N2030"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8.2419421051560118</v>
      </c>
      <c r="O2030" s="318">
        <f t="array" aca="1" ref="O2030"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8.0829955016215962</v>
      </c>
      <c r="P2030" s="318">
        <f t="array" aca="1" ref="P2030"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7.917879758060371</v>
      </c>
      <c r="Q2030" s="318">
        <f t="array" aca="1" ref="Q2030"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7.7465948744723363</v>
      </c>
      <c r="R2030" s="242"/>
      <c r="S2030" s="179"/>
      <c r="T2030" s="251"/>
      <c r="V2030" s="179"/>
      <c r="W2030" s="179"/>
    </row>
    <row r="2031" spans="1:23" s="65" customFormat="1" ht="15" customHeight="1" outlineLevel="2">
      <c r="A2031" s="219"/>
      <c r="B2031" s="242"/>
      <c r="C2031" s="413" t="s">
        <v>1867</v>
      </c>
      <c r="D2031" s="121" t="str">
        <f>INDEX(Regional.Technologies[Description],MATCH($B$2&amp;"."&amp;G.30.assumptions.EnergyDemandAfterEnergyEfficiencyCHP[[#This Row],[Technology code]],Regional.Technologies[Code],0))</f>
        <v>Global Natural Gas use in the Other industries technology</v>
      </c>
      <c r="E2031" s="242"/>
      <c r="F2031" s="121" t="s">
        <v>1457</v>
      </c>
      <c r="G2031" s="242" t="s">
        <v>1457</v>
      </c>
      <c r="H2031" s="242" t="s">
        <v>2169</v>
      </c>
      <c r="I2031" s="318">
        <f ca="1">SUMIF(G.30.assumptions.EnergyDemandAfterAlternativeFuels[.],G.30.assumptions.EnergyDemandAfterEnergyEfficiencyCHP[[#This Row],[.]],INDIRECT("G.30.assumptions.EnergyDemandAfterAlternativeFuels["&amp;I$1834&amp;"]"))
-SUM(I2028:I2030,I2032:I2033)</f>
        <v>11.967321601700888</v>
      </c>
      <c r="J2031" s="318">
        <f ca="1">SUMIF(G.30.assumptions.EnergyDemandAfterAlternativeFuels[.],G.30.assumptions.EnergyDemandAfterEnergyEfficiencyCHP[[#This Row],[.]],INDIRECT("G.30.assumptions.EnergyDemandAfterAlternativeFuels["&amp;J$1834&amp;"]"))
-SUM(J2028:J2030,J2032:J2033)</f>
        <v>11.829153147613823</v>
      </c>
      <c r="K2031" s="318">
        <f ca="1">SUMIF(G.30.assumptions.EnergyDemandAfterAlternativeFuels[.],G.30.assumptions.EnergyDemandAfterEnergyEfficiencyCHP[[#This Row],[.]],INDIRECT("G.30.assumptions.EnergyDemandAfterAlternativeFuels["&amp;K$1834&amp;"]"))
-SUM(K2028:K2030,K2032:K2033)</f>
        <v>11.648992732521059</v>
      </c>
      <c r="L2031" s="318">
        <f ca="1">SUMIF(G.30.assumptions.EnergyDemandAfterAlternativeFuels[.],G.30.assumptions.EnergyDemandAfterEnergyEfficiencyCHP[[#This Row],[.]],INDIRECT("G.30.assumptions.EnergyDemandAfterAlternativeFuels["&amp;L$1834&amp;"]"))
-SUM(L2028:L2030,L2032:L2033)</f>
        <v>11.460554709112785</v>
      </c>
      <c r="M2031" s="318">
        <f ca="1">SUMIF(G.30.assumptions.EnergyDemandAfterAlternativeFuels[.],G.30.assumptions.EnergyDemandAfterEnergyEfficiencyCHP[[#This Row],[.]],INDIRECT("G.30.assumptions.EnergyDemandAfterAlternativeFuels["&amp;M$1834&amp;"]"))
-SUM(M2028:M2030,M2032:M2033)</f>
        <v>11.263839077389022</v>
      </c>
      <c r="N2031" s="318">
        <f ca="1">SUMIF(G.30.assumptions.EnergyDemandAfterAlternativeFuels[.],G.30.assumptions.EnergyDemandAfterEnergyEfficiencyCHP[[#This Row],[.]],INDIRECT("G.30.assumptions.EnergyDemandAfterAlternativeFuels["&amp;N$1834&amp;"]"))
-SUM(N2028:N2030,N2032:N2033)</f>
        <v>11.05884583734975</v>
      </c>
      <c r="O2031" s="318">
        <f ca="1">SUMIF(G.30.assumptions.EnergyDemandAfterAlternativeFuels[.],G.30.assumptions.EnergyDemandAfterEnergyEfficiencyCHP[[#This Row],[.]],INDIRECT("G.30.assumptions.EnergyDemandAfterAlternativeFuels["&amp;O$1834&amp;"]"))
-SUM(O2028:O2030,O2032:O2033)</f>
        <v>10.84557498899499</v>
      </c>
      <c r="P2031" s="318">
        <f ca="1">SUMIF(G.30.assumptions.EnergyDemandAfterAlternativeFuels[.],G.30.assumptions.EnergyDemandAfterEnergyEfficiencyCHP[[#This Row],[.]],INDIRECT("G.30.assumptions.EnergyDemandAfterAlternativeFuels["&amp;P$1834&amp;"]"))
-SUM(P2028:P2030,P2032:P2033)</f>
        <v>10.624026532324727</v>
      </c>
      <c r="Q2031" s="318">
        <f ca="1">SUMIF(G.30.assumptions.EnergyDemandAfterAlternativeFuels[.],G.30.assumptions.EnergyDemandAfterEnergyEfficiencyCHP[[#This Row],[.]],INDIRECT("G.30.assumptions.EnergyDemandAfterAlternativeFuels["&amp;Q$1834&amp;"]"))
-SUM(Q2028:Q2030,Q2032:Q2033)</f>
        <v>10.394200467338969</v>
      </c>
      <c r="R2031" s="242"/>
      <c r="S2031" s="179"/>
      <c r="T2031" s="251"/>
      <c r="V2031" s="179"/>
      <c r="W2031" s="179"/>
    </row>
    <row r="2032" spans="1:23" s="65" customFormat="1" ht="15" customHeight="1" outlineLevel="2">
      <c r="A2032" s="219"/>
      <c r="B2032" s="242"/>
      <c r="C2032" s="413" t="s">
        <v>1868</v>
      </c>
      <c r="D2032" s="121" t="str">
        <f>INDEX(Regional.Technologies[Description],MATCH($B$2&amp;"."&amp;G.30.assumptions.EnergyDemandAfterEnergyEfficiencyCHP[[#This Row],[Technology code]],Regional.Technologies[Code],0))</f>
        <v>Global Solid Hydrocarbons use in the Other industries technology</v>
      </c>
      <c r="E2032" s="242"/>
      <c r="F2032" s="121" t="s">
        <v>1457</v>
      </c>
      <c r="G2032" s="242" t="s">
        <v>1457</v>
      </c>
      <c r="H2032" s="242"/>
      <c r="I2032" s="318">
        <f t="array" aca="1" ref="I2032"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5.4326469694895918</v>
      </c>
      <c r="J2032" s="318">
        <f t="array" aca="1" ref="J2032"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5.3699244607815082</v>
      </c>
      <c r="K2032" s="318">
        <f t="array" aca="1" ref="K2032"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5.2881394160028483</v>
      </c>
      <c r="L2032" s="318">
        <f t="array" aca="1" ref="L2032"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5.202596694675794</v>
      </c>
      <c r="M2032" s="318">
        <f t="array" aca="1" ref="M2032"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5.1132962968003435</v>
      </c>
      <c r="N2032" s="318">
        <f t="array" aca="1" ref="N2032"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5.0202382223764976</v>
      </c>
      <c r="O2032" s="318">
        <f t="array" aca="1" ref="O2032"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4.9234224714042583</v>
      </c>
      <c r="P2032" s="318">
        <f t="array" aca="1" ref="P2032"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4.8228490438836227</v>
      </c>
      <c r="Q2032" s="318">
        <f t="array" aca="1" ref="Q2032"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4.7185179398145918</v>
      </c>
      <c r="R2032" s="242"/>
      <c r="S2032" s="179"/>
      <c r="T2032" s="251"/>
      <c r="V2032" s="179"/>
      <c r="W2032" s="179"/>
    </row>
    <row r="2033" spans="1:24" s="65" customFormat="1" ht="15" customHeight="1" outlineLevel="2">
      <c r="A2033" s="219"/>
      <c r="B2033" s="242"/>
      <c r="C2033" s="413" t="s">
        <v>1869</v>
      </c>
      <c r="D2033" s="121" t="str">
        <f>INDEX(Regional.Technologies[Description],MATCH($B$2&amp;"."&amp;G.30.assumptions.EnergyDemandAfterEnergyEfficiencyCHP[[#This Row],[Technology code]],Regional.Technologies[Code],0))</f>
        <v>Global Heat use in the Other industries technology</v>
      </c>
      <c r="E2033" s="242"/>
      <c r="F2033" s="121" t="s">
        <v>1457</v>
      </c>
      <c r="G2033" s="242" t="s">
        <v>1457</v>
      </c>
      <c r="H2033" s="242"/>
      <c r="I2033" s="318">
        <f t="array" aca="1" ref="I2033" ca="1">SUM((G.30.assumptions.EnergyDemandAfterEnergyEfficiencyCHP[[#This Row],[Technology code]]=G.30.assumptions.EnergyDemandAfterAlternativeFuels[Technology code])
          *INDIRECT("G.30.assumptions.EnergyDemandAfterAlternativeFuels["&amp;I$2068&amp;"]"))
*(1-SUM((G.30.assumptions.EnergyDemandAfterEnergyEfficiencyCHP[[#This Row],[Technology code]]=G.30.assumptions.EnergyEfficiencyCHP[Technology code])
          *INDIRECT("G.30.assumptions.EnergyEfficiencyCHP["&amp;I$2068&amp;"]")))</f>
        <v>2.5365553629120043</v>
      </c>
      <c r="J2033" s="318">
        <f t="array" aca="1" ref="J2033" ca="1">SUM((G.30.assumptions.EnergyDemandAfterEnergyEfficiencyCHP[[#This Row],[Technology code]]=G.30.assumptions.EnergyDemandAfterAlternativeFuels[Technology code])
          *INDIRECT("G.30.assumptions.EnergyDemandAfterAlternativeFuels["&amp;J$2068&amp;"]"))
*(1-SUM((G.30.assumptions.EnergyDemandAfterEnergyEfficiencyCHP[[#This Row],[Technology code]]=G.30.assumptions.EnergyEfficiencyCHP[Technology code])
          *INDIRECT("G.30.assumptions.EnergyEfficiencyCHP["&amp;J$2068&amp;"]")))</f>
        <v>2.5072696175410454</v>
      </c>
      <c r="K2033" s="318">
        <f t="array" aca="1" ref="K2033" ca="1">SUM((G.30.assumptions.EnergyDemandAfterEnergyEfficiencyCHP[[#This Row],[Technology code]]=G.30.assumptions.EnergyDemandAfterAlternativeFuels[Technology code])
          *INDIRECT("G.30.assumptions.EnergyDemandAfterAlternativeFuels["&amp;K$2068&amp;"]"))
*(1-SUM((G.30.assumptions.EnergyDemandAfterEnergyEfficiencyCHP[[#This Row],[Technology code]]=G.30.assumptions.EnergyEfficiencyCHP[Technology code])
          *INDIRECT("G.30.assumptions.EnergyEfficiencyCHP["&amp;K$2068&amp;"]")))</f>
        <v>2.469083389887309</v>
      </c>
      <c r="L2033" s="318">
        <f t="array" aca="1" ref="L2033" ca="1">SUM((G.30.assumptions.EnergyDemandAfterEnergyEfficiencyCHP[[#This Row],[Technology code]]=G.30.assumptions.EnergyDemandAfterAlternativeFuels[Technology code])
          *INDIRECT("G.30.assumptions.EnergyDemandAfterAlternativeFuels["&amp;L$2068&amp;"]"))
*(1-SUM((G.30.assumptions.EnergyDemandAfterEnergyEfficiencyCHP[[#This Row],[Technology code]]=G.30.assumptions.EnergyEfficiencyCHP[Technology code])
          *INDIRECT("G.30.assumptions.EnergyEfficiencyCHP["&amp;L$2068&amp;"]")))</f>
        <v>2.4291426667446432</v>
      </c>
      <c r="M2033" s="318">
        <f t="array" aca="1" ref="M2033" ca="1">SUM((G.30.assumptions.EnergyDemandAfterEnergyEfficiencyCHP[[#This Row],[Technology code]]=G.30.assumptions.EnergyDemandAfterAlternativeFuels[Technology code])
          *INDIRECT("G.30.assumptions.EnergyDemandAfterAlternativeFuels["&amp;M$2068&amp;"]"))
*(1-SUM((G.30.assumptions.EnergyDemandAfterEnergyEfficiencyCHP[[#This Row],[Technology code]]=G.30.assumptions.EnergyEfficiencyCHP[Technology code])
          *INDIRECT("G.30.assumptions.EnergyEfficiencyCHP["&amp;M$2068&amp;"]")))</f>
        <v>2.387447448113047</v>
      </c>
      <c r="N2033" s="318">
        <f t="array" aca="1" ref="N2033" ca="1">SUM((G.30.assumptions.EnergyDemandAfterEnergyEfficiencyCHP[[#This Row],[Technology code]]=G.30.assumptions.EnergyDemandAfterAlternativeFuels[Technology code])
          *INDIRECT("G.30.assumptions.EnergyDemandAfterAlternativeFuels["&amp;N$2068&amp;"]"))
*(1-SUM((G.30.assumptions.EnergyDemandAfterEnergyEfficiencyCHP[[#This Row],[Technology code]]=G.30.assumptions.EnergyEfficiencyCHP[Technology code])
          *INDIRECT("G.30.assumptions.EnergyEfficiencyCHP["&amp;N$2068&amp;"]")))</f>
        <v>2.3439977339925195</v>
      </c>
      <c r="O2033" s="318">
        <f t="array" aca="1" ref="O2033" ca="1">SUM((G.30.assumptions.EnergyDemandAfterEnergyEfficiencyCHP[[#This Row],[Technology code]]=G.30.assumptions.EnergyDemandAfterAlternativeFuels[Technology code])
          *INDIRECT("G.30.assumptions.EnergyDemandAfterAlternativeFuels["&amp;O$2068&amp;"]"))
*(1-SUM((G.30.assumptions.EnergyDemandAfterEnergyEfficiencyCHP[[#This Row],[Technology code]]=G.30.assumptions.EnergyEfficiencyCHP[Technology code])
          *INDIRECT("G.30.assumptions.EnergyEfficiencyCHP["&amp;O$2068&amp;"]")))</f>
        <v>2.2987935243830631</v>
      </c>
      <c r="P2033" s="318">
        <f t="array" aca="1" ref="P2033" ca="1">SUM((G.30.assumptions.EnergyDemandAfterEnergyEfficiencyCHP[[#This Row],[Technology code]]=G.30.assumptions.EnergyDemandAfterAlternativeFuels[Technology code])
          *INDIRECT("G.30.assumptions.EnergyDemandAfterAlternativeFuels["&amp;P$2068&amp;"]"))
*(1-SUM((G.30.assumptions.EnergyDemandAfterEnergyEfficiencyCHP[[#This Row],[Technology code]]=G.30.assumptions.EnergyEfficiencyCHP[Technology code])
          *INDIRECT("G.30.assumptions.EnergyEfficiencyCHP["&amp;P$2068&amp;"]")))</f>
        <v>2.2518348192846758</v>
      </c>
      <c r="Q2033" s="318">
        <f t="array" aca="1" ref="Q2033" ca="1">SUM((G.30.assumptions.EnergyDemandAfterEnergyEfficiencyCHP[[#This Row],[Technology code]]=G.30.assumptions.EnergyDemandAfterAlternativeFuels[Technology code])
          *INDIRECT("G.30.assumptions.EnergyDemandAfterAlternativeFuels["&amp;Q$2068&amp;"]"))
*(1-SUM((G.30.assumptions.EnergyDemandAfterEnergyEfficiencyCHP[[#This Row],[Technology code]]=G.30.assumptions.EnergyEfficiencyCHP[Technology code])
          *INDIRECT("G.30.assumptions.EnergyEfficiencyCHP["&amp;Q$2068&amp;"]")))</f>
        <v>2.2031216186973581</v>
      </c>
      <c r="R2033" s="242"/>
      <c r="S2033" s="179"/>
      <c r="T2033" s="251"/>
      <c r="V2033" s="179"/>
      <c r="W2033" s="179"/>
    </row>
    <row r="2034" spans="1:24" s="65" customFormat="1" ht="15" customHeight="1" outlineLevel="2">
      <c r="A2034" s="219"/>
      <c r="B2034" s="242"/>
      <c r="C2034" s="310" t="s">
        <v>375</v>
      </c>
      <c r="D2034" s="311"/>
      <c r="E2034" s="312"/>
      <c r="F2034" s="307"/>
      <c r="G2034" s="312"/>
      <c r="H2034" s="312"/>
      <c r="I2034" s="341">
        <f ca="1">SUBTOTAL(109,G.30.assumptions.EnergyDemandAfterEnergyEfficiencyCHP[2011])</f>
        <v>142.97457688351503</v>
      </c>
      <c r="J2034" s="341">
        <f ca="1">SUBTOTAL(109,G.30.assumptions.EnergyDemandAfterEnergyEfficiencyCHP[2015])</f>
        <v>143.22619639397101</v>
      </c>
      <c r="K2034" s="341">
        <f ca="1">SUBTOTAL(109,G.30.assumptions.EnergyDemandAfterEnergyEfficiencyCHP[2020])</f>
        <v>143.5060346219627</v>
      </c>
      <c r="L2034" s="341">
        <f ca="1">SUBTOTAL(109,G.30.assumptions.EnergyDemandAfterEnergyEfficiencyCHP[2025])</f>
        <v>143.74733267208956</v>
      </c>
      <c r="M2034" s="341">
        <f ca="1">SUBTOTAL(109,G.30.assumptions.EnergyDemandAfterEnergyEfficiencyCHP[2030])</f>
        <v>143.95009054435167</v>
      </c>
      <c r="N2034" s="341">
        <f ca="1">SUBTOTAL(109,G.30.assumptions.EnergyDemandAfterEnergyEfficiencyCHP[2035])</f>
        <v>144.11430823874898</v>
      </c>
      <c r="O2034" s="341">
        <f ca="1">SUBTOTAL(109,G.30.assumptions.EnergyDemandAfterEnergyEfficiencyCHP[2040])</f>
        <v>144.23998575528148</v>
      </c>
      <c r="P2034" s="341">
        <f ca="1">SUBTOTAL(109,G.30.assumptions.EnergyDemandAfterEnergyEfficiencyCHP[2045])</f>
        <v>144.32712309394924</v>
      </c>
      <c r="Q2034" s="341">
        <f ca="1">SUBTOTAL(109,G.30.assumptions.EnergyDemandAfterEnergyEfficiencyCHP[2050])</f>
        <v>144.37572025475217</v>
      </c>
      <c r="R2034" s="242"/>
      <c r="S2034" s="179"/>
      <c r="T2034" s="251"/>
      <c r="V2034" s="179"/>
      <c r="W2034" s="179"/>
    </row>
    <row r="2035" spans="1:24" s="65" customFormat="1" ht="15" customHeight="1" outlineLevel="2">
      <c r="A2035" s="219"/>
      <c r="B2035" s="242"/>
      <c r="C2035" s="242"/>
      <c r="D2035" s="242"/>
      <c r="E2035" s="242"/>
      <c r="F2035" s="242"/>
      <c r="G2035" s="242"/>
      <c r="H2035" s="242"/>
      <c r="I2035" s="242"/>
      <c r="J2035" s="246"/>
      <c r="K2035" s="246"/>
      <c r="L2035" s="246"/>
      <c r="M2035" s="246"/>
      <c r="N2035" s="246"/>
      <c r="O2035" s="246"/>
      <c r="P2035" s="246"/>
      <c r="Q2035" s="246"/>
      <c r="R2035" s="242"/>
      <c r="S2035" s="179"/>
      <c r="T2035" s="251"/>
      <c r="V2035" s="179"/>
      <c r="W2035" s="179"/>
    </row>
    <row r="2036" spans="1:24" s="65" customFormat="1" ht="15" customHeight="1" outlineLevel="2">
      <c r="A2036" s="219"/>
      <c r="B2036" s="242"/>
      <c r="C2036" s="242"/>
      <c r="D2036" s="242"/>
      <c r="E2036" s="242"/>
      <c r="F2036" s="242"/>
      <c r="G2036" s="242"/>
      <c r="H2036" s="242"/>
      <c r="I2036" s="242"/>
      <c r="J2036" s="246"/>
      <c r="K2036" s="246"/>
      <c r="L2036" s="246"/>
      <c r="M2036" s="246"/>
      <c r="N2036" s="246"/>
      <c r="O2036" s="246"/>
      <c r="P2036" s="246"/>
      <c r="Q2036" s="246"/>
      <c r="R2036" s="242"/>
      <c r="S2036" s="179"/>
      <c r="T2036" s="251"/>
      <c r="V2036" s="179"/>
      <c r="W2036" s="179"/>
    </row>
    <row r="2037" spans="1:24" s="65" customFormat="1" ht="15" customHeight="1" outlineLevel="1">
      <c r="A2037" s="219"/>
      <c r="B2037" s="242"/>
      <c r="C2037" s="244" t="s">
        <v>1901</v>
      </c>
      <c r="D2037" s="242"/>
      <c r="E2037" s="242"/>
      <c r="F2037" s="242"/>
      <c r="G2037" s="242"/>
      <c r="H2037" s="242"/>
      <c r="I2037" s="242"/>
      <c r="J2037" s="242"/>
      <c r="K2037" s="242"/>
      <c r="L2037" s="242"/>
      <c r="M2037" s="242"/>
      <c r="N2037" s="242"/>
      <c r="O2037" s="242"/>
      <c r="P2037" s="242"/>
      <c r="Q2037" s="242" t="s">
        <v>511</v>
      </c>
      <c r="R2037" s="242"/>
      <c r="S2037" s="179"/>
      <c r="T2037" s="251"/>
      <c r="V2037" s="179"/>
      <c r="W2037" s="179"/>
    </row>
    <row r="2038" spans="1:24" s="65" customFormat="1" ht="15" customHeight="1" outlineLevel="2">
      <c r="A2038" s="219"/>
      <c r="B2038" s="242"/>
      <c r="C2038" s="244"/>
      <c r="D2038" s="242"/>
      <c r="E2038" s="242"/>
      <c r="F2038" s="242"/>
      <c r="G2038" s="242"/>
      <c r="H2038" s="242"/>
      <c r="I2038" s="242"/>
      <c r="J2038" s="242"/>
      <c r="K2038" s="242"/>
      <c r="L2038" s="242"/>
      <c r="M2038" s="242"/>
      <c r="N2038" s="242"/>
      <c r="O2038" s="242"/>
      <c r="P2038" s="242"/>
      <c r="Q2038" s="242"/>
      <c r="R2038" s="242"/>
      <c r="S2038" s="179"/>
      <c r="T2038" s="251"/>
      <c r="V2038" s="179"/>
      <c r="W2038" s="179"/>
    </row>
    <row r="2039" spans="1:24" s="65" customFormat="1" ht="15" customHeight="1" outlineLevel="2">
      <c r="A2039" s="219"/>
      <c r="B2039" s="242"/>
      <c r="C2039" s="242" t="s">
        <v>454</v>
      </c>
      <c r="D2039" s="242" t="s">
        <v>241</v>
      </c>
      <c r="E2039" s="242" t="s">
        <v>207</v>
      </c>
      <c r="F2039" s="242" t="s">
        <v>274</v>
      </c>
      <c r="G2039" s="242" t="s">
        <v>509</v>
      </c>
      <c r="H2039" s="242" t="s">
        <v>510</v>
      </c>
      <c r="I2039" s="183" t="s">
        <v>1107</v>
      </c>
      <c r="J2039" s="242" t="s">
        <v>210</v>
      </c>
      <c r="K2039" s="242" t="s">
        <v>211</v>
      </c>
      <c r="L2039" s="242" t="s">
        <v>212</v>
      </c>
      <c r="M2039" s="242" t="s">
        <v>213</v>
      </c>
      <c r="N2039" s="242" t="s">
        <v>214</v>
      </c>
      <c r="O2039" s="242" t="s">
        <v>215</v>
      </c>
      <c r="P2039" s="242" t="s">
        <v>216</v>
      </c>
      <c r="Q2039" s="242" t="s">
        <v>217</v>
      </c>
      <c r="R2039" s="242"/>
      <c r="S2039" s="179"/>
      <c r="T2039" s="251"/>
      <c r="V2039" s="179"/>
      <c r="W2039" s="179"/>
    </row>
    <row r="2040" spans="1:24" s="65" customFormat="1" ht="15" customHeight="1" outlineLevel="2">
      <c r="A2040" s="219"/>
      <c r="B2040" s="242"/>
      <c r="C2040" s="242" t="s">
        <v>1376</v>
      </c>
      <c r="D2040" s="121" t="str">
        <f>INDEX(Regional.Technologies[Description],MATCH($B$2&amp;"."&amp;G.30.assumptions.EnergyEfficiency[[#This Row],[Technology code]],Regional.Technologies[Code],0))</f>
        <v>Global Electricity use in the Oxygen steel technology</v>
      </c>
      <c r="E2040" s="242">
        <f ca="1">INDEX(G.30.Levers[],MATCH(G.30.assumptions.EnergyEfficiency[[#This Row],[.]],G.30.Levers[Lever code],0),4)</f>
        <v>1</v>
      </c>
      <c r="F2040" s="121" t="s">
        <v>1396</v>
      </c>
      <c r="G2040" s="242" t="str">
        <f>$C$2037&amp;"."&amp;LEFT(C2040,FIND("|",SUBSTITUTE(C2040,".","|",LEN(C2040)-LEN(SUBSTITUTE(C2040,".",""))))-1)</f>
        <v>EnergyEfficiency.Steel.Oxygen</v>
      </c>
      <c r="H2040" s="242"/>
      <c r="I2040" s="406">
        <f t="array" aca="1" ref="I2040"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0" s="406">
        <f t="array" aca="1" ref="J2040"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0" s="406">
        <f t="array" aca="1" ref="K2040"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0" s="406">
        <f t="array" aca="1" ref="L2040"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0" s="406">
        <f t="array" aca="1" ref="M2040"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0" s="406">
        <f t="array" aca="1" ref="N2040"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0" s="406">
        <f t="array" aca="1" ref="O2040"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0" s="406">
        <f t="array" aca="1" ref="P2040"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0" s="406">
        <f t="array" aca="1" ref="Q2040"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0" s="242"/>
      <c r="S2040" s="179"/>
      <c r="T2040" s="179" t="str">
        <f>$T$6</f>
        <v>Source</v>
      </c>
      <c r="U2040" s="179" t="str">
        <f>$U$6</f>
        <v>Link</v>
      </c>
      <c r="V2040" s="179" t="str">
        <f>$V$6</f>
        <v>Risk (Green, Amber/Green, Amber, Red/Amber, Red)</v>
      </c>
      <c r="W2040" s="179" t="s">
        <v>869</v>
      </c>
      <c r="X2040" s="179" t="str">
        <f>$X$6</f>
        <v>Comment author</v>
      </c>
    </row>
    <row r="2041" spans="1:24" s="65" customFormat="1" ht="15" customHeight="1" outlineLevel="2">
      <c r="A2041" s="219"/>
      <c r="B2041" s="242"/>
      <c r="C2041" s="242" t="s">
        <v>1798</v>
      </c>
      <c r="D2041" s="121" t="str">
        <f>INDEX(Regional.Technologies[Description],MATCH($B$2&amp;"."&amp;G.30.assumptions.EnergyEfficiency[[#This Row],[Technology code]],Regional.Technologies[Code],0))</f>
        <v>Global Coal use in the Oxygen steel technology</v>
      </c>
      <c r="E2041" s="242">
        <f ca="1">INDEX(G.30.Levers[],MATCH(G.30.assumptions.EnergyEfficiency[[#This Row],[.]],G.30.Levers[Lever code],0),4)</f>
        <v>1</v>
      </c>
      <c r="F2041" s="121" t="s">
        <v>1396</v>
      </c>
      <c r="G2041" s="242" t="str">
        <f t="shared" ref="G2041:G2063" si="183">$C$2037&amp;"."&amp;LEFT(C2041,FIND("|",SUBSTITUTE(C2041,".","|",LEN(C2041)-LEN(SUBSTITUTE(C2041,".",""))))-1)</f>
        <v>EnergyEfficiency.Steel.Oxygen</v>
      </c>
      <c r="H2041" s="242"/>
      <c r="I2041" s="406">
        <f t="array" aca="1" ref="I2041"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1" s="406">
        <f t="array" aca="1" ref="J2041"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1" s="406">
        <f t="array" aca="1" ref="K2041"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1" s="406">
        <f t="array" aca="1" ref="L2041"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1" s="406">
        <f t="array" aca="1" ref="M2041"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1" s="406">
        <f t="array" aca="1" ref="N2041"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1" s="406">
        <f t="array" aca="1" ref="O2041"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1" s="406">
        <f t="array" aca="1" ref="P2041"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1" s="406">
        <f t="array" aca="1" ref="Q2041"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1" s="242"/>
      <c r="S2041" s="179"/>
      <c r="T2041" s="251"/>
      <c r="V2041" s="179"/>
      <c r="W2041" s="179"/>
    </row>
    <row r="2042" spans="1:24" s="65" customFormat="1" ht="15" customHeight="1" outlineLevel="2">
      <c r="A2042" s="219"/>
      <c r="B2042" s="242"/>
      <c r="C2042" s="242" t="s">
        <v>1799</v>
      </c>
      <c r="D2042" s="121" t="str">
        <f>INDEX(Regional.Technologies[Description],MATCH($B$2&amp;"."&amp;G.30.assumptions.EnergyEfficiency[[#This Row],[Technology code]],Regional.Technologies[Code],0))</f>
        <v>Global Oil use in the Oxygen steel technology</v>
      </c>
      <c r="E2042" s="242">
        <f ca="1">INDEX(G.30.Levers[],MATCH(G.30.assumptions.EnergyEfficiency[[#This Row],[.]],G.30.Levers[Lever code],0),4)</f>
        <v>1</v>
      </c>
      <c r="F2042" s="121" t="s">
        <v>1396</v>
      </c>
      <c r="G2042" s="242" t="str">
        <f t="shared" si="183"/>
        <v>EnergyEfficiency.Steel.Oxygen</v>
      </c>
      <c r="H2042" s="242"/>
      <c r="I2042" s="406">
        <f t="array" aca="1" ref="I2042"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2" s="406">
        <f t="array" aca="1" ref="J2042"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2" s="406">
        <f t="array" aca="1" ref="K2042"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2" s="406">
        <f t="array" aca="1" ref="L2042"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2" s="406">
        <f t="array" aca="1" ref="M2042"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2" s="406">
        <f t="array" aca="1" ref="N2042"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2" s="406">
        <f t="array" aca="1" ref="O2042"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2" s="406">
        <f t="array" aca="1" ref="P2042"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2" s="406">
        <f t="array" aca="1" ref="Q2042"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2" s="242"/>
      <c r="S2042" s="179"/>
      <c r="T2042" s="251"/>
      <c r="V2042" s="179"/>
      <c r="W2042" s="179"/>
    </row>
    <row r="2043" spans="1:24" s="65" customFormat="1" ht="15" customHeight="1" outlineLevel="2">
      <c r="A2043" s="219"/>
      <c r="B2043" s="242"/>
      <c r="C2043" s="242" t="s">
        <v>1800</v>
      </c>
      <c r="D2043" s="121" t="str">
        <f>INDEX(Regional.Technologies[Description],MATCH($B$2&amp;"."&amp;G.30.assumptions.EnergyEfficiency[[#This Row],[Technology code]],Regional.Technologies[Code],0))</f>
        <v>Global Natural Gas use in the Oxygen steel technology</v>
      </c>
      <c r="E2043" s="242">
        <f ca="1">INDEX(G.30.Levers[],MATCH(G.30.assumptions.EnergyEfficiency[[#This Row],[.]],G.30.Levers[Lever code],0),4)</f>
        <v>1</v>
      </c>
      <c r="F2043" s="121" t="s">
        <v>1396</v>
      </c>
      <c r="G2043" s="242" t="str">
        <f t="shared" si="183"/>
        <v>EnergyEfficiency.Steel.Oxygen</v>
      </c>
      <c r="H2043" s="242"/>
      <c r="I2043" s="406">
        <f t="array" aca="1" ref="I2043"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3" s="406">
        <f t="array" aca="1" ref="J2043"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3" s="406">
        <f t="array" aca="1" ref="K2043"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3" s="406">
        <f t="array" aca="1" ref="L2043"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3" s="406">
        <f t="array" aca="1" ref="M2043"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3" s="406">
        <f t="array" aca="1" ref="N2043"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3" s="406">
        <f t="array" aca="1" ref="O2043"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3" s="406">
        <f t="array" aca="1" ref="P2043"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3" s="406">
        <f t="array" aca="1" ref="Q2043"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3" s="242"/>
      <c r="S2043" s="179"/>
      <c r="T2043" s="251"/>
      <c r="V2043" s="179"/>
      <c r="W2043" s="179"/>
    </row>
    <row r="2044" spans="1:24" s="65" customFormat="1" ht="15" customHeight="1" outlineLevel="2">
      <c r="A2044" s="219"/>
      <c r="B2044" s="242"/>
      <c r="C2044" s="242" t="s">
        <v>1802</v>
      </c>
      <c r="D2044" s="121" t="str">
        <f>INDEX(Regional.Technologies[Description],MATCH($B$2&amp;"."&amp;G.30.assumptions.EnergyEfficiency[[#This Row],[Technology code]],Regional.Technologies[Code],0))</f>
        <v>Global Solid Hydrocarbons use in the Oxygen steel technology</v>
      </c>
      <c r="E2044" s="242">
        <f ca="1">INDEX(G.30.Levers[],MATCH(G.30.assumptions.EnergyEfficiency[[#This Row],[.]],G.30.Levers[Lever code],0),4)</f>
        <v>1</v>
      </c>
      <c r="F2044" s="121" t="s">
        <v>1396</v>
      </c>
      <c r="G2044" s="242" t="str">
        <f t="shared" si="183"/>
        <v>EnergyEfficiency.Steel.Oxygen</v>
      </c>
      <c r="H2044" s="242"/>
      <c r="I2044" s="406">
        <f t="array" aca="1" ref="I2044"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4" s="406">
        <f t="array" aca="1" ref="J2044"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4" s="406">
        <f t="array" aca="1" ref="K2044"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4" s="406">
        <f t="array" aca="1" ref="L2044"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4" s="406">
        <f t="array" aca="1" ref="M2044"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4" s="406">
        <f t="array" aca="1" ref="N2044"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4" s="406">
        <f t="array" aca="1" ref="O2044"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4" s="406">
        <f t="array" aca="1" ref="P2044"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4" s="406">
        <f t="array" aca="1" ref="Q2044"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4" s="242"/>
      <c r="S2044" s="179"/>
      <c r="T2044" s="251"/>
      <c r="V2044" s="179"/>
      <c r="W2044" s="179"/>
    </row>
    <row r="2045" spans="1:24" s="65" customFormat="1" ht="15" customHeight="1" outlineLevel="2">
      <c r="A2045" s="219"/>
      <c r="B2045" s="242"/>
      <c r="C2045" s="242" t="s">
        <v>1635</v>
      </c>
      <c r="D2045" s="121" t="str">
        <f>INDEX(Regional.Technologies[Description],MATCH($B$2&amp;"."&amp;G.30.assumptions.EnergyEfficiency[[#This Row],[Technology code]],Regional.Technologies[Code],0))</f>
        <v>Global Heat use in the Oxygen steel technology</v>
      </c>
      <c r="E2045" s="242">
        <f ca="1">INDEX(G.30.Levers[],MATCH(G.30.assumptions.EnergyEfficiency[[#This Row],[.]],G.30.Levers[Lever code],0),4)</f>
        <v>1</v>
      </c>
      <c r="F2045" s="121" t="s">
        <v>1396</v>
      </c>
      <c r="G2045" s="242" t="str">
        <f t="shared" si="183"/>
        <v>EnergyEfficiency.Steel.Oxygen</v>
      </c>
      <c r="H2045" s="242"/>
      <c r="I2045" s="406">
        <f t="array" aca="1" ref="I2045"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5" s="406">
        <f t="array" aca="1" ref="J2045"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5" s="406">
        <f t="array" aca="1" ref="K2045"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5" s="406">
        <f t="array" aca="1" ref="L2045"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5" s="406">
        <f t="array" aca="1" ref="M2045"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5" s="406">
        <f t="array" aca="1" ref="N2045"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5" s="406">
        <f t="array" aca="1" ref="O2045"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5" s="406">
        <f t="array" aca="1" ref="P2045"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5" s="406">
        <f t="array" aca="1" ref="Q2045"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5" s="242"/>
      <c r="S2045" s="179"/>
      <c r="T2045" s="251"/>
      <c r="V2045" s="179"/>
      <c r="W2045" s="179"/>
    </row>
    <row r="2046" spans="1:24" s="65" customFormat="1" ht="15" customHeight="1" outlineLevel="2">
      <c r="A2046" s="219"/>
      <c r="B2046" s="242"/>
      <c r="C2046" s="242" t="s">
        <v>1379</v>
      </c>
      <c r="D2046" s="121" t="str">
        <f>INDEX(Regional.Technologies[Description],MATCH($B$2&amp;"."&amp;G.30.assumptions.EnergyEfficiency[[#This Row],[Technology code]],Regional.Technologies[Code],0))</f>
        <v>Global Electricity use in the Electric steel technology</v>
      </c>
      <c r="E2046" s="242">
        <f ca="1">INDEX(G.30.Levers[],MATCH(G.30.assumptions.EnergyEfficiency[[#This Row],[.]],G.30.Levers[Lever code],0),4)</f>
        <v>1</v>
      </c>
      <c r="F2046" s="121" t="s">
        <v>1396</v>
      </c>
      <c r="G2046" s="242" t="str">
        <f t="shared" si="183"/>
        <v>EnergyEfficiency.Steel.Electric</v>
      </c>
      <c r="H2046" s="242"/>
      <c r="I2046" s="406">
        <f t="array" aca="1" ref="I2046"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6" s="406">
        <f t="array" aca="1" ref="J2046"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6" s="406">
        <f t="array" aca="1" ref="K2046"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6" s="406">
        <f t="array" aca="1" ref="L2046"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6" s="406">
        <f t="array" aca="1" ref="M2046"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6" s="406">
        <f t="array" aca="1" ref="N2046"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6" s="406">
        <f t="array" aca="1" ref="O2046"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6" s="406">
        <f t="array" aca="1" ref="P2046"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6" s="406">
        <f t="array" aca="1" ref="Q2046"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6" s="242"/>
      <c r="S2046" s="179"/>
      <c r="T2046" s="251"/>
      <c r="V2046" s="179"/>
      <c r="W2046" s="179"/>
    </row>
    <row r="2047" spans="1:24" s="65" customFormat="1" ht="15" customHeight="1" outlineLevel="2">
      <c r="A2047" s="219"/>
      <c r="B2047" s="242"/>
      <c r="C2047" s="242" t="s">
        <v>1803</v>
      </c>
      <c r="D2047" s="121" t="str">
        <f>INDEX(Regional.Technologies[Description],MATCH($B$2&amp;"."&amp;G.30.assumptions.EnergyEfficiency[[#This Row],[Technology code]],Regional.Technologies[Code],0))</f>
        <v>Global Coal use in the Electric steel technology</v>
      </c>
      <c r="E2047" s="242">
        <f ca="1">INDEX(G.30.Levers[],MATCH(G.30.assumptions.EnergyEfficiency[[#This Row],[.]],G.30.Levers[Lever code],0),4)</f>
        <v>1</v>
      </c>
      <c r="F2047" s="121" t="s">
        <v>1396</v>
      </c>
      <c r="G2047" s="242" t="str">
        <f t="shared" si="183"/>
        <v>EnergyEfficiency.Steel.Electric</v>
      </c>
      <c r="H2047" s="242"/>
      <c r="I2047" s="406">
        <f t="array" aca="1" ref="I2047"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7" s="406">
        <f t="array" aca="1" ref="J2047"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7" s="406">
        <f t="array" aca="1" ref="K2047"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7" s="406">
        <f t="array" aca="1" ref="L2047"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7" s="406">
        <f t="array" aca="1" ref="M2047"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7" s="406">
        <f t="array" aca="1" ref="N2047"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7" s="406">
        <f t="array" aca="1" ref="O2047"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7" s="406">
        <f t="array" aca="1" ref="P2047"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7" s="406">
        <f t="array" aca="1" ref="Q2047"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7" s="242"/>
      <c r="S2047" s="179"/>
      <c r="T2047" s="251"/>
      <c r="V2047" s="179"/>
      <c r="W2047" s="179"/>
    </row>
    <row r="2048" spans="1:24" s="65" customFormat="1" ht="15" customHeight="1" outlineLevel="2">
      <c r="A2048" s="219"/>
      <c r="B2048" s="242"/>
      <c r="C2048" s="242" t="s">
        <v>1804</v>
      </c>
      <c r="D2048" s="121" t="str">
        <f>INDEX(Regional.Technologies[Description],MATCH($B$2&amp;"."&amp;G.30.assumptions.EnergyEfficiency[[#This Row],[Technology code]],Regional.Technologies[Code],0))</f>
        <v>Global Oil use in the Electric steel technology</v>
      </c>
      <c r="E2048" s="242">
        <f ca="1">INDEX(G.30.Levers[],MATCH(G.30.assumptions.EnergyEfficiency[[#This Row],[.]],G.30.Levers[Lever code],0),4)</f>
        <v>1</v>
      </c>
      <c r="F2048" s="121" t="s">
        <v>1396</v>
      </c>
      <c r="G2048" s="242" t="str">
        <f t="shared" si="183"/>
        <v>EnergyEfficiency.Steel.Electric</v>
      </c>
      <c r="H2048" s="242"/>
      <c r="I2048" s="406">
        <f t="array" aca="1" ref="I2048"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8" s="406">
        <f t="array" aca="1" ref="J2048"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8" s="406">
        <f t="array" aca="1" ref="K2048"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8" s="406">
        <f t="array" aca="1" ref="L2048"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8" s="406">
        <f t="array" aca="1" ref="M2048"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8" s="406">
        <f t="array" aca="1" ref="N2048"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8" s="406">
        <f t="array" aca="1" ref="O2048"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8" s="406">
        <f t="array" aca="1" ref="P2048"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8" s="406">
        <f t="array" aca="1" ref="Q2048"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8" s="242"/>
      <c r="S2048" s="179"/>
      <c r="T2048" s="251"/>
      <c r="V2048" s="179"/>
      <c r="W2048" s="179"/>
    </row>
    <row r="2049" spans="1:24" s="65" customFormat="1" ht="15" customHeight="1" outlineLevel="2">
      <c r="A2049" s="219"/>
      <c r="B2049" s="242"/>
      <c r="C2049" s="242" t="s">
        <v>1805</v>
      </c>
      <c r="D2049" s="121" t="str">
        <f>INDEX(Regional.Technologies[Description],MATCH($B$2&amp;"."&amp;G.30.assumptions.EnergyEfficiency[[#This Row],[Technology code]],Regional.Technologies[Code],0))</f>
        <v>Global Natural Gas use in the Electric steel technology</v>
      </c>
      <c r="E2049" s="242">
        <f ca="1">INDEX(G.30.Levers[],MATCH(G.30.assumptions.EnergyEfficiency[[#This Row],[.]],G.30.Levers[Lever code],0),4)</f>
        <v>1</v>
      </c>
      <c r="F2049" s="121" t="s">
        <v>1396</v>
      </c>
      <c r="G2049" s="242" t="str">
        <f t="shared" si="183"/>
        <v>EnergyEfficiency.Steel.Electric</v>
      </c>
      <c r="H2049" s="242"/>
      <c r="I2049" s="406">
        <f t="array" aca="1" ref="I2049"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49" s="406">
        <f t="array" aca="1" ref="J2049"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49" s="406">
        <f t="array" aca="1" ref="K2049"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49" s="406">
        <f t="array" aca="1" ref="L2049"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49" s="406">
        <f t="array" aca="1" ref="M2049"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49" s="406">
        <f t="array" aca="1" ref="N2049"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49" s="406">
        <f t="array" aca="1" ref="O2049"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49" s="406">
        <f t="array" aca="1" ref="P2049"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49" s="406">
        <f t="array" aca="1" ref="Q2049"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49" s="242"/>
      <c r="S2049" s="179"/>
      <c r="T2049" s="251"/>
      <c r="V2049" s="179"/>
      <c r="W2049" s="179"/>
    </row>
    <row r="2050" spans="1:24" s="65" customFormat="1" ht="15" customHeight="1" outlineLevel="2">
      <c r="A2050" s="219"/>
      <c r="B2050" s="242"/>
      <c r="C2050" s="242" t="s">
        <v>1806</v>
      </c>
      <c r="D2050" s="121" t="str">
        <f>INDEX(Regional.Technologies[Description],MATCH($B$2&amp;"."&amp;G.30.assumptions.EnergyEfficiency[[#This Row],[Technology code]],Regional.Technologies[Code],0))</f>
        <v>Global Solid Hydrocarbons use in the Electric steel technology</v>
      </c>
      <c r="E2050" s="242">
        <f ca="1">INDEX(G.30.Levers[],MATCH(G.30.assumptions.EnergyEfficiency[[#This Row],[.]],G.30.Levers[Lever code],0),4)</f>
        <v>1</v>
      </c>
      <c r="F2050" s="121" t="s">
        <v>1396</v>
      </c>
      <c r="G2050" s="242" t="str">
        <f t="shared" si="183"/>
        <v>EnergyEfficiency.Steel.Electric</v>
      </c>
      <c r="H2050" s="242"/>
      <c r="I2050" s="406">
        <f t="array" aca="1" ref="I2050"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0" s="406">
        <f t="array" aca="1" ref="J2050"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0" s="406">
        <f t="array" aca="1" ref="K2050"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0" s="406">
        <f t="array" aca="1" ref="L2050"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0" s="406">
        <f t="array" aca="1" ref="M2050"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0" s="406">
        <f t="array" aca="1" ref="N2050"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0" s="406">
        <f t="array" aca="1" ref="O2050"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0" s="406">
        <f t="array" aca="1" ref="P2050"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0" s="406">
        <f t="array" aca="1" ref="Q2050"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0" s="242"/>
      <c r="S2050" s="179"/>
      <c r="T2050" s="251"/>
      <c r="V2050" s="179"/>
      <c r="W2050" s="179"/>
    </row>
    <row r="2051" spans="1:24" s="65" customFormat="1" ht="15" customHeight="1" outlineLevel="2">
      <c r="A2051" s="219"/>
      <c r="B2051" s="242"/>
      <c r="C2051" s="242" t="s">
        <v>1636</v>
      </c>
      <c r="D2051" s="121" t="str">
        <f>INDEX(Regional.Technologies[Description],MATCH($B$2&amp;"."&amp;G.30.assumptions.EnergyEfficiency[[#This Row],[Technology code]],Regional.Technologies[Code],0))</f>
        <v>Global Heat use in the Electric steel technology</v>
      </c>
      <c r="E2051" s="242">
        <f ca="1">INDEX(G.30.Levers[],MATCH(G.30.assumptions.EnergyEfficiency[[#This Row],[.]],G.30.Levers[Lever code],0),4)</f>
        <v>1</v>
      </c>
      <c r="F2051" s="121" t="s">
        <v>1396</v>
      </c>
      <c r="G2051" s="242" t="str">
        <f t="shared" si="183"/>
        <v>EnergyEfficiency.Steel.Electric</v>
      </c>
      <c r="H2051" s="242"/>
      <c r="I2051" s="406">
        <f t="array" aca="1" ref="I2051"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1" s="406">
        <f t="array" aca="1" ref="J2051"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1" s="406">
        <f t="array" aca="1" ref="K2051"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1" s="406">
        <f t="array" aca="1" ref="L2051"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1" s="406">
        <f t="array" aca="1" ref="M2051"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1" s="406">
        <f t="array" aca="1" ref="N2051"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1" s="406">
        <f t="array" aca="1" ref="O2051"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1" s="406">
        <f t="array" aca="1" ref="P2051"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1" s="406">
        <f t="array" aca="1" ref="Q2051"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1" s="242"/>
      <c r="S2051" s="179"/>
      <c r="T2051" s="251"/>
      <c r="V2051" s="179"/>
      <c r="W2051" s="179"/>
    </row>
    <row r="2052" spans="1:24" s="65" customFormat="1" ht="15" customHeight="1" outlineLevel="2">
      <c r="A2052" s="219"/>
      <c r="B2052" s="242"/>
      <c r="C2052" s="242" t="s">
        <v>1639</v>
      </c>
      <c r="D2052" s="121" t="str">
        <f>INDEX(Regional.Technologies[Description],MATCH($B$2&amp;"."&amp;G.30.assumptions.EnergyEfficiency[[#This Row],[Technology code]],Regional.Technologies[Code],0))</f>
        <v>Global Electricity use in the Primary Aluminium technology</v>
      </c>
      <c r="E2052" s="242">
        <f ca="1">INDEX(G.30.Levers[],MATCH(G.30.assumptions.EnergyEfficiency[[#This Row],[.]],G.30.Levers[Lever code],0),4)</f>
        <v>1</v>
      </c>
      <c r="F2052" s="121" t="s">
        <v>1418</v>
      </c>
      <c r="G2052" s="242" t="str">
        <f t="shared" si="183"/>
        <v>EnergyEfficiency.Aluminium.Primary</v>
      </c>
      <c r="H2052" s="242"/>
      <c r="I2052" s="406">
        <f t="array" aca="1" ref="I2052"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2" s="406">
        <f t="array" aca="1" ref="J2052"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2" s="406">
        <f t="array" aca="1" ref="K2052"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2" s="406">
        <f t="array" aca="1" ref="L2052"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2" s="406">
        <f t="array" aca="1" ref="M2052"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2" s="406">
        <f t="array" aca="1" ref="N2052"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2" s="406">
        <f t="array" aca="1" ref="O2052"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2" s="406">
        <f t="array" aca="1" ref="P2052"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2" s="406">
        <f t="array" aca="1" ref="Q2052"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2" s="242"/>
      <c r="S2052" s="179"/>
      <c r="T2052" s="251"/>
      <c r="V2052" s="179"/>
      <c r="W2052" s="179"/>
    </row>
    <row r="2053" spans="1:24" s="65" customFormat="1" ht="15" customHeight="1" outlineLevel="2">
      <c r="A2053" s="219"/>
      <c r="B2053" s="242"/>
      <c r="C2053" s="251" t="s">
        <v>1813</v>
      </c>
      <c r="D2053" s="121" t="str">
        <f>INDEX(Regional.Technologies[Description],MATCH($B$2&amp;"."&amp;G.30.assumptions.EnergyEfficiency[[#This Row],[Technology code]],Regional.Technologies[Code],0))</f>
        <v>Global Coal use in the Primary Aluminium technology</v>
      </c>
      <c r="E2053" s="242">
        <f ca="1">INDEX(G.30.Levers[],MATCH(G.30.assumptions.EnergyEfficiency[[#This Row],[.]],G.30.Levers[Lever code],0),4)</f>
        <v>1</v>
      </c>
      <c r="F2053" s="121" t="s">
        <v>1418</v>
      </c>
      <c r="G2053" s="242" t="str">
        <f t="shared" si="183"/>
        <v>EnergyEfficiency.Aluminium.Primary</v>
      </c>
      <c r="H2053" s="242"/>
      <c r="I2053" s="406">
        <f t="array" aca="1" ref="I2053"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3" s="406">
        <f t="array" aca="1" ref="J2053"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3" s="406">
        <f t="array" aca="1" ref="K2053"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3" s="406">
        <f t="array" aca="1" ref="L2053"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3" s="406">
        <f t="array" aca="1" ref="M2053"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3" s="406">
        <f t="array" aca="1" ref="N2053"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3" s="406">
        <f t="array" aca="1" ref="O2053"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3" s="406">
        <f t="array" aca="1" ref="P2053"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3" s="406">
        <f t="array" aca="1" ref="Q2053"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3" s="242"/>
      <c r="S2053" s="179"/>
      <c r="T2053" s="251"/>
      <c r="V2053" s="179"/>
      <c r="W2053" s="179"/>
    </row>
    <row r="2054" spans="1:24" s="65" customFormat="1" ht="15" customHeight="1" outlineLevel="2">
      <c r="A2054" s="219"/>
      <c r="B2054" s="242"/>
      <c r="C2054" s="251" t="s">
        <v>1814</v>
      </c>
      <c r="D2054" s="121" t="str">
        <f>INDEX(Regional.Technologies[Description],MATCH($B$2&amp;"."&amp;G.30.assumptions.EnergyEfficiency[[#This Row],[Technology code]],Regional.Technologies[Code],0))</f>
        <v>Global Oil use in the Primary Aluminium technology</v>
      </c>
      <c r="E2054" s="242">
        <f ca="1">INDEX(G.30.Levers[],MATCH(G.30.assumptions.EnergyEfficiency[[#This Row],[.]],G.30.Levers[Lever code],0),4)</f>
        <v>1</v>
      </c>
      <c r="F2054" s="121" t="s">
        <v>1418</v>
      </c>
      <c r="G2054" s="242" t="str">
        <f t="shared" si="183"/>
        <v>EnergyEfficiency.Aluminium.Primary</v>
      </c>
      <c r="H2054" s="242"/>
      <c r="I2054" s="406">
        <f t="array" aca="1" ref="I2054"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4" s="406">
        <f t="array" aca="1" ref="J2054"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4" s="406">
        <f t="array" aca="1" ref="K2054"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4" s="406">
        <f t="array" aca="1" ref="L2054"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4" s="406">
        <f t="array" aca="1" ref="M2054"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4" s="406">
        <f t="array" aca="1" ref="N2054"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4" s="406">
        <f t="array" aca="1" ref="O2054"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4" s="406">
        <f t="array" aca="1" ref="P2054"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4" s="406">
        <f t="array" aca="1" ref="Q2054"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4" s="242"/>
      <c r="S2054" s="179"/>
      <c r="T2054" s="251"/>
      <c r="V2054" s="179"/>
      <c r="W2054" s="179"/>
    </row>
    <row r="2055" spans="1:24" s="65" customFormat="1" ht="15" customHeight="1" outlineLevel="2">
      <c r="A2055" s="219"/>
      <c r="B2055" s="242"/>
      <c r="C2055" s="251" t="s">
        <v>1815</v>
      </c>
      <c r="D2055" s="121" t="str">
        <f>INDEX(Regional.Technologies[Description],MATCH($B$2&amp;"."&amp;G.30.assumptions.EnergyEfficiency[[#This Row],[Technology code]],Regional.Technologies[Code],0))</f>
        <v>Global Natural Gas use in the Primary Aluminium technology</v>
      </c>
      <c r="E2055" s="242">
        <f ca="1">INDEX(G.30.Levers[],MATCH(G.30.assumptions.EnergyEfficiency[[#This Row],[.]],G.30.Levers[Lever code],0),4)</f>
        <v>1</v>
      </c>
      <c r="F2055" s="121" t="s">
        <v>1418</v>
      </c>
      <c r="G2055" s="242" t="str">
        <f t="shared" si="183"/>
        <v>EnergyEfficiency.Aluminium.Primary</v>
      </c>
      <c r="H2055" s="242"/>
      <c r="I2055" s="406">
        <f t="array" aca="1" ref="I2055"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5" s="406">
        <f t="array" aca="1" ref="J2055"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5" s="406">
        <f t="array" aca="1" ref="K2055"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5" s="406">
        <f t="array" aca="1" ref="L2055"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5" s="406">
        <f t="array" aca="1" ref="M2055"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5" s="406">
        <f t="array" aca="1" ref="N2055"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5" s="406">
        <f t="array" aca="1" ref="O2055"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5" s="406">
        <f t="array" aca="1" ref="P2055"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5" s="406">
        <f t="array" aca="1" ref="Q2055"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5" s="242"/>
      <c r="S2055" s="179"/>
      <c r="T2055" s="251"/>
      <c r="V2055" s="179"/>
      <c r="W2055" s="179"/>
    </row>
    <row r="2056" spans="1:24" s="65" customFormat="1" ht="15" customHeight="1" outlineLevel="2">
      <c r="A2056" s="219"/>
      <c r="B2056" s="242"/>
      <c r="C2056" s="251" t="s">
        <v>1816</v>
      </c>
      <c r="D2056" s="121" t="str">
        <f>INDEX(Regional.Technologies[Description],MATCH($B$2&amp;"."&amp;G.30.assumptions.EnergyEfficiency[[#This Row],[Technology code]],Regional.Technologies[Code],0))</f>
        <v>Global Solid Hydrocarbons use in the Primary Aluminium technology</v>
      </c>
      <c r="E2056" s="242">
        <f ca="1">INDEX(G.30.Levers[],MATCH(G.30.assumptions.EnergyEfficiency[[#This Row],[.]],G.30.Levers[Lever code],0),4)</f>
        <v>1</v>
      </c>
      <c r="F2056" s="121" t="s">
        <v>1418</v>
      </c>
      <c r="G2056" s="242" t="str">
        <f t="shared" si="183"/>
        <v>EnergyEfficiency.Aluminium.Primary</v>
      </c>
      <c r="H2056" s="242"/>
      <c r="I2056" s="406">
        <f t="array" aca="1" ref="I2056"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6" s="406">
        <f t="array" aca="1" ref="J2056"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6" s="406">
        <f t="array" aca="1" ref="K2056"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6" s="406">
        <f t="array" aca="1" ref="L2056"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6" s="406">
        <f t="array" aca="1" ref="M2056"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6" s="406">
        <f t="array" aca="1" ref="N2056"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6" s="406">
        <f t="array" aca="1" ref="O2056"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6" s="406">
        <f t="array" aca="1" ref="P2056"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6" s="406">
        <f t="array" aca="1" ref="Q2056"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6" s="242"/>
      <c r="S2056" s="179"/>
      <c r="T2056" s="251"/>
      <c r="V2056" s="179"/>
      <c r="W2056" s="179"/>
    </row>
    <row r="2057" spans="1:24" s="65" customFormat="1" ht="15" customHeight="1" outlineLevel="2">
      <c r="A2057" s="219"/>
      <c r="B2057" s="242"/>
      <c r="C2057" s="251" t="s">
        <v>1640</v>
      </c>
      <c r="D2057" s="121" t="str">
        <f>INDEX(Regional.Technologies[Description],MATCH($B$2&amp;"."&amp;G.30.assumptions.EnergyEfficiency[[#This Row],[Technology code]],Regional.Technologies[Code],0))</f>
        <v>Global Heat use in the Primary Aluminium technology</v>
      </c>
      <c r="E2057" s="242">
        <f ca="1">INDEX(G.30.Levers[],MATCH(G.30.assumptions.EnergyEfficiency[[#This Row],[.]],G.30.Levers[Lever code],0),4)</f>
        <v>1</v>
      </c>
      <c r="F2057" s="121" t="s">
        <v>1418</v>
      </c>
      <c r="G2057" s="242" t="str">
        <f t="shared" si="183"/>
        <v>EnergyEfficiency.Aluminium.Primary</v>
      </c>
      <c r="H2057" s="242"/>
      <c r="I2057" s="406">
        <f t="array" aca="1" ref="I2057"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7" s="406">
        <f t="array" aca="1" ref="J2057"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7" s="406">
        <f t="array" aca="1" ref="K2057"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7" s="406">
        <f t="array" aca="1" ref="L2057"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7" s="406">
        <f t="array" aca="1" ref="M2057"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7" s="406">
        <f t="array" aca="1" ref="N2057"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7" s="406">
        <f t="array" aca="1" ref="O2057"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7" s="406">
        <f t="array" aca="1" ref="P2057"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7" s="406">
        <f t="array" aca="1" ref="Q2057"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7" s="242"/>
      <c r="S2057" s="179"/>
      <c r="T2057" s="251"/>
      <c r="V2057" s="179"/>
      <c r="W2057" s="179"/>
    </row>
    <row r="2058" spans="1:24" s="65" customFormat="1" ht="15" customHeight="1" outlineLevel="2">
      <c r="A2058" s="219"/>
      <c r="B2058" s="242"/>
      <c r="C2058" s="251" t="s">
        <v>1641</v>
      </c>
      <c r="D2058" s="121" t="str">
        <f>INDEX(Regional.Technologies[Description],MATCH($B$2&amp;"."&amp;G.30.assumptions.EnergyEfficiency[[#This Row],[Technology code]],Regional.Technologies[Code],0))</f>
        <v>Global Electricity use in the Secondary Aluminium technology</v>
      </c>
      <c r="E2058" s="242">
        <f ca="1">INDEX(G.30.Levers[],MATCH(G.30.assumptions.EnergyEfficiency[[#This Row],[.]],G.30.Levers[Lever code],0),4)</f>
        <v>1</v>
      </c>
      <c r="F2058" s="121" t="s">
        <v>1418</v>
      </c>
      <c r="G2058" s="242" t="str">
        <f t="shared" si="183"/>
        <v>EnergyEfficiency.Aluminium.Secondary</v>
      </c>
      <c r="H2058" s="242"/>
      <c r="I2058" s="406">
        <f t="array" aca="1" ref="I2058"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8" s="406">
        <f t="array" aca="1" ref="J2058"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8" s="406">
        <f t="array" aca="1" ref="K2058"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8" s="406">
        <f t="array" aca="1" ref="L2058"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8" s="406">
        <f t="array" aca="1" ref="M2058"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8" s="406">
        <f t="array" aca="1" ref="N2058"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8" s="406">
        <f t="array" aca="1" ref="O2058"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8" s="406">
        <f t="array" aca="1" ref="P2058"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8" s="406">
        <f t="array" aca="1" ref="Q2058"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8" s="242"/>
      <c r="S2058" s="179"/>
      <c r="T2058" s="251"/>
      <c r="V2058" s="179"/>
      <c r="W2058" s="179"/>
    </row>
    <row r="2059" spans="1:24" s="65" customFormat="1" ht="15" customHeight="1" outlineLevel="2">
      <c r="A2059" s="219"/>
      <c r="B2059" s="242"/>
      <c r="C2059" s="251" t="s">
        <v>1817</v>
      </c>
      <c r="D2059" s="121" t="str">
        <f>INDEX(Regional.Technologies[Description],MATCH($B$2&amp;"."&amp;G.30.assumptions.EnergyEfficiency[[#This Row],[Technology code]],Regional.Technologies[Code],0))</f>
        <v>Global Coal use in the Secondary Aluminium technology</v>
      </c>
      <c r="E2059" s="242">
        <f ca="1">INDEX(G.30.Levers[],MATCH(G.30.assumptions.EnergyEfficiency[[#This Row],[.]],G.30.Levers[Lever code],0),4)</f>
        <v>1</v>
      </c>
      <c r="F2059" s="121" t="s">
        <v>1418</v>
      </c>
      <c r="G2059" s="242" t="str">
        <f t="shared" si="183"/>
        <v>EnergyEfficiency.Aluminium.Secondary</v>
      </c>
      <c r="H2059" s="242"/>
      <c r="I2059" s="406">
        <f t="array" aca="1" ref="I2059"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59" s="406">
        <f t="array" aca="1" ref="J2059"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59" s="406">
        <f t="array" aca="1" ref="K2059"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59" s="406">
        <f t="array" aca="1" ref="L2059"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59" s="406">
        <f t="array" aca="1" ref="M2059"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59" s="406">
        <f t="array" aca="1" ref="N2059"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59" s="406">
        <f t="array" aca="1" ref="O2059"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59" s="406">
        <f t="array" aca="1" ref="P2059"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59" s="406">
        <f t="array" aca="1" ref="Q2059"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59" s="242"/>
      <c r="S2059" s="179"/>
      <c r="T2059" s="251"/>
      <c r="V2059" s="179"/>
      <c r="W2059" s="179"/>
    </row>
    <row r="2060" spans="1:24" s="65" customFormat="1" ht="15" customHeight="1" outlineLevel="2">
      <c r="A2060" s="219"/>
      <c r="B2060" s="242"/>
      <c r="C2060" s="251" t="s">
        <v>1818</v>
      </c>
      <c r="D2060" s="121" t="str">
        <f>INDEX(Regional.Technologies[Description],MATCH($B$2&amp;"."&amp;G.30.assumptions.EnergyEfficiency[[#This Row],[Technology code]],Regional.Technologies[Code],0))</f>
        <v>Global Oil use in the Secondary Aluminium technology</v>
      </c>
      <c r="E2060" s="242">
        <f ca="1">INDEX(G.30.Levers[],MATCH(G.30.assumptions.EnergyEfficiency[[#This Row],[.]],G.30.Levers[Lever code],0),4)</f>
        <v>1</v>
      </c>
      <c r="F2060" s="121" t="s">
        <v>1418</v>
      </c>
      <c r="G2060" s="242" t="str">
        <f t="shared" si="183"/>
        <v>EnergyEfficiency.Aluminium.Secondary</v>
      </c>
      <c r="H2060" s="242"/>
      <c r="I2060" s="406">
        <f t="array" aca="1" ref="I2060"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60" s="406">
        <f t="array" aca="1" ref="J2060"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60" s="406">
        <f t="array" aca="1" ref="K2060"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60" s="406">
        <f t="array" aca="1" ref="L2060"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60" s="406">
        <f t="array" aca="1" ref="M2060"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60" s="406">
        <f t="array" aca="1" ref="N2060"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60" s="406">
        <f t="array" aca="1" ref="O2060"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60" s="406">
        <f t="array" aca="1" ref="P2060"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60" s="406">
        <f t="array" aca="1" ref="Q2060"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60" s="242"/>
      <c r="T2060" s="251"/>
      <c r="U2060" s="179"/>
      <c r="W2060" s="179"/>
      <c r="X2060" s="179"/>
    </row>
    <row r="2061" spans="1:24" s="65" customFormat="1" ht="15" customHeight="1" outlineLevel="2">
      <c r="A2061" s="219"/>
      <c r="B2061" s="242"/>
      <c r="C2061" s="251" t="s">
        <v>1819</v>
      </c>
      <c r="D2061" s="121" t="str">
        <f>INDEX(Regional.Technologies[Description],MATCH($B$2&amp;"."&amp;G.30.assumptions.EnergyEfficiency[[#This Row],[Technology code]],Regional.Technologies[Code],0))</f>
        <v>Global Natural Gas use in the Secondary Aluminium technology</v>
      </c>
      <c r="E2061" s="242">
        <f ca="1">INDEX(G.30.Levers[],MATCH(G.30.assumptions.EnergyEfficiency[[#This Row],[.]],G.30.Levers[Lever code],0),4)</f>
        <v>1</v>
      </c>
      <c r="F2061" s="121" t="s">
        <v>1418</v>
      </c>
      <c r="G2061" s="242" t="str">
        <f t="shared" si="183"/>
        <v>EnergyEfficiency.Aluminium.Secondary</v>
      </c>
      <c r="H2061" s="242"/>
      <c r="I2061" s="406">
        <f t="array" aca="1" ref="I2061"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61" s="406">
        <f t="array" aca="1" ref="J2061"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61" s="406">
        <f t="array" aca="1" ref="K2061"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61" s="406">
        <f t="array" aca="1" ref="L2061"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61" s="406">
        <f t="array" aca="1" ref="M2061"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61" s="406">
        <f t="array" aca="1" ref="N2061"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61" s="406">
        <f t="array" aca="1" ref="O2061"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61" s="406">
        <f t="array" aca="1" ref="P2061"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61" s="406">
        <f t="array" aca="1" ref="Q2061"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61" s="249"/>
      <c r="T2061" s="251"/>
      <c r="U2061" s="179"/>
      <c r="W2061" s="179"/>
      <c r="X2061" s="179"/>
    </row>
    <row r="2062" spans="1:24" s="65" customFormat="1" ht="15" customHeight="1" outlineLevel="2">
      <c r="A2062" s="219"/>
      <c r="B2062" s="242"/>
      <c r="C2062" s="251" t="s">
        <v>1820</v>
      </c>
      <c r="D2062" s="121" t="str">
        <f>INDEX(Regional.Technologies[Description],MATCH($B$2&amp;"."&amp;G.30.assumptions.EnergyEfficiency[[#This Row],[Technology code]],Regional.Technologies[Code],0))</f>
        <v>Global Solid Hydrocarbons use in the Secondary Aluminium technology</v>
      </c>
      <c r="E2062" s="242">
        <f ca="1">INDEX(G.30.Levers[],MATCH(G.30.assumptions.EnergyEfficiency[[#This Row],[.]],G.30.Levers[Lever code],0),4)</f>
        <v>1</v>
      </c>
      <c r="F2062" s="121" t="s">
        <v>1418</v>
      </c>
      <c r="G2062" s="242" t="str">
        <f t="shared" si="183"/>
        <v>EnergyEfficiency.Aluminium.Secondary</v>
      </c>
      <c r="H2062" s="242"/>
      <c r="I2062" s="406">
        <f t="array" aca="1" ref="I2062"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62" s="406">
        <f t="array" aca="1" ref="J2062"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62" s="406">
        <f t="array" aca="1" ref="K2062"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62" s="406">
        <f t="array" aca="1" ref="L2062"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62" s="406">
        <f t="array" aca="1" ref="M2062"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62" s="406">
        <f t="array" aca="1" ref="N2062"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62" s="406">
        <f t="array" aca="1" ref="O2062"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62" s="406">
        <f t="array" aca="1" ref="P2062"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62" s="406">
        <f t="array" aca="1" ref="Q2062"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62" s="121"/>
      <c r="T2062" s="251"/>
      <c r="U2062" s="179"/>
      <c r="W2062" s="179"/>
      <c r="X2062" s="179"/>
    </row>
    <row r="2063" spans="1:24" s="65" customFormat="1" ht="15" customHeight="1" outlineLevel="2">
      <c r="A2063" s="219"/>
      <c r="B2063" s="242"/>
      <c r="C2063" s="251" t="s">
        <v>1642</v>
      </c>
      <c r="D2063" s="121" t="str">
        <f>INDEX(Regional.Technologies[Description],MATCH($B$2&amp;"."&amp;G.30.assumptions.EnergyEfficiency[[#This Row],[Technology code]],Regional.Technologies[Code],0))</f>
        <v>Global Heat use in the Secondary Aluminium technology</v>
      </c>
      <c r="E2063" s="242">
        <f ca="1">INDEX(G.30.Levers[],MATCH(G.30.assumptions.EnergyEfficiency[[#This Row],[.]],G.30.Levers[Lever code],0),4)</f>
        <v>1</v>
      </c>
      <c r="F2063" s="121" t="s">
        <v>1418</v>
      </c>
      <c r="G2063" s="242" t="str">
        <f t="shared" si="183"/>
        <v>EnergyEfficiency.Aluminium.Secondary</v>
      </c>
      <c r="H2063" s="242"/>
      <c r="I2063" s="406">
        <f t="array" aca="1" ref="I2063" ca="1">(SUMIFS(INDIRECT("G.30.levels.EnergyEfficiency["&amp;I$2039&amp;"]"),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+(SUMIFS(INDIRECT("G.30.levels.EnergyEfficiency["&amp;I$2039&amp;"]"),
               G.30.levels.EnergyEfficiency[[Description]:[Description]],G.30.assumptions.EnergyEfficiency[[#This Row],[Description]:[Description]],
               G.30.levels.EnergyEfficiency[[Level]:[Level]],ROUNDUP(G.30.assumptions.EnergyEfficiency[[#This Row],[Level]:[Level]],0))*MOD(G.30.assumptions.EnergyEfficiency[[#This Row],[Level]:[Level]],1))</f>
        <v>0</v>
      </c>
      <c r="J2063" s="406">
        <f t="array" aca="1" ref="J2063" ca="1">(SUMIFS(INDIRECT("G.30.levels.EnergyEfficiency["&amp;J$2039&amp;"]"),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+(SUMIFS(INDIRECT("G.30.levels.EnergyEfficiency["&amp;J$2039&amp;"]"),
               G.30.levels.EnergyEfficiency[[Description]:[Description]],G.30.assumptions.EnergyEfficiency[[#This Row],[Description]:[Description]],
               G.30.levels.EnergyEfficiency[[Level]:[Level]],ROUNDUP(G.30.assumptions.EnergyEfficiency[[#This Row],[Level]:[Level]],0))*MOD(G.30.assumptions.EnergyEfficiency[[#This Row],[Level]:[Level]],1))</f>
        <v>0</v>
      </c>
      <c r="K2063" s="406">
        <f t="array" aca="1" ref="K2063" ca="1">(SUMIFS(INDIRECT("G.30.levels.EnergyEfficiency["&amp;K$2039&amp;"]"),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+(SUMIFS(INDIRECT("G.30.levels.EnergyEfficiency["&amp;K$2039&amp;"]"),
               G.30.levels.EnergyEfficiency[[Description]:[Description]],G.30.assumptions.EnergyEfficiency[[#This Row],[Description]:[Description]],
               G.30.levels.EnergyEfficiency[[Level]:[Level]],ROUNDUP(G.30.assumptions.EnergyEfficiency[[#This Row],[Level]:[Level]],0))*MOD(G.30.assumptions.EnergyEfficiency[[#This Row],[Level]:[Level]],1))</f>
        <v>0</v>
      </c>
      <c r="L2063" s="406">
        <f t="array" aca="1" ref="L2063" ca="1">(SUMIFS(INDIRECT("G.30.levels.EnergyEfficiency["&amp;L$2039&amp;"]"),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+(SUMIFS(INDIRECT("G.30.levels.EnergyEfficiency["&amp;L$2039&amp;"]"),
               G.30.levels.EnergyEfficiency[[Description]:[Description]],G.30.assumptions.EnergyEfficiency[[#This Row],[Description]:[Description]],
               G.30.levels.EnergyEfficiency[[Level]:[Level]],ROUNDUP(G.30.assumptions.EnergyEfficiency[[#This Row],[Level]:[Level]],0))*MOD(G.30.assumptions.EnergyEfficiency[[#This Row],[Level]:[Level]],1))</f>
        <v>0</v>
      </c>
      <c r="M2063" s="406">
        <f t="array" aca="1" ref="M2063" ca="1">(SUMIFS(INDIRECT("G.30.levels.EnergyEfficiency["&amp;M$2039&amp;"]"),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+(SUMIFS(INDIRECT("G.30.levels.EnergyEfficiency["&amp;M$2039&amp;"]"),
               G.30.levels.EnergyEfficiency[[Description]:[Description]],G.30.assumptions.EnergyEfficiency[[#This Row],[Description]:[Description]],
               G.30.levels.EnergyEfficiency[[Level]:[Level]],ROUNDUP(G.30.assumptions.EnergyEfficiency[[#This Row],[Level]:[Level]],0))*MOD(G.30.assumptions.EnergyEfficiency[[#This Row],[Level]:[Level]],1))</f>
        <v>0</v>
      </c>
      <c r="N2063" s="406">
        <f t="array" aca="1" ref="N2063" ca="1">(SUMIFS(INDIRECT("G.30.levels.EnergyEfficiency["&amp;N$2039&amp;"]"),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+(SUMIFS(INDIRECT("G.30.levels.EnergyEfficiency["&amp;N$2039&amp;"]"),
               G.30.levels.EnergyEfficiency[[Description]:[Description]],G.30.assumptions.EnergyEfficiency[[#This Row],[Description]:[Description]],
               G.30.levels.EnergyEfficiency[[Level]:[Level]],ROUNDUP(G.30.assumptions.EnergyEfficiency[[#This Row],[Level]:[Level]],0))*MOD(G.30.assumptions.EnergyEfficiency[[#This Row],[Level]:[Level]],1))</f>
        <v>0</v>
      </c>
      <c r="O2063" s="406">
        <f t="array" aca="1" ref="O2063" ca="1">(SUMIFS(INDIRECT("G.30.levels.EnergyEfficiency["&amp;O$2039&amp;"]"),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+(SUMIFS(INDIRECT("G.30.levels.EnergyEfficiency["&amp;O$2039&amp;"]"),
               G.30.levels.EnergyEfficiency[[Description]:[Description]],G.30.assumptions.EnergyEfficiency[[#This Row],[Description]:[Description]],
               G.30.levels.EnergyEfficiency[[Level]:[Level]],ROUNDUP(G.30.assumptions.EnergyEfficiency[[#This Row],[Level]:[Level]],0))*MOD(G.30.assumptions.EnergyEfficiency[[#This Row],[Level]:[Level]],1))</f>
        <v>0</v>
      </c>
      <c r="P2063" s="406">
        <f t="array" aca="1" ref="P2063" ca="1">(SUMIFS(INDIRECT("G.30.levels.EnergyEfficiency["&amp;P$2039&amp;"]"),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+(SUMIFS(INDIRECT("G.30.levels.EnergyEfficiency["&amp;P$2039&amp;"]"),
               G.30.levels.EnergyEfficiency[[Description]:[Description]],G.30.assumptions.EnergyEfficiency[[#This Row],[Description]:[Description]],
               G.30.levels.EnergyEfficiency[[Level]:[Level]],ROUNDUP(G.30.assumptions.EnergyEfficiency[[#This Row],[Level]:[Level]],0))*MOD(G.30.assumptions.EnergyEfficiency[[#This Row],[Level]:[Level]],1))</f>
        <v>0</v>
      </c>
      <c r="Q2063" s="406">
        <f t="array" aca="1" ref="Q2063" ca="1">(SUMIFS(INDIRECT("G.30.levels.EnergyEfficiency["&amp;Q$2039&amp;"]"),
               G.30.levels.EnergyEfficiency[[Description]:[Description]],G.30.assumptions.EnergyEfficiency[[#This Row],[Description]:[Description]],
               G.30.levels.EnergyEfficiency[[Level]:[Level]],ROUNDDOWN(G.30.assumptions.EnergyEfficiency[[#This Row],[Level]:[Level]],0))*(1-MOD(G.30.assumptions.EnergyEfficiency[[#This Row],[Level]:[Level]],1)))
+(SUMIFS(INDIRECT("G.30.levels.EnergyEfficiency["&amp;Q$2039&amp;"]"),
               G.30.levels.EnergyEfficiency[[Description]:[Description]],G.30.assumptions.EnergyEfficiency[[#This Row],[Description]:[Description]],
               G.30.levels.EnergyEfficiency[[Level]:[Level]],ROUNDUP(G.30.assumptions.EnergyEfficiency[[#This Row],[Level]:[Level]],0))*MOD(G.30.assumptions.EnergyEfficiency[[#This Row],[Level]:[Level]],1))</f>
        <v>0</v>
      </c>
      <c r="R2063" s="121"/>
      <c r="S2063" s="179"/>
      <c r="T2063" s="251"/>
      <c r="V2063" s="179"/>
      <c r="W2063" s="179"/>
    </row>
    <row r="2064" spans="1:24" s="65" customFormat="1" ht="15" customHeight="1" outlineLevel="2">
      <c r="A2064" s="219"/>
      <c r="B2064" s="242"/>
      <c r="C2064" s="242"/>
      <c r="D2064" s="242"/>
      <c r="E2064" s="242"/>
      <c r="F2064" s="121"/>
      <c r="G2064" s="242"/>
      <c r="H2064" s="242"/>
      <c r="I2064" s="420"/>
      <c r="J2064" s="418"/>
      <c r="K2064" s="418"/>
      <c r="L2064" s="418"/>
      <c r="M2064" s="418"/>
      <c r="N2064" s="418"/>
      <c r="O2064" s="418"/>
      <c r="P2064" s="418"/>
      <c r="Q2064" s="418"/>
      <c r="R2064" s="121"/>
      <c r="S2064" s="179"/>
      <c r="T2064" s="251"/>
      <c r="V2064" s="179"/>
      <c r="W2064" s="179"/>
    </row>
    <row r="2065" spans="1:24" s="65" customFormat="1" ht="15" customHeight="1" outlineLevel="2">
      <c r="A2065" s="219"/>
      <c r="B2065" s="242"/>
      <c r="C2065" s="242"/>
      <c r="D2065" s="242"/>
      <c r="E2065" s="242"/>
      <c r="F2065" s="242"/>
      <c r="G2065" s="242"/>
      <c r="H2065" s="242"/>
      <c r="I2065" s="242"/>
      <c r="J2065" s="246"/>
      <c r="K2065" s="246"/>
      <c r="L2065" s="246"/>
      <c r="M2065" s="246"/>
      <c r="N2065" s="246"/>
      <c r="O2065" s="246"/>
      <c r="P2065" s="246"/>
      <c r="Q2065" s="246"/>
      <c r="R2065" s="121"/>
      <c r="S2065" s="179"/>
      <c r="T2065" s="251"/>
      <c r="V2065" s="179"/>
      <c r="W2065" s="179"/>
    </row>
    <row r="2066" spans="1:24" s="65" customFormat="1" ht="15" customHeight="1" outlineLevel="2">
      <c r="A2066" s="219"/>
      <c r="B2066" s="242"/>
      <c r="C2066" s="248" t="s">
        <v>1654</v>
      </c>
      <c r="D2066" s="242"/>
      <c r="E2066" s="242"/>
      <c r="F2066" s="242"/>
      <c r="G2066" s="242"/>
      <c r="H2066" s="242"/>
      <c r="I2066" s="242"/>
      <c r="J2066" s="249"/>
      <c r="K2066" s="249"/>
      <c r="L2066" s="249"/>
      <c r="M2066" s="249"/>
      <c r="N2066" s="249"/>
      <c r="O2066" s="249"/>
      <c r="P2066" s="249"/>
      <c r="Q2066" s="320" t="str">
        <f>Preferences.energy</f>
        <v>EJ</v>
      </c>
      <c r="R2066" s="121"/>
      <c r="S2066" s="179"/>
      <c r="T2066" s="251"/>
      <c r="V2066" s="179"/>
      <c r="W2066" s="179"/>
    </row>
    <row r="2067" spans="1:24" s="65" customFormat="1" ht="15" customHeight="1" outlineLevel="2">
      <c r="A2067" s="219"/>
      <c r="B2067" s="242"/>
      <c r="C2067" s="248"/>
      <c r="D2067" s="242"/>
      <c r="E2067" s="242"/>
      <c r="F2067" s="242"/>
      <c r="G2067" s="242"/>
      <c r="H2067" s="242"/>
      <c r="I2067" s="242"/>
      <c r="J2067" s="259"/>
      <c r="K2067" s="249"/>
      <c r="L2067" s="249"/>
      <c r="M2067" s="249"/>
      <c r="N2067" s="249"/>
      <c r="O2067" s="249"/>
      <c r="P2067" s="249"/>
      <c r="Q2067" s="249"/>
      <c r="R2067" s="121"/>
      <c r="S2067" s="179"/>
      <c r="T2067" s="251"/>
      <c r="V2067" s="179"/>
      <c r="W2067" s="179"/>
    </row>
    <row r="2068" spans="1:24" s="65" customFormat="1" ht="15" customHeight="1" outlineLevel="2">
      <c r="A2068" s="219"/>
      <c r="B2068" s="242"/>
      <c r="C2068" s="258" t="s">
        <v>454</v>
      </c>
      <c r="D2068" s="258" t="s">
        <v>241</v>
      </c>
      <c r="E2068" s="258" t="s">
        <v>598</v>
      </c>
      <c r="F2068" s="258" t="s">
        <v>274</v>
      </c>
      <c r="G2068" s="258" t="s">
        <v>509</v>
      </c>
      <c r="H2068" s="258" t="s">
        <v>510</v>
      </c>
      <c r="I2068" s="258" t="s">
        <v>1107</v>
      </c>
      <c r="J2068" s="258" t="s">
        <v>210</v>
      </c>
      <c r="K2068" s="258" t="s">
        <v>211</v>
      </c>
      <c r="L2068" s="258" t="s">
        <v>212</v>
      </c>
      <c r="M2068" s="258" t="s">
        <v>213</v>
      </c>
      <c r="N2068" s="258" t="s">
        <v>214</v>
      </c>
      <c r="O2068" s="258" t="s">
        <v>215</v>
      </c>
      <c r="P2068" s="258" t="s">
        <v>216</v>
      </c>
      <c r="Q2068" s="258" t="s">
        <v>217</v>
      </c>
      <c r="R2068" s="121"/>
      <c r="S2068" s="179"/>
      <c r="T2068" s="251"/>
      <c r="V2068" s="179"/>
      <c r="W2068" s="179"/>
    </row>
    <row r="2069" spans="1:24" s="65" customFormat="1" ht="15" customHeight="1" outlineLevel="2">
      <c r="A2069" s="219"/>
      <c r="B2069" s="242"/>
      <c r="C2069" s="242" t="s">
        <v>1376</v>
      </c>
      <c r="D2069" s="121" t="str">
        <f>INDEX(Regional.Technologies[Description],MATCH($B$2&amp;"."&amp;G.30.Assumptions.EnergyDemandAfterEnergyEfficiency[[#This Row],[Technology code]],Regional.Technologies[Code],0))</f>
        <v>Global Electricity use in the Oxygen steel technology</v>
      </c>
      <c r="E2069" s="242"/>
      <c r="F2069" s="121" t="s">
        <v>1396</v>
      </c>
      <c r="G2069" s="242"/>
      <c r="H2069" s="242"/>
      <c r="I2069" s="318">
        <f t="array" aca="1" ref="I206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2.3089557437005142</v>
      </c>
      <c r="J2069" s="318">
        <f t="array" aca="1" ref="J206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2.296584564817489</v>
      </c>
      <c r="K2069" s="318">
        <f t="array" aca="1" ref="K206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2.2800911654957865</v>
      </c>
      <c r="L2069" s="318">
        <f t="array" aca="1" ref="L206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2.2624539598208386</v>
      </c>
      <c r="M2069" s="318">
        <f t="array" aca="1" ref="M206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2.243672947792644</v>
      </c>
      <c r="N2069" s="318">
        <f t="array" aca="1" ref="N206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2.223748129411204</v>
      </c>
      <c r="O2069" s="318">
        <f t="array" aca="1" ref="O206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2.2026795046765182</v>
      </c>
      <c r="P2069" s="318">
        <f t="array" aca="1" ref="P206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2.1804670735885865</v>
      </c>
      <c r="Q2069" s="318">
        <f t="array" aca="1" ref="Q206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2.1571108361474076</v>
      </c>
      <c r="R2069" s="121"/>
      <c r="S2069" s="179"/>
      <c r="T2069" s="179" t="str">
        <f>$T$6</f>
        <v>Source</v>
      </c>
      <c r="U2069" s="179" t="str">
        <f>$U$6</f>
        <v>Link</v>
      </c>
      <c r="V2069" s="179" t="str">
        <f>$V$6</f>
        <v>Risk (Green, Amber/Green, Amber, Red/Amber, Red)</v>
      </c>
      <c r="W2069" s="179" t="s">
        <v>869</v>
      </c>
      <c r="X2069" s="179" t="str">
        <f>$X$6</f>
        <v>Comment author</v>
      </c>
    </row>
    <row r="2070" spans="1:24" s="65" customFormat="1" ht="15" customHeight="1" outlineLevel="2">
      <c r="A2070" s="219"/>
      <c r="B2070" s="242"/>
      <c r="C2070" s="251" t="s">
        <v>1798</v>
      </c>
      <c r="D2070" s="121" t="str">
        <f>INDEX(Regional.Technologies[Description],MATCH($B$2&amp;"."&amp;G.30.Assumptions.EnergyDemandAfterEnergyEfficiency[[#This Row],[Technology code]],Regional.Technologies[Code],0))</f>
        <v>Global Coal use in the Oxygen steel technology</v>
      </c>
      <c r="E2070" s="242"/>
      <c r="F2070" s="121" t="s">
        <v>1396</v>
      </c>
      <c r="G2070" s="242"/>
      <c r="H2070" s="242"/>
      <c r="I2070" s="318">
        <f t="array" aca="1" ref="I207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12.811296723305107</v>
      </c>
      <c r="J2070" s="318">
        <f t="array" aca="1" ref="J207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12.74265493841169</v>
      </c>
      <c r="K2070" s="318">
        <f t="array" aca="1" ref="K207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12.651140913830325</v>
      </c>
      <c r="L2070" s="318">
        <f t="array" aca="1" ref="L207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12.553280452066092</v>
      </c>
      <c r="M2070" s="318">
        <f t="array" aca="1" ref="M207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12.449073553118971</v>
      </c>
      <c r="N2070" s="318">
        <f t="array" aca="1" ref="N207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12.338520216988986</v>
      </c>
      <c r="O2070" s="318">
        <f t="array" aca="1" ref="O207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12.22162044367612</v>
      </c>
      <c r="P2070" s="318">
        <f t="array" aca="1" ref="P207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12.09837423318038</v>
      </c>
      <c r="Q2070" s="318">
        <f t="array" aca="1" ref="Q207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11.968781585501759</v>
      </c>
      <c r="R2070" s="121"/>
      <c r="S2070" s="179"/>
      <c r="T2070" s="251"/>
      <c r="V2070" s="179"/>
      <c r="W2070" s="179"/>
    </row>
    <row r="2071" spans="1:24" s="65" customFormat="1" ht="15" customHeight="1" outlineLevel="2">
      <c r="A2071" s="219"/>
      <c r="B2071" s="242"/>
      <c r="C2071" s="251" t="s">
        <v>1799</v>
      </c>
      <c r="D2071" s="121" t="str">
        <f>INDEX(Regional.Technologies[Description],MATCH($B$2&amp;"."&amp;G.30.Assumptions.EnergyDemandAfterEnergyEfficiency[[#This Row],[Technology code]],Regional.Technologies[Code],0))</f>
        <v>Global Oil use in the Oxygen steel technology</v>
      </c>
      <c r="E2071" s="242"/>
      <c r="F2071" s="121" t="s">
        <v>1396</v>
      </c>
      <c r="G2071" s="242"/>
      <c r="H2071" s="242"/>
      <c r="I2071" s="318">
        <f t="array" aca="1" ref="I207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0.6053795859240001</v>
      </c>
      <c r="J2071" s="318">
        <f t="array" aca="1" ref="J207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0.60213601611109646</v>
      </c>
      <c r="K2071" s="318">
        <f t="array" aca="1" ref="K207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0.59781165117725454</v>
      </c>
      <c r="L2071" s="318">
        <f t="array" aca="1" ref="L207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0.5931873943903988</v>
      </c>
      <c r="M2071" s="318">
        <f t="array" aca="1" ref="M207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0.58826324575052924</v>
      </c>
      <c r="N2071" s="318">
        <f t="array" aca="1" ref="N207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0.58303920525764585</v>
      </c>
      <c r="O2071" s="318">
        <f t="array" aca="1" ref="O207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0.57751527291174864</v>
      </c>
      <c r="P2071" s="318">
        <f t="array" aca="1" ref="P207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0.57169144871283772</v>
      </c>
      <c r="Q2071" s="318">
        <f t="array" aca="1" ref="Q207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0.56556773266091265</v>
      </c>
      <c r="R2071" s="121"/>
      <c r="S2071" s="179"/>
      <c r="T2071" s="251"/>
      <c r="V2071" s="179"/>
      <c r="W2071" s="179"/>
    </row>
    <row r="2072" spans="1:24" s="65" customFormat="1" ht="15" customHeight="1" outlineLevel="2">
      <c r="A2072" s="219"/>
      <c r="B2072" s="242"/>
      <c r="C2072" s="251" t="s">
        <v>1800</v>
      </c>
      <c r="D2072" s="121" t="str">
        <f>INDEX(Regional.Technologies[Description],MATCH($B$2&amp;"."&amp;G.30.Assumptions.EnergyDemandAfterEnergyEfficiency[[#This Row],[Technology code]],Regional.Technologies[Code],0))</f>
        <v>Global Natural Gas use in the Oxygen steel technology</v>
      </c>
      <c r="E2072" s="242"/>
      <c r="F2072" s="121" t="s">
        <v>1396</v>
      </c>
      <c r="G2072" s="242"/>
      <c r="H2072" s="242"/>
      <c r="I2072" s="318">
        <f t="array" aca="1" ref="I207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1.0517591114635856</v>
      </c>
      <c r="J2072" s="318">
        <f t="array" aca="1" ref="J207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1.0461238799762498</v>
      </c>
      <c r="K2072" s="318">
        <f t="array" aca="1" ref="K207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1.0386109239298094</v>
      </c>
      <c r="L2072" s="318">
        <f t="array" aca="1" ref="L207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1.030576949341949</v>
      </c>
      <c r="M2072" s="318">
        <f t="array" aca="1" ref="M207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1.0220219562126687</v>
      </c>
      <c r="N2072" s="318">
        <f t="array" aca="1" ref="N207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1.0129459445419791</v>
      </c>
      <c r="O2072" s="318">
        <f t="array" aca="1" ref="O207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1.0033489143298713</v>
      </c>
      <c r="P2072" s="318">
        <f t="array" aca="1" ref="P207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0.9932308655763471</v>
      </c>
      <c r="Q2072" s="318">
        <f t="array" aca="1" ref="Q207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0.9825917982814083</v>
      </c>
      <c r="R2072" s="121"/>
      <c r="S2072" s="179"/>
      <c r="T2072" s="251"/>
      <c r="V2072" s="179"/>
      <c r="W2072" s="179"/>
    </row>
    <row r="2073" spans="1:24" s="65" customFormat="1" ht="15" customHeight="1" outlineLevel="2">
      <c r="A2073" s="219"/>
      <c r="B2073" s="242"/>
      <c r="C2073" s="251" t="s">
        <v>1802</v>
      </c>
      <c r="D2073" s="121" t="str">
        <f>INDEX(Regional.Technologies[Description],MATCH($B$2&amp;"."&amp;G.30.Assumptions.EnergyDemandAfterEnergyEfficiency[[#This Row],[Technology code]],Regional.Technologies[Code],0))</f>
        <v>Global Solid Hydrocarbons use in the Oxygen steel technology</v>
      </c>
      <c r="E2073" s="242"/>
      <c r="F2073" s="121" t="s">
        <v>1396</v>
      </c>
      <c r="G2073" s="242"/>
      <c r="H2073" s="242"/>
      <c r="I2073" s="318">
        <f t="array" aca="1" ref="I207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0.17590630860000006</v>
      </c>
      <c r="J2073" s="318">
        <f t="array" aca="1" ref="J207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0.17496381829186816</v>
      </c>
      <c r="K2073" s="318">
        <f t="array" aca="1" ref="K207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0.17370727927033774</v>
      </c>
      <c r="L2073" s="318">
        <f t="array" aca="1" ref="L207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0.17236360009729013</v>
      </c>
      <c r="M2073" s="318">
        <f t="array" aca="1" ref="M207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0.1709327807727252</v>
      </c>
      <c r="N2073" s="318">
        <f t="array" aca="1" ref="N207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0.16941482129664301</v>
      </c>
      <c r="O2073" s="318">
        <f t="array" aca="1" ref="O207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0.16780972166904359</v>
      </c>
      <c r="P2073" s="318">
        <f t="array" aca="1" ref="P207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0.16611748188992692</v>
      </c>
      <c r="Q2073" s="318">
        <f t="array" aca="1" ref="Q207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0.16433810195929288</v>
      </c>
      <c r="R2073" s="121"/>
      <c r="S2073" s="179"/>
      <c r="T2073" s="251"/>
      <c r="V2073" s="179"/>
      <c r="W2073" s="179"/>
    </row>
    <row r="2074" spans="1:24" s="65" customFormat="1" ht="15" customHeight="1" outlineLevel="2">
      <c r="A2074" s="219"/>
      <c r="B2074" s="242"/>
      <c r="C2074" s="251" t="s">
        <v>1635</v>
      </c>
      <c r="D2074" s="121" t="str">
        <f>INDEX(Regional.Technologies[Description],MATCH($B$2&amp;"."&amp;G.30.Assumptions.EnergyDemandAfterEnergyEfficiency[[#This Row],[Technology code]],Regional.Technologies[Code],0))</f>
        <v>Global Heat use in the Oxygen steel technology</v>
      </c>
      <c r="E2074" s="242"/>
      <c r="F2074" s="121" t="s">
        <v>1396</v>
      </c>
      <c r="G2074" s="242"/>
      <c r="H2074" s="242"/>
      <c r="I2074" s="318">
        <f t="array" aca="1" ref="I207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0.80340865264799999</v>
      </c>
      <c r="J2074" s="318">
        <f t="array" aca="1" ref="J207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0.7991040607626011</v>
      </c>
      <c r="K2074" s="318">
        <f t="array" aca="1" ref="K207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0.79336512888277322</v>
      </c>
      <c r="L2074" s="318">
        <f t="array" aca="1" ref="L207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0.78722820586619091</v>
      </c>
      <c r="M2074" s="318">
        <f t="array" aca="1" ref="M207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0.78069329171285384</v>
      </c>
      <c r="N2074" s="318">
        <f t="array" aca="1" ref="N207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0.77376038642276201</v>
      </c>
      <c r="O2074" s="318">
        <f t="array" aca="1" ref="O207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0.76642948999591576</v>
      </c>
      <c r="P2074" s="318">
        <f t="array" aca="1" ref="P207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0.75870060243231485</v>
      </c>
      <c r="Q2074" s="318">
        <f t="array" aca="1" ref="Q207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0.75057372373195896</v>
      </c>
      <c r="R2074" s="121"/>
      <c r="S2074" s="179"/>
      <c r="T2074" s="251"/>
      <c r="V2074" s="179"/>
      <c r="W2074" s="179"/>
    </row>
    <row r="2075" spans="1:24" s="65" customFormat="1" ht="15" customHeight="1" outlineLevel="2">
      <c r="A2075" s="219"/>
      <c r="B2075" s="242"/>
      <c r="C2075" s="242" t="s">
        <v>2053</v>
      </c>
      <c r="D2075" s="121" t="str">
        <f>INDEX(Regional.Technologies[Description],MATCH($B$2&amp;"."&amp;G.30.Assumptions.EnergyDemandAfterEnergyEfficiency[[#This Row],[Technology code]],Regional.Technologies[Code],0))</f>
        <v>Global Electricity use in the Hisarna Oxygen steel technology</v>
      </c>
      <c r="E2075" s="242"/>
      <c r="F2075" s="121" t="s">
        <v>1396</v>
      </c>
      <c r="G2075" s="242"/>
      <c r="H2075" s="242"/>
      <c r="I2075" s="318">
        <f t="array" aca="1" ref="I207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75" s="318">
        <f t="array" aca="1" ref="J207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75" s="318">
        <f t="array" aca="1" ref="K207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75" s="318">
        <f t="array" aca="1" ref="L207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75" s="318">
        <f t="array" aca="1" ref="M207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75" s="318">
        <f t="array" aca="1" ref="N207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75" s="318">
        <f t="array" aca="1" ref="O207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75" s="318">
        <f t="array" aca="1" ref="P207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75" s="363">
        <f t="array" aca="1" ref="Q207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75" s="121"/>
      <c r="S2075" s="179"/>
      <c r="T2075" s="251"/>
      <c r="V2075" s="179"/>
      <c r="W2075" s="179"/>
    </row>
    <row r="2076" spans="1:24" s="65" customFormat="1" ht="15" customHeight="1" outlineLevel="2">
      <c r="A2076" s="219"/>
      <c r="B2076" s="242"/>
      <c r="C2076" s="251" t="s">
        <v>2054</v>
      </c>
      <c r="D2076" s="121" t="str">
        <f>INDEX(Regional.Technologies[Description],MATCH($B$2&amp;"."&amp;G.30.Assumptions.EnergyDemandAfterEnergyEfficiency[[#This Row],[Technology code]],Regional.Technologies[Code],0))</f>
        <v>Global Coal use in the Hisarna Oxygen steel technology</v>
      </c>
      <c r="E2076" s="242"/>
      <c r="F2076" s="121" t="s">
        <v>1396</v>
      </c>
      <c r="G2076" s="242"/>
      <c r="H2076" s="242"/>
      <c r="I2076" s="318">
        <f t="array" aca="1" ref="I207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76" s="318">
        <f t="array" aca="1" ref="J207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76" s="318">
        <f t="array" aca="1" ref="K207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76" s="318">
        <f t="array" aca="1" ref="L207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76" s="318">
        <f t="array" aca="1" ref="M207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76" s="318">
        <f t="array" aca="1" ref="N207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76" s="318">
        <f t="array" aca="1" ref="O207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76" s="318">
        <f t="array" aca="1" ref="P207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76" s="363">
        <f t="array" aca="1" ref="Q207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76" s="121"/>
      <c r="S2076" s="179"/>
      <c r="T2076" s="251"/>
      <c r="V2076" s="179"/>
      <c r="W2076" s="179"/>
    </row>
    <row r="2077" spans="1:24" s="65" customFormat="1" ht="15" customHeight="1" outlineLevel="2">
      <c r="A2077" s="219"/>
      <c r="B2077" s="242"/>
      <c r="C2077" s="251" t="s">
        <v>2055</v>
      </c>
      <c r="D2077" s="121" t="str">
        <f>INDEX(Regional.Technologies[Description],MATCH($B$2&amp;"."&amp;G.30.Assumptions.EnergyDemandAfterEnergyEfficiency[[#This Row],[Technology code]],Regional.Technologies[Code],0))</f>
        <v>Global Oil use in the Hisarna Oxygen steel technology</v>
      </c>
      <c r="E2077" s="242"/>
      <c r="F2077" s="121" t="s">
        <v>1396</v>
      </c>
      <c r="G2077" s="242"/>
      <c r="H2077" s="242"/>
      <c r="I2077" s="318">
        <f t="array" aca="1" ref="I207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77" s="318">
        <f t="array" aca="1" ref="J207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77" s="318">
        <f t="array" aca="1" ref="K207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77" s="318">
        <f t="array" aca="1" ref="L207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77" s="318">
        <f t="array" aca="1" ref="M207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77" s="318">
        <f t="array" aca="1" ref="N207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77" s="318">
        <f t="array" aca="1" ref="O207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77" s="318">
        <f t="array" aca="1" ref="P207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77" s="363">
        <f t="array" aca="1" ref="Q207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77" s="121"/>
      <c r="S2077" s="179"/>
      <c r="T2077" s="251"/>
      <c r="V2077" s="179"/>
      <c r="W2077" s="179"/>
    </row>
    <row r="2078" spans="1:24" s="65" customFormat="1" ht="15" customHeight="1" outlineLevel="2">
      <c r="A2078" s="219"/>
      <c r="B2078" s="242"/>
      <c r="C2078" s="251" t="s">
        <v>2056</v>
      </c>
      <c r="D2078" s="121" t="str">
        <f>INDEX(Regional.Technologies[Description],MATCH($B$2&amp;"."&amp;G.30.Assumptions.EnergyDemandAfterEnergyEfficiency[[#This Row],[Technology code]],Regional.Technologies[Code],0))</f>
        <v>Global Natural Gas use in the Hisarna Oxygen steel technology</v>
      </c>
      <c r="E2078" s="242"/>
      <c r="F2078" s="121" t="s">
        <v>1396</v>
      </c>
      <c r="G2078" s="242"/>
      <c r="H2078" s="242"/>
      <c r="I2078" s="318">
        <f t="array" aca="1" ref="I207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78" s="318">
        <f t="array" aca="1" ref="J207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78" s="318">
        <f t="array" aca="1" ref="K207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78" s="318">
        <f t="array" aca="1" ref="L207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78" s="318">
        <f t="array" aca="1" ref="M207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78" s="318">
        <f t="array" aca="1" ref="N207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78" s="318">
        <f t="array" aca="1" ref="O207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78" s="318">
        <f t="array" aca="1" ref="P207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78" s="363">
        <f t="array" aca="1" ref="Q207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78" s="121"/>
      <c r="S2078" s="179"/>
      <c r="T2078" s="251"/>
      <c r="V2078" s="179"/>
      <c r="W2078" s="179"/>
    </row>
    <row r="2079" spans="1:24" s="65" customFormat="1" ht="15" customHeight="1" outlineLevel="2">
      <c r="A2079" s="219"/>
      <c r="B2079" s="242"/>
      <c r="C2079" s="251" t="s">
        <v>2057</v>
      </c>
      <c r="D2079" s="121" t="str">
        <f>INDEX(Regional.Technologies[Description],MATCH($B$2&amp;"."&amp;G.30.Assumptions.EnergyDemandAfterEnergyEfficiency[[#This Row],[Technology code]],Regional.Technologies[Code],0))</f>
        <v>Global Solid Hydrocarbons use in the Hisarna Oxygen steel technology</v>
      </c>
      <c r="E2079" s="242"/>
      <c r="F2079" s="121" t="s">
        <v>1396</v>
      </c>
      <c r="G2079" s="242"/>
      <c r="H2079" s="242"/>
      <c r="I2079" s="318">
        <f t="array" aca="1" ref="I207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79" s="318">
        <f t="array" aca="1" ref="J207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79" s="318">
        <f t="array" aca="1" ref="K207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79" s="318">
        <f t="array" aca="1" ref="L207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79" s="318">
        <f t="array" aca="1" ref="M207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79" s="318">
        <f t="array" aca="1" ref="N207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79" s="318">
        <f t="array" aca="1" ref="O207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79" s="318">
        <f t="array" aca="1" ref="P207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79" s="363">
        <f t="array" aca="1" ref="Q207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79" s="121"/>
      <c r="S2079" s="179"/>
      <c r="T2079" s="251"/>
      <c r="V2079" s="179"/>
      <c r="W2079" s="179"/>
    </row>
    <row r="2080" spans="1:24" s="65" customFormat="1" ht="15" customHeight="1" outlineLevel="2">
      <c r="A2080" s="219"/>
      <c r="B2080" s="242"/>
      <c r="C2080" s="251" t="s">
        <v>2058</v>
      </c>
      <c r="D2080" s="121" t="str">
        <f>INDEX(Regional.Technologies[Description],MATCH($B$2&amp;"."&amp;G.30.Assumptions.EnergyDemandAfterEnergyEfficiency[[#This Row],[Technology code]],Regional.Technologies[Code],0))</f>
        <v>Global Heat use in the Hisarna Oxygen steel technology</v>
      </c>
      <c r="E2080" s="242"/>
      <c r="F2080" s="121" t="s">
        <v>1396</v>
      </c>
      <c r="G2080" s="242"/>
      <c r="H2080" s="242"/>
      <c r="I2080" s="318">
        <f t="array" aca="1" ref="I208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80" s="318">
        <f t="array" aca="1" ref="J208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80" s="318">
        <f t="array" aca="1" ref="K208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80" s="318">
        <f t="array" aca="1" ref="L208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80" s="318">
        <f t="array" aca="1" ref="M208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80" s="318">
        <f t="array" aca="1" ref="N208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80" s="318">
        <f t="array" aca="1" ref="O208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80" s="318">
        <f t="array" aca="1" ref="P208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80" s="363">
        <f t="array" aca="1" ref="Q208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80" s="121"/>
      <c r="S2080" s="179"/>
      <c r="T2080" s="251"/>
      <c r="V2080" s="179"/>
      <c r="W2080" s="179"/>
    </row>
    <row r="2081" spans="1:23" s="65" customFormat="1" ht="15" customHeight="1" outlineLevel="2">
      <c r="A2081" s="219"/>
      <c r="B2081" s="242"/>
      <c r="C2081" s="251" t="s">
        <v>1379</v>
      </c>
      <c r="D2081" s="121" t="str">
        <f>INDEX(Regional.Technologies[Description],MATCH($B$2&amp;"."&amp;G.30.Assumptions.EnergyDemandAfterEnergyEfficiency[[#This Row],[Technology code]],Regional.Technologies[Code],0))</f>
        <v>Global Electricity use in the Electric steel technology</v>
      </c>
      <c r="E2081" s="242"/>
      <c r="F2081" s="121" t="s">
        <v>1396</v>
      </c>
      <c r="G2081" s="242"/>
      <c r="H2081" s="242"/>
      <c r="I2081" s="318">
        <f t="array" aca="1" ref="I208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1.6352704427314861</v>
      </c>
      <c r="J2081" s="318">
        <f t="array" aca="1" ref="J208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1.7134937789391276</v>
      </c>
      <c r="K2081" s="318">
        <f t="array" aca="1" ref="K208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1.8130275874759676</v>
      </c>
      <c r="L2081" s="318">
        <f t="array" aca="1" ref="L208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1.9145109940986842</v>
      </c>
      <c r="M2081" s="318">
        <f t="array" aca="1" ref="M208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2.0179439988072758</v>
      </c>
      <c r="N2081" s="318">
        <f t="array" aca="1" ref="N208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2.123326601601744</v>
      </c>
      <c r="O2081" s="318">
        <f t="array" aca="1" ref="O208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2.2306588024820879</v>
      </c>
      <c r="P2081" s="318">
        <f t="array" aca="1" ref="P208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2.3399406014483071</v>
      </c>
      <c r="Q2081" s="318">
        <f t="array" aca="1" ref="Q208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2.4511719985004023</v>
      </c>
      <c r="R2081" s="121"/>
      <c r="S2081" s="179"/>
      <c r="T2081" s="251"/>
      <c r="V2081" s="179"/>
      <c r="W2081" s="179"/>
    </row>
    <row r="2082" spans="1:23" s="65" customFormat="1" ht="15" customHeight="1" outlineLevel="2">
      <c r="A2082" s="219"/>
      <c r="B2082" s="242"/>
      <c r="C2082" s="251" t="s">
        <v>1803</v>
      </c>
      <c r="D2082" s="121" t="str">
        <f>INDEX(Regional.Technologies[Description],MATCH($B$2&amp;"."&amp;G.30.Assumptions.EnergyDemandAfterEnergyEfficiency[[#This Row],[Technology code]],Regional.Technologies[Code],0))</f>
        <v>Global Coal use in the Electric steel technology</v>
      </c>
      <c r="E2082" s="242"/>
      <c r="F2082" s="121" t="s">
        <v>1396</v>
      </c>
      <c r="G2082" s="242"/>
      <c r="H2082" s="242"/>
      <c r="I2082" s="318">
        <f t="array" aca="1" ref="I208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10.424196405786889</v>
      </c>
      <c r="J2082" s="318">
        <f t="array" aca="1" ref="J208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10.922838953732857</v>
      </c>
      <c r="K2082" s="318">
        <f t="array" aca="1" ref="K208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11.557327257374492</v>
      </c>
      <c r="L2082" s="318">
        <f t="array" aca="1" ref="L208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12.204243470692997</v>
      </c>
      <c r="M2082" s="318">
        <f t="array" aca="1" ref="M208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12.863587593688365</v>
      </c>
      <c r="N2082" s="318">
        <f t="array" aca="1" ref="N208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13.535359626360606</v>
      </c>
      <c r="O2082" s="318">
        <f t="array" aca="1" ref="O208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14.219559568709709</v>
      </c>
      <c r="P2082" s="318">
        <f t="array" aca="1" ref="P208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14.916187420735676</v>
      </c>
      <c r="Q2082" s="318">
        <f t="array" aca="1" ref="Q208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15.62524318243851</v>
      </c>
      <c r="R2082" s="121"/>
      <c r="S2082" s="179"/>
      <c r="T2082" s="251"/>
      <c r="V2082" s="179"/>
      <c r="W2082" s="179"/>
    </row>
    <row r="2083" spans="1:23" s="65" customFormat="1" ht="15" customHeight="1" outlineLevel="2">
      <c r="A2083" s="219"/>
      <c r="B2083" s="242"/>
      <c r="C2083" s="251" t="s">
        <v>1804</v>
      </c>
      <c r="D2083" s="121" t="str">
        <f>INDEX(Regional.Technologies[Description],MATCH($B$2&amp;"."&amp;G.30.Assumptions.EnergyDemandAfterEnergyEfficiency[[#This Row],[Technology code]],Regional.Technologies[Code],0))</f>
        <v>Global Oil use in the Electric steel technology</v>
      </c>
      <c r="E2083" s="242"/>
      <c r="F2083" s="121" t="s">
        <v>1396</v>
      </c>
      <c r="G2083" s="242"/>
      <c r="H2083" s="242"/>
      <c r="I2083" s="318">
        <f t="array" aca="1" ref="I208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83" s="318">
        <f t="array" aca="1" ref="J208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83" s="318">
        <f t="array" aca="1" ref="K208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83" s="318">
        <f t="array" aca="1" ref="L208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83" s="318">
        <f t="array" aca="1" ref="M208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83" s="318">
        <f t="array" aca="1" ref="N208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83" s="318">
        <f t="array" aca="1" ref="O208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83" s="318">
        <f t="array" aca="1" ref="P208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83" s="318">
        <f t="array" aca="1" ref="Q208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83" s="121"/>
      <c r="S2083" s="179"/>
      <c r="T2083" s="251"/>
      <c r="V2083" s="179"/>
      <c r="W2083" s="179"/>
    </row>
    <row r="2084" spans="1:23" s="65" customFormat="1" ht="15" customHeight="1" outlineLevel="2">
      <c r="A2084" s="219"/>
      <c r="B2084" s="242"/>
      <c r="C2084" s="251" t="s">
        <v>1805</v>
      </c>
      <c r="D2084" s="121" t="str">
        <f>INDEX(Regional.Technologies[Description],MATCH($B$2&amp;"."&amp;G.30.Assumptions.EnergyDemandAfterEnergyEfficiency[[#This Row],[Technology code]],Regional.Technologies[Code],0))</f>
        <v>Global Natural Gas use in the Electric steel technology</v>
      </c>
      <c r="E2084" s="242"/>
      <c r="F2084" s="121" t="s">
        <v>1396</v>
      </c>
      <c r="G2084" s="242"/>
      <c r="H2084" s="242"/>
      <c r="I2084" s="318">
        <f t="array" aca="1" ref="I208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1.2528070032244134</v>
      </c>
      <c r="J2084" s="318">
        <f t="array" aca="1" ref="J208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1.3127351599718793</v>
      </c>
      <c r="K2084" s="318">
        <f t="array" aca="1" ref="K208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1.3889896125285226</v>
      </c>
      <c r="L2084" s="318">
        <f t="array" aca="1" ref="L208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1.4667376835544026</v>
      </c>
      <c r="M2084" s="318">
        <f t="array" aca="1" ref="M208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1.5459793730495193</v>
      </c>
      <c r="N2084" s="318">
        <f t="array" aca="1" ref="N208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1.6267146810138691</v>
      </c>
      <c r="O2084" s="318">
        <f t="array" aca="1" ref="O208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1.7089436074474555</v>
      </c>
      <c r="P2084" s="318">
        <f t="array" aca="1" ref="P208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1.7926661523502752</v>
      </c>
      <c r="Q2084" s="318">
        <f t="array" aca="1" ref="Q208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1.8778823157223314</v>
      </c>
      <c r="R2084" s="121"/>
      <c r="S2084" s="179"/>
      <c r="T2084" s="251"/>
      <c r="V2084" s="179"/>
      <c r="W2084" s="179"/>
    </row>
    <row r="2085" spans="1:23" s="65" customFormat="1" ht="15" customHeight="1" outlineLevel="2">
      <c r="A2085" s="219"/>
      <c r="B2085" s="242"/>
      <c r="C2085" s="251" t="s">
        <v>1806</v>
      </c>
      <c r="D2085" s="121" t="str">
        <f>INDEX(Regional.Technologies[Description],MATCH($B$2&amp;"."&amp;G.30.Assumptions.EnergyDemandAfterEnergyEfficiency[[#This Row],[Technology code]],Regional.Technologies[Code],0))</f>
        <v>Global Solid Hydrocarbons use in the Electric steel technology</v>
      </c>
      <c r="E2085" s="242"/>
      <c r="F2085" s="121" t="s">
        <v>1396</v>
      </c>
      <c r="G2085" s="242"/>
      <c r="H2085" s="242"/>
      <c r="I2085" s="318">
        <f t="array" aca="1" ref="I208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85" s="318">
        <f t="array" aca="1" ref="J208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85" s="318">
        <f t="array" aca="1" ref="K208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85" s="318">
        <f t="array" aca="1" ref="L208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85" s="318">
        <f t="array" aca="1" ref="M208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85" s="318">
        <f t="array" aca="1" ref="N208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85" s="318">
        <f t="array" aca="1" ref="O208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85" s="318">
        <f t="array" aca="1" ref="P208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85" s="318">
        <f t="array" aca="1" ref="Q208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85" s="121"/>
      <c r="S2085" s="179"/>
      <c r="T2085" s="251"/>
      <c r="V2085" s="179"/>
      <c r="W2085" s="179"/>
    </row>
    <row r="2086" spans="1:23" s="65" customFormat="1" ht="15" customHeight="1" outlineLevel="2">
      <c r="A2086" s="219"/>
      <c r="B2086" s="242"/>
      <c r="C2086" s="251" t="s">
        <v>1636</v>
      </c>
      <c r="D2086" s="121" t="str">
        <f>INDEX(Regional.Technologies[Description],MATCH($B$2&amp;"."&amp;G.30.Assumptions.EnergyDemandAfterEnergyEfficiency[[#This Row],[Technology code]],Regional.Technologies[Code],0))</f>
        <v>Global Heat use in the Electric steel technology</v>
      </c>
      <c r="E2086" s="242"/>
      <c r="F2086" s="121" t="s">
        <v>1396</v>
      </c>
      <c r="G2086" s="242"/>
      <c r="H2086" s="242"/>
      <c r="I2086" s="318">
        <f t="array" aca="1" ref="I208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86" s="318">
        <f t="array" aca="1" ref="J208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86" s="318">
        <f t="array" aca="1" ref="K208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86" s="318">
        <f t="array" aca="1" ref="L208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86" s="318">
        <f t="array" aca="1" ref="M208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86" s="318">
        <f t="array" aca="1" ref="N208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86" s="318">
        <f t="array" aca="1" ref="O208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86" s="318">
        <f t="array" aca="1" ref="P208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86" s="318">
        <f t="array" aca="1" ref="Q208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86" s="121"/>
      <c r="S2086" s="179"/>
      <c r="T2086" s="251"/>
      <c r="V2086" s="179"/>
      <c r="W2086" s="179"/>
    </row>
    <row r="2087" spans="1:23" s="65" customFormat="1" ht="15" customHeight="1" outlineLevel="2">
      <c r="A2087" s="219"/>
      <c r="B2087" s="242"/>
      <c r="C2087" s="242" t="s">
        <v>1807</v>
      </c>
      <c r="D2087" s="121" t="str">
        <f>INDEX(Regional.Technologies[Description],MATCH($B$2&amp;"."&amp;G.30.Assumptions.EnergyDemandAfterEnergyEfficiency[[#This Row],[Technology code]],Regional.Technologies[Code],0))</f>
        <v>Global Electricity use in the Alumina Aluminium technology</v>
      </c>
      <c r="E2087" s="242"/>
      <c r="F2087" s="121" t="s">
        <v>1418</v>
      </c>
      <c r="G2087" s="242"/>
      <c r="H2087" s="242"/>
      <c r="I2087" s="318">
        <f t="array" aca="1" ref="I208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5.7780487765234236E-2</v>
      </c>
      <c r="J2087" s="318">
        <f t="array" aca="1" ref="J208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5.9889708832233816E-2</v>
      </c>
      <c r="K2087" s="318">
        <f t="array" aca="1" ref="K208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6.2569539119400122E-2</v>
      </c>
      <c r="L2087" s="318">
        <f t="array" aca="1" ref="L208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6.529748491036283E-2</v>
      </c>
      <c r="M2087" s="318">
        <f t="array" aca="1" ref="M208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6.8073546205122029E-2</v>
      </c>
      <c r="N2087" s="318">
        <f t="array" aca="1" ref="N208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7.0897723003677623E-2</v>
      </c>
      <c r="O2087" s="318">
        <f t="array" aca="1" ref="O208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7.377001530602971E-2</v>
      </c>
      <c r="P2087" s="318">
        <f t="array" aca="1" ref="P208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7.6690423112178219E-2</v>
      </c>
      <c r="Q2087" s="318">
        <f t="array" aca="1" ref="Q208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7.9658946422123164E-2</v>
      </c>
      <c r="R2087" s="121"/>
      <c r="S2087" s="179"/>
      <c r="T2087" s="251"/>
      <c r="V2087" s="179"/>
      <c r="W2087" s="179"/>
    </row>
    <row r="2088" spans="1:23" s="65" customFormat="1" ht="15" customHeight="1" outlineLevel="2">
      <c r="A2088" s="219"/>
      <c r="B2088" s="242"/>
      <c r="C2088" s="251" t="s">
        <v>1808</v>
      </c>
      <c r="D2088" s="121" t="str">
        <f>INDEX(Regional.Technologies[Description],MATCH($B$2&amp;"."&amp;G.30.Assumptions.EnergyDemandAfterEnergyEfficiency[[#This Row],[Technology code]],Regional.Technologies[Code],0))</f>
        <v>Global Coal use in the Alumina Aluminium technology</v>
      </c>
      <c r="E2088" s="242"/>
      <c r="F2088" s="121" t="s">
        <v>1418</v>
      </c>
      <c r="G2088" s="242"/>
      <c r="H2088" s="242"/>
      <c r="I2088" s="318">
        <f t="array" aca="1" ref="I208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0.61777191351520933</v>
      </c>
      <c r="J2088" s="318">
        <f t="array" aca="1" ref="J208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0.64032308234371027</v>
      </c>
      <c r="K2088" s="318">
        <f t="array" aca="1" ref="K208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0.66897503646229173</v>
      </c>
      <c r="L2088" s="318">
        <f t="array" aca="1" ref="L208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0.6981414273397113</v>
      </c>
      <c r="M2088" s="318">
        <f t="array" aca="1" ref="M208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0.72782225497597042</v>
      </c>
      <c r="N2088" s="318">
        <f t="array" aca="1" ref="N208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0.75801751937106809</v>
      </c>
      <c r="O2088" s="318">
        <f t="array" aca="1" ref="O208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0.7887272205250051</v>
      </c>
      <c r="P2088" s="318">
        <f t="array" aca="1" ref="P208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0.81995135843778066</v>
      </c>
      <c r="Q2088" s="318">
        <f t="array" aca="1" ref="Q208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0.851689933109395</v>
      </c>
      <c r="R2088" s="121"/>
      <c r="S2088" s="179"/>
      <c r="T2088" s="251"/>
      <c r="V2088" s="179"/>
      <c r="W2088" s="179"/>
    </row>
    <row r="2089" spans="1:23" s="65" customFormat="1" ht="15" customHeight="1" outlineLevel="2">
      <c r="A2089" s="219"/>
      <c r="B2089" s="242"/>
      <c r="C2089" s="251" t="s">
        <v>1809</v>
      </c>
      <c r="D2089" s="121" t="str">
        <f>INDEX(Regional.Technologies[Description],MATCH($B$2&amp;"."&amp;G.30.Assumptions.EnergyDemandAfterEnergyEfficiency[[#This Row],[Technology code]],Regional.Technologies[Code],0))</f>
        <v>Global Oil use in the Alumina Aluminium technology</v>
      </c>
      <c r="E2089" s="242"/>
      <c r="F2089" s="121" t="s">
        <v>1418</v>
      </c>
      <c r="G2089" s="242"/>
      <c r="H2089" s="242"/>
      <c r="I2089" s="318">
        <f t="array" aca="1" ref="I208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0.36003980562967391</v>
      </c>
      <c r="J2089" s="318">
        <f t="array" aca="1" ref="J208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0.37318271203915326</v>
      </c>
      <c r="K2089" s="318">
        <f t="array" aca="1" ref="K208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0.38988117916930454</v>
      </c>
      <c r="L2089" s="318">
        <f t="array" aca="1" ref="L208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0.40687946198645758</v>
      </c>
      <c r="M2089" s="318">
        <f t="array" aca="1" ref="M208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0.42417756049061289</v>
      </c>
      <c r="N2089" s="318">
        <f t="array" aca="1" ref="N208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0.44177547468176992</v>
      </c>
      <c r="O2089" s="318">
        <f t="array" aca="1" ref="O208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0.45967320455992927</v>
      </c>
      <c r="P2089" s="318">
        <f t="array" aca="1" ref="P208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0.47787075012509045</v>
      </c>
      <c r="Q2089" s="318">
        <f t="array" aca="1" ref="Q208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0.49636811137725367</v>
      </c>
      <c r="R2089" s="121"/>
      <c r="S2089" s="179"/>
      <c r="T2089" s="251"/>
      <c r="V2089" s="179"/>
      <c r="W2089" s="179"/>
    </row>
    <row r="2090" spans="1:23" s="65" customFormat="1" ht="15" customHeight="1" outlineLevel="2">
      <c r="A2090" s="219"/>
      <c r="B2090" s="242"/>
      <c r="C2090" s="251" t="s">
        <v>1810</v>
      </c>
      <c r="D2090" s="121" t="str">
        <f>INDEX(Regional.Technologies[Description],MATCH($B$2&amp;"."&amp;G.30.Assumptions.EnergyDemandAfterEnergyEfficiency[[#This Row],[Technology code]],Regional.Technologies[Code],0))</f>
        <v>Global Natural Gas use in the Alumina Aluminium technology</v>
      </c>
      <c r="E2090" s="242"/>
      <c r="F2090" s="121" t="s">
        <v>1418</v>
      </c>
      <c r="G2090" s="242"/>
      <c r="H2090" s="242"/>
      <c r="I2090" s="318">
        <f t="array" aca="1" ref="I209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0.33333998618469551</v>
      </c>
      <c r="J2090" s="318">
        <f t="array" aca="1" ref="J209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0.34550824139553415</v>
      </c>
      <c r="K2090" s="318">
        <f t="array" aca="1" ref="K209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0.36096838417817834</v>
      </c>
      <c r="L2090" s="318">
        <f t="array" aca="1" ref="L209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0.37670610892648404</v>
      </c>
      <c r="M2090" s="318">
        <f t="array" aca="1" ref="M209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0.39272141564045193</v>
      </c>
      <c r="N2090" s="318">
        <f t="array" aca="1" ref="N209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0.40901430432008157</v>
      </c>
      <c r="O2090" s="318">
        <f t="array" aca="1" ref="O209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0.42558477496537339</v>
      </c>
      <c r="P2090" s="318">
        <f t="array" aca="1" ref="P209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0.44243282757632674</v>
      </c>
      <c r="Q2090" s="318">
        <f t="array" aca="1" ref="Q209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0.45955846215294205</v>
      </c>
      <c r="R2090" s="121"/>
      <c r="S2090" s="179"/>
      <c r="T2090" s="251"/>
      <c r="V2090" s="179"/>
      <c r="W2090" s="179"/>
    </row>
    <row r="2091" spans="1:23" s="65" customFormat="1" ht="15" customHeight="1" outlineLevel="2">
      <c r="A2091" s="219"/>
      <c r="B2091" s="242"/>
      <c r="C2091" s="251" t="s">
        <v>1811</v>
      </c>
      <c r="D2091" s="121" t="str">
        <f>INDEX(Regional.Technologies[Description],MATCH($B$2&amp;"."&amp;G.30.Assumptions.EnergyDemandAfterEnergyEfficiency[[#This Row],[Technology code]],Regional.Technologies[Code],0))</f>
        <v>Global Solid Hydrocarbons use in the Alumina Aluminium technology</v>
      </c>
      <c r="E2091" s="242"/>
      <c r="F2091" s="121" t="s">
        <v>1418</v>
      </c>
      <c r="G2091" s="242"/>
      <c r="H2091" s="242"/>
      <c r="I2091" s="318">
        <f t="array" aca="1" ref="I209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91" s="318">
        <f t="array" aca="1" ref="J209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91" s="318">
        <f t="array" aca="1" ref="K209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91" s="318">
        <f t="array" aca="1" ref="L209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91" s="318">
        <f t="array" aca="1" ref="M209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91" s="318">
        <f t="array" aca="1" ref="N209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91" s="318">
        <f t="array" aca="1" ref="O209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91" s="318">
        <f t="array" aca="1" ref="P209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91" s="318">
        <f t="array" aca="1" ref="Q209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91" s="121"/>
      <c r="S2091" s="179"/>
      <c r="T2091" s="251"/>
      <c r="V2091" s="179"/>
      <c r="W2091" s="179"/>
    </row>
    <row r="2092" spans="1:23" s="65" customFormat="1" ht="15" customHeight="1" outlineLevel="2">
      <c r="A2092" s="219"/>
      <c r="B2092" s="242"/>
      <c r="C2092" s="251" t="s">
        <v>1812</v>
      </c>
      <c r="D2092" s="121" t="str">
        <f>INDEX(Regional.Technologies[Description],MATCH($B$2&amp;"."&amp;G.30.Assumptions.EnergyDemandAfterEnergyEfficiency[[#This Row],[Technology code]],Regional.Technologies[Code],0))</f>
        <v>Global Heat use in the Alumina Aluminium technology</v>
      </c>
      <c r="E2092" s="242"/>
      <c r="F2092" s="121" t="s">
        <v>1418</v>
      </c>
      <c r="G2092" s="242"/>
      <c r="H2092" s="242"/>
      <c r="I2092" s="318">
        <f t="array" aca="1" ref="I209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92" s="318">
        <f t="array" aca="1" ref="J209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92" s="318">
        <f t="array" aca="1" ref="K209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92" s="318">
        <f t="array" aca="1" ref="L209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92" s="318">
        <f t="array" aca="1" ref="M209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92" s="318">
        <f t="array" aca="1" ref="N209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92" s="318">
        <f t="array" aca="1" ref="O209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92" s="318">
        <f t="array" aca="1" ref="P209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92" s="318">
        <f t="array" aca="1" ref="Q209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92" s="121"/>
      <c r="S2092" s="179"/>
      <c r="T2092" s="251"/>
      <c r="V2092" s="179"/>
      <c r="W2092" s="179"/>
    </row>
    <row r="2093" spans="1:23" s="65" customFormat="1" ht="15" customHeight="1" outlineLevel="2">
      <c r="A2093" s="219"/>
      <c r="B2093" s="242"/>
      <c r="C2093" s="242" t="s">
        <v>1639</v>
      </c>
      <c r="D2093" s="121" t="str">
        <f>INDEX(Regional.Technologies[Description],MATCH($B$2&amp;"."&amp;G.30.Assumptions.EnergyDemandAfterEnergyEfficiency[[#This Row],[Technology code]],Regional.Technologies[Code],0))</f>
        <v>Global Electricity use in the Primary Aluminium technology</v>
      </c>
      <c r="E2093" s="242"/>
      <c r="F2093" s="121" t="s">
        <v>1418</v>
      </c>
      <c r="G2093" s="242"/>
      <c r="H2093" s="242"/>
      <c r="I2093" s="318">
        <f t="array" aca="1" ref="I209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2.3556733001938612</v>
      </c>
      <c r="J2093" s="318">
        <f t="array" aca="1" ref="J209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2.441664885656504</v>
      </c>
      <c r="K2093" s="318">
        <f t="array" aca="1" ref="K209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2.5509198417963317</v>
      </c>
      <c r="L2093" s="318">
        <f t="array" aca="1" ref="L209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2.6621364360600723</v>
      </c>
      <c r="M2093" s="318">
        <f t="array" aca="1" ref="M209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2.775314668447729</v>
      </c>
      <c r="N2093" s="318">
        <f t="array" aca="1" ref="N209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2.8904545389592986</v>
      </c>
      <c r="O2093" s="318">
        <f t="array" aca="1" ref="O209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3.0075560475947847</v>
      </c>
      <c r="P2093" s="318">
        <f t="array" aca="1" ref="P209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3.1266191943541837</v>
      </c>
      <c r="Q2093" s="318">
        <f t="array" aca="1" ref="Q209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3.2476439792374969</v>
      </c>
      <c r="R2093" s="121"/>
      <c r="S2093" s="179"/>
      <c r="T2093" s="251"/>
      <c r="V2093" s="179"/>
      <c r="W2093" s="179"/>
    </row>
    <row r="2094" spans="1:23" s="65" customFormat="1" ht="15" customHeight="1" outlineLevel="2">
      <c r="A2094" s="219"/>
      <c r="B2094" s="242"/>
      <c r="C2094" s="251" t="s">
        <v>1813</v>
      </c>
      <c r="D2094" s="121" t="str">
        <f>INDEX(Regional.Technologies[Description],MATCH($B$2&amp;"."&amp;G.30.Assumptions.EnergyDemandAfterEnergyEfficiency[[#This Row],[Technology code]],Regional.Technologies[Code],0))</f>
        <v>Global Coal use in the Primary Aluminium technology</v>
      </c>
      <c r="E2094" s="242"/>
      <c r="F2094" s="121" t="s">
        <v>1418</v>
      </c>
      <c r="G2094" s="242"/>
      <c r="H2094" s="242"/>
      <c r="I2094" s="318">
        <f t="array" aca="1" ref="I209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0.11615556705932617</v>
      </c>
      <c r="J2094" s="318">
        <f t="array" aca="1" ref="J209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0.1203957141845331</v>
      </c>
      <c r="K2094" s="318">
        <f t="array" aca="1" ref="K209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0.1257829516182718</v>
      </c>
      <c r="L2094" s="318">
        <f t="array" aca="1" ref="L209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0.13126691519337763</v>
      </c>
      <c r="M2094" s="318">
        <f t="array" aca="1" ref="M209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0.13684760490985015</v>
      </c>
      <c r="N2094" s="318">
        <f t="array" aca="1" ref="N209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0.14252502076768891</v>
      </c>
      <c r="O2094" s="318">
        <f t="array" aca="1" ref="O209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0.14829916276689481</v>
      </c>
      <c r="P2094" s="318">
        <f t="array" aca="1" ref="P209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0.15417003090746784</v>
      </c>
      <c r="Q2094" s="318">
        <f t="array" aca="1" ref="Q209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0.16013762518940711</v>
      </c>
      <c r="R2094" s="121"/>
      <c r="S2094" s="179"/>
      <c r="T2094" s="251"/>
      <c r="V2094" s="179"/>
      <c r="W2094" s="179"/>
    </row>
    <row r="2095" spans="1:23" s="65" customFormat="1" ht="15" customHeight="1" outlineLevel="2">
      <c r="A2095" s="219"/>
      <c r="B2095" s="242"/>
      <c r="C2095" s="251" t="s">
        <v>1814</v>
      </c>
      <c r="D2095" s="121" t="str">
        <f>INDEX(Regional.Technologies[Description],MATCH($B$2&amp;"."&amp;G.30.Assumptions.EnergyDemandAfterEnergyEfficiency[[#This Row],[Technology code]],Regional.Technologies[Code],0))</f>
        <v>Global Oil use in the Primary Aluminium technology</v>
      </c>
      <c r="E2095" s="242"/>
      <c r="F2095" s="121" t="s">
        <v>1418</v>
      </c>
      <c r="G2095" s="242"/>
      <c r="H2095" s="242"/>
      <c r="I2095" s="318">
        <f t="array" aca="1" ref="I209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0.18032133468483588</v>
      </c>
      <c r="J2095" s="318">
        <f t="array" aca="1" ref="J209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0.18690379136973051</v>
      </c>
      <c r="K2095" s="318">
        <f t="array" aca="1" ref="K209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0.1952670051950286</v>
      </c>
      <c r="L2095" s="318">
        <f t="array" aca="1" ref="L209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0.20378037787497078</v>
      </c>
      <c r="M2095" s="318">
        <f t="array" aca="1" ref="M209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0.21244390940955721</v>
      </c>
      <c r="N2095" s="318">
        <f t="array" aca="1" ref="N209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0.22125759979878762</v>
      </c>
      <c r="O2095" s="318">
        <f t="array" aca="1" ref="O209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0.23022144904266237</v>
      </c>
      <c r="P2095" s="318">
        <f t="array" aca="1" ref="P209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0.23933545714118118</v>
      </c>
      <c r="Q2095" s="318">
        <f t="array" aca="1" ref="Q209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0.24859962409434408</v>
      </c>
      <c r="R2095" s="121"/>
      <c r="S2095" s="179"/>
      <c r="T2095" s="251"/>
      <c r="V2095" s="179"/>
      <c r="W2095" s="179"/>
    </row>
    <row r="2096" spans="1:23" s="65" customFormat="1" ht="15" customHeight="1" outlineLevel="2">
      <c r="A2096" s="219"/>
      <c r="B2096" s="242"/>
      <c r="C2096" s="251" t="s">
        <v>1815</v>
      </c>
      <c r="D2096" s="121" t="str">
        <f>INDEX(Regional.Technologies[Description],MATCH($B$2&amp;"."&amp;G.30.Assumptions.EnergyDemandAfterEnergyEfficiency[[#This Row],[Technology code]],Regional.Technologies[Code],0))</f>
        <v>Global Natural Gas use in the Primary Aluminium technology</v>
      </c>
      <c r="E2096" s="242"/>
      <c r="F2096" s="121" t="s">
        <v>1418</v>
      </c>
      <c r="G2096" s="242"/>
      <c r="H2096" s="242"/>
      <c r="I2096" s="318">
        <f t="array" aca="1" ref="I209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0.10632786060601518</v>
      </c>
      <c r="J2096" s="318">
        <f t="array" aca="1" ref="J209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0.11020925677058946</v>
      </c>
      <c r="K2096" s="318">
        <f t="array" aca="1" ref="K209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0.11514069006653749</v>
      </c>
      <c r="L2096" s="318">
        <f t="array" aca="1" ref="L209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0.12016066568496386</v>
      </c>
      <c r="M2096" s="318">
        <f t="array" aca="1" ref="M209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0.12526918362586814</v>
      </c>
      <c r="N2096" s="318">
        <f t="array" aca="1" ref="N209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0.13046624388925077</v>
      </c>
      <c r="O2096" s="318">
        <f t="array" aca="1" ref="O209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0.13575184647511174</v>
      </c>
      <c r="P2096" s="318">
        <f t="array" aca="1" ref="P209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0.14112599138345061</v>
      </c>
      <c r="Q2096" s="318">
        <f t="array" aca="1" ref="Q209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0.14658867861426783</v>
      </c>
      <c r="R2096" s="121"/>
      <c r="S2096" s="179"/>
      <c r="T2096" s="251"/>
      <c r="V2096" s="179"/>
      <c r="W2096" s="179"/>
    </row>
    <row r="2097" spans="1:23" s="65" customFormat="1" ht="15" customHeight="1" outlineLevel="2">
      <c r="A2097" s="219"/>
      <c r="B2097" s="242"/>
      <c r="C2097" s="251" t="s">
        <v>1816</v>
      </c>
      <c r="D2097" s="121" t="str">
        <f>INDEX(Regional.Technologies[Description],MATCH($B$2&amp;"."&amp;G.30.Assumptions.EnergyDemandAfterEnergyEfficiency[[#This Row],[Technology code]],Regional.Technologies[Code],0))</f>
        <v>Global Solid Hydrocarbons use in the Primary Aluminium technology</v>
      </c>
      <c r="E2097" s="242"/>
      <c r="F2097" s="121" t="s">
        <v>1418</v>
      </c>
      <c r="G2097" s="242"/>
      <c r="H2097" s="242"/>
      <c r="I2097" s="318">
        <f t="array" aca="1" ref="I209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97" s="318">
        <f t="array" aca="1" ref="J209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97" s="318">
        <f t="array" aca="1" ref="K209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97" s="318">
        <f t="array" aca="1" ref="L209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97" s="318">
        <f t="array" aca="1" ref="M209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97" s="318">
        <f t="array" aca="1" ref="N209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97" s="318">
        <f t="array" aca="1" ref="O209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97" s="318">
        <f t="array" aca="1" ref="P209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97" s="318">
        <f t="array" aca="1" ref="Q209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97" s="121"/>
      <c r="S2097" s="179"/>
      <c r="T2097" s="251"/>
      <c r="V2097" s="179"/>
      <c r="W2097" s="179"/>
    </row>
    <row r="2098" spans="1:23" s="65" customFormat="1" ht="15" customHeight="1" outlineLevel="2">
      <c r="A2098" s="219"/>
      <c r="B2098" s="242"/>
      <c r="C2098" s="251" t="s">
        <v>1640</v>
      </c>
      <c r="D2098" s="121" t="str">
        <f>INDEX(Regional.Technologies[Description],MATCH($B$2&amp;"."&amp;G.30.Assumptions.EnergyDemandAfterEnergyEfficiency[[#This Row],[Technology code]],Regional.Technologies[Code],0))</f>
        <v>Global Heat use in the Primary Aluminium technology</v>
      </c>
      <c r="E2098" s="242"/>
      <c r="F2098" s="121" t="s">
        <v>1418</v>
      </c>
      <c r="G2098" s="242"/>
      <c r="H2098" s="242"/>
      <c r="I2098" s="318">
        <f t="array" aca="1" ref="I209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098" s="318">
        <f t="array" aca="1" ref="J209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098" s="318">
        <f t="array" aca="1" ref="K209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098" s="318">
        <f t="array" aca="1" ref="L209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098" s="318">
        <f t="array" aca="1" ref="M209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098" s="318">
        <f t="array" aca="1" ref="N209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098" s="318">
        <f t="array" aca="1" ref="O209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098" s="318">
        <f t="array" aca="1" ref="P209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098" s="318">
        <f t="array" aca="1" ref="Q209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098" s="121"/>
      <c r="S2098" s="179"/>
      <c r="T2098" s="251"/>
      <c r="V2098" s="179"/>
      <c r="W2098" s="179"/>
    </row>
    <row r="2099" spans="1:23" s="65" customFormat="1" ht="15" customHeight="1" outlineLevel="2">
      <c r="A2099" s="219"/>
      <c r="B2099" s="242"/>
      <c r="C2099" s="251" t="s">
        <v>1641</v>
      </c>
      <c r="D2099" s="121" t="str">
        <f>INDEX(Regional.Technologies[Description],MATCH($B$2&amp;"."&amp;G.30.Assumptions.EnergyDemandAfterEnergyEfficiency[[#This Row],[Technology code]],Regional.Technologies[Code],0))</f>
        <v>Global Electricity use in the Secondary Aluminium technology</v>
      </c>
      <c r="E2099" s="242"/>
      <c r="F2099" s="121" t="s">
        <v>1418</v>
      </c>
      <c r="G2099" s="242"/>
      <c r="H2099" s="242"/>
      <c r="I2099" s="318">
        <f t="array" aca="1" ref="I209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2.0996808027856011E-2</v>
      </c>
      <c r="J2099" s="318">
        <f t="array" aca="1" ref="J209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2.0706019378521439E-2</v>
      </c>
      <c r="K2099" s="318">
        <f t="array" aca="1" ref="K209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2.0328081584813605E-2</v>
      </c>
      <c r="L2099" s="318">
        <f t="array" aca="1" ref="L209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1.9934086033283963E-2</v>
      </c>
      <c r="M2099" s="318">
        <f t="array" aca="1" ref="M209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1.9524032723932511E-2</v>
      </c>
      <c r="N2099" s="318">
        <f t="array" aca="1" ref="N209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1.9097921656759255E-2</v>
      </c>
      <c r="O2099" s="318">
        <f t="array" aca="1" ref="O209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1.8655752831764193E-2</v>
      </c>
      <c r="P2099" s="318">
        <f t="array" aca="1" ref="P209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1.819752624894732E-2</v>
      </c>
      <c r="Q2099" s="318">
        <f t="array" aca="1" ref="Q209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1.7723241908308644E-2</v>
      </c>
      <c r="R2099" s="121"/>
      <c r="S2099" s="179"/>
      <c r="T2099" s="251"/>
      <c r="V2099" s="179"/>
      <c r="W2099" s="179"/>
    </row>
    <row r="2100" spans="1:23" s="65" customFormat="1" ht="15" customHeight="1" outlineLevel="2">
      <c r="A2100" s="219"/>
      <c r="B2100" s="242"/>
      <c r="C2100" s="251" t="s">
        <v>1817</v>
      </c>
      <c r="D2100" s="121" t="str">
        <f>INDEX(Regional.Technologies[Description],MATCH($B$2&amp;"."&amp;G.30.Assumptions.EnergyDemandAfterEnergyEfficiency[[#This Row],[Technology code]],Regional.Technologies[Code],0))</f>
        <v>Global Coal use in the Secondary Aluminium technology</v>
      </c>
      <c r="E2100" s="242"/>
      <c r="F2100" s="121" t="s">
        <v>1418</v>
      </c>
      <c r="G2100" s="242"/>
      <c r="H2100" s="242"/>
      <c r="I2100" s="318">
        <f t="array" aca="1" ref="I210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00" s="318">
        <f t="array" aca="1" ref="J210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00" s="318">
        <f t="array" aca="1" ref="K210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00" s="318">
        <f t="array" aca="1" ref="L210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00" s="318">
        <f t="array" aca="1" ref="M210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00" s="318">
        <f t="array" aca="1" ref="N210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00" s="318">
        <f t="array" aca="1" ref="O210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00" s="318">
        <f t="array" aca="1" ref="P210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00" s="318">
        <f t="array" aca="1" ref="Q210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00" s="121"/>
      <c r="S2100" s="179"/>
      <c r="T2100" s="251"/>
      <c r="V2100" s="179"/>
      <c r="W2100" s="179"/>
    </row>
    <row r="2101" spans="1:23" s="65" customFormat="1" ht="15" customHeight="1" outlineLevel="2">
      <c r="A2101" s="219"/>
      <c r="B2101" s="242"/>
      <c r="C2101" s="251" t="s">
        <v>1818</v>
      </c>
      <c r="D2101" s="121" t="str">
        <f>INDEX(Regional.Technologies[Description],MATCH($B$2&amp;"."&amp;G.30.Assumptions.EnergyDemandAfterEnergyEfficiency[[#This Row],[Technology code]],Regional.Technologies[Code],0))</f>
        <v>Global Oil use in the Secondary Aluminium technology</v>
      </c>
      <c r="E2101" s="242"/>
      <c r="F2101" s="121" t="s">
        <v>1418</v>
      </c>
      <c r="G2101" s="242"/>
      <c r="H2101" s="242"/>
      <c r="I2101" s="318">
        <f t="array" aca="1" ref="I210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1.8172055149596165E-4</v>
      </c>
      <c r="J2101" s="318">
        <f t="array" aca="1" ref="J210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1.7920387021489552E-4</v>
      </c>
      <c r="K2101" s="318">
        <f t="array" aca="1" ref="K210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1.7593294140454306E-4</v>
      </c>
      <c r="L2101" s="318">
        <f t="array" aca="1" ref="L210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1.7252303791750177E-4</v>
      </c>
      <c r="M2101" s="318">
        <f t="array" aca="1" ref="M210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1.6897415975377175E-4</v>
      </c>
      <c r="N2101" s="318">
        <f t="array" aca="1" ref="N210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1.6528630691335294E-4</v>
      </c>
      <c r="O2101" s="318">
        <f t="array" aca="1" ref="O210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1.6145947939624541E-4</v>
      </c>
      <c r="P2101" s="318">
        <f t="array" aca="1" ref="P210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1.5749367720244904E-4</v>
      </c>
      <c r="Q2101" s="318">
        <f t="array" aca="1" ref="Q210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1.5338890033196395E-4</v>
      </c>
      <c r="R2101" s="121"/>
      <c r="S2101" s="179"/>
      <c r="T2101" s="251"/>
      <c r="V2101" s="179"/>
      <c r="W2101" s="179"/>
    </row>
    <row r="2102" spans="1:23" s="65" customFormat="1" ht="15" customHeight="1" outlineLevel="2">
      <c r="A2102" s="219"/>
      <c r="B2102" s="242"/>
      <c r="C2102" s="251" t="s">
        <v>1819</v>
      </c>
      <c r="D2102" s="121" t="str">
        <f>INDEX(Regional.Technologies[Description],MATCH($B$2&amp;"."&amp;G.30.Assumptions.EnergyDemandAfterEnergyEfficiency[[#This Row],[Technology code]],Regional.Technologies[Code],0))</f>
        <v>Global Natural Gas use in the Secondary Aluminium technology</v>
      </c>
      <c r="E2102" s="242"/>
      <c r="F2102" s="121" t="s">
        <v>1418</v>
      </c>
      <c r="G2102" s="242"/>
      <c r="H2102" s="242"/>
      <c r="I2102" s="318">
        <f t="array" aca="1" ref="I210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0.24244140449555462</v>
      </c>
      <c r="J2102" s="318">
        <f t="array" aca="1" ref="J210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0.2390837889731138</v>
      </c>
      <c r="K2102" s="318">
        <f t="array" aca="1" ref="K210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0.23471989854763026</v>
      </c>
      <c r="L2102" s="318">
        <f t="array" aca="1" ref="L210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0.23017059587499919</v>
      </c>
      <c r="M2102" s="318">
        <f t="array" aca="1" ref="M210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0.2254358809552206</v>
      </c>
      <c r="N2102" s="318">
        <f t="array" aca="1" ref="N210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0.22051575378829461</v>
      </c>
      <c r="O2102" s="318">
        <f t="array" aca="1" ref="O210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0.2154102143742212</v>
      </c>
      <c r="P2102" s="318">
        <f t="array" aca="1" ref="P210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0.2101192627130003</v>
      </c>
      <c r="Q2102" s="318">
        <f t="array" aca="1" ref="Q210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0.20464289880463196</v>
      </c>
      <c r="R2102" s="121"/>
      <c r="S2102" s="179"/>
      <c r="T2102" s="251"/>
      <c r="V2102" s="179"/>
      <c r="W2102" s="179"/>
    </row>
    <row r="2103" spans="1:23" s="65" customFormat="1" ht="15" customHeight="1" outlineLevel="2">
      <c r="A2103" s="219"/>
      <c r="B2103" s="242"/>
      <c r="C2103" s="251" t="s">
        <v>1820</v>
      </c>
      <c r="D2103" s="121" t="str">
        <f>INDEX(Regional.Technologies[Description],MATCH($B$2&amp;"."&amp;G.30.Assumptions.EnergyDemandAfterEnergyEfficiency[[#This Row],[Technology code]],Regional.Technologies[Code],0))</f>
        <v>Global Solid Hydrocarbons use in the Secondary Aluminium technology</v>
      </c>
      <c r="E2103" s="242"/>
      <c r="F2103" s="121" t="s">
        <v>1418</v>
      </c>
      <c r="G2103" s="242"/>
      <c r="H2103" s="242"/>
      <c r="I2103" s="318">
        <f t="array" aca="1" ref="I210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03" s="318">
        <f t="array" aca="1" ref="J210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03" s="318">
        <f t="array" aca="1" ref="K210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03" s="318">
        <f t="array" aca="1" ref="L210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03" s="318">
        <f t="array" aca="1" ref="M210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03" s="318">
        <f t="array" aca="1" ref="N210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03" s="318">
        <f t="array" aca="1" ref="O210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03" s="318">
        <f t="array" aca="1" ref="P210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03" s="318">
        <f t="array" aca="1" ref="Q210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03" s="121"/>
      <c r="S2103" s="179"/>
      <c r="T2103" s="251"/>
      <c r="V2103" s="179"/>
      <c r="W2103" s="179"/>
    </row>
    <row r="2104" spans="1:23" s="65" customFormat="1" ht="15" customHeight="1" outlineLevel="2">
      <c r="A2104" s="219"/>
      <c r="B2104" s="242"/>
      <c r="C2104" s="251" t="s">
        <v>1642</v>
      </c>
      <c r="D2104" s="121" t="str">
        <f>INDEX(Regional.Technologies[Description],MATCH($B$2&amp;"."&amp;G.30.Assumptions.EnergyDemandAfterEnergyEfficiency[[#This Row],[Technology code]],Regional.Technologies[Code],0))</f>
        <v>Global Heat use in the Secondary Aluminium technology</v>
      </c>
      <c r="E2104" s="242"/>
      <c r="F2104" s="121" t="s">
        <v>1418</v>
      </c>
      <c r="G2104" s="242"/>
      <c r="H2104" s="242"/>
      <c r="I2104" s="318">
        <f t="array" aca="1" ref="I210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04" s="318">
        <f t="array" aca="1" ref="J210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04" s="318">
        <f t="array" aca="1" ref="K210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04" s="318">
        <f t="array" aca="1" ref="L210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04" s="318">
        <f t="array" aca="1" ref="M210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04" s="318">
        <f t="array" aca="1" ref="N210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04" s="318">
        <f t="array" aca="1" ref="O210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04" s="318">
        <f t="array" aca="1" ref="P210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04" s="318">
        <f t="array" aca="1" ref="Q210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04" s="121"/>
      <c r="S2104" s="179"/>
      <c r="T2104" s="251"/>
      <c r="V2104" s="179"/>
      <c r="W2104" s="179"/>
    </row>
    <row r="2105" spans="1:23" s="65" customFormat="1" ht="15" customHeight="1" outlineLevel="2">
      <c r="A2105" s="219"/>
      <c r="B2105" s="242"/>
      <c r="C2105" s="413" t="s">
        <v>1821</v>
      </c>
      <c r="D2105" s="121" t="str">
        <f>INDEX(Regional.Technologies[Description],MATCH($B$2&amp;"."&amp;G.30.Assumptions.EnergyDemandAfterEnergyEfficiency[[#This Row],[Technology code]],Regional.Technologies[Code],0))</f>
        <v>Global Electricity use in the Chemicals: High Value Chemicals  technology</v>
      </c>
      <c r="E2105" s="242"/>
      <c r="F2105" s="121" t="s">
        <v>1601</v>
      </c>
      <c r="G2105" s="242"/>
      <c r="H2105" s="242"/>
      <c r="I2105" s="318">
        <f t="array" aca="1" ref="I210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05" s="318">
        <f t="array" aca="1" ref="J210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05" s="318">
        <f t="array" aca="1" ref="K210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05" s="318">
        <f t="array" aca="1" ref="L210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05" s="318">
        <f t="array" aca="1" ref="M210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05" s="318">
        <f t="array" aca="1" ref="N210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05" s="318">
        <f t="array" aca="1" ref="O210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05" s="318">
        <f t="array" aca="1" ref="P210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05" s="318">
        <f t="array" aca="1" ref="Q210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05" s="121"/>
      <c r="S2105" s="179"/>
      <c r="T2105" s="251"/>
      <c r="V2105" s="179"/>
      <c r="W2105" s="179"/>
    </row>
    <row r="2106" spans="1:23" s="65" customFormat="1" ht="15" customHeight="1" outlineLevel="2">
      <c r="A2106" s="219"/>
      <c r="B2106" s="242"/>
      <c r="C2106" s="413" t="s">
        <v>1822</v>
      </c>
      <c r="D2106" s="121" t="str">
        <f>INDEX(Regional.Technologies[Description],MATCH($B$2&amp;"."&amp;G.30.Assumptions.EnergyDemandAfterEnergyEfficiency[[#This Row],[Technology code]],Regional.Technologies[Code],0))</f>
        <v>Global Coal use in the Chemicals: High Value Chemicals  technology</v>
      </c>
      <c r="E2106" s="242"/>
      <c r="F2106" s="121" t="s">
        <v>1601</v>
      </c>
      <c r="G2106" s="242"/>
      <c r="H2106" s="242"/>
      <c r="I2106" s="318">
        <f t="array" aca="1" ref="I210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0.24646345986547047</v>
      </c>
      <c r="J2106" s="318">
        <f t="array" aca="1" ref="J210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0.2489912902230671</v>
      </c>
      <c r="K2106" s="318">
        <f t="array" aca="1" ref="K210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0.25215107817005844</v>
      </c>
      <c r="L2106" s="318">
        <f t="array" aca="1" ref="L210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0.25531086611705334</v>
      </c>
      <c r="M2106" s="318">
        <f t="array" aca="1" ref="M210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0.25847065406404468</v>
      </c>
      <c r="N2106" s="318">
        <f t="array" aca="1" ref="N210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0.26163044201103958</v>
      </c>
      <c r="O2106" s="318">
        <f t="array" aca="1" ref="O210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0.26479022995803092</v>
      </c>
      <c r="P2106" s="318">
        <f t="array" aca="1" ref="P210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0.26795001790502582</v>
      </c>
      <c r="Q2106" s="318">
        <f t="array" aca="1" ref="Q210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0.27110980585201716</v>
      </c>
      <c r="R2106" s="121"/>
      <c r="S2106" s="179"/>
      <c r="T2106" s="251"/>
      <c r="V2106" s="179"/>
      <c r="W2106" s="179"/>
    </row>
    <row r="2107" spans="1:23" s="65" customFormat="1" ht="15" customHeight="1" outlineLevel="2">
      <c r="A2107" s="219"/>
      <c r="B2107" s="242"/>
      <c r="C2107" s="413" t="s">
        <v>1823</v>
      </c>
      <c r="D2107" s="121" t="str">
        <f>INDEX(Regional.Technologies[Description],MATCH($B$2&amp;"."&amp;G.30.Assumptions.EnergyDemandAfterEnergyEfficiency[[#This Row],[Technology code]],Regional.Technologies[Code],0))</f>
        <v>Global Oil use in the Chemicals: High Value Chemicals  technology</v>
      </c>
      <c r="E2107" s="242"/>
      <c r="F2107" s="121" t="s">
        <v>1601</v>
      </c>
      <c r="G2107" s="242"/>
      <c r="H2107" s="242"/>
      <c r="I2107" s="318">
        <f t="array" aca="1" ref="I210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19.210879294175736</v>
      </c>
      <c r="J2107" s="318">
        <f t="array" aca="1" ref="J210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19.407913953603178</v>
      </c>
      <c r="K2107" s="318">
        <f t="array" aca="1" ref="K210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19.654207277887483</v>
      </c>
      <c r="L2107" s="318">
        <f t="array" aca="1" ref="L210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19.900500602171789</v>
      </c>
      <c r="M2107" s="318">
        <f t="array" aca="1" ref="M210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20.146793926456095</v>
      </c>
      <c r="N2107" s="318">
        <f t="array" aca="1" ref="N210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20.393087250740397</v>
      </c>
      <c r="O2107" s="318">
        <f t="array" aca="1" ref="O210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20.639380575024706</v>
      </c>
      <c r="P2107" s="318">
        <f t="array" aca="1" ref="P210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20.885673899309008</v>
      </c>
      <c r="Q2107" s="318">
        <f t="array" aca="1" ref="Q210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21.131967223593314</v>
      </c>
      <c r="R2107" s="121"/>
      <c r="S2107" s="179"/>
      <c r="T2107" s="251"/>
      <c r="V2107" s="179"/>
      <c r="W2107" s="179"/>
    </row>
    <row r="2108" spans="1:23" s="65" customFormat="1" ht="15" customHeight="1" outlineLevel="2">
      <c r="A2108" s="219"/>
      <c r="B2108" s="242"/>
      <c r="C2108" s="413" t="s">
        <v>1824</v>
      </c>
      <c r="D2108" s="121" t="str">
        <f>INDEX(Regional.Technologies[Description],MATCH($B$2&amp;"."&amp;G.30.Assumptions.EnergyDemandAfterEnergyEfficiency[[#This Row],[Technology code]],Regional.Technologies[Code],0))</f>
        <v>Global Natural Gas use in the Chemicals: High Value Chemicals  technology</v>
      </c>
      <c r="E2108" s="242"/>
      <c r="F2108" s="121" t="s">
        <v>1601</v>
      </c>
      <c r="G2108" s="242"/>
      <c r="H2108" s="242"/>
      <c r="I2108" s="318">
        <f t="array" aca="1" ref="I210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3.4032396515364383E-3</v>
      </c>
      <c r="J2108" s="318">
        <f t="array" aca="1" ref="J210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3.4381446736055921E-3</v>
      </c>
      <c r="K2108" s="318">
        <f t="array" aca="1" ref="K210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3.4817759511867052E-3</v>
      </c>
      <c r="L2108" s="318">
        <f t="array" aca="1" ref="L210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3.5254072287713711E-3</v>
      </c>
      <c r="M2108" s="318">
        <f t="array" aca="1" ref="M210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3.569038506356037E-3</v>
      </c>
      <c r="N2108" s="318">
        <f t="array" aca="1" ref="N210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3.6126697839407029E-3</v>
      </c>
      <c r="O2108" s="318">
        <f t="array" aca="1" ref="O210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3.6563010615218161E-3</v>
      </c>
      <c r="P2108" s="318">
        <f t="array" aca="1" ref="P210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3.699932339106482E-3</v>
      </c>
      <c r="Q2108" s="318">
        <f t="array" aca="1" ref="Q210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3.7435636166911479E-3</v>
      </c>
      <c r="R2108" s="121"/>
      <c r="S2108" s="179"/>
      <c r="T2108" s="251"/>
      <c r="V2108" s="179"/>
      <c r="W2108" s="179"/>
    </row>
    <row r="2109" spans="1:23" s="65" customFormat="1" ht="15" customHeight="1" outlineLevel="2">
      <c r="A2109" s="219"/>
      <c r="B2109" s="242"/>
      <c r="C2109" s="413" t="s">
        <v>1825</v>
      </c>
      <c r="D2109" s="121" t="str">
        <f>INDEX(Regional.Technologies[Description],MATCH($B$2&amp;"."&amp;G.30.Assumptions.EnergyDemandAfterEnergyEfficiency[[#This Row],[Technology code]],Regional.Technologies[Code],0))</f>
        <v>Global Solid Hydrocarbons use in the Chemicals: High Value Chemicals  technology</v>
      </c>
      <c r="E2109" s="242"/>
      <c r="F2109" s="121" t="s">
        <v>1601</v>
      </c>
      <c r="G2109" s="242"/>
      <c r="H2109" s="242"/>
      <c r="I2109" s="318">
        <f t="array" aca="1" ref="I210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09" s="318">
        <f t="array" aca="1" ref="J210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09" s="318">
        <f t="array" aca="1" ref="K210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09" s="318">
        <f t="array" aca="1" ref="L210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09" s="318">
        <f t="array" aca="1" ref="M210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09" s="318">
        <f t="array" aca="1" ref="N210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09" s="318">
        <f t="array" aca="1" ref="O210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09" s="318">
        <f t="array" aca="1" ref="P210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09" s="318">
        <f t="array" aca="1" ref="Q210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09" s="121"/>
      <c r="S2109" s="179"/>
      <c r="T2109" s="251"/>
      <c r="V2109" s="179"/>
      <c r="W2109" s="179"/>
    </row>
    <row r="2110" spans="1:23" s="65" customFormat="1" ht="15" customHeight="1" outlineLevel="2">
      <c r="A2110" s="219"/>
      <c r="B2110" s="242"/>
      <c r="C2110" s="413" t="s">
        <v>1826</v>
      </c>
      <c r="D2110" s="121" t="str">
        <f>INDEX(Regional.Technologies[Description],MATCH($B$2&amp;"."&amp;G.30.Assumptions.EnergyDemandAfterEnergyEfficiency[[#This Row],[Technology code]],Regional.Technologies[Code],0))</f>
        <v>Global Heat use in the Chemicals: High Value Chemicals  technology</v>
      </c>
      <c r="E2110" s="242"/>
      <c r="F2110" s="121" t="s">
        <v>1601</v>
      </c>
      <c r="G2110" s="242"/>
      <c r="H2110" s="242"/>
      <c r="I2110" s="318">
        <f t="array" aca="1" ref="I211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0" s="318">
        <f t="array" aca="1" ref="J211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0" s="318">
        <f t="array" aca="1" ref="K211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0" s="318">
        <f t="array" aca="1" ref="L211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0" s="318">
        <f t="array" aca="1" ref="M211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0" s="318">
        <f t="array" aca="1" ref="N211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0" s="318">
        <f t="array" aca="1" ref="O211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0" s="318">
        <f t="array" aca="1" ref="P211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0" s="318">
        <f t="array" aca="1" ref="Q211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0" s="121"/>
      <c r="S2110" s="179"/>
      <c r="T2110" s="251"/>
      <c r="V2110" s="179"/>
      <c r="W2110" s="179"/>
    </row>
    <row r="2111" spans="1:23" s="65" customFormat="1" ht="15" customHeight="1" outlineLevel="2">
      <c r="A2111" s="219"/>
      <c r="B2111" s="242"/>
      <c r="C2111" s="413" t="s">
        <v>1827</v>
      </c>
      <c r="D2111" s="121" t="str">
        <f>INDEX(Regional.Technologies[Description],MATCH($B$2&amp;"."&amp;G.30.Assumptions.EnergyDemandAfterEnergyEfficiency[[#This Row],[Technology code]],Regional.Technologies[Code],0))</f>
        <v>Global Electricity use in the Chemicals: Ammonia technology</v>
      </c>
      <c r="E2111" s="242"/>
      <c r="F2111" s="121" t="s">
        <v>1601</v>
      </c>
      <c r="G2111" s="242"/>
      <c r="H2111" s="242"/>
      <c r="I2111" s="318">
        <f t="array" aca="1" ref="I211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1" s="318">
        <f t="array" aca="1" ref="J211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1" s="318">
        <f t="array" aca="1" ref="K211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1" s="318">
        <f t="array" aca="1" ref="L211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1" s="318">
        <f t="array" aca="1" ref="M211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1" s="318">
        <f t="array" aca="1" ref="N211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1" s="318">
        <f t="array" aca="1" ref="O211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1" s="318">
        <f t="array" aca="1" ref="P211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1" s="318">
        <f t="array" aca="1" ref="Q211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1" s="121"/>
      <c r="S2111" s="179"/>
      <c r="T2111" s="251"/>
      <c r="V2111" s="179"/>
      <c r="W2111" s="179"/>
    </row>
    <row r="2112" spans="1:23" s="65" customFormat="1" ht="15" customHeight="1" outlineLevel="2">
      <c r="A2112" s="219"/>
      <c r="B2112" s="242"/>
      <c r="C2112" s="413" t="s">
        <v>1828</v>
      </c>
      <c r="D2112" s="121" t="str">
        <f>INDEX(Regional.Technologies[Description],MATCH($B$2&amp;"."&amp;G.30.Assumptions.EnergyDemandAfterEnergyEfficiency[[#This Row],[Technology code]],Regional.Technologies[Code],0))</f>
        <v>Global Coal use in the Chemicals: Ammonia technology</v>
      </c>
      <c r="E2112" s="242"/>
      <c r="F2112" s="121" t="s">
        <v>1601</v>
      </c>
      <c r="G2112" s="242"/>
      <c r="H2112" s="242"/>
      <c r="I2112" s="318">
        <f t="array" aca="1" ref="I211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1.4435125863870013</v>
      </c>
      <c r="J2112" s="318">
        <f t="array" aca="1" ref="J211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1.458317843683278</v>
      </c>
      <c r="K2112" s="318">
        <f t="array" aca="1" ref="K211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1.4768244153036241</v>
      </c>
      <c r="L2112" s="318">
        <f t="array" aca="1" ref="L211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1.495330986923971</v>
      </c>
      <c r="M2112" s="318">
        <f t="array" aca="1" ref="M211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1.5138375585443171</v>
      </c>
      <c r="N2112" s="318">
        <f t="array" aca="1" ref="N211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1.5323441301646632</v>
      </c>
      <c r="O2112" s="318">
        <f t="array" aca="1" ref="O211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1.5508507017850093</v>
      </c>
      <c r="P2112" s="318">
        <f t="array" aca="1" ref="P211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1.5693572734053554</v>
      </c>
      <c r="Q2112" s="318">
        <f t="array" aca="1" ref="Q211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1.5878638450257014</v>
      </c>
      <c r="R2112" s="121"/>
      <c r="S2112" s="179"/>
      <c r="T2112" s="251"/>
      <c r="V2112" s="179"/>
      <c r="W2112" s="179"/>
    </row>
    <row r="2113" spans="1:23" s="65" customFormat="1" ht="15" customHeight="1" outlineLevel="2">
      <c r="A2113" s="219"/>
      <c r="B2113" s="242"/>
      <c r="C2113" s="413" t="s">
        <v>1829</v>
      </c>
      <c r="D2113" s="121" t="str">
        <f>INDEX(Regional.Technologies[Description],MATCH($B$2&amp;"."&amp;G.30.Assumptions.EnergyDemandAfterEnergyEfficiency[[#This Row],[Technology code]],Regional.Technologies[Code],0))</f>
        <v>Global Oil use in the Chemicals: Ammonia technology</v>
      </c>
      <c r="E2113" s="242"/>
      <c r="F2113" s="121" t="s">
        <v>1601</v>
      </c>
      <c r="G2113" s="242"/>
      <c r="H2113" s="242"/>
      <c r="I2113" s="318">
        <f t="array" aca="1" ref="I211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3" s="318">
        <f t="array" aca="1" ref="J211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3" s="318">
        <f t="array" aca="1" ref="K211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3" s="318">
        <f t="array" aca="1" ref="L211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3" s="318">
        <f t="array" aca="1" ref="M211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3" s="318">
        <f t="array" aca="1" ref="N211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3" s="318">
        <f t="array" aca="1" ref="O211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3" s="318">
        <f t="array" aca="1" ref="P211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3" s="318">
        <f t="array" aca="1" ref="Q211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3" s="121"/>
      <c r="S2113" s="179"/>
      <c r="T2113" s="251"/>
      <c r="V2113" s="179"/>
      <c r="W2113" s="179"/>
    </row>
    <row r="2114" spans="1:23" s="65" customFormat="1" ht="15" customHeight="1" outlineLevel="2">
      <c r="A2114" s="219"/>
      <c r="B2114" s="242"/>
      <c r="C2114" s="413" t="s">
        <v>1830</v>
      </c>
      <c r="D2114" s="121" t="str">
        <f>INDEX(Regional.Technologies[Description],MATCH($B$2&amp;"."&amp;G.30.Assumptions.EnergyDemandAfterEnergyEfficiency[[#This Row],[Technology code]],Regional.Technologies[Code],0))</f>
        <v>Global Natural Gas use in the Chemicals: Ammonia technology</v>
      </c>
      <c r="E2114" s="242"/>
      <c r="F2114" s="121" t="s">
        <v>1601</v>
      </c>
      <c r="G2114" s="242"/>
      <c r="H2114" s="242"/>
      <c r="I2114" s="318">
        <f t="array" aca="1" ref="I211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4.5138365842133039</v>
      </c>
      <c r="J2114" s="318">
        <f t="array" aca="1" ref="J211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4.5601323440513886</v>
      </c>
      <c r="K2114" s="318">
        <f t="array" aca="1" ref="K211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4.6180020438489944</v>
      </c>
      <c r="L2114" s="318">
        <f t="array" aca="1" ref="L211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4.675871743646602</v>
      </c>
      <c r="M2114" s="318">
        <f t="array" aca="1" ref="M211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4.7337414434442087</v>
      </c>
      <c r="N2114" s="318">
        <f t="array" aca="1" ref="N211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4.7916111432418145</v>
      </c>
      <c r="O2114" s="318">
        <f t="array" aca="1" ref="O211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4.8494808430394221</v>
      </c>
      <c r="P2114" s="318">
        <f t="array" aca="1" ref="P211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4.9073505428370279</v>
      </c>
      <c r="Q2114" s="318">
        <f t="array" aca="1" ref="Q211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4.9652202426346346</v>
      </c>
      <c r="R2114" s="121"/>
      <c r="S2114" s="179"/>
      <c r="T2114" s="251"/>
      <c r="V2114" s="179"/>
      <c r="W2114" s="179"/>
    </row>
    <row r="2115" spans="1:23" s="65" customFormat="1" ht="15" customHeight="1" outlineLevel="2">
      <c r="A2115" s="219"/>
      <c r="B2115" s="242"/>
      <c r="C2115" s="413" t="s">
        <v>1831</v>
      </c>
      <c r="D2115" s="121" t="str">
        <f>INDEX(Regional.Technologies[Description],MATCH($B$2&amp;"."&amp;G.30.Assumptions.EnergyDemandAfterEnergyEfficiency[[#This Row],[Technology code]],Regional.Technologies[Code],0))</f>
        <v>Global Solid Hydrocarbons use in the Chemicals: Ammonia technology</v>
      </c>
      <c r="E2115" s="242"/>
      <c r="F2115" s="121" t="s">
        <v>1601</v>
      </c>
      <c r="G2115" s="242"/>
      <c r="H2115" s="242"/>
      <c r="I2115" s="318">
        <f t="array" aca="1" ref="I211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5" s="318">
        <f t="array" aca="1" ref="J211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5" s="318">
        <f t="array" aca="1" ref="K211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5" s="318">
        <f t="array" aca="1" ref="L211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5" s="318">
        <f t="array" aca="1" ref="M211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5" s="318">
        <f t="array" aca="1" ref="N211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5" s="318">
        <f t="array" aca="1" ref="O211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5" s="318">
        <f t="array" aca="1" ref="P211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5" s="318">
        <f t="array" aca="1" ref="Q211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5" s="121"/>
      <c r="S2115" s="179"/>
      <c r="T2115" s="251"/>
      <c r="V2115" s="179"/>
      <c r="W2115" s="179"/>
    </row>
    <row r="2116" spans="1:23" s="65" customFormat="1" ht="15" customHeight="1" outlineLevel="2">
      <c r="A2116" s="219"/>
      <c r="B2116" s="242"/>
      <c r="C2116" s="413" t="s">
        <v>1832</v>
      </c>
      <c r="D2116" s="121" t="str">
        <f>INDEX(Regional.Technologies[Description],MATCH($B$2&amp;"."&amp;G.30.Assumptions.EnergyDemandAfterEnergyEfficiency[[#This Row],[Technology code]],Regional.Technologies[Code],0))</f>
        <v>Global Heat use in the Chemicals: Ammonia technology</v>
      </c>
      <c r="E2116" s="242"/>
      <c r="F2116" s="121" t="s">
        <v>1601</v>
      </c>
      <c r="G2116" s="242"/>
      <c r="H2116" s="242"/>
      <c r="I2116" s="318">
        <f t="array" aca="1" ref="I211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6" s="318">
        <f t="array" aca="1" ref="J211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6" s="318">
        <f t="array" aca="1" ref="K211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6" s="318">
        <f t="array" aca="1" ref="L211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6" s="318">
        <f t="array" aca="1" ref="M211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6" s="318">
        <f t="array" aca="1" ref="N211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6" s="318">
        <f t="array" aca="1" ref="O211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6" s="318">
        <f t="array" aca="1" ref="P211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6" s="318">
        <f t="array" aca="1" ref="Q211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6" s="121"/>
      <c r="S2116" s="179"/>
      <c r="T2116" s="251"/>
      <c r="V2116" s="179"/>
      <c r="W2116" s="179"/>
    </row>
    <row r="2117" spans="1:23" s="65" customFormat="1" ht="15" customHeight="1" outlineLevel="2">
      <c r="A2117" s="219"/>
      <c r="B2117" s="242"/>
      <c r="C2117" s="413" t="s">
        <v>1833</v>
      </c>
      <c r="D2117" s="121" t="str">
        <f>INDEX(Regional.Technologies[Description],MATCH($B$2&amp;"."&amp;G.30.Assumptions.EnergyDemandAfterEnergyEfficiency[[#This Row],[Technology code]],Regional.Technologies[Code],0))</f>
        <v>Global Electricity use in the Chemicals: Methanol technology</v>
      </c>
      <c r="E2117" s="242"/>
      <c r="F2117" s="121" t="s">
        <v>1601</v>
      </c>
      <c r="G2117" s="242"/>
      <c r="H2117" s="242"/>
      <c r="I2117" s="318">
        <f t="array" aca="1" ref="I211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7" s="318">
        <f t="array" aca="1" ref="J211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7" s="318">
        <f t="array" aca="1" ref="K211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7" s="318">
        <f t="array" aca="1" ref="L211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7" s="318">
        <f t="array" aca="1" ref="M211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7" s="318">
        <f t="array" aca="1" ref="N211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7" s="318">
        <f t="array" aca="1" ref="O211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7" s="318">
        <f t="array" aca="1" ref="P211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7" s="318">
        <f t="array" aca="1" ref="Q211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7" s="121"/>
      <c r="S2117" s="179"/>
      <c r="T2117" s="251"/>
      <c r="V2117" s="179"/>
      <c r="W2117" s="179"/>
    </row>
    <row r="2118" spans="1:23" s="65" customFormat="1" ht="15" customHeight="1" outlineLevel="2">
      <c r="A2118" s="219"/>
      <c r="B2118" s="242"/>
      <c r="C2118" s="413" t="s">
        <v>1834</v>
      </c>
      <c r="D2118" s="121" t="str">
        <f>INDEX(Regional.Technologies[Description],MATCH($B$2&amp;"."&amp;G.30.Assumptions.EnergyDemandAfterEnergyEfficiency[[#This Row],[Technology code]],Regional.Technologies[Code],0))</f>
        <v>Global Coal use in the Chemicals: Methanol technology</v>
      </c>
      <c r="E2118" s="242"/>
      <c r="F2118" s="121" t="s">
        <v>1601</v>
      </c>
      <c r="G2118" s="242"/>
      <c r="H2118" s="242"/>
      <c r="I2118" s="318">
        <f t="array" aca="1" ref="I211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0.726021750603001</v>
      </c>
      <c r="J2118" s="318">
        <f t="array" aca="1" ref="J211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0.73346812753226243</v>
      </c>
      <c r="K2118" s="318">
        <f t="array" aca="1" ref="K211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0.74277609869383943</v>
      </c>
      <c r="L2118" s="318">
        <f t="array" aca="1" ref="L211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0.75208406985541643</v>
      </c>
      <c r="M2118" s="318">
        <f t="array" aca="1" ref="M211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0.76139204101699354</v>
      </c>
      <c r="N2118" s="318">
        <f t="array" aca="1" ref="N211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0.7707000121785702</v>
      </c>
      <c r="O2118" s="318">
        <f t="array" aca="1" ref="O211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0.78000798334014743</v>
      </c>
      <c r="P2118" s="318">
        <f t="array" aca="1" ref="P211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0.78931595450172432</v>
      </c>
      <c r="Q2118" s="318">
        <f t="array" aca="1" ref="Q211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0.7986239256633012</v>
      </c>
      <c r="R2118" s="121"/>
      <c r="S2118" s="179"/>
      <c r="T2118" s="251"/>
      <c r="V2118" s="179"/>
      <c r="W2118" s="179"/>
    </row>
    <row r="2119" spans="1:23" s="65" customFormat="1" ht="15" customHeight="1" outlineLevel="2">
      <c r="A2119" s="219"/>
      <c r="B2119" s="242"/>
      <c r="C2119" s="413" t="s">
        <v>1835</v>
      </c>
      <c r="D2119" s="121" t="str">
        <f>INDEX(Regional.Technologies[Description],MATCH($B$2&amp;"."&amp;G.30.Assumptions.EnergyDemandAfterEnergyEfficiency[[#This Row],[Technology code]],Regional.Technologies[Code],0))</f>
        <v>Global Oil use in the Chemicals: Methanol technology</v>
      </c>
      <c r="E2119" s="242"/>
      <c r="F2119" s="121" t="s">
        <v>1601</v>
      </c>
      <c r="G2119" s="242"/>
      <c r="H2119" s="242"/>
      <c r="I2119" s="318">
        <f t="array" aca="1" ref="I211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19" s="318">
        <f t="array" aca="1" ref="J211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19" s="318">
        <f t="array" aca="1" ref="K211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19" s="318">
        <f t="array" aca="1" ref="L211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19" s="318">
        <f t="array" aca="1" ref="M211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19" s="318">
        <f t="array" aca="1" ref="N211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19" s="318">
        <f t="array" aca="1" ref="O211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19" s="318">
        <f t="array" aca="1" ref="P211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19" s="318">
        <f t="array" aca="1" ref="Q211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19" s="121"/>
      <c r="S2119" s="179"/>
      <c r="T2119" s="251"/>
      <c r="V2119" s="179"/>
      <c r="W2119" s="179"/>
    </row>
    <row r="2120" spans="1:23" s="65" customFormat="1" ht="15" customHeight="1" outlineLevel="2">
      <c r="A2120" s="219"/>
      <c r="B2120" s="242"/>
      <c r="C2120" s="413" t="s">
        <v>1836</v>
      </c>
      <c r="D2120" s="121" t="str">
        <f>INDEX(Regional.Technologies[Description],MATCH($B$2&amp;"."&amp;G.30.Assumptions.EnergyDemandAfterEnergyEfficiency[[#This Row],[Technology code]],Regional.Technologies[Code],0))</f>
        <v>Global Natural Gas use in the Chemicals: Methanol technology</v>
      </c>
      <c r="E2120" s="242"/>
      <c r="F2120" s="121" t="s">
        <v>1601</v>
      </c>
      <c r="G2120" s="242"/>
      <c r="H2120" s="242"/>
      <c r="I2120" s="318">
        <f t="array" aca="1" ref="I212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0.937789568259083</v>
      </c>
      <c r="J2120" s="318">
        <f t="array" aca="1" ref="J212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0.94740792280532993</v>
      </c>
      <c r="K2120" s="318">
        <f t="array" aca="1" ref="K212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0.95943086598813876</v>
      </c>
      <c r="L2120" s="318">
        <f t="array" aca="1" ref="L212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0.97145380917094759</v>
      </c>
      <c r="M2120" s="318">
        <f t="array" aca="1" ref="M212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0.98347675235375631</v>
      </c>
      <c r="N2120" s="318">
        <f t="array" aca="1" ref="N212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0.99549969553656503</v>
      </c>
      <c r="O2120" s="318">
        <f t="array" aca="1" ref="O212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1.0075226387193739</v>
      </c>
      <c r="P2120" s="318">
        <f t="array" aca="1" ref="P212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1.0195455819021826</v>
      </c>
      <c r="Q2120" s="318">
        <f t="array" aca="1" ref="Q212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1.0315685250849913</v>
      </c>
      <c r="R2120" s="121"/>
      <c r="S2120" s="179"/>
      <c r="T2120" s="251"/>
      <c r="V2120" s="179"/>
      <c r="W2120" s="179"/>
    </row>
    <row r="2121" spans="1:23" s="65" customFormat="1" ht="15" customHeight="1" outlineLevel="2">
      <c r="A2121" s="219"/>
      <c r="B2121" s="242"/>
      <c r="C2121" s="413" t="s">
        <v>1837</v>
      </c>
      <c r="D2121" s="121" t="str">
        <f>INDEX(Regional.Technologies[Description],MATCH($B$2&amp;"."&amp;G.30.Assumptions.EnergyDemandAfterEnergyEfficiency[[#This Row],[Technology code]],Regional.Technologies[Code],0))</f>
        <v>Global Solid Hydrocarbons use in the Chemicals: Methanol technology</v>
      </c>
      <c r="E2121" s="242"/>
      <c r="F2121" s="121" t="s">
        <v>1601</v>
      </c>
      <c r="G2121" s="242"/>
      <c r="H2121" s="242"/>
      <c r="I2121" s="318">
        <f t="array" aca="1" ref="I212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21" s="318">
        <f t="array" aca="1" ref="J212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21" s="318">
        <f t="array" aca="1" ref="K212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21" s="318">
        <f t="array" aca="1" ref="L212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21" s="318">
        <f t="array" aca="1" ref="M212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21" s="318">
        <f t="array" aca="1" ref="N212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21" s="318">
        <f t="array" aca="1" ref="O212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21" s="318">
        <f t="array" aca="1" ref="P212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21" s="318">
        <f t="array" aca="1" ref="Q212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21" s="121"/>
      <c r="S2121" s="179"/>
      <c r="T2121" s="251"/>
      <c r="V2121" s="179"/>
      <c r="W2121" s="179"/>
    </row>
    <row r="2122" spans="1:23" s="65" customFormat="1" ht="15" customHeight="1" outlineLevel="2">
      <c r="A2122" s="219"/>
      <c r="B2122" s="242"/>
      <c r="C2122" s="413" t="s">
        <v>1838</v>
      </c>
      <c r="D2122" s="121" t="str">
        <f>INDEX(Regional.Technologies[Description],MATCH($B$2&amp;"."&amp;G.30.Assumptions.EnergyDemandAfterEnergyEfficiency[[#This Row],[Technology code]],Regional.Technologies[Code],0))</f>
        <v>Global Heat use in the Chemicals: Methanol technology</v>
      </c>
      <c r="E2122" s="242"/>
      <c r="F2122" s="121" t="s">
        <v>1601</v>
      </c>
      <c r="G2122" s="242"/>
      <c r="H2122" s="242"/>
      <c r="I2122" s="318">
        <f t="array" aca="1" ref="I212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22" s="318">
        <f t="array" aca="1" ref="J212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22" s="318">
        <f t="array" aca="1" ref="K212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22" s="318">
        <f t="array" aca="1" ref="L212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22" s="318">
        <f t="array" aca="1" ref="M212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22" s="318">
        <f t="array" aca="1" ref="N212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22" s="318">
        <f t="array" aca="1" ref="O212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22" s="318">
        <f t="array" aca="1" ref="P212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22" s="318">
        <f t="array" aca="1" ref="Q212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22" s="121"/>
      <c r="S2122" s="179"/>
      <c r="T2122" s="251"/>
      <c r="V2122" s="179"/>
      <c r="W2122" s="179"/>
    </row>
    <row r="2123" spans="1:23" s="65" customFormat="1" ht="15" customHeight="1" outlineLevel="2">
      <c r="A2123" s="219"/>
      <c r="B2123" s="242"/>
      <c r="C2123" s="413" t="s">
        <v>1839</v>
      </c>
      <c r="D2123" s="121" t="str">
        <f>INDEX(Regional.Technologies[Description],MATCH($B$2&amp;"."&amp;G.30.Assumptions.EnergyDemandAfterEnergyEfficiency[[#This Row],[Technology code]],Regional.Technologies[Code],0))</f>
        <v>Global Electricity use in the Chemicals: Others technology</v>
      </c>
      <c r="E2123" s="242"/>
      <c r="F2123" s="121" t="s">
        <v>1601</v>
      </c>
      <c r="G2123" s="242"/>
      <c r="H2123" s="242"/>
      <c r="I2123" s="318">
        <f t="array" aca="1" ref="I212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4.1752925085634338</v>
      </c>
      <c r="J2123" s="318">
        <f t="array" aca="1" ref="J212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4.2181160214717766</v>
      </c>
      <c r="K2123" s="318">
        <f t="array" aca="1" ref="K212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4.2716454126072056</v>
      </c>
      <c r="L2123" s="318">
        <f t="array" aca="1" ref="L212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4.3251748037426347</v>
      </c>
      <c r="M2123" s="318">
        <f t="array" aca="1" ref="M212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4.3787041948780629</v>
      </c>
      <c r="N2123" s="318">
        <f t="array" aca="1" ref="N212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4.4322335860134912</v>
      </c>
      <c r="O2123" s="318">
        <f t="array" aca="1" ref="O212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4.4857629771489211</v>
      </c>
      <c r="P2123" s="318">
        <f t="array" aca="1" ref="P212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4.5392923682843493</v>
      </c>
      <c r="Q2123" s="318">
        <f t="array" aca="1" ref="Q212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4.5928217594197784</v>
      </c>
      <c r="R2123" s="121"/>
      <c r="S2123" s="179"/>
      <c r="T2123" s="251"/>
      <c r="V2123" s="179"/>
      <c r="W2123" s="179"/>
    </row>
    <row r="2124" spans="1:23" s="65" customFormat="1" ht="15" customHeight="1" outlineLevel="2">
      <c r="A2124" s="219"/>
      <c r="B2124" s="242"/>
      <c r="C2124" s="413" t="s">
        <v>1840</v>
      </c>
      <c r="D2124" s="121" t="str">
        <f>INDEX(Regional.Technologies[Description],MATCH($B$2&amp;"."&amp;G.30.Assumptions.EnergyDemandAfterEnergyEfficiency[[#This Row],[Technology code]],Regional.Technologies[Code],0))</f>
        <v>Global Coal use in the Chemicals: Others technology</v>
      </c>
      <c r="E2124" s="242"/>
      <c r="F2124" s="121" t="s">
        <v>1601</v>
      </c>
      <c r="G2124" s="242"/>
      <c r="H2124" s="242"/>
      <c r="I2124" s="318">
        <f t="array" aca="1" ref="I212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0.37414965620854623</v>
      </c>
      <c r="J2124" s="318">
        <f t="array" aca="1" ref="J212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0.37798708857991592</v>
      </c>
      <c r="K2124" s="318">
        <f t="array" aca="1" ref="K212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0.38278387904412625</v>
      </c>
      <c r="L2124" s="318">
        <f t="array" aca="1" ref="L212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0.38758066950834191</v>
      </c>
      <c r="M2124" s="318">
        <f t="array" aca="1" ref="M212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0.39237745997255224</v>
      </c>
      <c r="N2124" s="318">
        <f t="array" aca="1" ref="N212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0.39717425043676258</v>
      </c>
      <c r="O2124" s="318">
        <f t="array" aca="1" ref="O212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0.40197104090097646</v>
      </c>
      <c r="P2124" s="318">
        <f t="array" aca="1" ref="P212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0.40676783136519035</v>
      </c>
      <c r="Q2124" s="318">
        <f t="array" aca="1" ref="Q212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0.41156462182940068</v>
      </c>
      <c r="R2124" s="121"/>
      <c r="S2124" s="179"/>
      <c r="T2124" s="251"/>
      <c r="V2124" s="179"/>
      <c r="W2124" s="179"/>
    </row>
    <row r="2125" spans="1:23" s="65" customFormat="1" ht="15" customHeight="1" outlineLevel="2">
      <c r="A2125" s="219"/>
      <c r="B2125" s="242"/>
      <c r="C2125" s="413" t="s">
        <v>1841</v>
      </c>
      <c r="D2125" s="121" t="str">
        <f>INDEX(Regional.Technologies[Description],MATCH($B$2&amp;"."&amp;G.30.Assumptions.EnergyDemandAfterEnergyEfficiency[[#This Row],[Technology code]],Regional.Technologies[Code],0))</f>
        <v>Global Oil use in the Chemicals: Others technology</v>
      </c>
      <c r="E2125" s="242"/>
      <c r="F2125" s="121" t="s">
        <v>1601</v>
      </c>
      <c r="G2125" s="242"/>
      <c r="H2125" s="242"/>
      <c r="I2125" s="318">
        <f t="array" aca="1" ref="I212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-2.3799202608643097E-15</v>
      </c>
      <c r="J2125" s="318">
        <f t="array" aca="1" ref="J212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-2.4043296994372769E-15</v>
      </c>
      <c r="K2125" s="318">
        <f t="array" aca="1" ref="K212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-2.434841497653486E-15</v>
      </c>
      <c r="L2125" s="318">
        <f t="array" aca="1" ref="L212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-2.4653532958696954E-15</v>
      </c>
      <c r="M2125" s="318">
        <f t="array" aca="1" ref="M212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-2.4958650940859044E-15</v>
      </c>
      <c r="N2125" s="318">
        <f t="array" aca="1" ref="N212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-2.5263768923021135E-15</v>
      </c>
      <c r="O2125" s="318">
        <f t="array" aca="1" ref="O212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-2.5568886905183229E-15</v>
      </c>
      <c r="P2125" s="318">
        <f t="array" aca="1" ref="P212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-2.5874004887345319E-15</v>
      </c>
      <c r="Q2125" s="318">
        <f t="array" aca="1" ref="Q212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-2.617912286950741E-15</v>
      </c>
      <c r="R2125" s="121"/>
      <c r="S2125" s="179"/>
      <c r="T2125" s="251"/>
      <c r="V2125" s="179"/>
      <c r="W2125" s="179"/>
    </row>
    <row r="2126" spans="1:23" s="65" customFormat="1" ht="15" customHeight="1" outlineLevel="2">
      <c r="A2126" s="219"/>
      <c r="B2126" s="242"/>
      <c r="C2126" s="413" t="s">
        <v>1842</v>
      </c>
      <c r="D2126" s="121" t="str">
        <f>INDEX(Regional.Technologies[Description],MATCH($B$2&amp;"."&amp;G.30.Assumptions.EnergyDemandAfterEnergyEfficiency[[#This Row],[Technology code]],Regional.Technologies[Code],0))</f>
        <v>Global Natural Gas use in the Chemicals: Others technology</v>
      </c>
      <c r="E2126" s="242"/>
      <c r="F2126" s="121" t="s">
        <v>1601</v>
      </c>
      <c r="G2126" s="242"/>
      <c r="H2126" s="242"/>
      <c r="I2126" s="318">
        <f t="array" aca="1" ref="I212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6.0442800620537298</v>
      </c>
      <c r="J2126" s="318">
        <f t="array" aca="1" ref="J212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6.1062726780747951</v>
      </c>
      <c r="K2126" s="318">
        <f t="array" aca="1" ref="K212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6.1837634481011259</v>
      </c>
      <c r="L2126" s="318">
        <f t="array" aca="1" ref="L212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6.2612542181274531</v>
      </c>
      <c r="M2126" s="318">
        <f t="array" aca="1" ref="M212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6.3387449881537838</v>
      </c>
      <c r="N2126" s="318">
        <f t="array" aca="1" ref="N212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6.4162357581801146</v>
      </c>
      <c r="O2126" s="318">
        <f t="array" aca="1" ref="O212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6.4937265282064454</v>
      </c>
      <c r="P2126" s="318">
        <f t="array" aca="1" ref="P212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6.5712172982327735</v>
      </c>
      <c r="Q2126" s="318">
        <f t="array" aca="1" ref="Q212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6.6487080682591042</v>
      </c>
      <c r="R2126" s="121"/>
      <c r="S2126" s="179"/>
      <c r="T2126" s="251"/>
      <c r="V2126" s="179"/>
      <c r="W2126" s="179"/>
    </row>
    <row r="2127" spans="1:23" s="65" customFormat="1" ht="15" customHeight="1" outlineLevel="2">
      <c r="A2127" s="219"/>
      <c r="B2127" s="242"/>
      <c r="C2127" s="413" t="s">
        <v>1843</v>
      </c>
      <c r="D2127" s="121" t="str">
        <f>INDEX(Regional.Technologies[Description],MATCH($B$2&amp;"."&amp;G.30.Assumptions.EnergyDemandAfterEnergyEfficiency[[#This Row],[Technology code]],Regional.Technologies[Code],0))</f>
        <v>Global Solid Hydrocarbons use in the Chemicals: Others technology</v>
      </c>
      <c r="E2127" s="242"/>
      <c r="F2127" s="121" t="s">
        <v>1601</v>
      </c>
      <c r="G2127" s="242"/>
      <c r="H2127" s="242"/>
      <c r="I2127" s="318">
        <f t="array" aca="1" ref="I212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0.16313870478909601</v>
      </c>
      <c r="J2127" s="318">
        <f t="array" aca="1" ref="J212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0.16481192227411237</v>
      </c>
      <c r="K2127" s="318">
        <f t="array" aca="1" ref="K212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0.16690344413038283</v>
      </c>
      <c r="L2127" s="318">
        <f t="array" aca="1" ref="L212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0.16899496598665331</v>
      </c>
      <c r="M2127" s="318">
        <f t="array" aca="1" ref="M212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0.17108648784292377</v>
      </c>
      <c r="N2127" s="318">
        <f t="array" aca="1" ref="N212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0.17317800969919422</v>
      </c>
      <c r="O2127" s="318">
        <f t="array" aca="1" ref="O212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0.17526953155546471</v>
      </c>
      <c r="P2127" s="318">
        <f t="array" aca="1" ref="P212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0.17736105341173516</v>
      </c>
      <c r="Q2127" s="318">
        <f t="array" aca="1" ref="Q212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0.17945257526800562</v>
      </c>
      <c r="R2127" s="121"/>
      <c r="S2127" s="179"/>
      <c r="T2127" s="251"/>
      <c r="V2127" s="179"/>
      <c r="W2127" s="179"/>
    </row>
    <row r="2128" spans="1:23" s="65" customFormat="1" ht="15" customHeight="1" outlineLevel="2">
      <c r="A2128" s="219"/>
      <c r="B2128" s="242"/>
      <c r="C2128" s="413" t="s">
        <v>1844</v>
      </c>
      <c r="D2128" s="121" t="str">
        <f>INDEX(Regional.Technologies[Description],MATCH($B$2&amp;"."&amp;G.30.Assumptions.EnergyDemandAfterEnergyEfficiency[[#This Row],[Technology code]],Regional.Technologies[Code],0))</f>
        <v>Global Heat use in the Chemicals: Others technology</v>
      </c>
      <c r="E2128" s="242"/>
      <c r="F2128" s="121" t="s">
        <v>1601</v>
      </c>
      <c r="G2128" s="242"/>
      <c r="H2128" s="242"/>
      <c r="I2128" s="318">
        <f t="array" aca="1" ref="I212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1.9701384317850921</v>
      </c>
      <c r="J2128" s="318">
        <f t="array" aca="1" ref="J212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1.9903449798034007</v>
      </c>
      <c r="K2128" s="318">
        <f t="array" aca="1" ref="K212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2.0156031648262864</v>
      </c>
      <c r="L2128" s="318">
        <f t="array" aca="1" ref="L212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2.0408613498491723</v>
      </c>
      <c r="M2128" s="318">
        <f t="array" aca="1" ref="M212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2.0661195348720582</v>
      </c>
      <c r="N2128" s="318">
        <f t="array" aca="1" ref="N212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2.0913777198949437</v>
      </c>
      <c r="O2128" s="318">
        <f t="array" aca="1" ref="O212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2.11663590491783</v>
      </c>
      <c r="P2128" s="318">
        <f t="array" aca="1" ref="P212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2.141894089940716</v>
      </c>
      <c r="Q2128" s="318">
        <f t="array" aca="1" ref="Q212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2.1671522749636014</v>
      </c>
      <c r="R2128" s="121"/>
      <c r="S2128" s="179"/>
      <c r="T2128" s="251"/>
      <c r="V2128" s="179"/>
      <c r="W2128" s="179"/>
    </row>
    <row r="2129" spans="1:23" s="65" customFormat="1" ht="15" customHeight="1" outlineLevel="2">
      <c r="A2129" s="219"/>
      <c r="B2129" s="242"/>
      <c r="C2129" s="413" t="s">
        <v>1845</v>
      </c>
      <c r="D2129" s="121" t="str">
        <f>INDEX(Regional.Technologies[Description],MATCH($B$2&amp;"."&amp;G.30.Assumptions.EnergyDemandAfterEnergyEfficiency[[#This Row],[Technology code]],Regional.Technologies[Code],0))</f>
        <v>Global Electricity use in the Pulp &amp; paper: Pulp technology</v>
      </c>
      <c r="E2129" s="242"/>
      <c r="F2129" s="121" t="s">
        <v>1447</v>
      </c>
      <c r="G2129" s="242"/>
      <c r="H2129" s="242"/>
      <c r="I2129" s="318">
        <f t="array" aca="1" ref="I212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0.65799398015612487</v>
      </c>
      <c r="J2129" s="318">
        <f t="array" aca="1" ref="J212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0.66474263636285447</v>
      </c>
      <c r="K2129" s="318">
        <f t="array" aca="1" ref="K212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0.67317845662126619</v>
      </c>
      <c r="L2129" s="318">
        <f t="array" aca="1" ref="L212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0.68161427687967835</v>
      </c>
      <c r="M2129" s="318">
        <f t="array" aca="1" ref="M212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0.69005009713809007</v>
      </c>
      <c r="N2129" s="318">
        <f t="array" aca="1" ref="N212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0.6984859173965019</v>
      </c>
      <c r="O2129" s="318">
        <f t="array" aca="1" ref="O212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0.70692173765491395</v>
      </c>
      <c r="P2129" s="318">
        <f t="array" aca="1" ref="P212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0.71535755791332567</v>
      </c>
      <c r="Q2129" s="318">
        <f t="array" aca="1" ref="Q212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0.72379337817173739</v>
      </c>
      <c r="R2129" s="121"/>
      <c r="S2129" s="179"/>
      <c r="T2129" s="251"/>
      <c r="V2129" s="179"/>
      <c r="W2129" s="179"/>
    </row>
    <row r="2130" spans="1:23" s="65" customFormat="1" ht="15" customHeight="1" outlineLevel="2">
      <c r="A2130" s="219"/>
      <c r="B2130" s="242"/>
      <c r="C2130" s="413" t="s">
        <v>1846</v>
      </c>
      <c r="D2130" s="121" t="str">
        <f>INDEX(Regional.Technologies[Description],MATCH($B$2&amp;"."&amp;G.30.Assumptions.EnergyDemandAfterEnergyEfficiency[[#This Row],[Technology code]],Regional.Technologies[Code],0))</f>
        <v>Global Coal use in the Pulp &amp; paper: Pulp technology</v>
      </c>
      <c r="E2130" s="242"/>
      <c r="F2130" s="121" t="s">
        <v>1447</v>
      </c>
      <c r="G2130" s="242"/>
      <c r="H2130" s="242"/>
      <c r="I2130" s="318">
        <f t="array" aca="1" ref="I213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0.59772552046925531</v>
      </c>
      <c r="J2130" s="318">
        <f t="array" aca="1" ref="J213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0.60385603862791459</v>
      </c>
      <c r="K2130" s="318">
        <f t="array" aca="1" ref="K213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0.61151918632623792</v>
      </c>
      <c r="L2130" s="318">
        <f t="array" aca="1" ref="L213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0.61918233402456213</v>
      </c>
      <c r="M2130" s="318">
        <f t="array" aca="1" ref="M213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0.62684548172288546</v>
      </c>
      <c r="N2130" s="318">
        <f t="array" aca="1" ref="N213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0.63450862942120967</v>
      </c>
      <c r="O2130" s="318">
        <f t="array" aca="1" ref="O213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0.64217177711953344</v>
      </c>
      <c r="P2130" s="318">
        <f t="array" aca="1" ref="P213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0.64983492481785721</v>
      </c>
      <c r="Q2130" s="318">
        <f t="array" aca="1" ref="Q213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0.65749807251618186</v>
      </c>
      <c r="R2130" s="121"/>
      <c r="S2130" s="179"/>
      <c r="T2130" s="251"/>
      <c r="V2130" s="179"/>
      <c r="W2130" s="179"/>
    </row>
    <row r="2131" spans="1:23" s="65" customFormat="1" ht="15" customHeight="1" outlineLevel="2">
      <c r="A2131" s="219"/>
      <c r="B2131" s="242"/>
      <c r="C2131" s="413" t="s">
        <v>1847</v>
      </c>
      <c r="D2131" s="121" t="str">
        <f>INDEX(Regional.Technologies[Description],MATCH($B$2&amp;"."&amp;G.30.Assumptions.EnergyDemandAfterEnergyEfficiency[[#This Row],[Technology code]],Regional.Technologies[Code],0))</f>
        <v>Global Oil use in the Pulp &amp; paper: Pulp technology</v>
      </c>
      <c r="E2131" s="242"/>
      <c r="F2131" s="121" t="s">
        <v>1447</v>
      </c>
      <c r="G2131" s="242"/>
      <c r="H2131" s="242"/>
      <c r="I2131" s="318">
        <f t="array" aca="1" ref="I213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0.18690202814673121</v>
      </c>
      <c r="J2131" s="318">
        <f t="array" aca="1" ref="J213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0.18881897202515924</v>
      </c>
      <c r="K2131" s="318">
        <f t="array" aca="1" ref="K213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0.19121515187319424</v>
      </c>
      <c r="L2131" s="318">
        <f t="array" aca="1" ref="L213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0.19361133172122932</v>
      </c>
      <c r="M2131" s="318">
        <f t="array" aca="1" ref="M213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0.1960075115692643</v>
      </c>
      <c r="N2131" s="318">
        <f t="array" aca="1" ref="N213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0.1984036914172993</v>
      </c>
      <c r="O2131" s="318">
        <f t="array" aca="1" ref="O213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0.20079987126533438</v>
      </c>
      <c r="P2131" s="318">
        <f t="array" aca="1" ref="P213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0.20319605111336939</v>
      </c>
      <c r="Q2131" s="318">
        <f t="array" aca="1" ref="Q213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0.20559223096140436</v>
      </c>
      <c r="R2131" s="121"/>
      <c r="S2131" s="179"/>
      <c r="T2131" s="251"/>
      <c r="V2131" s="179"/>
      <c r="W2131" s="179"/>
    </row>
    <row r="2132" spans="1:23" s="65" customFormat="1" ht="15" customHeight="1" outlineLevel="2">
      <c r="A2132" s="219"/>
      <c r="B2132" s="242"/>
      <c r="C2132" s="413" t="s">
        <v>1848</v>
      </c>
      <c r="D2132" s="121" t="str">
        <f>INDEX(Regional.Technologies[Description],MATCH($B$2&amp;"."&amp;G.30.Assumptions.EnergyDemandAfterEnergyEfficiency[[#This Row],[Technology code]],Regional.Technologies[Code],0))</f>
        <v>Global Natural Gas use in the Pulp &amp; paper: Pulp technology</v>
      </c>
      <c r="E2132" s="242"/>
      <c r="F2132" s="121" t="s">
        <v>1447</v>
      </c>
      <c r="G2132" s="242"/>
      <c r="H2132" s="242"/>
      <c r="I2132" s="318">
        <f t="array" aca="1" ref="I213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0.47643652328594177</v>
      </c>
      <c r="J2132" s="318">
        <f t="array" aca="1" ref="J213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0.48132305172990009</v>
      </c>
      <c r="K2132" s="318">
        <f t="array" aca="1" ref="K213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0.48743121228484831</v>
      </c>
      <c r="L2132" s="318">
        <f t="array" aca="1" ref="L213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0.49353937283979565</v>
      </c>
      <c r="M2132" s="318">
        <f t="array" aca="1" ref="M213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0.49964753339474388</v>
      </c>
      <c r="N2132" s="318">
        <f t="array" aca="1" ref="N213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0.50575569394969211</v>
      </c>
      <c r="O2132" s="318">
        <f t="array" aca="1" ref="O213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0.51186385450463989</v>
      </c>
      <c r="P2132" s="318">
        <f t="array" aca="1" ref="P213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0.51797201505958812</v>
      </c>
      <c r="Q2132" s="318">
        <f t="array" aca="1" ref="Q213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0.52408017561453635</v>
      </c>
      <c r="R2132" s="121"/>
      <c r="S2132" s="179"/>
      <c r="T2132" s="251"/>
      <c r="V2132" s="179"/>
      <c r="W2132" s="179"/>
    </row>
    <row r="2133" spans="1:23" s="65" customFormat="1" ht="15" customHeight="1" outlineLevel="2">
      <c r="A2133" s="219"/>
      <c r="B2133" s="242"/>
      <c r="C2133" s="413" t="s">
        <v>1849</v>
      </c>
      <c r="D2133" s="121" t="str">
        <f>INDEX(Regional.Technologies[Description],MATCH($B$2&amp;"."&amp;G.30.Assumptions.EnergyDemandAfterEnergyEfficiency[[#This Row],[Technology code]],Regional.Technologies[Code],0))</f>
        <v>Global Solid Hydrocarbons use in the Pulp &amp; paper: Pulp technology</v>
      </c>
      <c r="E2133" s="242"/>
      <c r="F2133" s="121" t="s">
        <v>1447</v>
      </c>
      <c r="G2133" s="242"/>
      <c r="H2133" s="242"/>
      <c r="I2133" s="318">
        <f t="array" aca="1" ref="I213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1.1015070797346034</v>
      </c>
      <c r="J2133" s="318">
        <f t="array" aca="1" ref="J213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1.1128045882447017</v>
      </c>
      <c r="K2133" s="318">
        <f t="array" aca="1" ref="K213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1.1269264738823248</v>
      </c>
      <c r="L2133" s="318">
        <f t="array" aca="1" ref="L213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1.1410483595199483</v>
      </c>
      <c r="M2133" s="318">
        <f t="array" aca="1" ref="M213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1.1551702451575714</v>
      </c>
      <c r="N2133" s="318">
        <f t="array" aca="1" ref="N213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1.1692921307951945</v>
      </c>
      <c r="O2133" s="318">
        <f t="array" aca="1" ref="O213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1.1834140164328177</v>
      </c>
      <c r="P2133" s="318">
        <f t="array" aca="1" ref="P213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1.1975359020704408</v>
      </c>
      <c r="Q2133" s="318">
        <f t="array" aca="1" ref="Q213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1.2116577877080636</v>
      </c>
      <c r="R2133" s="121"/>
      <c r="S2133" s="179"/>
      <c r="T2133" s="251"/>
      <c r="V2133" s="179"/>
      <c r="W2133" s="179"/>
    </row>
    <row r="2134" spans="1:23" s="65" customFormat="1" ht="15" customHeight="1" outlineLevel="2">
      <c r="A2134" s="219"/>
      <c r="B2134" s="242"/>
      <c r="C2134" s="413" t="s">
        <v>1850</v>
      </c>
      <c r="D2134" s="121" t="str">
        <f>INDEX(Regional.Technologies[Description],MATCH($B$2&amp;"."&amp;G.30.Assumptions.EnergyDemandAfterEnergyEfficiency[[#This Row],[Technology code]],Regional.Technologies[Code],0))</f>
        <v>Global Heat use in the Pulp &amp; paper: Pulp technology</v>
      </c>
      <c r="E2134" s="242"/>
      <c r="F2134" s="121" t="s">
        <v>1447</v>
      </c>
      <c r="G2134" s="242"/>
      <c r="H2134" s="242"/>
      <c r="I2134" s="318">
        <f t="array" aca="1" ref="I213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34" s="318">
        <f t="array" aca="1" ref="J213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34" s="318">
        <f t="array" aca="1" ref="K213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34" s="318">
        <f t="array" aca="1" ref="L213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34" s="318">
        <f t="array" aca="1" ref="M213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34" s="318">
        <f t="array" aca="1" ref="N213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34" s="318">
        <f t="array" aca="1" ref="O213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34" s="318">
        <f t="array" aca="1" ref="P213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34" s="318">
        <f t="array" aca="1" ref="Q213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34" s="121"/>
      <c r="S2134" s="179"/>
      <c r="T2134" s="251"/>
      <c r="V2134" s="179"/>
      <c r="W2134" s="179"/>
    </row>
    <row r="2135" spans="1:23" s="65" customFormat="1" ht="15" customHeight="1" outlineLevel="2">
      <c r="A2135" s="219"/>
      <c r="B2135" s="242"/>
      <c r="C2135" s="413" t="s">
        <v>1631</v>
      </c>
      <c r="D2135" s="121" t="str">
        <f>INDEX(Regional.Technologies[Description],MATCH($B$2&amp;"."&amp;G.30.Assumptions.EnergyDemandAfterEnergyEfficiency[[#This Row],[Technology code]],Regional.Technologies[Code],0))</f>
        <v>Global Electricity use in the Pulp &amp; paper: Virgin technology</v>
      </c>
      <c r="E2135" s="242"/>
      <c r="F2135" s="121" t="s">
        <v>1447</v>
      </c>
      <c r="G2135" s="242"/>
      <c r="H2135" s="242"/>
      <c r="I2135" s="318">
        <f t="array" aca="1" ref="I213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0.96830205621334242</v>
      </c>
      <c r="J2135" s="318">
        <f t="array" aca="1" ref="J213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0.97823335935399203</v>
      </c>
      <c r="K2135" s="318">
        <f t="array" aca="1" ref="K213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0.99064748827980409</v>
      </c>
      <c r="L2135" s="318">
        <f t="array" aca="1" ref="L213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1.0030616172056164</v>
      </c>
      <c r="M2135" s="318">
        <f t="array" aca="1" ref="M213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1.0154757461314283</v>
      </c>
      <c r="N2135" s="318">
        <f t="array" aca="1" ref="N213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1.0278898750572405</v>
      </c>
      <c r="O2135" s="318">
        <f t="array" aca="1" ref="O213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1.0403040039830527</v>
      </c>
      <c r="P2135" s="318">
        <f t="array" aca="1" ref="P213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1.0527181329088646</v>
      </c>
      <c r="Q2135" s="318">
        <f t="array" aca="1" ref="Q213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1.0651322618346766</v>
      </c>
      <c r="R2135" s="121"/>
      <c r="S2135" s="179"/>
      <c r="T2135" s="251"/>
      <c r="V2135" s="179"/>
      <c r="W2135" s="179"/>
    </row>
    <row r="2136" spans="1:23" s="65" customFormat="1" ht="15" customHeight="1" outlineLevel="2">
      <c r="A2136" s="219"/>
      <c r="B2136" s="242"/>
      <c r="C2136" s="413" t="s">
        <v>1851</v>
      </c>
      <c r="D2136" s="121" t="str">
        <f>INDEX(Regional.Technologies[Description],MATCH($B$2&amp;"."&amp;G.30.Assumptions.EnergyDemandAfterEnergyEfficiency[[#This Row],[Technology code]],Regional.Technologies[Code],0))</f>
        <v>Global Coal use in the Pulp &amp; paper: Virgin technology</v>
      </c>
      <c r="E2136" s="242"/>
      <c r="F2136" s="121" t="s">
        <v>1447</v>
      </c>
      <c r="G2136" s="242"/>
      <c r="H2136" s="242"/>
      <c r="I2136" s="318">
        <f t="array" aca="1" ref="I213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0.77413991162387541</v>
      </c>
      <c r="J2136" s="318">
        <f t="array" aca="1" ref="J213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0.78207980815335132</v>
      </c>
      <c r="K2136" s="318">
        <f t="array" aca="1" ref="K213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0.79200467881519554</v>
      </c>
      <c r="L2136" s="318">
        <f t="array" aca="1" ref="L213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0.80192954947704065</v>
      </c>
      <c r="M2136" s="318">
        <f t="array" aca="1" ref="M213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0.81185442013888398</v>
      </c>
      <c r="N2136" s="318">
        <f t="array" aca="1" ref="N213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0.82177929080072953</v>
      </c>
      <c r="O2136" s="318">
        <f t="array" aca="1" ref="O213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0.8317041614625742</v>
      </c>
      <c r="P2136" s="318">
        <f t="array" aca="1" ref="P213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0.84162903212441842</v>
      </c>
      <c r="Q2136" s="318">
        <f t="array" aca="1" ref="Q213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0.85155390278626353</v>
      </c>
      <c r="R2136" s="121"/>
      <c r="S2136" s="179"/>
      <c r="T2136" s="251"/>
      <c r="V2136" s="179"/>
      <c r="W2136" s="179"/>
    </row>
    <row r="2137" spans="1:23" s="65" customFormat="1" ht="15" customHeight="1" outlineLevel="2">
      <c r="A2137" s="219"/>
      <c r="B2137" s="242"/>
      <c r="C2137" s="413" t="s">
        <v>1852</v>
      </c>
      <c r="D2137" s="121" t="str">
        <f>INDEX(Regional.Technologies[Description],MATCH($B$2&amp;"."&amp;G.30.Assumptions.EnergyDemandAfterEnergyEfficiency[[#This Row],[Technology code]],Regional.Technologies[Code],0))</f>
        <v>Global Oil use in the Pulp &amp; paper: Virgin technology</v>
      </c>
      <c r="E2137" s="242"/>
      <c r="F2137" s="121" t="s">
        <v>1447</v>
      </c>
      <c r="G2137" s="242"/>
      <c r="H2137" s="242"/>
      <c r="I2137" s="318">
        <f t="array" aca="1" ref="I213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0.17969717966158166</v>
      </c>
      <c r="J2137" s="318">
        <f t="array" aca="1" ref="J213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0.1815402276581107</v>
      </c>
      <c r="K2137" s="318">
        <f t="array" aca="1" ref="K213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0.18384403765377202</v>
      </c>
      <c r="L2137" s="318">
        <f t="array" aca="1" ref="L213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0.18614784764943337</v>
      </c>
      <c r="M2137" s="318">
        <f t="array" aca="1" ref="M213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0.18845165764509464</v>
      </c>
      <c r="N2137" s="318">
        <f t="array" aca="1" ref="N213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0.19075546764075593</v>
      </c>
      <c r="O2137" s="318">
        <f t="array" aca="1" ref="O213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0.19305927763641725</v>
      </c>
      <c r="P2137" s="318">
        <f t="array" aca="1" ref="P213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0.19536308763207857</v>
      </c>
      <c r="Q2137" s="318">
        <f t="array" aca="1" ref="Q213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0.19766689762773984</v>
      </c>
      <c r="R2137" s="121"/>
      <c r="S2137" s="179"/>
      <c r="T2137" s="251"/>
      <c r="V2137" s="179"/>
      <c r="W2137" s="179"/>
    </row>
    <row r="2138" spans="1:23" s="65" customFormat="1" ht="15" customHeight="1" outlineLevel="2">
      <c r="A2138" s="219"/>
      <c r="B2138" s="242"/>
      <c r="C2138" s="413" t="s">
        <v>1853</v>
      </c>
      <c r="D2138" s="121" t="str">
        <f>INDEX(Regional.Technologies[Description],MATCH($B$2&amp;"."&amp;G.30.Assumptions.EnergyDemandAfterEnergyEfficiency[[#This Row],[Technology code]],Regional.Technologies[Code],0))</f>
        <v>Global Natural Gas use in the Pulp &amp; paper: Virgin technology</v>
      </c>
      <c r="E2138" s="242"/>
      <c r="F2138" s="121" t="s">
        <v>1447</v>
      </c>
      <c r="G2138" s="242"/>
      <c r="H2138" s="242"/>
      <c r="I2138" s="318">
        <f t="array" aca="1" ref="I213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0.45387282618987923</v>
      </c>
      <c r="J2138" s="318">
        <f t="array" aca="1" ref="J213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0.45852793209951903</v>
      </c>
      <c r="K2138" s="318">
        <f t="array" aca="1" ref="K213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0.46434681448656878</v>
      </c>
      <c r="L2138" s="318">
        <f t="array" aca="1" ref="L213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0.47016569687361853</v>
      </c>
      <c r="M2138" s="318">
        <f t="array" aca="1" ref="M213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0.47598457926066828</v>
      </c>
      <c r="N2138" s="318">
        <f t="array" aca="1" ref="N213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0.48180346164771803</v>
      </c>
      <c r="O2138" s="318">
        <f t="array" aca="1" ref="O213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0.48762234403476779</v>
      </c>
      <c r="P2138" s="318">
        <f t="array" aca="1" ref="P213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0.49344122642181754</v>
      </c>
      <c r="Q2138" s="318">
        <f t="array" aca="1" ref="Q213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0.49926010880886684</v>
      </c>
      <c r="R2138" s="121"/>
      <c r="S2138" s="179"/>
      <c r="T2138" s="251"/>
      <c r="V2138" s="179"/>
      <c r="W2138" s="179"/>
    </row>
    <row r="2139" spans="1:23" s="65" customFormat="1" ht="15" customHeight="1" outlineLevel="2">
      <c r="A2139" s="219"/>
      <c r="B2139" s="242"/>
      <c r="C2139" s="413" t="s">
        <v>1854</v>
      </c>
      <c r="D2139" s="121" t="str">
        <f>INDEX(Regional.Technologies[Description],MATCH($B$2&amp;"."&amp;G.30.Assumptions.EnergyDemandAfterEnergyEfficiency[[#This Row],[Technology code]],Regional.Technologies[Code],0))</f>
        <v>Global Solid Hydrocarbons use in the Pulp &amp; paper: Virgin technology</v>
      </c>
      <c r="E2139" s="242"/>
      <c r="F2139" s="121" t="s">
        <v>1447</v>
      </c>
      <c r="G2139" s="242"/>
      <c r="H2139" s="242"/>
      <c r="I2139" s="318">
        <f t="array" aca="1" ref="I213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0.68393967671459854</v>
      </c>
      <c r="J2139" s="318">
        <f t="array" aca="1" ref="J213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0.69095444262962002</v>
      </c>
      <c r="K2139" s="318">
        <f t="array" aca="1" ref="K213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0.69972290002339688</v>
      </c>
      <c r="L2139" s="318">
        <f t="array" aca="1" ref="L213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0.70849135741717395</v>
      </c>
      <c r="M2139" s="318">
        <f t="array" aca="1" ref="M213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0.7172598148109508</v>
      </c>
      <c r="N2139" s="318">
        <f t="array" aca="1" ref="N213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0.72602827220472765</v>
      </c>
      <c r="O2139" s="318">
        <f t="array" aca="1" ref="O213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0.73479672959850462</v>
      </c>
      <c r="P2139" s="318">
        <f t="array" aca="1" ref="P213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0.74356518699228158</v>
      </c>
      <c r="Q2139" s="318">
        <f t="array" aca="1" ref="Q213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0.75233364438605832</v>
      </c>
      <c r="R2139" s="121"/>
      <c r="S2139" s="179"/>
      <c r="T2139" s="251"/>
      <c r="V2139" s="179"/>
      <c r="W2139" s="179"/>
    </row>
    <row r="2140" spans="1:23" s="65" customFormat="1" ht="15" customHeight="1" outlineLevel="2">
      <c r="A2140" s="219"/>
      <c r="B2140" s="242"/>
      <c r="C2140" s="413" t="s">
        <v>1855</v>
      </c>
      <c r="D2140" s="121" t="str">
        <f>INDEX(Regional.Technologies[Description],MATCH($B$2&amp;"."&amp;G.30.Assumptions.EnergyDemandAfterEnergyEfficiency[[#This Row],[Technology code]],Regional.Technologies[Code],0))</f>
        <v>Global Heat use in the Pulp &amp; paper: Virgin technology</v>
      </c>
      <c r="E2140" s="242"/>
      <c r="F2140" s="121" t="s">
        <v>1447</v>
      </c>
      <c r="G2140" s="242"/>
      <c r="H2140" s="242"/>
      <c r="I2140" s="318">
        <f t="array" aca="1" ref="I214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40" s="318">
        <f t="array" aca="1" ref="J214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40" s="318">
        <f t="array" aca="1" ref="K214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40" s="318">
        <f t="array" aca="1" ref="L214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40" s="318">
        <f t="array" aca="1" ref="M214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40" s="318">
        <f t="array" aca="1" ref="N214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40" s="318">
        <f t="array" aca="1" ref="O214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40" s="318">
        <f t="array" aca="1" ref="P214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40" s="318">
        <f t="array" aca="1" ref="Q214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40" s="121"/>
      <c r="S2140" s="179"/>
      <c r="T2140" s="251"/>
      <c r="V2140" s="179"/>
      <c r="W2140" s="179"/>
    </row>
    <row r="2141" spans="1:23" s="65" customFormat="1" ht="15" customHeight="1" outlineLevel="2">
      <c r="A2141" s="219"/>
      <c r="B2141" s="242"/>
      <c r="C2141" s="413" t="s">
        <v>1632</v>
      </c>
      <c r="D2141" s="121" t="str">
        <f>INDEX(Regional.Technologies[Description],MATCH($B$2&amp;"."&amp;G.30.Assumptions.EnergyDemandAfterEnergyEfficiency[[#This Row],[Technology code]],Regional.Technologies[Code],0))</f>
        <v>Global Electricity use in the Pulp &amp; paper: Recycled technology</v>
      </c>
      <c r="E2141" s="242"/>
      <c r="F2141" s="121" t="s">
        <v>1447</v>
      </c>
      <c r="G2141" s="242"/>
      <c r="H2141" s="242"/>
      <c r="I2141" s="318">
        <f t="array" aca="1" ref="I214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0.22638860872541189</v>
      </c>
      <c r="J2141" s="318">
        <f t="array" aca="1" ref="J214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0.22871054317387765</v>
      </c>
      <c r="K2141" s="318">
        <f t="array" aca="1" ref="K214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0.23161296123445987</v>
      </c>
      <c r="L2141" s="318">
        <f t="array" aca="1" ref="L214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0.2345153792950421</v>
      </c>
      <c r="M2141" s="318">
        <f t="array" aca="1" ref="M214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0.23741779735562429</v>
      </c>
      <c r="N2141" s="318">
        <f t="array" aca="1" ref="N214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0.24032021541620649</v>
      </c>
      <c r="O2141" s="318">
        <f t="array" aca="1" ref="O214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0.24322263347678871</v>
      </c>
      <c r="P2141" s="318">
        <f t="array" aca="1" ref="P214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0.24612505153737091</v>
      </c>
      <c r="Q2141" s="318">
        <f t="array" aca="1" ref="Q214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0.24902746959795308</v>
      </c>
      <c r="R2141" s="121"/>
      <c r="S2141" s="179"/>
      <c r="T2141" s="251"/>
      <c r="V2141" s="179"/>
      <c r="W2141" s="179"/>
    </row>
    <row r="2142" spans="1:23" s="65" customFormat="1" ht="15" customHeight="1" outlineLevel="2">
      <c r="A2142" s="219"/>
      <c r="B2142" s="242"/>
      <c r="C2142" s="413" t="s">
        <v>1856</v>
      </c>
      <c r="D2142" s="121" t="str">
        <f>INDEX(Regional.Technologies[Description],MATCH($B$2&amp;"."&amp;G.30.Assumptions.EnergyDemandAfterEnergyEfficiency[[#This Row],[Technology code]],Regional.Technologies[Code],0))</f>
        <v>Global Coal use in the Pulp &amp; paper: Recycled technology</v>
      </c>
      <c r="E2142" s="242"/>
      <c r="F2142" s="121" t="s">
        <v>1447</v>
      </c>
      <c r="G2142" s="242"/>
      <c r="H2142" s="242"/>
      <c r="I2142" s="318">
        <f t="array" aca="1" ref="I214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0.14639565534575039</v>
      </c>
      <c r="J2142" s="318">
        <f t="array" aca="1" ref="J214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0.14789714924673242</v>
      </c>
      <c r="K2142" s="318">
        <f t="array" aca="1" ref="K214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0.14977401662295986</v>
      </c>
      <c r="L2142" s="318">
        <f t="array" aca="1" ref="L214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0.15165088399918747</v>
      </c>
      <c r="M2142" s="318">
        <f t="array" aca="1" ref="M214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0.15352775137541508</v>
      </c>
      <c r="N2142" s="318">
        <f t="array" aca="1" ref="N214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0.15540461875164274</v>
      </c>
      <c r="O2142" s="318">
        <f t="array" aca="1" ref="O214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0.15728148612787024</v>
      </c>
      <c r="P2142" s="318">
        <f t="array" aca="1" ref="P214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0.15915835350409779</v>
      </c>
      <c r="Q2142" s="318">
        <f t="array" aca="1" ref="Q214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0.16103522088032529</v>
      </c>
      <c r="R2142" s="121"/>
      <c r="S2142" s="179"/>
      <c r="T2142" s="251"/>
      <c r="V2142" s="179"/>
      <c r="W2142" s="179"/>
    </row>
    <row r="2143" spans="1:23" s="65" customFormat="1" ht="15" customHeight="1" outlineLevel="2">
      <c r="A2143" s="219"/>
      <c r="B2143" s="242"/>
      <c r="C2143" s="413" t="s">
        <v>1857</v>
      </c>
      <c r="D2143" s="121" t="str">
        <f>INDEX(Regional.Technologies[Description],MATCH($B$2&amp;"."&amp;G.30.Assumptions.EnergyDemandAfterEnergyEfficiency[[#This Row],[Technology code]],Regional.Technologies[Code],0))</f>
        <v>Global Oil use in the Pulp &amp; paper: Recycled technology</v>
      </c>
      <c r="E2143" s="242"/>
      <c r="F2143" s="121" t="s">
        <v>1447</v>
      </c>
      <c r="G2143" s="242"/>
      <c r="H2143" s="242"/>
      <c r="I2143" s="318">
        <f t="array" aca="1" ref="I214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3.8700157409069846E-2</v>
      </c>
      <c r="J2143" s="318">
        <f t="array" aca="1" ref="J214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3.9097082100444921E-2</v>
      </c>
      <c r="K2143" s="318">
        <f t="array" aca="1" ref="K214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3.9593237964663769E-2</v>
      </c>
      <c r="L2143" s="318">
        <f t="array" aca="1" ref="L214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4.0089393828882623E-2</v>
      </c>
      <c r="M2143" s="318">
        <f t="array" aca="1" ref="M214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4.0585549693101464E-2</v>
      </c>
      <c r="N2143" s="318">
        <f t="array" aca="1" ref="N214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4.1081705557320304E-2</v>
      </c>
      <c r="O2143" s="318">
        <f t="array" aca="1" ref="O214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4.1577861421539151E-2</v>
      </c>
      <c r="P2143" s="318">
        <f t="array" aca="1" ref="P214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4.2074017285757999E-2</v>
      </c>
      <c r="Q2143" s="318">
        <f t="array" aca="1" ref="Q214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4.2570173149976832E-2</v>
      </c>
      <c r="R2143" s="121"/>
      <c r="S2143" s="179"/>
      <c r="T2143" s="251"/>
      <c r="V2143" s="179"/>
      <c r="W2143" s="179"/>
    </row>
    <row r="2144" spans="1:23" s="65" customFormat="1" ht="15" customHeight="1" outlineLevel="2">
      <c r="A2144" s="219"/>
      <c r="B2144" s="242"/>
      <c r="C2144" s="413" t="s">
        <v>1858</v>
      </c>
      <c r="D2144" s="121" t="str">
        <f>INDEX(Regional.Technologies[Description],MATCH($B$2&amp;"."&amp;G.30.Assumptions.EnergyDemandAfterEnergyEfficiency[[#This Row],[Technology code]],Regional.Technologies[Code],0))</f>
        <v>Global Natural Gas use in the Pulp &amp; paper: Recycled technology</v>
      </c>
      <c r="E2144" s="242"/>
      <c r="F2144" s="121" t="s">
        <v>1447</v>
      </c>
      <c r="G2144" s="242"/>
      <c r="H2144" s="242"/>
      <c r="I2144" s="318">
        <f t="array" aca="1" ref="I214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0.11936470129372101</v>
      </c>
      <c r="J2144" s="318">
        <f t="array" aca="1" ref="J214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0.12058895464032326</v>
      </c>
      <c r="K2144" s="318">
        <f t="array" aca="1" ref="K214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0.12211927132357614</v>
      </c>
      <c r="L2144" s="318">
        <f t="array" aca="1" ref="L214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0.12364958800682907</v>
      </c>
      <c r="M2144" s="318">
        <f t="array" aca="1" ref="M214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0.12517990469008189</v>
      </c>
      <c r="N2144" s="318">
        <f t="array" aca="1" ref="N214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0.12671022137333471</v>
      </c>
      <c r="O2144" s="318">
        <f t="array" aca="1" ref="O214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0.12824053805658758</v>
      </c>
      <c r="P2144" s="318">
        <f t="array" aca="1" ref="P214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0.12977085473984035</v>
      </c>
      <c r="Q2144" s="318">
        <f t="array" aca="1" ref="Q214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0.13130117142309322</v>
      </c>
      <c r="R2144" s="121"/>
      <c r="S2144" s="179"/>
      <c r="T2144" s="251"/>
      <c r="V2144" s="179"/>
      <c r="W2144" s="179"/>
    </row>
    <row r="2145" spans="1:24" s="65" customFormat="1" ht="15" customHeight="1" outlineLevel="2">
      <c r="A2145" s="219"/>
      <c r="B2145" s="242"/>
      <c r="C2145" s="413" t="s">
        <v>1859</v>
      </c>
      <c r="D2145" s="121" t="str">
        <f>INDEX(Regional.Technologies[Description],MATCH($B$2&amp;"."&amp;G.30.Assumptions.EnergyDemandAfterEnergyEfficiency[[#This Row],[Technology code]],Regional.Technologies[Code],0))</f>
        <v>Global Solid Hydrocarbons use in the Pulp &amp; paper: Recycled technology</v>
      </c>
      <c r="E2145" s="242"/>
      <c r="F2145" s="121" t="s">
        <v>1447</v>
      </c>
      <c r="G2145" s="242"/>
      <c r="H2145" s="242"/>
      <c r="I2145" s="318">
        <f t="array" aca="1" ref="I214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45" s="318">
        <f t="array" aca="1" ref="J214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45" s="318">
        <f t="array" aca="1" ref="K214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45" s="318">
        <f t="array" aca="1" ref="L214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45" s="318">
        <f t="array" aca="1" ref="M214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45" s="318">
        <f t="array" aca="1" ref="N214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45" s="318">
        <f t="array" aca="1" ref="O214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45" s="318">
        <f t="array" aca="1" ref="P214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45" s="318">
        <f t="array" aca="1" ref="Q214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45" s="121"/>
      <c r="S2145" s="179"/>
      <c r="T2145" s="251"/>
      <c r="V2145" s="179"/>
      <c r="W2145" s="179"/>
    </row>
    <row r="2146" spans="1:24" s="65" customFormat="1" ht="15" customHeight="1" outlineLevel="2">
      <c r="A2146" s="219"/>
      <c r="B2146" s="242"/>
      <c r="C2146" s="413" t="s">
        <v>1860</v>
      </c>
      <c r="D2146" s="121" t="str">
        <f>INDEX(Regional.Technologies[Description],MATCH($B$2&amp;"."&amp;G.30.Assumptions.EnergyDemandAfterEnergyEfficiency[[#This Row],[Technology code]],Regional.Technologies[Code],0))</f>
        <v>Global Heat use in the Pulp &amp; paper: Recycled technology</v>
      </c>
      <c r="E2146" s="242"/>
      <c r="F2146" s="121" t="s">
        <v>1447</v>
      </c>
      <c r="G2146" s="242"/>
      <c r="H2146" s="242"/>
      <c r="I2146" s="318">
        <f t="array" aca="1" ref="I214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46" s="318">
        <f t="array" aca="1" ref="J214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46" s="318">
        <f t="array" aca="1" ref="K214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46" s="318">
        <f t="array" aca="1" ref="L214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46" s="318">
        <f t="array" aca="1" ref="M214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46" s="318">
        <f t="array" aca="1" ref="N214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46" s="318">
        <f t="array" aca="1" ref="O214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46" s="318">
        <f t="array" aca="1" ref="P214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46" s="318">
        <f t="array" aca="1" ref="Q214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46" s="121"/>
      <c r="S2146" s="179"/>
      <c r="T2146" s="251"/>
      <c r="V2146" s="179"/>
      <c r="W2146" s="179"/>
    </row>
    <row r="2147" spans="1:24" s="65" customFormat="1" ht="15" customHeight="1" outlineLevel="2">
      <c r="A2147" s="219"/>
      <c r="B2147" s="242"/>
      <c r="C2147" s="413" t="s">
        <v>1633</v>
      </c>
      <c r="D2147" s="121" t="str">
        <f>INDEX(Regional.Technologies[Description],MATCH($B$2&amp;"."&amp;G.30.Assumptions.EnergyDemandAfterEnergyEfficiency[[#This Row],[Technology code]],Regional.Technologies[Code],0))</f>
        <v>Global Electricity use in the Cement technology</v>
      </c>
      <c r="E2147" s="242"/>
      <c r="F2147" s="121" t="s">
        <v>1426</v>
      </c>
      <c r="G2147" s="242"/>
      <c r="H2147" s="242"/>
      <c r="I2147" s="318">
        <f t="array" aca="1" ref="I214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1.2878995795200781</v>
      </c>
      <c r="J2147" s="318">
        <f t="array" aca="1" ref="J214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1.247729983167394</v>
      </c>
      <c r="K2147" s="318">
        <f t="array" aca="1" ref="K214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1.1959938462123139</v>
      </c>
      <c r="L2147" s="318">
        <f t="array" aca="1" ref="L214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1.1425642186858731</v>
      </c>
      <c r="M2147" s="318">
        <f t="array" aca="1" ref="M214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1.0874411005880709</v>
      </c>
      <c r="N2147" s="318">
        <f t="array" aca="1" ref="N214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1.0306244919189076</v>
      </c>
      <c r="O2147" s="318">
        <f t="array" aca="1" ref="O214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0.97211439267838329</v>
      </c>
      <c r="P2147" s="318">
        <f t="array" aca="1" ref="P214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0.91191080286649806</v>
      </c>
      <c r="Q2147" s="318">
        <f t="array" aca="1" ref="Q214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0.85001372248325158</v>
      </c>
      <c r="R2147" s="121"/>
      <c r="S2147" s="179"/>
      <c r="T2147" s="251"/>
      <c r="V2147" s="179"/>
      <c r="W2147" s="179"/>
    </row>
    <row r="2148" spans="1:24" s="65" customFormat="1" ht="15" customHeight="1" outlineLevel="2">
      <c r="A2148" s="219"/>
      <c r="B2148" s="242"/>
      <c r="C2148" s="413" t="s">
        <v>1861</v>
      </c>
      <c r="D2148" s="121" t="str">
        <f>INDEX(Regional.Technologies[Description],MATCH($B$2&amp;"."&amp;G.30.Assumptions.EnergyDemandAfterEnergyEfficiency[[#This Row],[Technology code]],Regional.Technologies[Code],0))</f>
        <v>Global Coal use in the Cement technology</v>
      </c>
      <c r="E2148" s="242"/>
      <c r="F2148" s="121" t="s">
        <v>1426</v>
      </c>
      <c r="G2148" s="242"/>
      <c r="H2148" s="242"/>
      <c r="I2148" s="318">
        <f t="array" aca="1" ref="I214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6.8409905230434269</v>
      </c>
      <c r="J2148" s="318">
        <f t="array" aca="1" ref="J214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6.6276199836527798</v>
      </c>
      <c r="K2148" s="318">
        <f t="array" aca="1" ref="K214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6.3528109626416303</v>
      </c>
      <c r="L2148" s="318">
        <f t="array" aca="1" ref="L214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6.0690065563273379</v>
      </c>
      <c r="M2148" s="318">
        <f t="array" aca="1" ref="M214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5.7762067647098974</v>
      </c>
      <c r="N2148" s="318">
        <f t="array" aca="1" ref="N214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5.4744115877893105</v>
      </c>
      <c r="O2148" s="318">
        <f t="array" aca="1" ref="O214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5.1636210255655746</v>
      </c>
      <c r="P2148" s="318">
        <f t="array" aca="1" ref="P214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4.8438350780386941</v>
      </c>
      <c r="Q2148" s="318">
        <f t="array" aca="1" ref="Q214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4.5150537452086619</v>
      </c>
      <c r="R2148" s="121"/>
      <c r="S2148" s="179"/>
      <c r="T2148" s="251"/>
      <c r="V2148" s="179"/>
      <c r="W2148" s="179"/>
    </row>
    <row r="2149" spans="1:24" s="65" customFormat="1" ht="15" customHeight="1" outlineLevel="2">
      <c r="A2149" s="219"/>
      <c r="B2149" s="242"/>
      <c r="C2149" s="413" t="s">
        <v>1862</v>
      </c>
      <c r="D2149" s="121" t="str">
        <f>INDEX(Regional.Technologies[Description],MATCH($B$2&amp;"."&amp;G.30.Assumptions.EnergyDemandAfterEnergyEfficiency[[#This Row],[Technology code]],Regional.Technologies[Code],0))</f>
        <v>Global Oil use in the Cement technology</v>
      </c>
      <c r="E2149" s="242"/>
      <c r="F2149" s="121" t="s">
        <v>1426</v>
      </c>
      <c r="G2149" s="242"/>
      <c r="H2149" s="242"/>
      <c r="I2149" s="318">
        <f t="array" aca="1" ref="I2149"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1.1283944201925584</v>
      </c>
      <c r="J2149" s="318">
        <f t="array" aca="1" ref="J2149"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1.0931997908079858</v>
      </c>
      <c r="K2149" s="318">
        <f t="array" aca="1" ref="K2149"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1.0478711260652078</v>
      </c>
      <c r="L2149" s="318">
        <f t="array" aca="1" ref="L2149"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1.0010587079756941</v>
      </c>
      <c r="M2149" s="318">
        <f t="array" aca="1" ref="M2149"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0.95276253653944454</v>
      </c>
      <c r="N2149" s="318">
        <f t="array" aca="1" ref="N2149"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0.90298261175645922</v>
      </c>
      <c r="O2149" s="318">
        <f t="array" aca="1" ref="O2149"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0.85171893362673812</v>
      </c>
      <c r="P2149" s="318">
        <f t="array" aca="1" ref="P2149"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0.79897150215028134</v>
      </c>
      <c r="Q2149" s="318">
        <f t="array" aca="1" ref="Q2149"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0.74474031732708856</v>
      </c>
      <c r="R2149" s="121"/>
      <c r="S2149" s="179"/>
      <c r="T2149" s="251"/>
      <c r="V2149" s="179"/>
      <c r="W2149" s="179"/>
    </row>
    <row r="2150" spans="1:24" s="65" customFormat="1" ht="15" customHeight="1" outlineLevel="2">
      <c r="A2150" s="219"/>
      <c r="B2150" s="242"/>
      <c r="C2150" s="413" t="s">
        <v>1863</v>
      </c>
      <c r="D2150" s="121" t="str">
        <f>INDEX(Regional.Technologies[Description],MATCH($B$2&amp;"."&amp;G.30.Assumptions.EnergyDemandAfterEnergyEfficiency[[#This Row],[Technology code]],Regional.Technologies[Code],0))</f>
        <v>Global Natural Gas use in the Cement technology</v>
      </c>
      <c r="E2150" s="242"/>
      <c r="F2150" s="121" t="s">
        <v>1426</v>
      </c>
      <c r="G2150" s="242"/>
      <c r="H2150" s="242"/>
      <c r="I2150" s="318">
        <f t="array" aca="1" ref="I2150"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0.82844526016904574</v>
      </c>
      <c r="J2150" s="318">
        <f t="array" aca="1" ref="J2150"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0.80260604705765992</v>
      </c>
      <c r="K2150" s="318">
        <f t="array" aca="1" ref="K2150"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0.76932662207650893</v>
      </c>
      <c r="L2150" s="318">
        <f t="array" aca="1" ref="L2150"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0.73495785421545357</v>
      </c>
      <c r="M2150" s="318">
        <f t="array" aca="1" ref="M2150"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0.69949974347449029</v>
      </c>
      <c r="N2150" s="318">
        <f t="array" aca="1" ref="N2150"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0.66295228985362176</v>
      </c>
      <c r="O2150" s="318">
        <f t="array" aca="1" ref="O2150"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0.62531549335284353</v>
      </c>
      <c r="P2150" s="318">
        <f t="array" aca="1" ref="P2150"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0.58658935397216094</v>
      </c>
      <c r="Q2150" s="318">
        <f t="array" aca="1" ref="Q2150"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0.54677387171157044</v>
      </c>
      <c r="R2150" s="121"/>
      <c r="S2150" s="179"/>
      <c r="T2150" s="251"/>
      <c r="V2150" s="179"/>
      <c r="W2150" s="179"/>
    </row>
    <row r="2151" spans="1:24" s="65" customFormat="1" ht="15" customHeight="1" outlineLevel="2">
      <c r="A2151" s="219"/>
      <c r="B2151" s="242"/>
      <c r="C2151" s="413" t="s">
        <v>1864</v>
      </c>
      <c r="D2151" s="121" t="str">
        <f>INDEX(Regional.Technologies[Description],MATCH($B$2&amp;"."&amp;G.30.Assumptions.EnergyDemandAfterEnergyEfficiency[[#This Row],[Technology code]],Regional.Technologies[Code],0))</f>
        <v>Global Solid Hydrocarbons use in the Cement technology</v>
      </c>
      <c r="E2151" s="242"/>
      <c r="F2151" s="121" t="s">
        <v>1426</v>
      </c>
      <c r="G2151" s="242"/>
      <c r="H2151" s="242"/>
      <c r="I2151" s="318">
        <f t="array" aca="1" ref="I2151"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0.49199351442122363</v>
      </c>
      <c r="J2151" s="318">
        <f t="array" aca="1" ref="J2151"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0.47664823347175428</v>
      </c>
      <c r="K2151" s="318">
        <f t="array" aca="1" ref="K2151"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0.4568843914394487</v>
      </c>
      <c r="L2151" s="318">
        <f t="array" aca="1" ref="L2151"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0.43647361513440003</v>
      </c>
      <c r="M2151" s="318">
        <f t="array" aca="1" ref="M2151"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0.41541590455660798</v>
      </c>
      <c r="N2151" s="318">
        <f t="array" aca="1" ref="N2151"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0.39371125970607268</v>
      </c>
      <c r="O2151" s="318">
        <f t="array" aca="1" ref="O2151"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0.37135968058279423</v>
      </c>
      <c r="P2151" s="318">
        <f t="array" aca="1" ref="P2151"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0.34836116718677257</v>
      </c>
      <c r="Q2151" s="318">
        <f t="array" aca="1" ref="Q2151"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0.3247157195180076</v>
      </c>
      <c r="R2151" s="121"/>
      <c r="S2151" s="179"/>
      <c r="T2151" s="251"/>
      <c r="V2151" s="179"/>
      <c r="W2151" s="179"/>
    </row>
    <row r="2152" spans="1:24" s="65" customFormat="1" ht="15" customHeight="1" outlineLevel="2">
      <c r="A2152" s="219"/>
      <c r="B2152" s="242"/>
      <c r="C2152" s="413" t="s">
        <v>1638</v>
      </c>
      <c r="D2152" s="121" t="str">
        <f>INDEX(Regional.Technologies[Description],MATCH($B$2&amp;"."&amp;G.30.Assumptions.EnergyDemandAfterEnergyEfficiency[[#This Row],[Technology code]],Regional.Technologies[Code],0))</f>
        <v>Global Heat use in the Cement technology</v>
      </c>
      <c r="E2152" s="242"/>
      <c r="F2152" s="121" t="s">
        <v>1426</v>
      </c>
      <c r="G2152" s="242"/>
      <c r="H2152" s="242"/>
      <c r="I2152" s="318">
        <f t="array" aca="1" ref="I2152"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0</v>
      </c>
      <c r="J2152" s="318">
        <f t="array" aca="1" ref="J2152"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0</v>
      </c>
      <c r="K2152" s="318">
        <f t="array" aca="1" ref="K2152"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0</v>
      </c>
      <c r="L2152" s="318">
        <f t="array" aca="1" ref="L2152"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0</v>
      </c>
      <c r="M2152" s="318">
        <f t="array" aca="1" ref="M2152"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0</v>
      </c>
      <c r="N2152" s="318">
        <f t="array" aca="1" ref="N2152"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0</v>
      </c>
      <c r="O2152" s="318">
        <f t="array" aca="1" ref="O2152"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0</v>
      </c>
      <c r="P2152" s="318">
        <f t="array" aca="1" ref="P2152"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0</v>
      </c>
      <c r="Q2152" s="318">
        <f t="array" aca="1" ref="Q2152"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0</v>
      </c>
      <c r="R2152" s="121"/>
      <c r="S2152" s="179"/>
      <c r="T2152" s="251"/>
      <c r="V2152" s="179"/>
      <c r="W2152" s="179"/>
    </row>
    <row r="2153" spans="1:24" s="65" customFormat="1" ht="15" customHeight="1" outlineLevel="2">
      <c r="A2153" s="219"/>
      <c r="B2153" s="242"/>
      <c r="C2153" s="413" t="s">
        <v>1634</v>
      </c>
      <c r="D2153" s="121" t="str">
        <f>INDEX(Regional.Technologies[Description],MATCH($B$2&amp;"."&amp;G.30.Assumptions.EnergyDemandAfterEnergyEfficiency[[#This Row],[Technology code]],Regional.Technologies[Code],0))</f>
        <v>Global Electricity use in the Other industries technology</v>
      </c>
      <c r="E2153" s="242"/>
      <c r="F2153" s="121" t="s">
        <v>1457</v>
      </c>
      <c r="G2153" s="242"/>
      <c r="H2153" s="242"/>
      <c r="I2153" s="318">
        <f t="array" aca="1" ref="I2153"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14.492680358828368</v>
      </c>
      <c r="J2153" s="318">
        <f t="array" aca="1" ref="J2153"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14.325355429541551</v>
      </c>
      <c r="K2153" s="318">
        <f t="array" aca="1" ref="K2153"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14.107177344573708</v>
      </c>
      <c r="L2153" s="318">
        <f t="array" aca="1" ref="L2153"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13.878974900317736</v>
      </c>
      <c r="M2153" s="318">
        <f t="array" aca="1" ref="M2153"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13.640748096773628</v>
      </c>
      <c r="N2153" s="318">
        <f t="array" aca="1" ref="N2153"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13.392496933941382</v>
      </c>
      <c r="O2153" s="318">
        <f t="array" aca="1" ref="O2153"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13.134221411821009</v>
      </c>
      <c r="P2153" s="318">
        <f t="array" aca="1" ref="P2153"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12.865921530412498</v>
      </c>
      <c r="Q2153" s="318">
        <f t="array" aca="1" ref="Q2153"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12.587597289715852</v>
      </c>
      <c r="R2153" s="121"/>
      <c r="S2153" s="179"/>
      <c r="T2153" s="251"/>
      <c r="V2153" s="179"/>
      <c r="W2153" s="179"/>
    </row>
    <row r="2154" spans="1:24" s="65" customFormat="1" ht="15" customHeight="1" outlineLevel="2">
      <c r="A2154" s="219"/>
      <c r="B2154" s="242"/>
      <c r="C2154" s="413" t="s">
        <v>1865</v>
      </c>
      <c r="D2154" s="121" t="str">
        <f>INDEX(Regional.Technologies[Description],MATCH($B$2&amp;"."&amp;G.30.Assumptions.EnergyDemandAfterEnergyEfficiency[[#This Row],[Technology code]],Regional.Technologies[Code],0))</f>
        <v>Global Coal use in the Other industries technology</v>
      </c>
      <c r="E2154" s="242"/>
      <c r="F2154" s="121" t="s">
        <v>1457</v>
      </c>
      <c r="G2154" s="242"/>
      <c r="H2154" s="242"/>
      <c r="I2154" s="318">
        <f t="array" aca="1" ref="I2154"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7.1683560026671529</v>
      </c>
      <c r="J2154" s="318">
        <f t="array" aca="1" ref="J2154"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7.0855939026586299</v>
      </c>
      <c r="K2154" s="318">
        <f t="array" aca="1" ref="K2154"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6.977678862355063</v>
      </c>
      <c r="L2154" s="318">
        <f t="array" aca="1" ref="L2154"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6.8648055828371639</v>
      </c>
      <c r="M2154" s="318">
        <f t="array" aca="1" ref="M2154"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6.7469740641049327</v>
      </c>
      <c r="N2154" s="318">
        <f t="array" aca="1" ref="N2154"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6.6241843061583481</v>
      </c>
      <c r="O2154" s="318">
        <f t="array" aca="1" ref="O2154"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6.4964363089974384</v>
      </c>
      <c r="P2154" s="318">
        <f t="array" aca="1" ref="P2154"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6.3637300726221824</v>
      </c>
      <c r="Q2154" s="318">
        <f t="array" aca="1" ref="Q2154"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6.2260655970326013</v>
      </c>
      <c r="R2154" s="121"/>
      <c r="S2154" s="179"/>
      <c r="T2154" s="251"/>
      <c r="V2154" s="179"/>
      <c r="W2154" s="179"/>
    </row>
    <row r="2155" spans="1:24" s="65" customFormat="1" ht="15" customHeight="1" outlineLevel="2">
      <c r="A2155" s="219"/>
      <c r="B2155" s="242"/>
      <c r="C2155" s="413" t="s">
        <v>1866</v>
      </c>
      <c r="D2155" s="121" t="str">
        <f>INDEX(Regional.Technologies[Description],MATCH($B$2&amp;"."&amp;G.30.Assumptions.EnergyDemandAfterEnergyEfficiency[[#This Row],[Technology code]],Regional.Technologies[Code],0))</f>
        <v>Global Oil use in the Other industries technology</v>
      </c>
      <c r="E2155" s="242"/>
      <c r="F2155" s="121" t="s">
        <v>1457</v>
      </c>
      <c r="G2155" s="242"/>
      <c r="H2155" s="242"/>
      <c r="I2155" s="318">
        <f t="array" aca="1" ref="I2155"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8.9190113729480487</v>
      </c>
      <c r="J2155" s="318">
        <f t="array" aca="1" ref="J2155"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8.8160371190256015</v>
      </c>
      <c r="K2155" s="318">
        <f t="array" aca="1" ref="K2155"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8.6817670755984171</v>
      </c>
      <c r="L2155" s="318">
        <f t="array" aca="1" ref="L2155"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8.5413278921444249</v>
      </c>
      <c r="M2155" s="318">
        <f t="array" aca="1" ref="M2155"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8.3947195686636231</v>
      </c>
      <c r="N2155" s="318">
        <f t="array" aca="1" ref="N2155"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8.2419421051560118</v>
      </c>
      <c r="O2155" s="318">
        <f t="array" aca="1" ref="O2155"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8.0829955016215962</v>
      </c>
      <c r="P2155" s="318">
        <f t="array" aca="1" ref="P2155"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7.917879758060371</v>
      </c>
      <c r="Q2155" s="318">
        <f t="array" aca="1" ref="Q2155"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7.7465948744723363</v>
      </c>
      <c r="R2155" s="239"/>
      <c r="T2155" s="251"/>
      <c r="U2155" s="179"/>
      <c r="W2155" s="179"/>
      <c r="X2155" s="179"/>
    </row>
    <row r="2156" spans="1:24" s="65" customFormat="1" ht="15" customHeight="1" outlineLevel="2">
      <c r="A2156" s="219"/>
      <c r="B2156" s="242"/>
      <c r="C2156" s="413" t="s">
        <v>1867</v>
      </c>
      <c r="D2156" s="121" t="str">
        <f>INDEX(Regional.Technologies[Description],MATCH($B$2&amp;"."&amp;G.30.Assumptions.EnergyDemandAfterEnergyEfficiency[[#This Row],[Technology code]],Regional.Technologies[Code],0))</f>
        <v>Global Natural Gas use in the Other industries technology</v>
      </c>
      <c r="E2156" s="242"/>
      <c r="F2156" s="121" t="s">
        <v>1457</v>
      </c>
      <c r="G2156" s="242"/>
      <c r="H2156" s="242"/>
      <c r="I2156" s="318">
        <f t="array" aca="1" ref="I2156"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11.967321601700888</v>
      </c>
      <c r="J2156" s="318">
        <f t="array" aca="1" ref="J2156"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11.829153147613823</v>
      </c>
      <c r="K2156" s="318">
        <f t="array" aca="1" ref="K2156"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11.648992732521059</v>
      </c>
      <c r="L2156" s="318">
        <f t="array" aca="1" ref="L2156"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11.460554709112785</v>
      </c>
      <c r="M2156" s="318">
        <f t="array" aca="1" ref="M2156"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11.263839077389022</v>
      </c>
      <c r="N2156" s="318">
        <f t="array" aca="1" ref="N2156"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11.05884583734975</v>
      </c>
      <c r="O2156" s="318">
        <f t="array" aca="1" ref="O2156"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10.84557498899499</v>
      </c>
      <c r="P2156" s="318">
        <f t="array" aca="1" ref="P2156"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10.624026532324727</v>
      </c>
      <c r="Q2156" s="318">
        <f t="array" aca="1" ref="Q2156"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10.394200467338969</v>
      </c>
      <c r="R2156" s="239"/>
      <c r="T2156" s="251"/>
      <c r="U2156" s="179"/>
      <c r="W2156" s="179"/>
      <c r="X2156" s="179"/>
    </row>
    <row r="2157" spans="1:24" s="65" customFormat="1" ht="15" customHeight="1" outlineLevel="2">
      <c r="A2157" s="219"/>
      <c r="B2157" s="242"/>
      <c r="C2157" s="413" t="s">
        <v>1868</v>
      </c>
      <c r="D2157" s="121" t="str">
        <f>INDEX(Regional.Technologies[Description],MATCH($B$2&amp;"."&amp;G.30.Assumptions.EnergyDemandAfterEnergyEfficiency[[#This Row],[Technology code]],Regional.Technologies[Code],0))</f>
        <v>Global Solid Hydrocarbons use in the Other industries technology</v>
      </c>
      <c r="E2157" s="242"/>
      <c r="F2157" s="121" t="s">
        <v>1457</v>
      </c>
      <c r="G2157" s="242"/>
      <c r="H2157" s="242"/>
      <c r="I2157" s="318">
        <f t="array" aca="1" ref="I2157"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5.4326469694895918</v>
      </c>
      <c r="J2157" s="318">
        <f t="array" aca="1" ref="J2157"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5.3699244607815082</v>
      </c>
      <c r="K2157" s="318">
        <f t="array" aca="1" ref="K2157"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5.2881394160028483</v>
      </c>
      <c r="L2157" s="318">
        <f t="array" aca="1" ref="L2157"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5.202596694675794</v>
      </c>
      <c r="M2157" s="318">
        <f t="array" aca="1" ref="M2157"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5.1132962968003435</v>
      </c>
      <c r="N2157" s="318">
        <f t="array" aca="1" ref="N2157"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5.0202382223764976</v>
      </c>
      <c r="O2157" s="318">
        <f t="array" aca="1" ref="O2157"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4.9234224714042583</v>
      </c>
      <c r="P2157" s="318">
        <f t="array" aca="1" ref="P2157"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4.8228490438836227</v>
      </c>
      <c r="Q2157" s="318">
        <f t="array" aca="1" ref="Q2157"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4.7185179398145918</v>
      </c>
      <c r="R2157" s="239"/>
      <c r="T2157" s="251"/>
      <c r="U2157" s="179"/>
      <c r="W2157" s="179"/>
      <c r="X2157" s="179"/>
    </row>
    <row r="2158" spans="1:24" s="65" customFormat="1" ht="15" customHeight="1" outlineLevel="2">
      <c r="A2158" s="219"/>
      <c r="B2158" s="242"/>
      <c r="C2158" s="413" t="s">
        <v>1869</v>
      </c>
      <c r="D2158" s="121" t="str">
        <f>INDEX(Regional.Technologies[Description],MATCH($B$2&amp;"."&amp;G.30.Assumptions.EnergyDemandAfterEnergyEfficiency[[#This Row],[Technology code]],Regional.Technologies[Code],0))</f>
        <v>Global Heat use in the Other industries technology</v>
      </c>
      <c r="E2158" s="242"/>
      <c r="F2158" s="121" t="s">
        <v>1457</v>
      </c>
      <c r="G2158" s="242"/>
      <c r="H2158" s="242"/>
      <c r="I2158" s="318">
        <f t="array" aca="1" ref="I2158" ca="1">SUM((G.30.Assumptions.EnergyDemandAfterEnergyEfficiency[[#This Row],[Technology code]]=G.30.assumptions.EnergyDemandAfterEnergyEfficiencyCHP[Technology code])
          *INDIRECT("G.30.assumptions.EnergyDemandAfterEnergyEfficiencyCHP["&amp;I$2068&amp;"]"))
*(1-SUM((G.30.Assumptions.EnergyDemandAfterEnergyEfficiency[[#This Row],[Technology code]]=G.30.assumptions.EnergyEfficiency[Technology code])
          *INDIRECT("G.30.assumptions.EnergyEfficiency["&amp;I$2068&amp;"]")))</f>
        <v>2.5365553629120043</v>
      </c>
      <c r="J2158" s="318">
        <f t="array" aca="1" ref="J2158" ca="1">SUM((G.30.Assumptions.EnergyDemandAfterEnergyEfficiency[[#This Row],[Technology code]]=G.30.assumptions.EnergyDemandAfterEnergyEfficiencyCHP[Technology code])
          *INDIRECT("G.30.assumptions.EnergyDemandAfterEnergyEfficiencyCHP["&amp;J$2068&amp;"]"))
*(1-SUM((G.30.Assumptions.EnergyDemandAfterEnergyEfficiency[[#This Row],[Technology code]]=G.30.assumptions.EnergyEfficiency[Technology code])
          *INDIRECT("G.30.assumptions.EnergyEfficiency["&amp;J$2068&amp;"]")))</f>
        <v>2.5072696175410454</v>
      </c>
      <c r="K2158" s="318">
        <f t="array" aca="1" ref="K2158" ca="1">SUM((G.30.Assumptions.EnergyDemandAfterEnergyEfficiency[[#This Row],[Technology code]]=G.30.assumptions.EnergyDemandAfterEnergyEfficiencyCHP[Technology code])
          *INDIRECT("G.30.assumptions.EnergyDemandAfterEnergyEfficiencyCHP["&amp;K$2068&amp;"]"))
*(1-SUM((G.30.Assumptions.EnergyDemandAfterEnergyEfficiency[[#This Row],[Technology code]]=G.30.assumptions.EnergyEfficiency[Technology code])
          *INDIRECT("G.30.assumptions.EnergyEfficiency["&amp;K$2068&amp;"]")))</f>
        <v>2.469083389887309</v>
      </c>
      <c r="L2158" s="318">
        <f t="array" aca="1" ref="L2158" ca="1">SUM((G.30.Assumptions.EnergyDemandAfterEnergyEfficiency[[#This Row],[Technology code]]=G.30.assumptions.EnergyDemandAfterEnergyEfficiencyCHP[Technology code])
          *INDIRECT("G.30.assumptions.EnergyDemandAfterEnergyEfficiencyCHP["&amp;L$2068&amp;"]"))
*(1-SUM((G.30.Assumptions.EnergyDemandAfterEnergyEfficiency[[#This Row],[Technology code]]=G.30.assumptions.EnergyEfficiency[Technology code])
          *INDIRECT("G.30.assumptions.EnergyEfficiency["&amp;L$2068&amp;"]")))</f>
        <v>2.4291426667446432</v>
      </c>
      <c r="M2158" s="318">
        <f t="array" aca="1" ref="M2158" ca="1">SUM((G.30.Assumptions.EnergyDemandAfterEnergyEfficiency[[#This Row],[Technology code]]=G.30.assumptions.EnergyDemandAfterEnergyEfficiencyCHP[Technology code])
          *INDIRECT("G.30.assumptions.EnergyDemandAfterEnergyEfficiencyCHP["&amp;M$2068&amp;"]"))
*(1-SUM((G.30.Assumptions.EnergyDemandAfterEnergyEfficiency[[#This Row],[Technology code]]=G.30.assumptions.EnergyEfficiency[Technology code])
          *INDIRECT("G.30.assumptions.EnergyEfficiency["&amp;M$2068&amp;"]")))</f>
        <v>2.387447448113047</v>
      </c>
      <c r="N2158" s="318">
        <f t="array" aca="1" ref="N2158" ca="1">SUM((G.30.Assumptions.EnergyDemandAfterEnergyEfficiency[[#This Row],[Technology code]]=G.30.assumptions.EnergyDemandAfterEnergyEfficiencyCHP[Technology code])
          *INDIRECT("G.30.assumptions.EnergyDemandAfterEnergyEfficiencyCHP["&amp;N$2068&amp;"]"))
*(1-SUM((G.30.Assumptions.EnergyDemandAfterEnergyEfficiency[[#This Row],[Technology code]]=G.30.assumptions.EnergyEfficiency[Technology code])
          *INDIRECT("G.30.assumptions.EnergyEfficiency["&amp;N$2068&amp;"]")))</f>
        <v>2.3439977339925195</v>
      </c>
      <c r="O2158" s="318">
        <f t="array" aca="1" ref="O2158" ca="1">SUM((G.30.Assumptions.EnergyDemandAfterEnergyEfficiency[[#This Row],[Technology code]]=G.30.assumptions.EnergyDemandAfterEnergyEfficiencyCHP[Technology code])
          *INDIRECT("G.30.assumptions.EnergyDemandAfterEnergyEfficiencyCHP["&amp;O$2068&amp;"]"))
*(1-SUM((G.30.Assumptions.EnergyDemandAfterEnergyEfficiency[[#This Row],[Technology code]]=G.30.assumptions.EnergyEfficiency[Technology code])
          *INDIRECT("G.30.assumptions.EnergyEfficiency["&amp;O$2068&amp;"]")))</f>
        <v>2.2987935243830631</v>
      </c>
      <c r="P2158" s="318">
        <f t="array" aca="1" ref="P2158" ca="1">SUM((G.30.Assumptions.EnergyDemandAfterEnergyEfficiency[[#This Row],[Technology code]]=G.30.assumptions.EnergyDemandAfterEnergyEfficiencyCHP[Technology code])
          *INDIRECT("G.30.assumptions.EnergyDemandAfterEnergyEfficiencyCHP["&amp;P$2068&amp;"]"))
*(1-SUM((G.30.Assumptions.EnergyDemandAfterEnergyEfficiency[[#This Row],[Technology code]]=G.30.assumptions.EnergyEfficiency[Technology code])
          *INDIRECT("G.30.assumptions.EnergyEfficiency["&amp;P$2068&amp;"]")))</f>
        <v>2.2518348192846758</v>
      </c>
      <c r="Q2158" s="318">
        <f t="array" aca="1" ref="Q2158" ca="1">SUM((G.30.Assumptions.EnergyDemandAfterEnergyEfficiency[[#This Row],[Technology code]]=G.30.assumptions.EnergyDemandAfterEnergyEfficiencyCHP[Technology code])
          *INDIRECT("G.30.assumptions.EnergyDemandAfterEnergyEfficiencyCHP["&amp;Q$2068&amp;"]"))
*(1-SUM((G.30.Assumptions.EnergyDemandAfterEnergyEfficiency[[#This Row],[Technology code]]=G.30.assumptions.EnergyEfficiency[Technology code])
          *INDIRECT("G.30.assumptions.EnergyEfficiency["&amp;Q$2068&amp;"]")))</f>
        <v>2.2031216186973581</v>
      </c>
      <c r="R2158" s="239"/>
      <c r="S2158" s="179"/>
      <c r="T2158" s="251"/>
      <c r="V2158" s="179"/>
      <c r="W2158" s="179"/>
    </row>
    <row r="2159" spans="1:24" s="65" customFormat="1" ht="15" customHeight="1" outlineLevel="2">
      <c r="A2159" s="219"/>
      <c r="B2159" s="242"/>
      <c r="C2159" s="310" t="s">
        <v>375</v>
      </c>
      <c r="D2159" s="311"/>
      <c r="E2159" s="312"/>
      <c r="F2159" s="307"/>
      <c r="G2159" s="312"/>
      <c r="H2159" s="312"/>
      <c r="I2159" s="341">
        <f ca="1">SUBTOTAL(109,G.30.Assumptions.EnergyDemandAfterEnergyEfficiency[2011])</f>
        <v>142.97457688351503</v>
      </c>
      <c r="J2159" s="341">
        <f ca="1">SUBTOTAL(109,G.30.Assumptions.EnergyDemandAfterEnergyEfficiency[2015])</f>
        <v>143.22619639397101</v>
      </c>
      <c r="K2159" s="341">
        <f ca="1">SUBTOTAL(109,G.30.Assumptions.EnergyDemandAfterEnergyEfficiency[2020])</f>
        <v>143.5060346219627</v>
      </c>
      <c r="L2159" s="341">
        <f ca="1">SUBTOTAL(109,G.30.Assumptions.EnergyDemandAfterEnergyEfficiency[2025])</f>
        <v>143.74733267208956</v>
      </c>
      <c r="M2159" s="341">
        <f ca="1">SUBTOTAL(109,G.30.Assumptions.EnergyDemandAfterEnergyEfficiency[2030])</f>
        <v>143.95009054435167</v>
      </c>
      <c r="N2159" s="341">
        <f ca="1">SUBTOTAL(109,G.30.Assumptions.EnergyDemandAfterEnergyEfficiency[2035])</f>
        <v>144.11430823874898</v>
      </c>
      <c r="O2159" s="341">
        <f ca="1">SUBTOTAL(109,G.30.Assumptions.EnergyDemandAfterEnergyEfficiency[2040])</f>
        <v>144.23998575528148</v>
      </c>
      <c r="P2159" s="341">
        <f ca="1">SUBTOTAL(109,G.30.Assumptions.EnergyDemandAfterEnergyEfficiency[2045])</f>
        <v>144.32712309394924</v>
      </c>
      <c r="Q2159" s="341">
        <f ca="1">SUBTOTAL(109,G.30.Assumptions.EnergyDemandAfterEnergyEfficiency[2050])</f>
        <v>144.37572025475217</v>
      </c>
      <c r="R2159" s="242"/>
      <c r="S2159" s="179"/>
      <c r="T2159" s="251"/>
      <c r="V2159" s="179"/>
      <c r="W2159" s="179"/>
    </row>
    <row r="2160" spans="1:24" s="65" customFormat="1" ht="15" customHeight="1" outlineLevel="2">
      <c r="A2160" s="219"/>
      <c r="B2160" s="242"/>
      <c r="C2160" s="251"/>
      <c r="D2160" s="251"/>
      <c r="E2160" s="242"/>
      <c r="F2160" s="121"/>
      <c r="G2160" s="242"/>
      <c r="H2160" s="242"/>
      <c r="I2160" s="321"/>
      <c r="J2160" s="321"/>
      <c r="K2160" s="321"/>
      <c r="L2160" s="321"/>
      <c r="M2160" s="321"/>
      <c r="N2160" s="321"/>
      <c r="O2160" s="321"/>
      <c r="P2160" s="321"/>
      <c r="Q2160" s="321"/>
      <c r="R2160" s="242"/>
      <c r="S2160" s="179"/>
      <c r="T2160" s="251"/>
      <c r="V2160" s="179"/>
      <c r="W2160" s="179"/>
    </row>
    <row r="2161" spans="1:24" s="65" customFormat="1" ht="15" customHeight="1" outlineLevel="2">
      <c r="A2161" s="219"/>
      <c r="B2161" s="242"/>
      <c r="C2161" s="313" t="s">
        <v>2020</v>
      </c>
      <c r="D2161" s="242"/>
      <c r="E2161" s="242"/>
      <c r="F2161" s="242"/>
      <c r="G2161" s="242"/>
      <c r="H2161" s="242"/>
      <c r="I2161" s="242"/>
      <c r="J2161" s="246"/>
      <c r="K2161" s="246"/>
      <c r="L2161" s="246"/>
      <c r="M2161" s="246"/>
      <c r="N2161" s="246"/>
      <c r="O2161" s="246"/>
      <c r="P2161" s="246"/>
      <c r="Q2161" s="246"/>
      <c r="R2161" s="242"/>
      <c r="S2161" s="179"/>
      <c r="T2161" s="322"/>
      <c r="V2161" s="179"/>
      <c r="W2161" s="179"/>
    </row>
    <row r="2162" spans="1:24" s="65" customFormat="1" ht="15" customHeight="1" outlineLevel="2">
      <c r="A2162" s="219"/>
      <c r="B2162" s="242"/>
      <c r="C2162" s="313" t="s">
        <v>242</v>
      </c>
      <c r="D2162" s="242"/>
      <c r="E2162" s="242"/>
      <c r="F2162" s="121"/>
      <c r="G2162" s="242"/>
      <c r="H2162" s="242"/>
      <c r="I2162" s="239"/>
      <c r="J2162" s="239"/>
      <c r="K2162" s="239"/>
      <c r="L2162" s="239"/>
      <c r="M2162" s="239"/>
      <c r="N2162" s="239"/>
      <c r="O2162" s="239"/>
      <c r="P2162" s="239"/>
      <c r="Q2162" s="239"/>
      <c r="R2162" s="242"/>
      <c r="S2162" s="179"/>
      <c r="T2162" s="179"/>
      <c r="V2162" s="179"/>
      <c r="W2162" s="179"/>
    </row>
    <row r="2163" spans="1:24" s="65" customFormat="1" ht="15" customHeight="1" outlineLevel="2">
      <c r="A2163" s="219"/>
      <c r="B2163" s="121"/>
      <c r="C2163" s="301"/>
      <c r="D2163" s="242"/>
      <c r="E2163" s="242"/>
      <c r="F2163" s="121"/>
      <c r="G2163" s="242"/>
      <c r="H2163" s="242"/>
      <c r="I2163" s="239"/>
      <c r="J2163" s="239"/>
      <c r="K2163" s="239"/>
      <c r="L2163" s="239"/>
      <c r="M2163" s="239"/>
      <c r="N2163" s="239"/>
      <c r="O2163" s="239"/>
      <c r="P2163" s="239"/>
      <c r="Q2163" s="239"/>
      <c r="R2163" s="121"/>
      <c r="S2163" s="179"/>
      <c r="T2163" s="179"/>
      <c r="V2163" s="179"/>
      <c r="W2163" s="179"/>
    </row>
    <row r="2164" spans="1:24" s="65" customFormat="1" ht="15" customHeight="1" outlineLevel="2">
      <c r="A2164" s="219"/>
      <c r="B2164" s="121"/>
      <c r="C2164" s="258" t="s">
        <v>454</v>
      </c>
      <c r="D2164" s="258" t="s">
        <v>241</v>
      </c>
      <c r="E2164" s="258" t="s">
        <v>598</v>
      </c>
      <c r="F2164" s="258" t="s">
        <v>274</v>
      </c>
      <c r="G2164" s="258" t="s">
        <v>509</v>
      </c>
      <c r="H2164" s="258" t="s">
        <v>510</v>
      </c>
      <c r="I2164" s="258" t="s">
        <v>1107</v>
      </c>
      <c r="J2164" s="258" t="s">
        <v>210</v>
      </c>
      <c r="K2164" s="258" t="s">
        <v>211</v>
      </c>
      <c r="L2164" s="258" t="s">
        <v>212</v>
      </c>
      <c r="M2164" s="258" t="s">
        <v>213</v>
      </c>
      <c r="N2164" s="258" t="s">
        <v>214</v>
      </c>
      <c r="O2164" s="258" t="s">
        <v>215</v>
      </c>
      <c r="P2164" s="258" t="s">
        <v>216</v>
      </c>
      <c r="Q2164" s="258" t="s">
        <v>217</v>
      </c>
      <c r="R2164" s="121"/>
      <c r="S2164" s="179"/>
      <c r="T2164" s="179"/>
      <c r="V2164" s="179"/>
      <c r="W2164" s="179"/>
    </row>
    <row r="2165" spans="1:24" s="65" customFormat="1" ht="15" customHeight="1" outlineLevel="2">
      <c r="A2165" s="219"/>
      <c r="B2165" s="121"/>
      <c r="C2165" s="251"/>
      <c r="D2165" s="251" t="s">
        <v>1986</v>
      </c>
      <c r="E2165" s="242"/>
      <c r="F2165" s="121"/>
      <c r="G2165" s="251" t="s">
        <v>1613</v>
      </c>
      <c r="H2165" s="242"/>
      <c r="I2165" s="319">
        <f t="array" aca="1" ref="I2165"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0.10030998914952237</v>
      </c>
      <c r="J2165" s="319">
        <f t="array" aca="1" ref="J2165"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9.9772537176738257E-2</v>
      </c>
      <c r="K2165" s="319">
        <f t="array" aca="1" ref="K2165"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9.9055999966567582E-2</v>
      </c>
      <c r="L2165" s="319">
        <f t="array" aca="1" ref="L2165"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9.8289771373962997E-2</v>
      </c>
      <c r="M2165" s="319">
        <f t="array" aca="1" ref="M2165"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9.7473851398924449E-2</v>
      </c>
      <c r="N2165" s="319">
        <f t="array" aca="1" ref="N2165"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9.6608240041451965E-2</v>
      </c>
      <c r="O2165" s="319">
        <f t="array" aca="1" ref="O2165"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9.5692937301545572E-2</v>
      </c>
      <c r="P2165" s="319">
        <f t="array" aca="1" ref="P2165"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9.4727943179205243E-2</v>
      </c>
      <c r="Q2165" s="319">
        <f t="array" aca="1" ref="Q2165"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9.3713257674430936E-2</v>
      </c>
      <c r="R2165" s="121"/>
      <c r="S2165" s="179"/>
      <c r="T2165" s="179" t="str">
        <f>$T$6</f>
        <v>Source</v>
      </c>
      <c r="U2165" s="179" t="str">
        <f>$U$6</f>
        <v>Link</v>
      </c>
      <c r="V2165" s="179" t="str">
        <f>$V$6</f>
        <v>Risk (Green, Amber/Green, Amber, Red/Amber, Red)</v>
      </c>
      <c r="W2165" s="179" t="s">
        <v>869</v>
      </c>
      <c r="X2165" s="179" t="str">
        <f>$X$6</f>
        <v>Comment author</v>
      </c>
    </row>
    <row r="2166" spans="1:24" s="65" customFormat="1" ht="15" customHeight="1" outlineLevel="2">
      <c r="A2166" s="219"/>
      <c r="B2166" s="121"/>
      <c r="C2166" s="251"/>
      <c r="D2166" s="251" t="s">
        <v>2192</v>
      </c>
      <c r="E2166" s="242"/>
      <c r="F2166" s="121"/>
      <c r="G2166" s="251" t="s">
        <v>2182</v>
      </c>
      <c r="H2166" s="242"/>
      <c r="I2166" s="319">
        <f t="array" aca="1" ref="I2166"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0.10030998914952237</v>
      </c>
      <c r="J2166" s="319">
        <f t="array" aca="1" ref="J2166"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9.9772537176738257E-2</v>
      </c>
      <c r="K2166" s="319">
        <f t="array" aca="1" ref="K2166"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9.9055999966567582E-2</v>
      </c>
      <c r="L2166" s="319">
        <f t="array" aca="1" ref="L2166"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9.8289771373962997E-2</v>
      </c>
      <c r="M2166" s="319">
        <f t="array" aca="1" ref="M2166"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9.7473851398924449E-2</v>
      </c>
      <c r="N2166" s="319">
        <f t="array" aca="1" ref="N2166"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9.6608240041451965E-2</v>
      </c>
      <c r="O2166" s="319">
        <f t="array" aca="1" ref="O2166"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9.5692937301545572E-2</v>
      </c>
      <c r="P2166" s="319">
        <f t="array" aca="1" ref="P2166"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9.4727943179205243E-2</v>
      </c>
      <c r="Q2166" s="319">
        <f t="array" aca="1" ref="Q2166"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9.3713257674430936E-2</v>
      </c>
      <c r="R2166" s="121"/>
      <c r="S2166" s="179"/>
      <c r="T2166" s="179" t="str">
        <f>$T$6</f>
        <v>Source</v>
      </c>
      <c r="U2166" s="179" t="str">
        <f>$U$6</f>
        <v>Link</v>
      </c>
      <c r="V2166" s="179" t="str">
        <f>$V$6</f>
        <v>Risk (Green, Amber/Green, Amber, Red/Amber, Red)</v>
      </c>
      <c r="W2166" s="179" t="s">
        <v>869</v>
      </c>
      <c r="X2166" s="179" t="str">
        <f>$X$6</f>
        <v>Comment author</v>
      </c>
    </row>
    <row r="2167" spans="1:24" s="65" customFormat="1" ht="15" customHeight="1" outlineLevel="2">
      <c r="A2167" s="219"/>
      <c r="B2167" s="121"/>
      <c r="C2167" s="251"/>
      <c r="D2167" s="251" t="s">
        <v>1987</v>
      </c>
      <c r="E2167" s="242"/>
      <c r="F2167" s="121"/>
      <c r="G2167" s="251" t="s">
        <v>1614</v>
      </c>
      <c r="H2167" s="242"/>
      <c r="I2167" s="319">
        <f t="array" aca="1" ref="I2167"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0.81692123829171892</v>
      </c>
      <c r="J2167" s="319">
        <f t="array" aca="1" ref="J2167"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0.85599875293896976</v>
      </c>
      <c r="K2167" s="319">
        <f t="array" aca="1" ref="K2167"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0.90572219928585485</v>
      </c>
      <c r="L2167" s="319">
        <f t="array" aca="1" ref="L2167"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0.95641959345254224</v>
      </c>
      <c r="M2167" s="319">
        <f t="array" aca="1" ref="M2167"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1.0080909354390313</v>
      </c>
      <c r="N2167" s="319">
        <f t="array" aca="1" ref="N2167"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1.0607362252453225</v>
      </c>
      <c r="O2167" s="319">
        <f t="array" aca="1" ref="O2167"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1.1143554628714156</v>
      </c>
      <c r="P2167" s="319">
        <f t="array" aca="1" ref="P2167"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1.1689486483173106</v>
      </c>
      <c r="Q2167" s="319">
        <f t="array" aca="1" ref="Q2167"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1.2245157815830074</v>
      </c>
      <c r="R2167" s="121"/>
      <c r="S2167" s="179"/>
      <c r="T2167" s="179"/>
      <c r="V2167" s="179"/>
      <c r="W2167" s="179"/>
    </row>
    <row r="2168" spans="1:24" s="65" customFormat="1" ht="15" customHeight="1" outlineLevel="2">
      <c r="A2168" s="219"/>
      <c r="B2168" s="121"/>
      <c r="C2168" s="251"/>
      <c r="D2168" s="251" t="s">
        <v>1988</v>
      </c>
      <c r="E2168" s="242"/>
      <c r="F2168" s="121"/>
      <c r="G2168" s="251" t="s">
        <v>2003</v>
      </c>
      <c r="H2168" s="242"/>
      <c r="I2168" s="319">
        <f t="array" aca="1" ref="I2168"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-0.5438760438296899</v>
      </c>
      <c r="J2168" s="319">
        <f t="array" aca="1" ref="J2168"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-0.56372971509226089</v>
      </c>
      <c r="K2168" s="319">
        <f t="array" aca="1" ref="K2168"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-0.58895441552471295</v>
      </c>
      <c r="L2168" s="319">
        <f t="array" aca="1" ref="L2168"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-0.61463201746187335</v>
      </c>
      <c r="M2168" s="319">
        <f t="array" aca="1" ref="M2168"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-0.64076252090374297</v>
      </c>
      <c r="N2168" s="319">
        <f t="array" aca="1" ref="N2168"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-0.66734592585032093</v>
      </c>
      <c r="O2168" s="319">
        <f t="array" aca="1" ref="O2168"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-0.69438223230160823</v>
      </c>
      <c r="P2168" s="319">
        <f t="array" aca="1" ref="P2168"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-0.72187144025760397</v>
      </c>
      <c r="Q2168" s="319">
        <f t="array" aca="1" ref="Q2168"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-0.74981354971830838</v>
      </c>
      <c r="R2168" s="121"/>
      <c r="S2168" s="179"/>
      <c r="T2168" s="179"/>
      <c r="V2168" s="179"/>
      <c r="W2168" s="179"/>
    </row>
    <row r="2169" spans="1:24" s="65" customFormat="1" ht="15" customHeight="1" outlineLevel="2">
      <c r="A2169" s="219"/>
      <c r="B2169" s="121"/>
      <c r="C2169" s="251"/>
      <c r="D2169" s="251" t="s">
        <v>1989</v>
      </c>
      <c r="E2169" s="242"/>
      <c r="F2169" s="121"/>
      <c r="G2169" s="251" t="s">
        <v>1925</v>
      </c>
      <c r="H2169" s="242"/>
      <c r="I2169" s="319">
        <f t="array" aca="1" ref="I2169"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0.56612770196201156</v>
      </c>
      <c r="J2169" s="319">
        <f t="array" aca="1" ref="J2169"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0.58679364857779637</v>
      </c>
      <c r="K2169" s="319">
        <f t="array" aca="1" ref="K2169"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0.61305036984823347</v>
      </c>
      <c r="L2169" s="319">
        <f t="array" aca="1" ref="L2169"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0.63977852223056575</v>
      </c>
      <c r="M2169" s="319">
        <f t="array" aca="1" ref="M2169"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0.66697810572479377</v>
      </c>
      <c r="N2169" s="319">
        <f t="array" aca="1" ref="N2169"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0.69464912033091686</v>
      </c>
      <c r="O2169" s="319">
        <f t="array" aca="1" ref="O2169"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0.7227915660489358</v>
      </c>
      <c r="P2169" s="319">
        <f t="array" aca="1" ref="P2169"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0.75140544287884992</v>
      </c>
      <c r="Q2169" s="319">
        <f t="array" aca="1" ref="Q2169"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0.78049075082065933</v>
      </c>
      <c r="R2169" s="121"/>
      <c r="S2169" s="179"/>
      <c r="T2169" s="179"/>
      <c r="V2169" s="179"/>
      <c r="W2169" s="179"/>
    </row>
    <row r="2170" spans="1:24" s="65" customFormat="1" ht="15" customHeight="1" outlineLevel="2">
      <c r="A2170" s="219"/>
      <c r="B2170" s="121"/>
      <c r="C2170" s="251"/>
      <c r="D2170" s="251" t="s">
        <v>1990</v>
      </c>
      <c r="E2170" s="242"/>
      <c r="F2170" s="121"/>
      <c r="G2170" s="251" t="s">
        <v>2004</v>
      </c>
      <c r="H2170" s="242"/>
      <c r="I2170" s="319">
        <f t="array" aca="1" ref="I2170"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0.70378288474460216</v>
      </c>
      <c r="J2170" s="319">
        <f t="array" aca="1" ref="J2170"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0.69403606636115245</v>
      </c>
      <c r="K2170" s="319">
        <f t="array" aca="1" ref="K2170"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0.68136813367553506</v>
      </c>
      <c r="L2170" s="319">
        <f t="array" aca="1" ref="L2170"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0.66816196798291161</v>
      </c>
      <c r="M2170" s="319">
        <f t="array" aca="1" ref="M2170"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0.65441756928328221</v>
      </c>
      <c r="N2170" s="319">
        <f t="array" aca="1" ref="N2170"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0.64013493757664663</v>
      </c>
      <c r="O2170" s="319">
        <f t="array" aca="1" ref="O2170"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0.62531407286300511</v>
      </c>
      <c r="P2170" s="319">
        <f t="array" aca="1" ref="P2170"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0.60995497514235741</v>
      </c>
      <c r="Q2170" s="319">
        <f t="array" aca="1" ref="Q2170"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0.59405764441470377</v>
      </c>
      <c r="R2170" s="121"/>
      <c r="S2170" s="179"/>
      <c r="T2170" s="179"/>
      <c r="V2170" s="179"/>
      <c r="W2170" s="179"/>
    </row>
    <row r="2171" spans="1:24" s="65" customFormat="1" ht="15" customHeight="1" outlineLevel="2">
      <c r="A2171" s="219"/>
      <c r="B2171" s="121"/>
      <c r="C2171" s="251"/>
      <c r="D2171" s="251" t="s">
        <v>1991</v>
      </c>
      <c r="E2171" s="242"/>
      <c r="F2171" s="121"/>
      <c r="G2171" s="251" t="s">
        <v>1821</v>
      </c>
      <c r="H2171" s="242"/>
      <c r="I2171" s="319">
        <f t="array" aca="1" ref="I2171"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-3.293387109951563</v>
      </c>
      <c r="J2171" s="319">
        <f t="array" aca="1" ref="J2171"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-3.3271654392843995</v>
      </c>
      <c r="K2171" s="319">
        <f t="array" aca="1" ref="K2171"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-3.369388350950445</v>
      </c>
      <c r="L2171" s="319">
        <f t="array" aca="1" ref="L2171"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-3.4116112626164914</v>
      </c>
      <c r="M2171" s="319">
        <f t="array" aca="1" ref="M2171"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-3.4538341742825369</v>
      </c>
      <c r="N2171" s="319">
        <f t="array" aca="1" ref="N2171"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-3.4960570859485824</v>
      </c>
      <c r="O2171" s="319">
        <f t="array" aca="1" ref="O2171"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-3.5382799976146289</v>
      </c>
      <c r="P2171" s="319">
        <f t="array" aca="1" ref="P2171"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-3.5805029092806744</v>
      </c>
      <c r="Q2171" s="319">
        <f t="array" aca="1" ref="Q2171"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-3.6227258209467199</v>
      </c>
      <c r="R2171" s="121"/>
      <c r="S2171" s="179"/>
      <c r="T2171" s="179"/>
      <c r="V2171" s="179"/>
      <c r="W2171" s="179"/>
    </row>
    <row r="2172" spans="1:24" s="65" customFormat="1" ht="15" customHeight="1" outlineLevel="2">
      <c r="A2172" s="219"/>
      <c r="B2172" s="121"/>
      <c r="C2172" s="251"/>
      <c r="D2172" s="251" t="s">
        <v>1992</v>
      </c>
      <c r="E2172" s="242"/>
      <c r="F2172" s="121"/>
      <c r="G2172" s="251" t="s">
        <v>1827</v>
      </c>
      <c r="H2172" s="242"/>
      <c r="I2172" s="319">
        <f t="array" aca="1" ref="I2172"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-0.53299346790018109</v>
      </c>
      <c r="J2172" s="319">
        <f t="array" aca="1" ref="J2172"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-0.53846006757095211</v>
      </c>
      <c r="K2172" s="319">
        <f t="array" aca="1" ref="K2172"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-0.54529331715941598</v>
      </c>
      <c r="L2172" s="319">
        <f t="array" aca="1" ref="L2172"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-0.55212656674787997</v>
      </c>
      <c r="M2172" s="319">
        <f t="array" aca="1" ref="M2172"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-0.55895981633634373</v>
      </c>
      <c r="N2172" s="319">
        <f t="array" aca="1" ref="N2172"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-0.5657930659248076</v>
      </c>
      <c r="O2172" s="319">
        <f t="array" aca="1" ref="O2172"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-0.57262631551327159</v>
      </c>
      <c r="P2172" s="319">
        <f t="array" aca="1" ref="P2172"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-0.57945956510173535</v>
      </c>
      <c r="Q2172" s="319">
        <f t="array" aca="1" ref="Q2172"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-0.58629281469019923</v>
      </c>
      <c r="R2172" s="121"/>
      <c r="S2172" s="179"/>
      <c r="T2172" s="179"/>
      <c r="V2172" s="179"/>
      <c r="W2172" s="179"/>
    </row>
    <row r="2173" spans="1:24" s="65" customFormat="1" ht="15" customHeight="1" outlineLevel="2">
      <c r="A2173" s="219"/>
      <c r="B2173" s="121"/>
      <c r="C2173" s="251"/>
      <c r="D2173" s="251" t="s">
        <v>1993</v>
      </c>
      <c r="E2173" s="242"/>
      <c r="F2173" s="121"/>
      <c r="G2173" s="251" t="s">
        <v>1928</v>
      </c>
      <c r="H2173" s="242"/>
      <c r="I2173" s="319">
        <f t="array" aca="1" ref="I2173"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3.1222089796594057</v>
      </c>
      <c r="J2173" s="319">
        <f t="array" aca="1" ref="J2173"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3.1542316358610405</v>
      </c>
      <c r="K2173" s="319">
        <f t="array" aca="1" ref="K2173"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3.194259956113084</v>
      </c>
      <c r="L2173" s="319">
        <f t="array" aca="1" ref="L2173"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3.2342882763651284</v>
      </c>
      <c r="M2173" s="319">
        <f t="array" aca="1" ref="M2173"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3.2743165966171719</v>
      </c>
      <c r="N2173" s="319">
        <f t="array" aca="1" ref="N2173"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3.3143449168692154</v>
      </c>
      <c r="O2173" s="319">
        <f t="array" aca="1" ref="O2173"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3.3543732371212598</v>
      </c>
      <c r="P2173" s="319">
        <f t="array" aca="1" ref="P2173"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3.3944015573733033</v>
      </c>
      <c r="Q2173" s="319">
        <f t="array" aca="1" ref="Q2173"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3.4344298776253468</v>
      </c>
      <c r="R2173" s="121"/>
      <c r="S2173" s="179"/>
      <c r="T2173" s="179"/>
      <c r="V2173" s="179"/>
      <c r="W2173" s="179"/>
    </row>
    <row r="2174" spans="1:24" s="65" customFormat="1" ht="15" customHeight="1" outlineLevel="2">
      <c r="A2174" s="219"/>
      <c r="B2174" s="242"/>
      <c r="C2174" s="251"/>
      <c r="D2174" s="251" t="s">
        <v>1994</v>
      </c>
      <c r="E2174" s="242"/>
      <c r="F2174" s="121"/>
      <c r="G2174" s="251" t="s">
        <v>1929</v>
      </c>
      <c r="H2174" s="242"/>
      <c r="I2174" s="319">
        <f t="array" aca="1" ref="I2174"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-0.5970978743360067</v>
      </c>
      <c r="J2174" s="319">
        <f t="array" aca="1" ref="J2174"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-0.60322195509842724</v>
      </c>
      <c r="K2174" s="319">
        <f t="array" aca="1" ref="K2174"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-0.61087705605145293</v>
      </c>
      <c r="L2174" s="319">
        <f t="array" aca="1" ref="L2174"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-0.61853215700447872</v>
      </c>
      <c r="M2174" s="319">
        <f t="array" aca="1" ref="M2174"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-0.62618725795750441</v>
      </c>
      <c r="N2174" s="319">
        <f t="array" aca="1" ref="N2174"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-0.63384235891053009</v>
      </c>
      <c r="O2174" s="319">
        <f t="array" aca="1" ref="O2174"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-0.641497459863556</v>
      </c>
      <c r="P2174" s="319">
        <f t="array" aca="1" ref="P2174"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-0.64915256081658168</v>
      </c>
      <c r="Q2174" s="319">
        <f t="array" aca="1" ref="Q2174"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-0.65680766176960736</v>
      </c>
      <c r="R2174" s="121"/>
      <c r="S2174" s="179"/>
      <c r="T2174" s="179"/>
      <c r="U2174" s="179"/>
      <c r="W2174" s="179"/>
      <c r="X2174" s="179"/>
    </row>
    <row r="2175" spans="1:24" s="65" customFormat="1" ht="15" customHeight="1" outlineLevel="2">
      <c r="A2175" s="219"/>
      <c r="B2175" s="242"/>
      <c r="C2175" s="251"/>
      <c r="D2175" s="251" t="s">
        <v>1995</v>
      </c>
      <c r="E2175" s="242"/>
      <c r="F2175" s="121"/>
      <c r="G2175" s="251" t="s">
        <v>1930</v>
      </c>
      <c r="H2175" s="242"/>
      <c r="I2175" s="319">
        <f t="array" aca="1" ref="I2175"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-0.10236263666932323</v>
      </c>
      <c r="J2175" s="319">
        <f t="array" aca="1" ref="J2175"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-0.10341250986593167</v>
      </c>
      <c r="K2175" s="319">
        <f t="array" aca="1" ref="K2175"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-0.10472485136169223</v>
      </c>
      <c r="L2175" s="319">
        <f t="array" aca="1" ref="L2175"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-0.10603719285745282</v>
      </c>
      <c r="M2175" s="319">
        <f t="array" aca="1" ref="M2175"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-0.10734953435321336</v>
      </c>
      <c r="N2175" s="319">
        <f t="array" aca="1" ref="N2175"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-0.1086618758489739</v>
      </c>
      <c r="O2175" s="319">
        <f t="array" aca="1" ref="O2175"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-0.10997421734473448</v>
      </c>
      <c r="P2175" s="319">
        <f t="array" aca="1" ref="P2175"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-0.11128655884049503</v>
      </c>
      <c r="Q2175" s="319">
        <f t="array" aca="1" ref="Q2175"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-0.11259890033625557</v>
      </c>
      <c r="R2175" s="121"/>
      <c r="S2175" s="179"/>
      <c r="T2175" s="179"/>
      <c r="U2175" s="179"/>
      <c r="W2175" s="179"/>
      <c r="X2175" s="179"/>
    </row>
    <row r="2176" spans="1:24" s="65" customFormat="1" ht="15" customHeight="1" outlineLevel="2">
      <c r="A2176" s="219"/>
      <c r="B2176" s="242"/>
      <c r="C2176" s="251"/>
      <c r="D2176" s="251" t="s">
        <v>1996</v>
      </c>
      <c r="E2176" s="242"/>
      <c r="F2176" s="121"/>
      <c r="G2176" s="251" t="s">
        <v>1931</v>
      </c>
      <c r="H2176" s="242"/>
      <c r="I2176" s="319">
        <f t="array" aca="1" ref="I2176"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-1.4826754676830483</v>
      </c>
      <c r="J2176" s="319">
        <f t="array" aca="1" ref="J2176"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-1.4978823955567204</v>
      </c>
      <c r="K2176" s="319">
        <f t="array" aca="1" ref="K2176"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-1.5168910553988109</v>
      </c>
      <c r="L2176" s="319">
        <f t="array" aca="1" ref="L2176"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-1.5358997152409015</v>
      </c>
      <c r="M2176" s="319">
        <f t="array" aca="1" ref="M2176"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-1.5549083750829917</v>
      </c>
      <c r="N2176" s="319">
        <f t="array" aca="1" ref="N2176"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-1.5739170349250822</v>
      </c>
      <c r="O2176" s="319">
        <f t="array" aca="1" ref="O2176"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-1.5929256947671726</v>
      </c>
      <c r="P2176" s="319">
        <f t="array" aca="1" ref="P2176"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-1.611934354609263</v>
      </c>
      <c r="Q2176" s="319">
        <f t="array" aca="1" ref="Q2176"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-1.630943014451353</v>
      </c>
      <c r="R2176" s="121"/>
      <c r="S2176" s="179"/>
      <c r="T2176" s="179"/>
      <c r="V2176" s="179"/>
      <c r="W2176" s="179"/>
    </row>
    <row r="2177" spans="1:23" s="65" customFormat="1" ht="15" customHeight="1" outlineLevel="2">
      <c r="A2177" s="219"/>
      <c r="B2177" s="242"/>
      <c r="C2177" s="251"/>
      <c r="D2177" s="251" t="s">
        <v>1997</v>
      </c>
      <c r="E2177" s="242"/>
      <c r="F2177" s="121"/>
      <c r="G2177" s="251" t="s">
        <v>1932</v>
      </c>
      <c r="H2177" s="242"/>
      <c r="I2177" s="319">
        <f t="array" aca="1" ref="I2177"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-0.17297587734176467</v>
      </c>
      <c r="J2177" s="319">
        <f t="array" aca="1" ref="J2177"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-0.17474998890424429</v>
      </c>
      <c r="K2177" s="319">
        <f t="array" aca="1" ref="K2177"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-0.17696762835734386</v>
      </c>
      <c r="L2177" s="319">
        <f t="array" aca="1" ref="L2177"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-0.17918526781044344</v>
      </c>
      <c r="M2177" s="319">
        <f t="array" aca="1" ref="M2177"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-0.18140290726354297</v>
      </c>
      <c r="N2177" s="319">
        <f t="array" aca="1" ref="N2177"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-0.18362054671664252</v>
      </c>
      <c r="O2177" s="319">
        <f t="array" aca="1" ref="O2177"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-0.18583818616974207</v>
      </c>
      <c r="P2177" s="319">
        <f t="array" aca="1" ref="P2177"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-0.18805582562284162</v>
      </c>
      <c r="Q2177" s="319">
        <f t="array" aca="1" ref="Q2177"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-0.19027346507594114</v>
      </c>
      <c r="R2177" s="121"/>
      <c r="S2177" s="179"/>
      <c r="T2177" s="179"/>
      <c r="V2177" s="179"/>
      <c r="W2177" s="179"/>
    </row>
    <row r="2178" spans="1:23" s="65" customFormat="1" ht="15" customHeight="1" outlineLevel="2">
      <c r="A2178" s="219"/>
      <c r="B2178" s="242"/>
      <c r="C2178" s="251"/>
      <c r="D2178" s="251" t="s">
        <v>1998</v>
      </c>
      <c r="E2178" s="242"/>
      <c r="F2178" s="121"/>
      <c r="G2178" s="251" t="s">
        <v>2005</v>
      </c>
      <c r="H2178" s="242"/>
      <c r="I2178" s="319">
        <f t="array" aca="1" ref="I2178"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0.3454485798237234</v>
      </c>
      <c r="J2178" s="319">
        <f t="array" aca="1" ref="J2178"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0.33467403634782766</v>
      </c>
      <c r="K2178" s="319">
        <f t="array" aca="1" ref="K2178"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0.32079704211559257</v>
      </c>
      <c r="L2178" s="319">
        <f t="array" aca="1" ref="L2178"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0.30646580911961835</v>
      </c>
      <c r="M2178" s="319">
        <f t="array" aca="1" ref="M2178"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0.29168033735990473</v>
      </c>
      <c r="N2178" s="319">
        <f t="array" aca="1" ref="N2178"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0.27644062683645182</v>
      </c>
      <c r="O2178" s="319">
        <f t="array" aca="1" ref="O2178"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0.26074667754925962</v>
      </c>
      <c r="P2178" s="319">
        <f t="array" aca="1" ref="P2178"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0.24459848949832821</v>
      </c>
      <c r="Q2178" s="319">
        <f t="array" aca="1" ref="Q2178"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0.22799606268365744</v>
      </c>
      <c r="R2178" s="121"/>
      <c r="S2178" s="179"/>
      <c r="T2178" s="179"/>
      <c r="V2178" s="179"/>
      <c r="W2178" s="179"/>
    </row>
    <row r="2179" spans="1:23" s="65" customFormat="1" ht="15" customHeight="1" outlineLevel="2">
      <c r="A2179" s="219"/>
      <c r="B2179" s="242"/>
      <c r="C2179" s="251"/>
      <c r="D2179" s="251" t="s">
        <v>1999</v>
      </c>
      <c r="E2179" s="242"/>
      <c r="F2179" s="121"/>
      <c r="G2179" s="251" t="s">
        <v>1933</v>
      </c>
      <c r="H2179" s="242"/>
      <c r="I2179" s="319">
        <f t="array" aca="1" ref="I2179" ca="1">SUM((G.30.assumptions.SpecificProcessCO2EmissionsAfterEnergyEfficiency[[#This Row],[Description]]=G.30.assumptions.SpecificProcessCO2EmissionsAfterProcessImprovements[Description])
        *INDIRECT("G.30.assumptions.SpecificProcessCO2EmissionsAfterProcessImprovements["&amp;I$2398&amp;"]"))
*(1-SUM((G.30.assumptions.SpecificProcessCO2EmissionsAfterEnergyEfficiency[[#This Row],[.]]=G.30.assumptions.CCS[Description])
        *INDIRECT("G.30.assumptions.CCS["&amp;I$2398&amp;"]")))</f>
        <v>5.7114314498832863E-2</v>
      </c>
      <c r="J2179" s="319">
        <f t="array" aca="1" ref="J2179" ca="1">SUM((G.30.assumptions.SpecificProcessCO2EmissionsAfterEnergyEfficiency[[#This Row],[Description]]=G.30.assumptions.SpecificProcessCO2EmissionsAfterProcessImprovements[Description])
        *INDIRECT("G.30.assumptions.SpecificProcessCO2EmissionsAfterProcessImprovements["&amp;J$2398&amp;"]"))
*(1-SUM((G.30.assumptions.SpecificProcessCO2EmissionsAfterEnergyEfficiency[[#This Row],[.]]=G.30.assumptions.CCS[Description])
        *INDIRECT("G.30.assumptions.CCS["&amp;J$2398&amp;"]")))</f>
        <v>5.6454902409545961E-2</v>
      </c>
      <c r="K2179" s="319">
        <f t="array" aca="1" ref="K2179" ca="1">SUM((G.30.assumptions.SpecificProcessCO2EmissionsAfterEnergyEfficiency[[#This Row],[Description]]=G.30.assumptions.SpecificProcessCO2EmissionsAfterProcessImprovements[Description])
        *INDIRECT("G.30.assumptions.SpecificProcessCO2EmissionsAfterProcessImprovements["&amp;K$2398&amp;"]"))
*(1-SUM((G.30.assumptions.SpecificProcessCO2EmissionsAfterEnergyEfficiency[[#This Row],[.]]=G.30.assumptions.CCS[Description])
        *INDIRECT("G.30.assumptions.CCS["&amp;K$2398&amp;"]")))</f>
        <v>5.559508273139957E-2</v>
      </c>
      <c r="L2179" s="319">
        <f t="array" aca="1" ref="L2179" ca="1">SUM((G.30.assumptions.SpecificProcessCO2EmissionsAfterEnergyEfficiency[[#This Row],[Description]]=G.30.assumptions.SpecificProcessCO2EmissionsAfterProcessImprovements[Description])
        *INDIRECT("G.30.assumptions.SpecificProcessCO2EmissionsAfterProcessImprovements["&amp;L$2398&amp;"]"))
*(1-SUM((G.30.assumptions.SpecificProcessCO2EmissionsAfterEnergyEfficiency[[#This Row],[.]]=G.30.assumptions.CCS[Description])
        *INDIRECT("G.30.assumptions.CCS["&amp;L$2398&amp;"]")))</f>
        <v>5.4695757979322329E-2</v>
      </c>
      <c r="M2179" s="319">
        <f t="array" aca="1" ref="M2179" ca="1">SUM((G.30.assumptions.SpecificProcessCO2EmissionsAfterEnergyEfficiency[[#This Row],[Description]]=G.30.assumptions.SpecificProcessCO2EmissionsAfterProcessImprovements[Description])
        *INDIRECT("G.30.assumptions.SpecificProcessCO2EmissionsAfterProcessImprovements["&amp;M$2398&amp;"]"))
*(1-SUM((G.30.assumptions.SpecificProcessCO2EmissionsAfterEnergyEfficiency[[#This Row],[.]]=G.30.assumptions.CCS[Description])
        *INDIRECT("G.30.assumptions.CCS["&amp;M$2398&amp;"]")))</f>
        <v>5.3756928153314225E-2</v>
      </c>
      <c r="N2179" s="319">
        <f t="array" aca="1" ref="N2179" ca="1">SUM((G.30.assumptions.SpecificProcessCO2EmissionsAfterEnergyEfficiency[[#This Row],[Description]]=G.30.assumptions.SpecificProcessCO2EmissionsAfterProcessImprovements[Description])
        *INDIRECT("G.30.assumptions.SpecificProcessCO2EmissionsAfterProcessImprovements["&amp;N$2398&amp;"]"))
*(1-SUM((G.30.assumptions.SpecificProcessCO2EmissionsAfterEnergyEfficiency[[#This Row],[.]]=G.30.assumptions.CCS[Description])
        *INDIRECT("G.30.assumptions.CCS["&amp;N$2398&amp;"]")))</f>
        <v>5.2778593253375257E-2</v>
      </c>
      <c r="O2179" s="319">
        <f t="array" aca="1" ref="O2179" ca="1">SUM((G.30.assumptions.SpecificProcessCO2EmissionsAfterEnergyEfficiency[[#This Row],[Description]]=G.30.assumptions.SpecificProcessCO2EmissionsAfterProcessImprovements[Description])
        *INDIRECT("G.30.assumptions.SpecificProcessCO2EmissionsAfterProcessImprovements["&amp;O$2398&amp;"]"))
*(1-SUM((G.30.assumptions.SpecificProcessCO2EmissionsAfterEnergyEfficiency[[#This Row],[.]]=G.30.assumptions.CCS[Description])
        *INDIRECT("G.30.assumptions.CCS["&amp;O$2398&amp;"]")))</f>
        <v>5.1760753279505453E-2</v>
      </c>
      <c r="P2179" s="319">
        <f t="array" aca="1" ref="P2179" ca="1">SUM((G.30.assumptions.SpecificProcessCO2EmissionsAfterEnergyEfficiency[[#This Row],[Description]]=G.30.assumptions.SpecificProcessCO2EmissionsAfterProcessImprovements[Description])
        *INDIRECT("G.30.assumptions.SpecificProcessCO2EmissionsAfterProcessImprovements["&amp;P$2398&amp;"]"))
*(1-SUM((G.30.assumptions.SpecificProcessCO2EmissionsAfterEnergyEfficiency[[#This Row],[.]]=G.30.assumptions.CCS[Description])
        *INDIRECT("G.30.assumptions.CCS["&amp;P$2398&amp;"]")))</f>
        <v>5.0703408231704786E-2</v>
      </c>
      <c r="Q2179" s="319">
        <f t="array" aca="1" ref="Q2179" ca="1">SUM((G.30.assumptions.SpecificProcessCO2EmissionsAfterEnergyEfficiency[[#This Row],[Description]]=G.30.assumptions.SpecificProcessCO2EmissionsAfterProcessImprovements[Description])
        *INDIRECT("G.30.assumptions.SpecificProcessCO2EmissionsAfterProcessImprovements["&amp;Q$2398&amp;"]"))
*(1-SUM((G.30.assumptions.SpecificProcessCO2EmissionsAfterEnergyEfficiency[[#This Row],[.]]=G.30.assumptions.CCS[Description])
        *INDIRECT("G.30.assumptions.CCS["&amp;Q$2398&amp;"]")))</f>
        <v>4.9606558109973255E-2</v>
      </c>
      <c r="R2179" s="121"/>
      <c r="S2179" s="179"/>
      <c r="T2179" s="179"/>
      <c r="V2179" s="179"/>
      <c r="W2179" s="179"/>
    </row>
    <row r="2180" spans="1:23" s="65" customFormat="1" ht="15" customHeight="1" outlineLevel="2">
      <c r="A2180" s="219"/>
      <c r="B2180" s="242"/>
      <c r="C2180" s="251"/>
      <c r="D2180" s="121"/>
      <c r="E2180" s="242"/>
      <c r="F2180" s="121"/>
      <c r="G2180" s="251"/>
      <c r="H2180" s="242"/>
      <c r="I2180" s="316"/>
      <c r="J2180" s="316"/>
      <c r="K2180" s="316"/>
      <c r="L2180" s="316"/>
      <c r="M2180" s="316"/>
      <c r="N2180" s="316"/>
      <c r="O2180" s="316"/>
      <c r="P2180" s="316"/>
      <c r="Q2180" s="316"/>
      <c r="R2180" s="121"/>
      <c r="S2180" s="179"/>
      <c r="T2180" s="179"/>
      <c r="V2180" s="179"/>
      <c r="W2180" s="179"/>
    </row>
    <row r="2181" spans="1:23" s="65" customFormat="1" ht="15" customHeight="1" outlineLevel="2">
      <c r="A2181" s="219"/>
      <c r="B2181" s="242"/>
      <c r="C2181" s="313" t="s">
        <v>243</v>
      </c>
      <c r="D2181" s="242"/>
      <c r="E2181" s="242"/>
      <c r="F2181" s="121"/>
      <c r="G2181" s="242"/>
      <c r="H2181" s="242"/>
      <c r="I2181" s="239"/>
      <c r="J2181" s="239"/>
      <c r="K2181" s="239"/>
      <c r="L2181" s="239"/>
      <c r="M2181" s="239"/>
      <c r="N2181" s="239"/>
      <c r="O2181" s="239"/>
      <c r="P2181" s="239"/>
      <c r="Q2181" s="239"/>
      <c r="R2181" s="121"/>
      <c r="S2181" s="179"/>
      <c r="T2181" s="179"/>
      <c r="V2181" s="179"/>
      <c r="W2181" s="179"/>
    </row>
    <row r="2182" spans="1:23" s="65" customFormat="1" ht="15" customHeight="1" outlineLevel="2">
      <c r="A2182" s="219"/>
      <c r="B2182" s="242"/>
      <c r="C2182" s="301"/>
      <c r="D2182" s="242"/>
      <c r="E2182" s="242"/>
      <c r="F2182" s="121"/>
      <c r="G2182" s="242"/>
      <c r="H2182" s="242"/>
      <c r="I2182" s="239"/>
      <c r="J2182" s="239"/>
      <c r="K2182" s="239"/>
      <c r="L2182" s="239"/>
      <c r="M2182" s="239"/>
      <c r="N2182" s="239"/>
      <c r="O2182" s="239"/>
      <c r="P2182" s="239"/>
      <c r="Q2182" s="239"/>
      <c r="R2182" s="121"/>
      <c r="S2182" s="179"/>
      <c r="T2182" s="179"/>
      <c r="V2182" s="179"/>
      <c r="W2182" s="179"/>
    </row>
    <row r="2183" spans="1:23" s="65" customFormat="1" ht="15" customHeight="1" outlineLevel="2">
      <c r="A2183" s="219"/>
      <c r="B2183" s="242"/>
      <c r="C2183" s="258" t="s">
        <v>454</v>
      </c>
      <c r="D2183" s="258" t="s">
        <v>241</v>
      </c>
      <c r="E2183" s="258" t="s">
        <v>598</v>
      </c>
      <c r="F2183" s="258" t="s">
        <v>274</v>
      </c>
      <c r="G2183" s="258" t="s">
        <v>509</v>
      </c>
      <c r="H2183" s="258" t="s">
        <v>510</v>
      </c>
      <c r="I2183" s="258" t="s">
        <v>1107</v>
      </c>
      <c r="J2183" s="258" t="s">
        <v>210</v>
      </c>
      <c r="K2183" s="258" t="s">
        <v>211</v>
      </c>
      <c r="L2183" s="258" t="s">
        <v>212</v>
      </c>
      <c r="M2183" s="258" t="s">
        <v>213</v>
      </c>
      <c r="N2183" s="258" t="s">
        <v>214</v>
      </c>
      <c r="O2183" s="258" t="s">
        <v>215</v>
      </c>
      <c r="P2183" s="258" t="s">
        <v>216</v>
      </c>
      <c r="Q2183" s="258" t="s">
        <v>217</v>
      </c>
      <c r="R2183" s="121"/>
      <c r="S2183" s="179"/>
      <c r="T2183" s="179"/>
      <c r="V2183" s="179"/>
      <c r="W2183" s="179"/>
    </row>
    <row r="2184" spans="1:23" s="65" customFormat="1" ht="15" customHeight="1" outlineLevel="2">
      <c r="A2184" s="219"/>
      <c r="B2184" s="242"/>
      <c r="C2184" s="251"/>
      <c r="D2184" s="251" t="s">
        <v>1986</v>
      </c>
      <c r="E2184" s="242"/>
      <c r="F2184" s="121"/>
      <c r="G2184" s="251" t="s">
        <v>1613</v>
      </c>
      <c r="H2184" s="242"/>
      <c r="I2184" s="319">
        <f t="array" aca="1" ref="I2184"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6.991054915141226E-2</v>
      </c>
      <c r="J2184" s="319">
        <f t="array" aca="1" ref="J2184"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6.9535974666075223E-2</v>
      </c>
      <c r="K2184" s="319">
        <f t="array" aca="1" ref="K2184"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6.9036587613248573E-2</v>
      </c>
      <c r="L2184" s="319">
        <f t="array" aca="1" ref="L2184"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6.8502568398027111E-2</v>
      </c>
      <c r="M2184" s="319">
        <f t="array" aca="1" ref="M2184"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6.7933917020410822E-2</v>
      </c>
      <c r="N2184" s="319">
        <f t="array" aca="1" ref="N2184"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6.7330633480399707E-2</v>
      </c>
      <c r="O2184" s="319">
        <f t="array" aca="1" ref="O2184"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6.6692717777993779E-2</v>
      </c>
      <c r="P2184" s="319">
        <f t="array" aca="1" ref="P2184"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6.6020169913193025E-2</v>
      </c>
      <c r="Q2184" s="319">
        <f t="array" aca="1" ref="Q2184"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6.531298988599743E-2</v>
      </c>
      <c r="R2184" s="121"/>
      <c r="S2184" s="179"/>
      <c r="T2184" s="179"/>
      <c r="V2184" s="179"/>
      <c r="W2184" s="179"/>
    </row>
    <row r="2185" spans="1:23" s="65" customFormat="1" ht="15" customHeight="1" outlineLevel="2">
      <c r="A2185" s="219"/>
      <c r="B2185" s="242"/>
      <c r="C2185" s="251"/>
      <c r="D2185" s="251" t="s">
        <v>2192</v>
      </c>
      <c r="E2185" s="242"/>
      <c r="F2185" s="121"/>
      <c r="G2185" s="251" t="s">
        <v>2182</v>
      </c>
      <c r="H2185" s="242"/>
      <c r="I2185" s="319">
        <f t="array" aca="1" ref="I2185"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6.991054915141226E-2</v>
      </c>
      <c r="J2185" s="319">
        <f t="array" aca="1" ref="J2185"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6.9535974666075223E-2</v>
      </c>
      <c r="K2185" s="319">
        <f t="array" aca="1" ref="K2185"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6.9036587613248573E-2</v>
      </c>
      <c r="L2185" s="319">
        <f t="array" aca="1" ref="L2185"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6.8502568398027111E-2</v>
      </c>
      <c r="M2185" s="319">
        <f t="array" aca="1" ref="M2185"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6.7933917020410822E-2</v>
      </c>
      <c r="N2185" s="319">
        <f t="array" aca="1" ref="N2185"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6.7330633480399707E-2</v>
      </c>
      <c r="O2185" s="319">
        <f t="array" aca="1" ref="O2185"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6.6692717777993779E-2</v>
      </c>
      <c r="P2185" s="319">
        <f t="array" aca="1" ref="P2185"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6.6020169913193025E-2</v>
      </c>
      <c r="Q2185" s="319">
        <f t="array" aca="1" ref="Q2185"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6.531298988599743E-2</v>
      </c>
      <c r="R2185" s="121"/>
      <c r="S2185" s="179"/>
      <c r="T2185" s="179"/>
      <c r="V2185" s="179"/>
      <c r="W2185" s="179"/>
    </row>
    <row r="2186" spans="1:23" s="65" customFormat="1" ht="15" customHeight="1" outlineLevel="2">
      <c r="A2186" s="219"/>
      <c r="B2186" s="242"/>
      <c r="C2186" s="251"/>
      <c r="D2186" s="251" t="s">
        <v>1987</v>
      </c>
      <c r="E2186" s="242"/>
      <c r="F2186" s="121"/>
      <c r="G2186" s="251" t="s">
        <v>1614</v>
      </c>
      <c r="H2186" s="242"/>
      <c r="I2186" s="319">
        <f t="array" aca="1" ref="I2186"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0.15978180298922864</v>
      </c>
      <c r="J2186" s="319">
        <f t="array" aca="1" ref="J2186"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0.16742498259333888</v>
      </c>
      <c r="K2186" s="319">
        <f t="array" aca="1" ref="K2186"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0.17715040229812856</v>
      </c>
      <c r="L2186" s="319">
        <f t="array" aca="1" ref="L2186"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0.18706631666919826</v>
      </c>
      <c r="M2186" s="319">
        <f t="array" aca="1" ref="M2186"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0.19717272570654787</v>
      </c>
      <c r="N2186" s="319">
        <f t="array" aca="1" ref="N2186"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0.20746962941017746</v>
      </c>
      <c r="O2186" s="319">
        <f t="array" aca="1" ref="O2186"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0.21795702778008699</v>
      </c>
      <c r="P2186" s="319">
        <f t="array" aca="1" ref="P2186"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0.22863492081627643</v>
      </c>
      <c r="Q2186" s="319">
        <f t="array" aca="1" ref="Q2186"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0.23950330851874582</v>
      </c>
      <c r="R2186" s="121"/>
      <c r="S2186" s="179"/>
      <c r="T2186" s="179"/>
      <c r="V2186" s="179"/>
      <c r="W2186" s="179"/>
    </row>
    <row r="2187" spans="1:23" s="65" customFormat="1" ht="15" customHeight="1" outlineLevel="2">
      <c r="A2187" s="219"/>
      <c r="B2187" s="242"/>
      <c r="C2187" s="251"/>
      <c r="D2187" s="251" t="s">
        <v>1988</v>
      </c>
      <c r="E2187" s="242"/>
      <c r="F2187" s="121"/>
      <c r="G2187" s="251" t="s">
        <v>2003</v>
      </c>
      <c r="H2187" s="242"/>
      <c r="I2187" s="319">
        <f t="array" aca="1" ref="I2187"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2.678760405143514E-2</v>
      </c>
      <c r="J2187" s="319">
        <f t="array" aca="1" ref="J2187"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2.776545974260371E-2</v>
      </c>
      <c r="K2187" s="319">
        <f t="array" aca="1" ref="K2187"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2.9007855496501232E-2</v>
      </c>
      <c r="L2187" s="319">
        <f t="array" aca="1" ref="L2187"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3.0272558072550731E-2</v>
      </c>
      <c r="M2187" s="319">
        <f t="array" aca="1" ref="M2187"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3.1559567470752239E-2</v>
      </c>
      <c r="N2187" s="319">
        <f t="array" aca="1" ref="N2187"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3.2868883691105723E-2</v>
      </c>
      <c r="O2187" s="319">
        <f t="array" aca="1" ref="O2187"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3.4200506733611212E-2</v>
      </c>
      <c r="P2187" s="319">
        <f t="array" aca="1" ref="P2187"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3.5554436598268686E-2</v>
      </c>
      <c r="Q2187" s="319">
        <f t="array" aca="1" ref="Q2187"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3.6930673285078153E-2</v>
      </c>
      <c r="R2187" s="121"/>
      <c r="S2187" s="179"/>
      <c r="T2187" s="179"/>
      <c r="V2187" s="179"/>
      <c r="W2187" s="179"/>
    </row>
    <row r="2188" spans="1:23" s="65" customFormat="1" ht="15" customHeight="1" outlineLevel="2">
      <c r="A2188" s="219"/>
      <c r="B2188" s="242"/>
      <c r="C2188" s="251"/>
      <c r="D2188" s="251" t="s">
        <v>1989</v>
      </c>
      <c r="E2188" s="242"/>
      <c r="F2188" s="121"/>
      <c r="G2188" s="251" t="s">
        <v>1925</v>
      </c>
      <c r="H2188" s="242"/>
      <c r="I2188" s="319">
        <f t="array" aca="1" ref="I2188"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6.0696075758509341E-2</v>
      </c>
      <c r="J2188" s="319">
        <f t="array" aca="1" ref="J2188"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6.2911727557680888E-2</v>
      </c>
      <c r="K2188" s="319">
        <f t="array" aca="1" ref="K2188"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6.5726781365995413E-2</v>
      </c>
      <c r="L2188" s="319">
        <f t="array" aca="1" ref="L2188"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6.8592378573587784E-2</v>
      </c>
      <c r="M2188" s="319">
        <f t="array" aca="1" ref="M2188"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7.1508519180458044E-2</v>
      </c>
      <c r="N2188" s="319">
        <f t="array" aca="1" ref="N2188"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7.4475203186606109E-2</v>
      </c>
      <c r="O2188" s="319">
        <f t="array" aca="1" ref="O2188"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7.7492430592032105E-2</v>
      </c>
      <c r="P2188" s="319">
        <f t="array" aca="1" ref="P2188"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8.0560201396735906E-2</v>
      </c>
      <c r="Q2188" s="319">
        <f t="array" aca="1" ref="Q2188"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8.3678515600717568E-2</v>
      </c>
      <c r="R2188" s="121"/>
      <c r="S2188" s="179"/>
      <c r="T2188" s="179"/>
      <c r="V2188" s="179"/>
      <c r="W2188" s="179"/>
    </row>
    <row r="2189" spans="1:23" s="65" customFormat="1" ht="15" customHeight="1" outlineLevel="2">
      <c r="A2189" s="219"/>
      <c r="B2189" s="242"/>
      <c r="C2189" s="251"/>
      <c r="D2189" s="251" t="s">
        <v>1990</v>
      </c>
      <c r="E2189" s="242"/>
      <c r="F2189" s="121"/>
      <c r="G2189" s="251" t="s">
        <v>2004</v>
      </c>
      <c r="H2189" s="242"/>
      <c r="I2189" s="319">
        <f t="array" aca="1" ref="I2189"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5.8607565391460899E-2</v>
      </c>
      <c r="J2189" s="319">
        <f t="array" aca="1" ref="J2189"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5.7795898458165094E-2</v>
      </c>
      <c r="K2189" s="319">
        <f t="array" aca="1" ref="K2189"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5.6740975541822274E-2</v>
      </c>
      <c r="L2189" s="319">
        <f t="array" aca="1" ref="L2189"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5.5641231236898223E-2</v>
      </c>
      <c r="M2189" s="319">
        <f t="array" aca="1" ref="M2189"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5.4496665543392948E-2</v>
      </c>
      <c r="N2189" s="319">
        <f t="array" aca="1" ref="N2189"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5.3307278461306458E-2</v>
      </c>
      <c r="O2189" s="319">
        <f t="array" aca="1" ref="O2189"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5.2073069990638758E-2</v>
      </c>
      <c r="P2189" s="319">
        <f t="array" aca="1" ref="P2189"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5.0794040131389821E-2</v>
      </c>
      <c r="Q2189" s="319">
        <f t="array" aca="1" ref="Q2189"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4.9470188883559675E-2</v>
      </c>
      <c r="R2189" s="121"/>
      <c r="S2189" s="179"/>
      <c r="T2189" s="179"/>
      <c r="V2189" s="179"/>
      <c r="W2189" s="179"/>
    </row>
    <row r="2190" spans="1:23" s="65" customFormat="1" ht="15" customHeight="1" outlineLevel="2">
      <c r="A2190" s="219"/>
      <c r="B2190" s="242"/>
      <c r="C2190" s="251"/>
      <c r="D2190" s="251" t="s">
        <v>1991</v>
      </c>
      <c r="E2190" s="242"/>
      <c r="F2190" s="121"/>
      <c r="G2190" s="251" t="s">
        <v>1821</v>
      </c>
      <c r="H2190" s="242"/>
      <c r="I2190" s="319">
        <f t="array" aca="1" ref="I2190"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4.9054270827539291E-2</v>
      </c>
      <c r="J2190" s="319">
        <f t="array" aca="1" ref="J2190"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4.9557391553975587E-2</v>
      </c>
      <c r="K2190" s="319">
        <f t="array" aca="1" ref="K2190"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5.0186292462020957E-2</v>
      </c>
      <c r="L2190" s="319">
        <f t="array" aca="1" ref="L2190"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5.081519337006634E-2</v>
      </c>
      <c r="M2190" s="319">
        <f t="array" aca="1" ref="M2190"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5.1444094278111717E-2</v>
      </c>
      <c r="N2190" s="319">
        <f t="array" aca="1" ref="N2190"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5.2072995186157094E-2</v>
      </c>
      <c r="O2190" s="319">
        <f t="array" aca="1" ref="O2190"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5.2701896094202477E-2</v>
      </c>
      <c r="P2190" s="319">
        <f t="array" aca="1" ref="P2190"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5.3330797002247847E-2</v>
      </c>
      <c r="Q2190" s="319">
        <f t="array" aca="1" ref="Q2190"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5.3959697910293224E-2</v>
      </c>
      <c r="R2190" s="121"/>
      <c r="S2190" s="179"/>
      <c r="T2190" s="179"/>
      <c r="V2190" s="179"/>
      <c r="W2190" s="179"/>
    </row>
    <row r="2191" spans="1:23" s="65" customFormat="1" ht="15" customHeight="1" outlineLevel="2">
      <c r="A2191" s="219"/>
      <c r="B2191" s="242"/>
      <c r="C2191" s="251"/>
      <c r="D2191" s="251" t="s">
        <v>1992</v>
      </c>
      <c r="E2191" s="242"/>
      <c r="F2191" s="121"/>
      <c r="G2191" s="251" t="s">
        <v>1827</v>
      </c>
      <c r="H2191" s="242"/>
      <c r="I2191" s="319">
        <f t="array" aca="1" ref="I2191"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9.5889912282722256E-2</v>
      </c>
      <c r="J2191" s="319">
        <f t="array" aca="1" ref="J2191"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9.6873398562545038E-2</v>
      </c>
      <c r="K2191" s="319">
        <f t="array" aca="1" ref="K2191"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9.8102756412323522E-2</v>
      </c>
      <c r="L2191" s="319">
        <f t="array" aca="1" ref="L2191"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9.9332114262102034E-2</v>
      </c>
      <c r="M2191" s="319">
        <f t="array" aca="1" ref="M2191"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0.10056147211188052</v>
      </c>
      <c r="N2191" s="319">
        <f t="array" aca="1" ref="N2191"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0.101790829961659</v>
      </c>
      <c r="O2191" s="319">
        <f t="array" aca="1" ref="O2191"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0.10302018781143751</v>
      </c>
      <c r="P2191" s="319">
        <f t="array" aca="1" ref="P2191"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0.104249545661216</v>
      </c>
      <c r="Q2191" s="319">
        <f t="array" aca="1" ref="Q2191"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0.1054789035109945</v>
      </c>
      <c r="R2191" s="121"/>
      <c r="S2191" s="179"/>
      <c r="T2191" s="179"/>
      <c r="V2191" s="179"/>
      <c r="W2191" s="179"/>
    </row>
    <row r="2192" spans="1:23" s="65" customFormat="1" ht="15" customHeight="1" outlineLevel="2">
      <c r="A2192" s="219"/>
      <c r="B2192" s="242"/>
      <c r="C2192" s="251"/>
      <c r="D2192" s="251" t="s">
        <v>1993</v>
      </c>
      <c r="E2192" s="242"/>
      <c r="F2192" s="121"/>
      <c r="G2192" s="251" t="s">
        <v>1928</v>
      </c>
      <c r="H2192" s="242"/>
      <c r="I2192" s="319">
        <f t="array" aca="1" ref="I2192"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0.27131982684484707</v>
      </c>
      <c r="J2192" s="319">
        <f t="array" aca="1" ref="J2192"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0.27410259429966599</v>
      </c>
      <c r="K2192" s="319">
        <f t="array" aca="1" ref="K2192"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0.27758105361818969</v>
      </c>
      <c r="L2192" s="319">
        <f t="array" aca="1" ref="L2192"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0.28105951293671338</v>
      </c>
      <c r="M2192" s="319">
        <f t="array" aca="1" ref="M2192"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0.28453797225523708</v>
      </c>
      <c r="N2192" s="319">
        <f t="array" aca="1" ref="N2192"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0.28801643157376072</v>
      </c>
      <c r="O2192" s="319">
        <f t="array" aca="1" ref="O2192"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0.29149489089228448</v>
      </c>
      <c r="P2192" s="319">
        <f t="array" aca="1" ref="P2192"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0.29497335021080812</v>
      </c>
      <c r="Q2192" s="319">
        <f t="array" aca="1" ref="Q2192"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0.29845180952933181</v>
      </c>
      <c r="R2192" s="121"/>
      <c r="S2192" s="179"/>
      <c r="T2192" s="179"/>
      <c r="V2192" s="179"/>
      <c r="W2192" s="179"/>
    </row>
    <row r="2193" spans="1:23" s="65" customFormat="1" ht="15" customHeight="1" outlineLevel="2">
      <c r="A2193" s="219"/>
      <c r="B2193" s="242"/>
      <c r="C2193" s="251"/>
      <c r="D2193" s="251" t="s">
        <v>1994</v>
      </c>
      <c r="E2193" s="242"/>
      <c r="F2193" s="121"/>
      <c r="G2193" s="251" t="s">
        <v>1929</v>
      </c>
      <c r="H2193" s="242"/>
      <c r="I2193" s="319">
        <f t="array" aca="1" ref="I2193"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0.15720558668698606</v>
      </c>
      <c r="J2193" s="319">
        <f t="array" aca="1" ref="J2193"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0.15881795167864746</v>
      </c>
      <c r="K2193" s="319">
        <f t="array" aca="1" ref="K2193"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0.1608334079182242</v>
      </c>
      <c r="L2193" s="319">
        <f t="array" aca="1" ref="L2193"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0.16284886415780095</v>
      </c>
      <c r="M2193" s="319">
        <f t="array" aca="1" ref="M2193"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0.16486432039737769</v>
      </c>
      <c r="N2193" s="319">
        <f t="array" aca="1" ref="N2193"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0.16687977663695441</v>
      </c>
      <c r="O2193" s="319">
        <f t="array" aca="1" ref="O2193"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0.16889523287653121</v>
      </c>
      <c r="P2193" s="319">
        <f t="array" aca="1" ref="P2193"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0.17091068911610793</v>
      </c>
      <c r="Q2193" s="319">
        <f t="array" aca="1" ref="Q2193"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0.17292614535568468</v>
      </c>
      <c r="R2193" s="121"/>
      <c r="S2193" s="179"/>
      <c r="T2193" s="179"/>
      <c r="V2193" s="179"/>
      <c r="W2193" s="179"/>
    </row>
    <row r="2194" spans="1:23" s="65" customFormat="1" ht="15" customHeight="1" outlineLevel="2">
      <c r="A2194" s="219"/>
      <c r="B2194" s="242"/>
      <c r="C2194" s="251"/>
      <c r="D2194" s="251" t="s">
        <v>1995</v>
      </c>
      <c r="E2194" s="242"/>
      <c r="F2194" s="121"/>
      <c r="G2194" s="251" t="s">
        <v>1930</v>
      </c>
      <c r="H2194" s="242"/>
      <c r="I2194" s="319">
        <f t="array" aca="1" ref="I2194"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2.0903772272782294E-2</v>
      </c>
      <c r="J2194" s="319">
        <f t="array" aca="1" ref="J2194"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2.1118169937118524E-2</v>
      </c>
      <c r="K2194" s="319">
        <f t="array" aca="1" ref="K2194"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2.1386167017538808E-2</v>
      </c>
      <c r="L2194" s="319">
        <f t="array" aca="1" ref="L2194"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2.1654164097959103E-2</v>
      </c>
      <c r="M2194" s="319">
        <f t="array" aca="1" ref="M2194"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2.1922161178379383E-2</v>
      </c>
      <c r="N2194" s="319">
        <f t="array" aca="1" ref="N2194"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2.2190158258799667E-2</v>
      </c>
      <c r="O2194" s="319">
        <f t="array" aca="1" ref="O2194"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2.2458155339219958E-2</v>
      </c>
      <c r="P2194" s="319">
        <f t="array" aca="1" ref="P2194"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2.2726152419640246E-2</v>
      </c>
      <c r="Q2194" s="319">
        <f t="array" aca="1" ref="Q2194"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2.2994149500060526E-2</v>
      </c>
      <c r="R2194" s="121"/>
      <c r="S2194" s="179"/>
      <c r="T2194" s="179"/>
      <c r="V2194" s="179"/>
      <c r="W2194" s="179"/>
    </row>
    <row r="2195" spans="1:23" s="65" customFormat="1" ht="15" customHeight="1" outlineLevel="2">
      <c r="A2195" s="219"/>
      <c r="B2195" s="242"/>
      <c r="C2195" s="251"/>
      <c r="D2195" s="251" t="s">
        <v>1996</v>
      </c>
      <c r="E2195" s="242"/>
      <c r="F2195" s="121"/>
      <c r="G2195" s="251" t="s">
        <v>1931</v>
      </c>
      <c r="H2195" s="242"/>
      <c r="I2195" s="319">
        <f t="array" aca="1" ref="I2195"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9.4970983029639654E-3</v>
      </c>
      <c r="J2195" s="319">
        <f t="array" aca="1" ref="J2195"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9.5945044394046206E-3</v>
      </c>
      <c r="K2195" s="319">
        <f t="array" aca="1" ref="K2195"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9.7162621099554404E-3</v>
      </c>
      <c r="L2195" s="319">
        <f t="array" aca="1" ref="L2195"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9.8380197805062637E-3</v>
      </c>
      <c r="M2195" s="319">
        <f t="array" aca="1" ref="M2195"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9.9597774510570818E-3</v>
      </c>
      <c r="N2195" s="319">
        <f t="array" aca="1" ref="N2195"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1.0081535121607902E-2</v>
      </c>
      <c r="O2195" s="319">
        <f t="array" aca="1" ref="O2195"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1.0203292792158723E-2</v>
      </c>
      <c r="P2195" s="319">
        <f t="array" aca="1" ref="P2195"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1.0325050462709543E-2</v>
      </c>
      <c r="Q2195" s="319">
        <f t="array" aca="1" ref="Q2195"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1.0446808133260361E-2</v>
      </c>
      <c r="R2195" s="121"/>
      <c r="S2195" s="179"/>
      <c r="T2195" s="179"/>
      <c r="V2195" s="179"/>
      <c r="W2195" s="179"/>
    </row>
    <row r="2196" spans="1:23" s="65" customFormat="1" ht="15" customHeight="1" outlineLevel="2">
      <c r="A2196" s="219"/>
      <c r="B2196" s="242"/>
      <c r="C2196" s="251"/>
      <c r="D2196" s="251" t="s">
        <v>1997</v>
      </c>
      <c r="E2196" s="242"/>
      <c r="F2196" s="121"/>
      <c r="G2196" s="251" t="s">
        <v>1932</v>
      </c>
      <c r="H2196" s="242"/>
      <c r="I2196" s="319">
        <f t="array" aca="1" ref="I2196"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1.8757176046928597E-2</v>
      </c>
      <c r="J2196" s="319">
        <f t="array" aca="1" ref="J2196"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1.8949557339717607E-2</v>
      </c>
      <c r="K2196" s="319">
        <f t="array" aca="1" ref="K2196"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1.9190033955703872E-2</v>
      </c>
      <c r="L2196" s="319">
        <f t="array" aca="1" ref="L2196"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1.9430510571690138E-2</v>
      </c>
      <c r="M2196" s="319">
        <f t="array" aca="1" ref="M2196"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1.96709871876764E-2</v>
      </c>
      <c r="N2196" s="319">
        <f t="array" aca="1" ref="N2196"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1.9911463803662665E-2</v>
      </c>
      <c r="O2196" s="319">
        <f t="array" aca="1" ref="O2196"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2.015194041964893E-2</v>
      </c>
      <c r="P2196" s="319">
        <f t="array" aca="1" ref="P2196"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2.0392417035635196E-2</v>
      </c>
      <c r="Q2196" s="319">
        <f t="array" aca="1" ref="Q2196"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2.0632893651621458E-2</v>
      </c>
      <c r="R2196" s="121"/>
      <c r="S2196" s="179"/>
      <c r="T2196" s="179"/>
      <c r="V2196" s="179"/>
      <c r="W2196" s="179"/>
    </row>
    <row r="2197" spans="1:23" s="65" customFormat="1" ht="15" customHeight="1" outlineLevel="2">
      <c r="A2197" s="219"/>
      <c r="B2197" s="242"/>
      <c r="C2197" s="251"/>
      <c r="D2197" s="251" t="s">
        <v>1998</v>
      </c>
      <c r="E2197" s="242"/>
      <c r="F2197" s="121"/>
      <c r="G2197" s="251" t="s">
        <v>2005</v>
      </c>
      <c r="H2197" s="242"/>
      <c r="I2197" s="319">
        <f t="array" aca="1" ref="I2197"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3.0288469124250289E-2</v>
      </c>
      <c r="J2197" s="319">
        <f t="array" aca="1" ref="J2197"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2.9343771573129691E-2</v>
      </c>
      <c r="K2197" s="319">
        <f t="array" aca="1" ref="K2197"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2.8127055292070061E-2</v>
      </c>
      <c r="L2197" s="319">
        <f t="array" aca="1" ref="L2197"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2.6870511964167246E-2</v>
      </c>
      <c r="M2197" s="319">
        <f t="array" aca="1" ref="M2197"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2.5574141589421225E-2</v>
      </c>
      <c r="N2197" s="319">
        <f t="array" aca="1" ref="N2197"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2.423794416783201E-2</v>
      </c>
      <c r="O2197" s="319">
        <f t="array" aca="1" ref="O2197"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2.2861919699399599E-2</v>
      </c>
      <c r="P2197" s="319">
        <f t="array" aca="1" ref="P2197"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2.1446068184123996E-2</v>
      </c>
      <c r="Q2197" s="319">
        <f t="array" aca="1" ref="Q2197"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1.9990389622005191E-2</v>
      </c>
      <c r="R2197" s="121"/>
      <c r="S2197" s="179"/>
      <c r="T2197" s="179"/>
      <c r="V2197" s="179"/>
      <c r="W2197" s="179"/>
    </row>
    <row r="2198" spans="1:23" s="65" customFormat="1" ht="15" customHeight="1" outlineLevel="2">
      <c r="A2198" s="219"/>
      <c r="B2198" s="242"/>
      <c r="C2198" s="251"/>
      <c r="D2198" s="251" t="s">
        <v>1999</v>
      </c>
      <c r="E2198" s="242"/>
      <c r="F2198" s="121"/>
      <c r="G2198" s="251" t="s">
        <v>1933</v>
      </c>
      <c r="H2198" s="242"/>
      <c r="I2198" s="319">
        <f t="array" aca="1" ref="I2198" ca="1">SUM((G.30.assumptions.SpecificProcessCH4EmissionsAfterEnergyEfficiency[[#This Row],[Description]]=G.30.assumptions.SpecificProcessCH4EmissionsAfterProcessImprovements[Description])
        *INDIRECT("G.30.assumptions.SpecificProcessCH4EmissionsAfterProcessImprovements["&amp;I$2398&amp;"]"))
*(1-SUM((G.30.assumptions.SpecificProcessCH4EmissionsAfterEnergyEfficiency[[#This Row],[.]]=G.30.assumptions.CCS[Description])
        *INDIRECT("G.30.assumptions.CCS["&amp;I$2398&amp;"]")))</f>
        <v>0.1044634283309155</v>
      </c>
      <c r="J2198" s="319">
        <f t="array" aca="1" ref="J2198" ca="1">SUM((G.30.assumptions.SpecificProcessCH4EmissionsAfterEnergyEfficiency[[#This Row],[Description]]=G.30.assumptions.SpecificProcessCH4EmissionsAfterProcessImprovements[Description])
        *INDIRECT("G.30.assumptions.SpecificProcessCH4EmissionsAfterProcessImprovements["&amp;J$2398&amp;"]"))
*(1-SUM((G.30.assumptions.SpecificProcessCH4EmissionsAfterEnergyEfficiency[[#This Row],[.]]=G.30.assumptions.CCS[Description])
        *INDIRECT("G.30.assumptions.CCS["&amp;J$2398&amp;"]")))</f>
        <v>0.10325734806655079</v>
      </c>
      <c r="K2198" s="319">
        <f t="array" aca="1" ref="K2198" ca="1">SUM((G.30.assumptions.SpecificProcessCH4EmissionsAfterEnergyEfficiency[[#This Row],[Description]]=G.30.assumptions.SpecificProcessCH4EmissionsAfterProcessImprovements[Description])
        *INDIRECT("G.30.assumptions.SpecificProcessCH4EmissionsAfterProcessImprovements["&amp;K$2398&amp;"]"))
*(1-SUM((G.30.assumptions.SpecificProcessCH4EmissionsAfterEnergyEfficiency[[#This Row],[.]]=G.30.assumptions.CCS[Description])
        *INDIRECT("G.30.assumptions.CCS["&amp;K$2398&amp;"]")))</f>
        <v>0.1016847175952984</v>
      </c>
      <c r="L2198" s="319">
        <f t="array" aca="1" ref="L2198" ca="1">SUM((G.30.assumptions.SpecificProcessCH4EmissionsAfterEnergyEfficiency[[#This Row],[Description]]=G.30.assumptions.SpecificProcessCH4EmissionsAfterProcessImprovements[Description])
        *INDIRECT("G.30.assumptions.SpecificProcessCH4EmissionsAfterProcessImprovements["&amp;L$2398&amp;"]"))
*(1-SUM((G.30.assumptions.SpecificProcessCH4EmissionsAfterEnergyEfficiency[[#This Row],[.]]=G.30.assumptions.CCS[Description])
        *INDIRECT("G.30.assumptions.CCS["&amp;L$2398&amp;"]")))</f>
        <v>0.10003983141204992</v>
      </c>
      <c r="M2198" s="319">
        <f t="array" aca="1" ref="M2198" ca="1">SUM((G.30.assumptions.SpecificProcessCH4EmissionsAfterEnergyEfficiency[[#This Row],[Description]]=G.30.assumptions.SpecificProcessCH4EmissionsAfterProcessImprovements[Description])
        *INDIRECT("G.30.assumptions.SpecificProcessCH4EmissionsAfterProcessImprovements["&amp;M$2398&amp;"]"))
*(1-SUM((G.30.assumptions.SpecificProcessCH4EmissionsAfterEnergyEfficiency[[#This Row],[.]]=G.30.assumptions.CCS[Description])
        *INDIRECT("G.30.assumptions.CCS["&amp;M$2398&amp;"]")))</f>
        <v>9.8322689516805298E-2</v>
      </c>
      <c r="N2198" s="319">
        <f t="array" aca="1" ref="N2198" ca="1">SUM((G.30.assumptions.SpecificProcessCH4EmissionsAfterEnergyEfficiency[[#This Row],[Description]]=G.30.assumptions.SpecificProcessCH4EmissionsAfterProcessImprovements[Description])
        *INDIRECT("G.30.assumptions.SpecificProcessCH4EmissionsAfterProcessImprovements["&amp;N$2398&amp;"]"))
*(1-SUM((G.30.assumptions.SpecificProcessCH4EmissionsAfterEnergyEfficiency[[#This Row],[.]]=G.30.assumptions.CCS[Description])
        *INDIRECT("G.30.assumptions.CCS["&amp;N$2398&amp;"]")))</f>
        <v>9.6533291909564528E-2</v>
      </c>
      <c r="O2198" s="319">
        <f t="array" aca="1" ref="O2198" ca="1">SUM((G.30.assumptions.SpecificProcessCH4EmissionsAfterEnergyEfficiency[[#This Row],[Description]]=G.30.assumptions.SpecificProcessCH4EmissionsAfterProcessImprovements[Description])
        *INDIRECT("G.30.assumptions.SpecificProcessCH4EmissionsAfterProcessImprovements["&amp;O$2398&amp;"]"))
*(1-SUM((G.30.assumptions.SpecificProcessCH4EmissionsAfterEnergyEfficiency[[#This Row],[.]]=G.30.assumptions.CCS[Description])
        *INDIRECT("G.30.assumptions.CCS["&amp;O$2398&amp;"]")))</f>
        <v>9.4671638590327692E-2</v>
      </c>
      <c r="P2198" s="319">
        <f t="array" aca="1" ref="P2198" ca="1">SUM((G.30.assumptions.SpecificProcessCH4EmissionsAfterEnergyEfficiency[[#This Row],[Description]]=G.30.assumptions.SpecificProcessCH4EmissionsAfterProcessImprovements[Description])
        *INDIRECT("G.30.assumptions.SpecificProcessCH4EmissionsAfterProcessImprovements["&amp;P$2398&amp;"]"))
*(1-SUM((G.30.assumptions.SpecificProcessCH4EmissionsAfterEnergyEfficiency[[#This Row],[.]]=G.30.assumptions.CCS[Description])
        *INDIRECT("G.30.assumptions.CCS["&amp;P$2398&amp;"]")))</f>
        <v>9.2737729559094706E-2</v>
      </c>
      <c r="Q2198" s="319">
        <f t="array" aca="1" ref="Q2198" ca="1">SUM((G.30.assumptions.SpecificProcessCH4EmissionsAfterEnergyEfficiency[[#This Row],[Description]]=G.30.assumptions.SpecificProcessCH4EmissionsAfterProcessImprovements[Description])
        *INDIRECT("G.30.assumptions.SpecificProcessCH4EmissionsAfterProcessImprovements["&amp;Q$2398&amp;"]"))
*(1-SUM((G.30.assumptions.SpecificProcessCH4EmissionsAfterEnergyEfficiency[[#This Row],[.]]=G.30.assumptions.CCS[Description])
        *INDIRECT("G.30.assumptions.CCS["&amp;Q$2398&amp;"]")))</f>
        <v>9.0731564815865598E-2</v>
      </c>
      <c r="R2198" s="121"/>
      <c r="S2198" s="179"/>
      <c r="T2198" s="179"/>
      <c r="V2198" s="179"/>
      <c r="W2198" s="179"/>
    </row>
    <row r="2199" spans="1:23" s="65" customFormat="1" ht="15" customHeight="1" outlineLevel="2">
      <c r="A2199" s="219"/>
      <c r="B2199" s="242"/>
      <c r="C2199" s="251"/>
      <c r="D2199" s="121"/>
      <c r="E2199" s="242"/>
      <c r="F2199" s="121"/>
      <c r="G2199" s="251"/>
      <c r="H2199" s="242"/>
      <c r="I2199" s="316"/>
      <c r="J2199" s="316"/>
      <c r="K2199" s="316"/>
      <c r="L2199" s="316"/>
      <c r="M2199" s="316"/>
      <c r="N2199" s="316"/>
      <c r="O2199" s="316"/>
      <c r="P2199" s="316"/>
      <c r="Q2199" s="316"/>
      <c r="R2199" s="121"/>
      <c r="S2199" s="179"/>
      <c r="T2199" s="179"/>
      <c r="V2199" s="179"/>
      <c r="W2199" s="179"/>
    </row>
    <row r="2200" spans="1:23" s="65" customFormat="1" ht="15" customHeight="1" outlineLevel="2">
      <c r="A2200" s="219"/>
      <c r="B2200" s="242"/>
      <c r="C2200" s="313" t="s">
        <v>244</v>
      </c>
      <c r="D2200" s="242"/>
      <c r="E2200" s="242"/>
      <c r="F2200" s="121"/>
      <c r="G2200" s="242"/>
      <c r="H2200" s="242"/>
      <c r="I2200" s="239"/>
      <c r="J2200" s="239"/>
      <c r="K2200" s="239"/>
      <c r="L2200" s="239"/>
      <c r="M2200" s="239"/>
      <c r="N2200" s="239"/>
      <c r="O2200" s="239"/>
      <c r="P2200" s="239"/>
      <c r="Q2200" s="239"/>
      <c r="R2200" s="121"/>
      <c r="S2200" s="179"/>
      <c r="T2200" s="179"/>
      <c r="V2200" s="179"/>
      <c r="W2200" s="179"/>
    </row>
    <row r="2201" spans="1:23" s="65" customFormat="1" ht="15" customHeight="1" outlineLevel="2">
      <c r="A2201" s="219"/>
      <c r="B2201" s="242"/>
      <c r="C2201" s="301"/>
      <c r="D2201" s="242"/>
      <c r="E2201" s="242"/>
      <c r="F2201" s="121"/>
      <c r="G2201" s="242"/>
      <c r="H2201" s="242"/>
      <c r="I2201" s="239"/>
      <c r="J2201" s="239"/>
      <c r="K2201" s="239"/>
      <c r="L2201" s="239"/>
      <c r="M2201" s="239"/>
      <c r="N2201" s="239"/>
      <c r="O2201" s="239"/>
      <c r="P2201" s="239"/>
      <c r="Q2201" s="239"/>
      <c r="R2201" s="121"/>
      <c r="S2201" s="179"/>
      <c r="T2201" s="179"/>
      <c r="V2201" s="179"/>
      <c r="W2201" s="179"/>
    </row>
    <row r="2202" spans="1:23" s="65" customFormat="1" ht="15" customHeight="1" outlineLevel="2">
      <c r="A2202" s="219"/>
      <c r="B2202" s="242"/>
      <c r="C2202" s="258" t="s">
        <v>454</v>
      </c>
      <c r="D2202" s="258" t="s">
        <v>241</v>
      </c>
      <c r="E2202" s="258" t="s">
        <v>598</v>
      </c>
      <c r="F2202" s="258" t="s">
        <v>274</v>
      </c>
      <c r="G2202" s="258" t="s">
        <v>509</v>
      </c>
      <c r="H2202" s="258" t="s">
        <v>510</v>
      </c>
      <c r="I2202" s="258" t="s">
        <v>1107</v>
      </c>
      <c r="J2202" s="258" t="s">
        <v>210</v>
      </c>
      <c r="K2202" s="258" t="s">
        <v>211</v>
      </c>
      <c r="L2202" s="258" t="s">
        <v>212</v>
      </c>
      <c r="M2202" s="258" t="s">
        <v>213</v>
      </c>
      <c r="N2202" s="258" t="s">
        <v>214</v>
      </c>
      <c r="O2202" s="258" t="s">
        <v>215</v>
      </c>
      <c r="P2202" s="258" t="s">
        <v>216</v>
      </c>
      <c r="Q2202" s="258" t="s">
        <v>217</v>
      </c>
      <c r="R2202" s="121"/>
      <c r="S2202" s="179"/>
      <c r="T2202" s="179"/>
      <c r="V2202" s="179"/>
      <c r="W2202" s="179"/>
    </row>
    <row r="2203" spans="1:23" s="65" customFormat="1" ht="15" customHeight="1" outlineLevel="2">
      <c r="A2203" s="219"/>
      <c r="B2203" s="242"/>
      <c r="C2203" s="251"/>
      <c r="D2203" s="251" t="s">
        <v>1986</v>
      </c>
      <c r="E2203" s="242"/>
      <c r="F2203" s="121"/>
      <c r="G2203" s="251" t="s">
        <v>1613</v>
      </c>
      <c r="H2203" s="242"/>
      <c r="I2203" s="319">
        <f t="array" aca="1" ref="I2203"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7.0548600439671469E-2</v>
      </c>
      <c r="J2203" s="319">
        <f t="array" aca="1" ref="J2203"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7.0170607332455198E-2</v>
      </c>
      <c r="K2203" s="319">
        <f t="array" aca="1" ref="K2203"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6.9666662533247437E-2</v>
      </c>
      <c r="L2203" s="319">
        <f t="array" aca="1" ref="L2203"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6.9127769494942579E-2</v>
      </c>
      <c r="M2203" s="319">
        <f t="array" aca="1" ref="M2203"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6.8553928217540597E-2</v>
      </c>
      <c r="N2203" s="319">
        <f t="array" aca="1" ref="N2203"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6.7945138701041505E-2</v>
      </c>
      <c r="O2203" s="319">
        <f t="array" aca="1" ref="O2203"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6.7301400945445303E-2</v>
      </c>
      <c r="P2203" s="319">
        <f t="array" aca="1" ref="P2203"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6.6622714950751977E-2</v>
      </c>
      <c r="Q2203" s="319">
        <f t="array" aca="1" ref="Q2203"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6.5909080716961513E-2</v>
      </c>
      <c r="R2203" s="121"/>
      <c r="S2203" s="179"/>
      <c r="T2203" s="179"/>
      <c r="V2203" s="179"/>
      <c r="W2203" s="179"/>
    </row>
    <row r="2204" spans="1:23" s="65" customFormat="1" ht="15" customHeight="1" outlineLevel="2">
      <c r="A2204" s="219"/>
      <c r="B2204" s="242"/>
      <c r="C2204" s="251"/>
      <c r="D2204" s="251" t="s">
        <v>2192</v>
      </c>
      <c r="E2204" s="242"/>
      <c r="F2204" s="121"/>
      <c r="G2204" s="251" t="s">
        <v>2182</v>
      </c>
      <c r="H2204" s="242"/>
      <c r="I2204" s="319">
        <f t="array" aca="1" ref="I2204"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7.0548600439671469E-2</v>
      </c>
      <c r="J2204" s="319">
        <f t="array" aca="1" ref="J2204"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7.0170607332455198E-2</v>
      </c>
      <c r="K2204" s="319">
        <f t="array" aca="1" ref="K2204"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6.9666662533247437E-2</v>
      </c>
      <c r="L2204" s="319">
        <f t="array" aca="1" ref="L2204"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6.9127769494942579E-2</v>
      </c>
      <c r="M2204" s="319">
        <f t="array" aca="1" ref="M2204"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6.8553928217540597E-2</v>
      </c>
      <c r="N2204" s="319">
        <f t="array" aca="1" ref="N2204"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6.7945138701041505E-2</v>
      </c>
      <c r="O2204" s="319">
        <f t="array" aca="1" ref="O2204"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6.7301400945445303E-2</v>
      </c>
      <c r="P2204" s="319">
        <f t="array" aca="1" ref="P2204"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6.6622714950751977E-2</v>
      </c>
      <c r="Q2204" s="319">
        <f t="array" aca="1" ref="Q2204"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6.5909080716961513E-2</v>
      </c>
      <c r="R2204" s="121"/>
      <c r="S2204" s="179"/>
      <c r="T2204" s="179"/>
      <c r="V2204" s="179"/>
      <c r="W2204" s="179"/>
    </row>
    <row r="2205" spans="1:23" s="65" customFormat="1" ht="15" customHeight="1" outlineLevel="2">
      <c r="A2205" s="219"/>
      <c r="B2205" s="242"/>
      <c r="C2205" s="251"/>
      <c r="D2205" s="251" t="s">
        <v>1987</v>
      </c>
      <c r="E2205" s="242"/>
      <c r="F2205" s="121"/>
      <c r="G2205" s="251" t="s">
        <v>1614</v>
      </c>
      <c r="H2205" s="242"/>
      <c r="I2205" s="319">
        <f t="array" aca="1" ref="I2205"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0.15124463681852324</v>
      </c>
      <c r="J2205" s="319">
        <f t="array" aca="1" ref="J2205"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0.15847944016743978</v>
      </c>
      <c r="K2205" s="319">
        <f t="array" aca="1" ref="K2205"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0.16768522920999918</v>
      </c>
      <c r="L2205" s="319">
        <f t="array" aca="1" ref="L2205"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0.17707133475968506</v>
      </c>
      <c r="M2205" s="319">
        <f t="array" aca="1" ref="M2205"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0.18663775681649725</v>
      </c>
      <c r="N2205" s="319">
        <f t="array" aca="1" ref="N2205"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0.19638449538043593</v>
      </c>
      <c r="O2205" s="319">
        <f t="array" aca="1" ref="O2205"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0.20631155045150096</v>
      </c>
      <c r="P2205" s="319">
        <f t="array" aca="1" ref="P2205"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0.2164189220296924</v>
      </c>
      <c r="Q2205" s="319">
        <f t="array" aca="1" ref="Q2205"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0.22670661011501023</v>
      </c>
      <c r="R2205" s="121"/>
      <c r="S2205" s="179"/>
      <c r="T2205" s="179"/>
      <c r="V2205" s="179"/>
      <c r="W2205" s="179"/>
    </row>
    <row r="2206" spans="1:23" s="65" customFormat="1" ht="15" customHeight="1" outlineLevel="2">
      <c r="A2206" s="219"/>
      <c r="B2206" s="242"/>
      <c r="C2206" s="251"/>
      <c r="D2206" s="251" t="s">
        <v>1988</v>
      </c>
      <c r="E2206" s="242"/>
      <c r="F2206" s="121"/>
      <c r="G2206" s="251" t="s">
        <v>2003</v>
      </c>
      <c r="H2206" s="242"/>
      <c r="I2206" s="319">
        <f t="array" aca="1" ref="I2206"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2.5715808643469208E-2</v>
      </c>
      <c r="J2206" s="319">
        <f t="array" aca="1" ref="J2206"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2.6654539475339595E-2</v>
      </c>
      <c r="K2206" s="319">
        <f t="array" aca="1" ref="K2206"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2.784722589124082E-2</v>
      </c>
      <c r="L2206" s="319">
        <f t="array" aca="1" ref="L2206"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2.906132661387895E-2</v>
      </c>
      <c r="M2206" s="319">
        <f t="array" aca="1" ref="M2206"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3.0296841643254014E-2</v>
      </c>
      <c r="N2206" s="319">
        <f t="array" aca="1" ref="N2206"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3.1553770979365972E-2</v>
      </c>
      <c r="O2206" s="319">
        <f t="array" aca="1" ref="O2206"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3.2832114622214872E-2</v>
      </c>
      <c r="P2206" s="319">
        <f t="array" aca="1" ref="P2206"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3.4131872571800684E-2</v>
      </c>
      <c r="Q2206" s="319">
        <f t="array" aca="1" ref="Q2206"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3.5453044828123406E-2</v>
      </c>
      <c r="R2206" s="121"/>
      <c r="S2206" s="179"/>
      <c r="T2206" s="179"/>
      <c r="V2206" s="179"/>
      <c r="W2206" s="179"/>
    </row>
    <row r="2207" spans="1:23" s="65" customFormat="1" ht="15" customHeight="1" outlineLevel="2">
      <c r="A2207" s="219"/>
      <c r="B2207" s="242"/>
      <c r="C2207" s="251"/>
      <c r="D2207" s="251" t="s">
        <v>1989</v>
      </c>
      <c r="E2207" s="242"/>
      <c r="F2207" s="121"/>
      <c r="G2207" s="251" t="s">
        <v>1925</v>
      </c>
      <c r="H2207" s="242"/>
      <c r="I2207" s="319">
        <f t="array" aca="1" ref="I2207"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5.8120447217857286E-2</v>
      </c>
      <c r="J2207" s="319">
        <f t="array" aca="1" ref="J2207"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6.0242078177315923E-2</v>
      </c>
      <c r="K2207" s="319">
        <f t="array" aca="1" ref="K2207"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6.2937675614826286E-2</v>
      </c>
      <c r="L2207" s="319">
        <f t="array" aca="1" ref="L2207"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6.5681671650322238E-2</v>
      </c>
      <c r="M2207" s="319">
        <f t="array" aca="1" ref="M2207"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6.8474066283803814E-2</v>
      </c>
      <c r="N2207" s="319">
        <f t="array" aca="1" ref="N2207"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7.1314859515270959E-2</v>
      </c>
      <c r="O2207" s="319">
        <f t="array" aca="1" ref="O2207"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7.420405134472377E-2</v>
      </c>
      <c r="P2207" s="319">
        <f t="array" aca="1" ref="P2207"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7.7141641772162137E-2</v>
      </c>
      <c r="Q2207" s="319">
        <f t="array" aca="1" ref="Q2207"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8.0127630797586114E-2</v>
      </c>
      <c r="R2207" s="121"/>
      <c r="S2207" s="179"/>
      <c r="T2207" s="179"/>
      <c r="V2207" s="179"/>
      <c r="W2207" s="179"/>
    </row>
    <row r="2208" spans="1:23" s="65" customFormat="1" ht="15" customHeight="1" outlineLevel="2">
      <c r="A2208" s="219"/>
      <c r="B2208" s="242"/>
      <c r="C2208" s="251"/>
      <c r="D2208" s="251" t="s">
        <v>1990</v>
      </c>
      <c r="E2208" s="242"/>
      <c r="F2208" s="121"/>
      <c r="G2208" s="251" t="s">
        <v>2004</v>
      </c>
      <c r="H2208" s="242"/>
      <c r="I2208" s="319">
        <f t="array" aca="1" ref="I2208"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5.9722931127485113E-2</v>
      </c>
      <c r="J2208" s="319">
        <f t="array" aca="1" ref="J2208"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5.8895817289332998E-2</v>
      </c>
      <c r="K2208" s="319">
        <f t="array" aca="1" ref="K2208"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5.7820818042107355E-2</v>
      </c>
      <c r="L2208" s="319">
        <f t="array" aca="1" ref="L2208"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5.670014440650889E-2</v>
      </c>
      <c r="M2208" s="319">
        <f t="array" aca="1" ref="M2208"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5.5533796382537616E-2</v>
      </c>
      <c r="N2208" s="319">
        <f t="array" aca="1" ref="N2208"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5.4321773970193533E-2</v>
      </c>
      <c r="O2208" s="319">
        <f t="array" aca="1" ref="O2208"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5.3064077169476656E-2</v>
      </c>
      <c r="P2208" s="319">
        <f t="array" aca="1" ref="P2208"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5.1760705980386949E-2</v>
      </c>
      <c r="Q2208" s="319">
        <f t="array" aca="1" ref="Q2208"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5.0411660402924441E-2</v>
      </c>
      <c r="R2208" s="121"/>
      <c r="S2208" s="179"/>
      <c r="T2208" s="179"/>
      <c r="V2208" s="179"/>
      <c r="W2208" s="179"/>
    </row>
    <row r="2209" spans="1:23" s="65" customFormat="1" ht="15" customHeight="1" outlineLevel="2">
      <c r="A2209" s="219"/>
      <c r="B2209" s="242"/>
      <c r="C2209" s="251"/>
      <c r="D2209" s="251" t="s">
        <v>1991</v>
      </c>
      <c r="E2209" s="242"/>
      <c r="F2209" s="121"/>
      <c r="G2209" s="251" t="s">
        <v>1821</v>
      </c>
      <c r="H2209" s="242"/>
      <c r="I2209" s="319">
        <f t="array" aca="1" ref="I2209"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4.8452622785747169E-2</v>
      </c>
      <c r="J2209" s="319">
        <f t="array" aca="1" ref="J2209"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4.8949572763036873E-2</v>
      </c>
      <c r="K2209" s="319">
        <f t="array" aca="1" ref="K2209"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4.9570760234649021E-2</v>
      </c>
      <c r="L2209" s="319">
        <f t="array" aca="1" ref="L2209"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5.0191947706261168E-2</v>
      </c>
      <c r="M2209" s="319">
        <f t="array" aca="1" ref="M2209"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5.0813135177873309E-2</v>
      </c>
      <c r="N2209" s="319">
        <f t="array" aca="1" ref="N2209"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5.1434322649485456E-2</v>
      </c>
      <c r="O2209" s="319">
        <f t="array" aca="1" ref="O2209"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5.2055510121097603E-2</v>
      </c>
      <c r="P2209" s="319">
        <f t="array" aca="1" ref="P2209"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5.2676697592709751E-2</v>
      </c>
      <c r="Q2209" s="319">
        <f t="array" aca="1" ref="Q2209"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5.3297885064321891E-2</v>
      </c>
      <c r="R2209" s="121"/>
      <c r="S2209" s="179"/>
      <c r="T2209" s="179"/>
      <c r="V2209" s="179"/>
      <c r="W2209" s="179"/>
    </row>
    <row r="2210" spans="1:23" s="65" customFormat="1" ht="15" customHeight="1" outlineLevel="2">
      <c r="A2210" s="219"/>
      <c r="B2210" s="242"/>
      <c r="C2210" s="251"/>
      <c r="D2210" s="251" t="s">
        <v>1992</v>
      </c>
      <c r="E2210" s="242"/>
      <c r="F2210" s="121"/>
      <c r="G2210" s="251" t="s">
        <v>1827</v>
      </c>
      <c r="H2210" s="242"/>
      <c r="I2210" s="319">
        <f t="array" aca="1" ref="I2210"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9.4912618920537373E-2</v>
      </c>
      <c r="J2210" s="319">
        <f t="array" aca="1" ref="J2210"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9.5886081678696722E-2</v>
      </c>
      <c r="K2210" s="319">
        <f t="array" aca="1" ref="K2210"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9.7102910126395908E-2</v>
      </c>
      <c r="L2210" s="319">
        <f t="array" aca="1" ref="L2210"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9.8319738574095122E-2</v>
      </c>
      <c r="M2210" s="319">
        <f t="array" aca="1" ref="M2210"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9.9536567021794323E-2</v>
      </c>
      <c r="N2210" s="319">
        <f t="array" aca="1" ref="N2210"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0.10075339546949351</v>
      </c>
      <c r="O2210" s="319">
        <f t="array" aca="1" ref="O2210"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0.10197022391719272</v>
      </c>
      <c r="P2210" s="319">
        <f t="array" aca="1" ref="P2210"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0.10318705236489191</v>
      </c>
      <c r="Q2210" s="319">
        <f t="array" aca="1" ref="Q2210"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0.10440388081259112</v>
      </c>
      <c r="R2210" s="121"/>
      <c r="S2210" s="179"/>
      <c r="T2210" s="179"/>
      <c r="V2210" s="179"/>
      <c r="W2210" s="179"/>
    </row>
    <row r="2211" spans="1:23" s="65" customFormat="1" ht="15" customHeight="1" outlineLevel="2">
      <c r="A2211" s="219"/>
      <c r="B2211" s="242"/>
      <c r="C2211" s="251"/>
      <c r="D2211" s="251" t="s">
        <v>1993</v>
      </c>
      <c r="E2211" s="242"/>
      <c r="F2211" s="121"/>
      <c r="G2211" s="251" t="s">
        <v>1928</v>
      </c>
      <c r="H2211" s="242"/>
      <c r="I2211" s="319">
        <f t="array" aca="1" ref="I2211"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0.26812705990636193</v>
      </c>
      <c r="J2211" s="319">
        <f t="array" aca="1" ref="J2211"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0.27087708103360664</v>
      </c>
      <c r="K2211" s="319">
        <f t="array" aca="1" ref="K2211"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0.27431460744266256</v>
      </c>
      <c r="L2211" s="319">
        <f t="array" aca="1" ref="L2211"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0.27775213385171854</v>
      </c>
      <c r="M2211" s="319">
        <f t="array" aca="1" ref="M2211"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0.28118966026077447</v>
      </c>
      <c r="N2211" s="319">
        <f t="array" aca="1" ref="N2211"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0.28462718666983039</v>
      </c>
      <c r="O2211" s="319">
        <f t="array" aca="1" ref="O2211"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0.28806471307888637</v>
      </c>
      <c r="P2211" s="319">
        <f t="array" aca="1" ref="P2211"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0.29150223948794224</v>
      </c>
      <c r="Q2211" s="319">
        <f t="array" aca="1" ref="Q2211"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0.29493976589699816</v>
      </c>
      <c r="R2211" s="121"/>
      <c r="S2211" s="179"/>
      <c r="T2211" s="179"/>
      <c r="V2211" s="179"/>
      <c r="W2211" s="179"/>
    </row>
    <row r="2212" spans="1:23" s="65" customFormat="1" ht="15" customHeight="1" outlineLevel="2">
      <c r="A2212" s="219"/>
      <c r="B2212" s="242"/>
      <c r="C2212" s="251"/>
      <c r="D2212" s="251" t="s">
        <v>1994</v>
      </c>
      <c r="E2212" s="242"/>
      <c r="F2212" s="121"/>
      <c r="G2212" s="251" t="s">
        <v>1929</v>
      </c>
      <c r="H2212" s="242"/>
      <c r="I2212" s="319">
        <f t="array" aca="1" ref="I2212"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0.15555674848377091</v>
      </c>
      <c r="J2212" s="319">
        <f t="array" aca="1" ref="J2212"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0.15715220231437368</v>
      </c>
      <c r="K2212" s="319">
        <f t="array" aca="1" ref="K2212"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0.15914651960262716</v>
      </c>
      <c r="L2212" s="319">
        <f t="array" aca="1" ref="L2212"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0.16114083689088063</v>
      </c>
      <c r="M2212" s="319">
        <f t="array" aca="1" ref="M2212"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0.1631351541791341</v>
      </c>
      <c r="N2212" s="319">
        <f t="array" aca="1" ref="N2212"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0.16512947146738757</v>
      </c>
      <c r="O2212" s="319">
        <f t="array" aca="1" ref="O2212"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0.16712378875564107</v>
      </c>
      <c r="P2212" s="319">
        <f t="array" aca="1" ref="P2212"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0.16911810604389454</v>
      </c>
      <c r="Q2212" s="319">
        <f t="array" aca="1" ref="Q2212"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0.17111242333214802</v>
      </c>
      <c r="R2212" s="121"/>
      <c r="S2212" s="179"/>
      <c r="T2212" s="179"/>
      <c r="V2212" s="179"/>
      <c r="W2212" s="179"/>
    </row>
    <row r="2213" spans="1:23" s="65" customFormat="1" ht="15" customHeight="1" outlineLevel="2">
      <c r="A2213" s="219"/>
      <c r="B2213" s="242"/>
      <c r="C2213" s="251"/>
      <c r="D2213" s="251" t="s">
        <v>1995</v>
      </c>
      <c r="E2213" s="242"/>
      <c r="F2213" s="121"/>
      <c r="G2213" s="251" t="s">
        <v>1930</v>
      </c>
      <c r="H2213" s="242"/>
      <c r="I2213" s="319">
        <f t="array" aca="1" ref="I2213"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2.0686316931039065E-2</v>
      </c>
      <c r="J2213" s="319">
        <f t="array" aca="1" ref="J2213"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2.0898484284177926E-2</v>
      </c>
      <c r="K2213" s="319">
        <f t="array" aca="1" ref="K2213"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2.1163693475601503E-2</v>
      </c>
      <c r="L2213" s="319">
        <f t="array" aca="1" ref="L2213"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2.1428902667025091E-2</v>
      </c>
      <c r="M2213" s="319">
        <f t="array" aca="1" ref="M2213"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2.1694111858448665E-2</v>
      </c>
      <c r="N2213" s="319">
        <f t="array" aca="1" ref="N2213"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2.1959321049872239E-2</v>
      </c>
      <c r="O2213" s="319">
        <f t="array" aca="1" ref="O2213"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2.2224530241295823E-2</v>
      </c>
      <c r="P2213" s="319">
        <f t="array" aca="1" ref="P2213"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2.24897394327194E-2</v>
      </c>
      <c r="Q2213" s="319">
        <f t="array" aca="1" ref="Q2213"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2.2754948624142974E-2</v>
      </c>
      <c r="R2213" s="121"/>
      <c r="S2213" s="179"/>
      <c r="T2213" s="179"/>
      <c r="V2213" s="179"/>
      <c r="W2213" s="179"/>
    </row>
    <row r="2214" spans="1:23" s="65" customFormat="1" ht="15" customHeight="1" outlineLevel="2">
      <c r="A2214" s="219"/>
      <c r="B2214" s="242"/>
      <c r="C2214" s="251"/>
      <c r="D2214" s="251" t="s">
        <v>1996</v>
      </c>
      <c r="E2214" s="242"/>
      <c r="F2214" s="121"/>
      <c r="G2214" s="251" t="s">
        <v>1931</v>
      </c>
      <c r="H2214" s="242"/>
      <c r="I2214" s="319">
        <f t="array" aca="1" ref="I2214"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9.5505586136603697E-3</v>
      </c>
      <c r="J2214" s="319">
        <f t="array" aca="1" ref="J2214"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9.6485130609799633E-3</v>
      </c>
      <c r="K2214" s="319">
        <f t="array" aca="1" ref="K2214"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9.770956120129454E-3</v>
      </c>
      <c r="L2214" s="319">
        <f t="array" aca="1" ref="L2214"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9.89339917927895E-3</v>
      </c>
      <c r="M2214" s="319">
        <f t="array" aca="1" ref="M2214"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1.0015842238428439E-2</v>
      </c>
      <c r="N2214" s="319">
        <f t="array" aca="1" ref="N2214"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1.0138285297577931E-2</v>
      </c>
      <c r="O2214" s="319">
        <f t="array" aca="1" ref="O2214"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1.0260728356727424E-2</v>
      </c>
      <c r="P2214" s="319">
        <f t="array" aca="1" ref="P2214"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1.0383171415876916E-2</v>
      </c>
      <c r="Q2214" s="319">
        <f t="array" aca="1" ref="Q2214"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1.0505614475026407E-2</v>
      </c>
      <c r="R2214" s="121"/>
      <c r="S2214" s="179"/>
      <c r="T2214" s="179"/>
      <c r="V2214" s="179"/>
      <c r="W2214" s="179"/>
    </row>
    <row r="2215" spans="1:23" s="65" customFormat="1" ht="15" customHeight="1" outlineLevel="2">
      <c r="A2215" s="219"/>
      <c r="B2215" s="242"/>
      <c r="C2215" s="251"/>
      <c r="D2215" s="251" t="s">
        <v>1997</v>
      </c>
      <c r="E2215" s="242"/>
      <c r="F2215" s="121"/>
      <c r="G2215" s="251" t="s">
        <v>1932</v>
      </c>
      <c r="H2215" s="242"/>
      <c r="I2215" s="319">
        <f t="array" aca="1" ref="I2215"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1.8571081133721589E-2</v>
      </c>
      <c r="J2215" s="319">
        <f t="array" aca="1" ref="J2215"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1.8761553760734118E-2</v>
      </c>
      <c r="K2215" s="319">
        <f t="array" aca="1" ref="K2215"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1.8999644544499782E-2</v>
      </c>
      <c r="L2215" s="319">
        <f t="array" aca="1" ref="L2215"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1.9237735328265448E-2</v>
      </c>
      <c r="M2215" s="319">
        <f t="array" aca="1" ref="M2215"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1.9475826112031105E-2</v>
      </c>
      <c r="N2215" s="319">
        <f t="array" aca="1" ref="N2215"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1.9713916895796768E-2</v>
      </c>
      <c r="O2215" s="319">
        <f t="array" aca="1" ref="O2215"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1.9952007679562431E-2</v>
      </c>
      <c r="P2215" s="319">
        <f t="array" aca="1" ref="P2215"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2.0190098463328091E-2</v>
      </c>
      <c r="Q2215" s="319">
        <f t="array" aca="1" ref="Q2215"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2.0428189247093751E-2</v>
      </c>
      <c r="R2215" s="121"/>
      <c r="S2215" s="179"/>
      <c r="T2215" s="179"/>
      <c r="V2215" s="179"/>
      <c r="W2215" s="179"/>
    </row>
    <row r="2216" spans="1:23" s="65" customFormat="1" ht="15" customHeight="1" outlineLevel="2">
      <c r="A2216" s="219"/>
      <c r="B2216" s="242"/>
      <c r="C2216" s="251"/>
      <c r="D2216" s="251" t="s">
        <v>1998</v>
      </c>
      <c r="E2216" s="242"/>
      <c r="F2216" s="121"/>
      <c r="G2216" s="251" t="s">
        <v>2005</v>
      </c>
      <c r="H2216" s="242"/>
      <c r="I2216" s="319">
        <f t="array" aca="1" ref="I2216"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3.1621299966105854E-2</v>
      </c>
      <c r="J2216" s="319">
        <f t="array" aca="1" ref="J2216"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3.063503141226492E-2</v>
      </c>
      <c r="K2216" s="319">
        <f t="array" aca="1" ref="K2216"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2.936477406319913E-2</v>
      </c>
      <c r="L2216" s="319">
        <f t="array" aca="1" ref="L2216"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2.8052937095505985E-2</v>
      </c>
      <c r="M2216" s="319">
        <f t="array" aca="1" ref="M2216"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2.6699520509185479E-2</v>
      </c>
      <c r="N2216" s="319">
        <f t="array" aca="1" ref="N2216"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2.5304524304237613E-2</v>
      </c>
      <c r="O2216" s="319">
        <f t="array" aca="1" ref="O2216"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2.3867948480662388E-2</v>
      </c>
      <c r="P2216" s="319">
        <f t="array" aca="1" ref="P2216"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2.238979303845981E-2</v>
      </c>
      <c r="Q2216" s="319">
        <f t="array" aca="1" ref="Q2216"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2.0870057977629863E-2</v>
      </c>
      <c r="R2216" s="121"/>
      <c r="S2216" s="179"/>
      <c r="T2216" s="179"/>
      <c r="V2216" s="179"/>
      <c r="W2216" s="179"/>
    </row>
    <row r="2217" spans="1:23" s="65" customFormat="1" ht="15" customHeight="1" outlineLevel="2">
      <c r="A2217" s="219"/>
      <c r="B2217" s="242"/>
      <c r="C2217" s="251"/>
      <c r="D2217" s="251" t="s">
        <v>1999</v>
      </c>
      <c r="E2217" s="242"/>
      <c r="F2217" s="121"/>
      <c r="G2217" s="251" t="s">
        <v>1933</v>
      </c>
      <c r="H2217" s="242"/>
      <c r="I2217" s="319">
        <f t="array" aca="1" ref="I2217" ca="1">SUM((G.30.assumptions.SpecificProcessN2OEmissionsAfterEnergyEfficiency[[#This Row],[Description]]=G.30.assumptions.SpecificProcessN2OEmissionsAfterProcessImprovements[Description])
        *INDIRECT("G.30.assumptions.SpecificProcessN2OEmissionsAfterProcessImprovements["&amp;I$2398&amp;"]"))
*(1-SUM((G.30.assumptions.SpecificProcessN2OEmissionsAfterEnergyEfficiency[[#This Row],[.]]=G.30.assumptions.CCS[Description])
        *INDIRECT("G.30.assumptions.CCS["&amp;I$2398&amp;"]")))</f>
        <v>0.10621451857493569</v>
      </c>
      <c r="J2217" s="319">
        <f t="array" aca="1" ref="J2217" ca="1">SUM((G.30.assumptions.SpecificProcessN2OEmissionsAfterEnergyEfficiency[[#This Row],[Description]]=G.30.assumptions.SpecificProcessN2OEmissionsAfterProcessImprovements[Description])
        *INDIRECT("G.30.assumptions.SpecificProcessN2OEmissionsAfterProcessImprovements["&amp;J$2398&amp;"]"))
*(1-SUM((G.30.assumptions.SpecificProcessN2OEmissionsAfterEnergyEfficiency[[#This Row],[.]]=G.30.assumptions.CCS[Description])
        *INDIRECT("G.30.assumptions.CCS["&amp;J$2398&amp;"]")))</f>
        <v>0.10498822113583167</v>
      </c>
      <c r="K2217" s="319">
        <f t="array" aca="1" ref="K2217" ca="1">SUM((G.30.assumptions.SpecificProcessN2OEmissionsAfterEnergyEfficiency[[#This Row],[Description]]=G.30.assumptions.SpecificProcessN2OEmissionsAfterProcessImprovements[Description])
        *INDIRECT("G.30.assumptions.SpecificProcessN2OEmissionsAfterProcessImprovements["&amp;K$2398&amp;"]"))
*(1-SUM((G.30.assumptions.SpecificProcessN2OEmissionsAfterEnergyEfficiency[[#This Row],[.]]=G.30.assumptions.CCS[Description])
        *INDIRECT("G.30.assumptions.CCS["&amp;K$2398&amp;"]")))</f>
        <v>0.1033892291147081</v>
      </c>
      <c r="L2217" s="319">
        <f t="array" aca="1" ref="L2217" ca="1">SUM((G.30.assumptions.SpecificProcessN2OEmissionsAfterEnergyEfficiency[[#This Row],[Description]]=G.30.assumptions.SpecificProcessN2OEmissionsAfterProcessImprovements[Description])
        *INDIRECT("G.30.assumptions.SpecificProcessN2OEmissionsAfterProcessImprovements["&amp;L$2398&amp;"]"))
*(1-SUM((G.30.assumptions.SpecificProcessN2OEmissionsAfterEnergyEfficiency[[#This Row],[.]]=G.30.assumptions.CCS[Description])
        *INDIRECT("G.30.assumptions.CCS["&amp;L$2398&amp;"]")))</f>
        <v>0.10171677017998064</v>
      </c>
      <c r="M2217" s="319">
        <f t="array" aca="1" ref="M2217" ca="1">SUM((G.30.assumptions.SpecificProcessN2OEmissionsAfterEnergyEfficiency[[#This Row],[Description]]=G.30.assumptions.SpecificProcessN2OEmissionsAfterProcessImprovements[Description])
        *INDIRECT("G.30.assumptions.SpecificProcessN2OEmissionsAfterProcessImprovements["&amp;M$2398&amp;"]"))
*(1-SUM((G.30.assumptions.SpecificProcessN2OEmissionsAfterEnergyEfficiency[[#This Row],[.]]=G.30.assumptions.CCS[Description])
        *INDIRECT("G.30.assumptions.CCS["&amp;M$2398&amp;"]")))</f>
        <v>9.9970844331649239E-2</v>
      </c>
      <c r="N2217" s="319">
        <f t="array" aca="1" ref="N2217" ca="1">SUM((G.30.assumptions.SpecificProcessN2OEmissionsAfterEnergyEfficiency[[#This Row],[Description]]=G.30.assumptions.SpecificProcessN2OEmissionsAfterProcessImprovements[Description])
        *INDIRECT("G.30.assumptions.SpecificProcessN2OEmissionsAfterProcessImprovements["&amp;N$2398&amp;"]"))
*(1-SUM((G.30.assumptions.SpecificProcessN2OEmissionsAfterEnergyEfficiency[[#This Row],[.]]=G.30.assumptions.CCS[Description])
        *INDIRECT("G.30.assumptions.CCS["&amp;N$2398&amp;"]")))</f>
        <v>9.8151451569713902E-2</v>
      </c>
      <c r="O2217" s="319">
        <f t="array" aca="1" ref="O2217" ca="1">SUM((G.30.assumptions.SpecificProcessN2OEmissionsAfterEnergyEfficiency[[#This Row],[Description]]=G.30.assumptions.SpecificProcessN2OEmissionsAfterProcessImprovements[Description])
        *INDIRECT("G.30.assumptions.SpecificProcessN2OEmissionsAfterProcessImprovements["&amp;O$2398&amp;"]"))
*(1-SUM((G.30.assumptions.SpecificProcessN2OEmissionsAfterEnergyEfficiency[[#This Row],[.]]=G.30.assumptions.CCS[Description])
        *INDIRECT("G.30.assumptions.CCS["&amp;O$2398&amp;"]")))</f>
        <v>9.6258591894174669E-2</v>
      </c>
      <c r="P2217" s="319">
        <f t="array" aca="1" ref="P2217" ca="1">SUM((G.30.assumptions.SpecificProcessN2OEmissionsAfterEnergyEfficiency[[#This Row],[Description]]=G.30.assumptions.SpecificProcessN2OEmissionsAfterProcessImprovements[Description])
        *INDIRECT("G.30.assumptions.SpecificProcessN2OEmissionsAfterProcessImprovements["&amp;P$2398&amp;"]"))
*(1-SUM((G.30.assumptions.SpecificProcessN2OEmissionsAfterEnergyEfficiency[[#This Row],[.]]=G.30.assumptions.CCS[Description])
        *INDIRECT("G.30.assumptions.CCS["&amp;P$2398&amp;"]")))</f>
        <v>9.4292265305031486E-2</v>
      </c>
      <c r="Q2217" s="319">
        <f t="array" aca="1" ref="Q2217" ca="1">SUM((G.30.assumptions.SpecificProcessN2OEmissionsAfterEnergyEfficiency[[#This Row],[Description]]=G.30.assumptions.SpecificProcessN2OEmissionsAfterProcessImprovements[Description])
        *INDIRECT("G.30.assumptions.SpecificProcessN2OEmissionsAfterProcessImprovements["&amp;Q$2398&amp;"]"))
*(1-SUM((G.30.assumptions.SpecificProcessN2OEmissionsAfterEnergyEfficiency[[#This Row],[.]]=G.30.assumptions.CCS[Description])
        *INDIRECT("G.30.assumptions.CCS["&amp;Q$2398&amp;"]")))</f>
        <v>9.225247180228438E-2</v>
      </c>
      <c r="R2217" s="121"/>
      <c r="S2217" s="179"/>
      <c r="T2217" s="179"/>
      <c r="V2217" s="179"/>
      <c r="W2217" s="179"/>
    </row>
    <row r="2218" spans="1:23" s="65" customFormat="1" ht="15" customHeight="1" outlineLevel="2">
      <c r="A2218" s="219"/>
      <c r="B2218" s="242"/>
      <c r="C2218" s="251"/>
      <c r="D2218" s="121"/>
      <c r="E2218" s="242"/>
      <c r="F2218" s="121"/>
      <c r="G2218" s="251"/>
      <c r="H2218" s="242"/>
      <c r="I2218" s="316"/>
      <c r="J2218" s="316"/>
      <c r="K2218" s="316"/>
      <c r="L2218" s="316"/>
      <c r="M2218" s="316"/>
      <c r="N2218" s="316"/>
      <c r="O2218" s="316"/>
      <c r="P2218" s="316"/>
      <c r="Q2218" s="316"/>
      <c r="R2218" s="121"/>
      <c r="S2218" s="179"/>
      <c r="T2218" s="179"/>
      <c r="V2218" s="179"/>
      <c r="W2218" s="179"/>
    </row>
    <row r="2219" spans="1:23" s="65" customFormat="1" ht="15" customHeight="1" outlineLevel="2">
      <c r="A2219" s="219"/>
      <c r="B2219" s="242"/>
      <c r="C2219" s="248" t="s">
        <v>2021</v>
      </c>
      <c r="D2219" s="121"/>
      <c r="E2219" s="242"/>
      <c r="F2219" s="121"/>
      <c r="G2219" s="242"/>
      <c r="H2219" s="242"/>
      <c r="I2219" s="239"/>
      <c r="J2219" s="239"/>
      <c r="K2219" s="239"/>
      <c r="L2219" s="239"/>
      <c r="M2219" s="239"/>
      <c r="N2219" s="239"/>
      <c r="O2219" s="239"/>
      <c r="P2219" s="239"/>
      <c r="Q2219" s="239"/>
      <c r="R2219" s="121"/>
      <c r="S2219" s="179"/>
      <c r="T2219" s="179"/>
      <c r="V2219" s="179"/>
      <c r="W2219" s="179"/>
    </row>
    <row r="2220" spans="1:23" s="65" customFormat="1" ht="15" customHeight="1" outlineLevel="2">
      <c r="A2220" s="219"/>
      <c r="B2220" s="242"/>
      <c r="C2220" s="313" t="s">
        <v>242</v>
      </c>
      <c r="D2220" s="121"/>
      <c r="E2220" s="242"/>
      <c r="F2220" s="121"/>
      <c r="G2220" s="242"/>
      <c r="H2220" s="242"/>
      <c r="I2220" s="239"/>
      <c r="J2220" s="239"/>
      <c r="K2220" s="239"/>
      <c r="L2220" s="239"/>
      <c r="M2220" s="239"/>
      <c r="N2220" s="239"/>
      <c r="O2220" s="239"/>
      <c r="P2220" s="239"/>
      <c r="Q2220" s="239"/>
      <c r="R2220" s="121"/>
      <c r="S2220" s="179"/>
      <c r="T2220" s="179"/>
      <c r="V2220" s="179"/>
      <c r="W2220" s="179"/>
    </row>
    <row r="2221" spans="1:23" s="65" customFormat="1" ht="15" customHeight="1" outlineLevel="2">
      <c r="A2221" s="219"/>
      <c r="B2221" s="242"/>
      <c r="C2221" s="301"/>
      <c r="D2221" s="121"/>
      <c r="E2221" s="242"/>
      <c r="F2221" s="121"/>
      <c r="G2221" s="242"/>
      <c r="H2221" s="242"/>
      <c r="I2221" s="239"/>
      <c r="J2221" s="239"/>
      <c r="K2221" s="239"/>
      <c r="L2221" s="239"/>
      <c r="M2221" s="239"/>
      <c r="N2221" s="239"/>
      <c r="O2221" s="239"/>
      <c r="P2221" s="239"/>
      <c r="Q2221" s="239"/>
      <c r="R2221" s="121"/>
      <c r="S2221" s="179"/>
      <c r="T2221" s="179"/>
      <c r="V2221" s="179"/>
      <c r="W2221" s="179"/>
    </row>
    <row r="2222" spans="1:23" s="65" customFormat="1" ht="15" customHeight="1" outlineLevel="2">
      <c r="A2222" s="219"/>
      <c r="B2222" s="301"/>
      <c r="C2222" s="258" t="s">
        <v>454</v>
      </c>
      <c r="D2222" s="258" t="s">
        <v>241</v>
      </c>
      <c r="E2222" s="258" t="s">
        <v>598</v>
      </c>
      <c r="F2222" s="258" t="s">
        <v>274</v>
      </c>
      <c r="G2222" s="258" t="s">
        <v>509</v>
      </c>
      <c r="H2222" s="258" t="s">
        <v>510</v>
      </c>
      <c r="I2222" s="258" t="s">
        <v>1107</v>
      </c>
      <c r="J2222" s="258" t="s">
        <v>210</v>
      </c>
      <c r="K2222" s="258" t="s">
        <v>211</v>
      </c>
      <c r="L2222" s="258" t="s">
        <v>212</v>
      </c>
      <c r="M2222" s="258" t="s">
        <v>213</v>
      </c>
      <c r="N2222" s="258" t="s">
        <v>214</v>
      </c>
      <c r="O2222" s="258" t="s">
        <v>215</v>
      </c>
      <c r="P2222" s="258" t="s">
        <v>216</v>
      </c>
      <c r="Q2222" s="258" t="s">
        <v>217</v>
      </c>
      <c r="R2222" s="121"/>
      <c r="S2222" s="179"/>
      <c r="T2222" s="179"/>
      <c r="V2222" s="179"/>
      <c r="W2222" s="179"/>
    </row>
    <row r="2223" spans="1:23" s="65" customFormat="1" ht="15" customHeight="1" outlineLevel="2">
      <c r="A2223" s="219"/>
      <c r="B2223" s="242"/>
      <c r="C2223" s="251" t="s">
        <v>1968</v>
      </c>
      <c r="D2223" s="242"/>
      <c r="E2223" s="242"/>
      <c r="F2223" s="121"/>
      <c r="G2223" s="251" t="s">
        <v>1377</v>
      </c>
      <c r="H2223" s="242"/>
      <c r="I2223" s="314">
        <f t="shared" ref="I2223:Q2223" ca="1" si="184">SUMPRODUCT(I$2069:I$2074,G.30.assumptions.EF.CO2)</f>
        <v>1.3295458982758634</v>
      </c>
      <c r="J2223" s="314">
        <f t="shared" ca="1" si="184"/>
        <v>1.3224223099673234</v>
      </c>
      <c r="K2223" s="314">
        <f t="shared" ca="1" si="184"/>
        <v>1.3129250593263686</v>
      </c>
      <c r="L2223" s="314">
        <f t="shared" ca="1" si="184"/>
        <v>1.302769180623994</v>
      </c>
      <c r="M2223" s="314">
        <f t="shared" ca="1" si="184"/>
        <v>1.2919546738601968</v>
      </c>
      <c r="N2223" s="314">
        <f t="shared" ca="1" si="184"/>
        <v>1.2804815390349802</v>
      </c>
      <c r="O2223" s="314">
        <f t="shared" ca="1" si="184"/>
        <v>1.2683497761483424</v>
      </c>
      <c r="P2223" s="314">
        <f t="shared" ca="1" si="184"/>
        <v>1.2555593852002838</v>
      </c>
      <c r="Q2223" s="314">
        <f t="shared" ca="1" si="184"/>
        <v>1.2421103661908037</v>
      </c>
      <c r="R2223" s="121"/>
      <c r="S2223" s="179"/>
      <c r="T2223" s="179"/>
      <c r="V2223" s="179"/>
      <c r="W2223" s="179"/>
    </row>
    <row r="2224" spans="1:23" s="65" customFormat="1" ht="15" customHeight="1" outlineLevel="2">
      <c r="A2224" s="219"/>
      <c r="B2224" s="242"/>
      <c r="C2224" s="251" t="s">
        <v>2196</v>
      </c>
      <c r="D2224" s="242"/>
      <c r="E2224" s="242"/>
      <c r="F2224" s="121"/>
      <c r="G2224" s="251" t="s">
        <v>2185</v>
      </c>
      <c r="H2224" s="242"/>
      <c r="I2224" s="314">
        <f t="shared" ref="I2224:Q2224" ca="1" si="185">SUMPRODUCT(I$2075:I$2080,G.30.assumptions.EF.CO2)</f>
        <v>0</v>
      </c>
      <c r="J2224" s="314">
        <f t="shared" ca="1" si="185"/>
        <v>0</v>
      </c>
      <c r="K2224" s="314">
        <f t="shared" ca="1" si="185"/>
        <v>0</v>
      </c>
      <c r="L2224" s="314">
        <f t="shared" ca="1" si="185"/>
        <v>0</v>
      </c>
      <c r="M2224" s="314">
        <f t="shared" ca="1" si="185"/>
        <v>0</v>
      </c>
      <c r="N2224" s="314">
        <f t="shared" ca="1" si="185"/>
        <v>0</v>
      </c>
      <c r="O2224" s="314">
        <f t="shared" ca="1" si="185"/>
        <v>0</v>
      </c>
      <c r="P2224" s="314">
        <f t="shared" ca="1" si="185"/>
        <v>0</v>
      </c>
      <c r="Q2224" s="314">
        <f t="shared" ca="1" si="185"/>
        <v>0</v>
      </c>
      <c r="R2224" s="121"/>
      <c r="S2224" s="179"/>
      <c r="T2224" s="179"/>
      <c r="V2224" s="179"/>
      <c r="W2224" s="179"/>
    </row>
    <row r="2225" spans="1:24" s="65" customFormat="1" ht="15" customHeight="1" outlineLevel="2">
      <c r="A2225" s="219"/>
      <c r="B2225" s="242"/>
      <c r="C2225" s="251" t="s">
        <v>1969</v>
      </c>
      <c r="D2225" s="242"/>
      <c r="E2225" s="242"/>
      <c r="F2225" s="121"/>
      <c r="G2225" s="315" t="s">
        <v>1380</v>
      </c>
      <c r="H2225" s="242"/>
      <c r="I2225" s="314">
        <f t="shared" ref="I2225:Q2225" ca="1" si="186">SUMPRODUCT(I$2081:I$2086,G.30.assumptions.EF.CO2)</f>
        <v>1.0564114528683293</v>
      </c>
      <c r="J2225" s="314">
        <f t="shared" ca="1" si="186"/>
        <v>1.1069450074975509</v>
      </c>
      <c r="K2225" s="314">
        <f t="shared" ca="1" si="186"/>
        <v>1.1712454758104771</v>
      </c>
      <c r="L2225" s="314">
        <f t="shared" ca="1" si="186"/>
        <v>1.2368054163749598</v>
      </c>
      <c r="M2225" s="314">
        <f t="shared" ca="1" si="186"/>
        <v>1.3036248291909973</v>
      </c>
      <c r="N2225" s="314">
        <f t="shared" ca="1" si="186"/>
        <v>1.3717037142585915</v>
      </c>
      <c r="O2225" s="314">
        <f t="shared" ca="1" si="186"/>
        <v>1.4410420715777408</v>
      </c>
      <c r="P2225" s="314">
        <f t="shared" ca="1" si="186"/>
        <v>1.5116399011484456</v>
      </c>
      <c r="Q2225" s="314">
        <f t="shared" ca="1" si="186"/>
        <v>1.583497202970706</v>
      </c>
      <c r="R2225" s="121"/>
      <c r="S2225" s="179"/>
      <c r="T2225" s="179"/>
      <c r="V2225" s="179"/>
      <c r="W2225" s="179"/>
    </row>
    <row r="2226" spans="1:24" s="65" customFormat="1" ht="15" customHeight="1" outlineLevel="2">
      <c r="A2226" s="219"/>
      <c r="B2226" s="242"/>
      <c r="C2226" s="251" t="s">
        <v>1970</v>
      </c>
      <c r="D2226" s="242"/>
      <c r="E2226" s="242"/>
      <c r="F2226" s="121"/>
      <c r="G2226" s="315" t="s">
        <v>1625</v>
      </c>
      <c r="H2226" s="242"/>
      <c r="I2226" s="314">
        <f t="shared" ref="I2226:Q2226" ca="1" si="187">SUMPRODUCT(I$2087:I$2092,G.30.assumptions.EF.CO2)</f>
        <v>0.10209235477363662</v>
      </c>
      <c r="J2226" s="314">
        <f t="shared" ca="1" si="187"/>
        <v>0.10581913787631779</v>
      </c>
      <c r="K2226" s="314">
        <f t="shared" ca="1" si="187"/>
        <v>0.11055413051816142</v>
      </c>
      <c r="L2226" s="314">
        <f t="shared" ca="1" si="187"/>
        <v>0.11537413845277397</v>
      </c>
      <c r="M2226" s="314">
        <f t="shared" ca="1" si="187"/>
        <v>0.12027916168015565</v>
      </c>
      <c r="N2226" s="314">
        <f t="shared" ca="1" si="187"/>
        <v>0.12526920020030627</v>
      </c>
      <c r="O2226" s="314">
        <f t="shared" ca="1" si="187"/>
        <v>0.13034425401322602</v>
      </c>
      <c r="P2226" s="314">
        <f t="shared" ca="1" si="187"/>
        <v>0.13550432311891475</v>
      </c>
      <c r="Q2226" s="314">
        <f t="shared" ca="1" si="187"/>
        <v>0.14074940751737253</v>
      </c>
      <c r="R2226" s="121"/>
      <c r="S2226" s="179"/>
      <c r="T2226" s="179"/>
      <c r="V2226" s="179"/>
      <c r="W2226" s="179"/>
    </row>
    <row r="2227" spans="1:24" s="65" customFormat="1" ht="15" customHeight="1" outlineLevel="2">
      <c r="A2227" s="219"/>
      <c r="B2227" s="242"/>
      <c r="C2227" s="251" t="s">
        <v>1971</v>
      </c>
      <c r="D2227" s="242"/>
      <c r="E2227" s="242"/>
      <c r="F2227" s="121"/>
      <c r="G2227" s="315" t="s">
        <v>1939</v>
      </c>
      <c r="H2227" s="242"/>
      <c r="I2227" s="314">
        <f t="shared" ref="I2227:Q2227" ca="1" si="188">SUMPRODUCT(I$2093:I$2098,G.30.assumptions.EF.CO2)</f>
        <v>2.9449578117468837E-2</v>
      </c>
      <c r="J2227" s="314">
        <f t="shared" ca="1" si="188"/>
        <v>3.0524606608609228E-2</v>
      </c>
      <c r="K2227" s="314">
        <f t="shared" ca="1" si="188"/>
        <v>3.1890463395836753E-2</v>
      </c>
      <c r="L2227" s="314">
        <f t="shared" ca="1" si="188"/>
        <v>3.3280843708955475E-2</v>
      </c>
      <c r="M2227" s="314">
        <f t="shared" ca="1" si="188"/>
        <v>3.4695747547965346E-2</v>
      </c>
      <c r="N2227" s="314">
        <f t="shared" ca="1" si="188"/>
        <v>3.6135174912866323E-2</v>
      </c>
      <c r="O2227" s="314">
        <f t="shared" ca="1" si="188"/>
        <v>3.7599125803658526E-2</v>
      </c>
      <c r="P2227" s="314">
        <f t="shared" ca="1" si="188"/>
        <v>3.9087600220341898E-2</v>
      </c>
      <c r="Q2227" s="314">
        <f t="shared" ca="1" si="188"/>
        <v>4.0600598162916383E-2</v>
      </c>
      <c r="R2227" s="121"/>
      <c r="S2227" s="179"/>
      <c r="T2227" s="179"/>
      <c r="V2227" s="179"/>
      <c r="W2227" s="179"/>
    </row>
    <row r="2228" spans="1:24" s="65" customFormat="1" ht="15" customHeight="1" outlineLevel="2">
      <c r="A2228" s="219"/>
      <c r="B2228" s="242"/>
      <c r="C2228" s="251" t="s">
        <v>1972</v>
      </c>
      <c r="D2228" s="242"/>
      <c r="E2228" s="242"/>
      <c r="F2228" s="121"/>
      <c r="G2228" s="315" t="s">
        <v>1940</v>
      </c>
      <c r="H2228" s="242"/>
      <c r="I2228" s="314">
        <f t="shared" ref="I2228:Q2228" ca="1" si="189">SUMPRODUCT(I$2099:I$2104,G.30.assumptions.EF.CO2)</f>
        <v>1.3613556026419288E-2</v>
      </c>
      <c r="J2228" s="314">
        <f t="shared" ca="1" si="189"/>
        <v>1.342501938959758E-2</v>
      </c>
      <c r="K2228" s="314">
        <f t="shared" ca="1" si="189"/>
        <v>1.3179978461361394E-2</v>
      </c>
      <c r="L2228" s="314">
        <f t="shared" ca="1" si="189"/>
        <v>1.2924526275115139E-2</v>
      </c>
      <c r="M2228" s="314">
        <f t="shared" ca="1" si="189"/>
        <v>1.2658662830858815E-2</v>
      </c>
      <c r="N2228" s="314">
        <f t="shared" ca="1" si="189"/>
        <v>1.2382388128592426E-2</v>
      </c>
      <c r="O2228" s="314">
        <f t="shared" ca="1" si="189"/>
        <v>1.2095702168315972E-2</v>
      </c>
      <c r="P2228" s="314">
        <f t="shared" ca="1" si="189"/>
        <v>1.179860495002945E-2</v>
      </c>
      <c r="Q2228" s="314">
        <f t="shared" ca="1" si="189"/>
        <v>1.1491096473732861E-2</v>
      </c>
      <c r="R2228" s="121"/>
      <c r="S2228" s="179"/>
      <c r="T2228" s="179"/>
      <c r="V2228" s="179"/>
      <c r="W2228" s="179"/>
    </row>
    <row r="2229" spans="1:24" s="65" customFormat="1" ht="15" customHeight="1" outlineLevel="2">
      <c r="A2229" s="219"/>
      <c r="B2229" s="242"/>
      <c r="C2229" s="251" t="s">
        <v>1973</v>
      </c>
      <c r="D2229" s="242"/>
      <c r="E2229" s="242"/>
      <c r="F2229" s="121"/>
      <c r="G2229" s="315" t="s">
        <v>1961</v>
      </c>
      <c r="H2229" s="242"/>
      <c r="I2229" s="314">
        <f t="shared" ref="I2229:Q2229" ca="1" si="190">SUMPRODUCT(I$2105:I$2110,G.30.assumptions.EF.CO2)</f>
        <v>1.3548203001341033</v>
      </c>
      <c r="J2229" s="314">
        <f t="shared" ca="1" si="190"/>
        <v>1.3687158929559919</v>
      </c>
      <c r="K2229" s="314">
        <f t="shared" ca="1" si="190"/>
        <v>1.386085383983352</v>
      </c>
      <c r="L2229" s="314">
        <f t="shared" ca="1" si="190"/>
        <v>1.4034548750107125</v>
      </c>
      <c r="M2229" s="314">
        <f t="shared" ca="1" si="190"/>
        <v>1.4208243660380728</v>
      </c>
      <c r="N2229" s="314">
        <f t="shared" ca="1" si="190"/>
        <v>1.4381938570654331</v>
      </c>
      <c r="O2229" s="314">
        <f t="shared" ca="1" si="190"/>
        <v>1.4555633480927934</v>
      </c>
      <c r="P2229" s="314">
        <f t="shared" ca="1" si="190"/>
        <v>1.4729328391201539</v>
      </c>
      <c r="Q2229" s="314">
        <f t="shared" ca="1" si="190"/>
        <v>1.490302330147514</v>
      </c>
      <c r="R2229" s="121"/>
      <c r="S2229" s="179"/>
      <c r="T2229" s="179"/>
      <c r="V2229" s="179"/>
      <c r="W2229" s="179"/>
    </row>
    <row r="2230" spans="1:24" s="65" customFormat="1" ht="15" customHeight="1" outlineLevel="2">
      <c r="A2230" s="219"/>
      <c r="B2230" s="242"/>
      <c r="C2230" s="251" t="s">
        <v>1974</v>
      </c>
      <c r="D2230" s="242"/>
      <c r="E2230" s="242"/>
      <c r="F2230" s="121"/>
      <c r="G2230" s="315" t="s">
        <v>1962</v>
      </c>
      <c r="H2230" s="242"/>
      <c r="I2230" s="314">
        <f t="shared" ref="I2230:Q2230" ca="1" si="191">SUMPRODUCT(I$2111:I$2116,G.30.assumptions.EF.CO2)</f>
        <v>0.38978252304657679</v>
      </c>
      <c r="J2230" s="314">
        <f t="shared" ca="1" si="191"/>
        <v>0.39378029251372104</v>
      </c>
      <c r="K2230" s="314">
        <f t="shared" ca="1" si="191"/>
        <v>0.39877750434765147</v>
      </c>
      <c r="L2230" s="314">
        <f t="shared" ca="1" si="191"/>
        <v>0.40377471618158212</v>
      </c>
      <c r="M2230" s="314">
        <f t="shared" ca="1" si="191"/>
        <v>0.40877192801551254</v>
      </c>
      <c r="N2230" s="314">
        <f t="shared" ca="1" si="191"/>
        <v>0.41376913984944297</v>
      </c>
      <c r="O2230" s="314">
        <f t="shared" ca="1" si="191"/>
        <v>0.41876635168337351</v>
      </c>
      <c r="P2230" s="314">
        <f t="shared" ca="1" si="191"/>
        <v>0.42376356351730393</v>
      </c>
      <c r="Q2230" s="314">
        <f t="shared" ca="1" si="191"/>
        <v>0.42876077535123436</v>
      </c>
      <c r="R2230" s="121"/>
      <c r="S2230" s="179"/>
      <c r="T2230" s="179"/>
      <c r="V2230" s="179"/>
      <c r="W2230" s="179"/>
    </row>
    <row r="2231" spans="1:24" s="65" customFormat="1" ht="15" customHeight="1" outlineLevel="2">
      <c r="A2231" s="219"/>
      <c r="B2231" s="242"/>
      <c r="C2231" s="251" t="s">
        <v>1975</v>
      </c>
      <c r="D2231" s="242"/>
      <c r="E2231" s="242"/>
      <c r="F2231" s="121"/>
      <c r="G2231" s="315" t="s">
        <v>1963</v>
      </c>
      <c r="H2231" s="242"/>
      <c r="I2231" s="314">
        <f t="shared" ref="I2231:Q2231" ca="1" si="192">SUMPRODUCT(I$2117:I$2122,G.30.assumptions.EF.CO2)</f>
        <v>0.12129165238637846</v>
      </c>
      <c r="J2231" s="314">
        <f t="shared" ca="1" si="192"/>
        <v>0.12253566933393105</v>
      </c>
      <c r="K2231" s="314">
        <f t="shared" ca="1" si="192"/>
        <v>0.12409069051837179</v>
      </c>
      <c r="L2231" s="314">
        <f t="shared" ca="1" si="192"/>
        <v>0.12564571170281258</v>
      </c>
      <c r="M2231" s="314">
        <f t="shared" ca="1" si="192"/>
        <v>0.12720073288725334</v>
      </c>
      <c r="N2231" s="314">
        <f t="shared" ca="1" si="192"/>
        <v>0.12875575407169407</v>
      </c>
      <c r="O2231" s="314">
        <f t="shared" ca="1" si="192"/>
        <v>0.13031077525613483</v>
      </c>
      <c r="P2231" s="314">
        <f t="shared" ca="1" si="192"/>
        <v>0.13186579644057558</v>
      </c>
      <c r="Q2231" s="314">
        <f t="shared" ca="1" si="192"/>
        <v>0.13342081762501631</v>
      </c>
      <c r="R2231" s="121"/>
      <c r="S2231" s="179"/>
      <c r="T2231" s="179"/>
      <c r="V2231" s="179"/>
      <c r="W2231" s="179"/>
    </row>
    <row r="2232" spans="1:24" s="65" customFormat="1" ht="15" customHeight="1" outlineLevel="2">
      <c r="A2232" s="219"/>
      <c r="B2232" s="242"/>
      <c r="C2232" s="251" t="s">
        <v>1976</v>
      </c>
      <c r="D2232" s="242"/>
      <c r="E2232" s="242"/>
      <c r="F2232" s="121"/>
      <c r="G2232" s="251" t="s">
        <v>1964</v>
      </c>
      <c r="H2232" s="242"/>
      <c r="I2232" s="314">
        <f t="shared" ref="I2232:Q2232" ca="1" si="193">SUMPRODUCT(I$2123:I$2128,G.30.assumptions.EF.CO2)</f>
        <v>0.38991159043159113</v>
      </c>
      <c r="J2232" s="314">
        <f t="shared" ca="1" si="193"/>
        <v>0.393910683666787</v>
      </c>
      <c r="K2232" s="314">
        <f t="shared" ca="1" si="193"/>
        <v>0.39890955021078162</v>
      </c>
      <c r="L2232" s="314">
        <f t="shared" ca="1" si="193"/>
        <v>0.40390841675477657</v>
      </c>
      <c r="M2232" s="314">
        <f t="shared" ca="1" si="193"/>
        <v>0.40890728329877118</v>
      </c>
      <c r="N2232" s="314">
        <f t="shared" ca="1" si="193"/>
        <v>0.41390614984276586</v>
      </c>
      <c r="O2232" s="314">
        <f t="shared" ca="1" si="193"/>
        <v>0.41890501638676081</v>
      </c>
      <c r="P2232" s="314">
        <f t="shared" ca="1" si="193"/>
        <v>0.42390388293075559</v>
      </c>
      <c r="Q2232" s="314">
        <f t="shared" ca="1" si="193"/>
        <v>0.42890274947475027</v>
      </c>
      <c r="R2232" s="121"/>
      <c r="S2232" s="179"/>
      <c r="T2232" s="179"/>
      <c r="V2232" s="179"/>
      <c r="W2232" s="179"/>
    </row>
    <row r="2233" spans="1:24" s="65" customFormat="1" ht="15" customHeight="1" outlineLevel="2">
      <c r="A2233" s="219"/>
      <c r="B2233" s="242"/>
      <c r="C2233" s="251" t="s">
        <v>1977</v>
      </c>
      <c r="D2233" s="242"/>
      <c r="E2233" s="242"/>
      <c r="F2233" s="121"/>
      <c r="G2233" s="315" t="s">
        <v>1954</v>
      </c>
      <c r="H2233" s="242"/>
      <c r="I2233" s="314">
        <f t="shared" ref="I2233:Q2233" ca="1" si="194">SUMPRODUCT(I$2129:I$2134,G.30.assumptions.EF.CO2)</f>
        <v>0.20042780348619485</v>
      </c>
      <c r="J2233" s="314">
        <f t="shared" ca="1" si="194"/>
        <v>0.20248347326554045</v>
      </c>
      <c r="K2233" s="314">
        <f t="shared" ca="1" si="194"/>
        <v>0.20505306048972238</v>
      </c>
      <c r="L2233" s="314">
        <f t="shared" ca="1" si="194"/>
        <v>0.20762264771390443</v>
      </c>
      <c r="M2233" s="314">
        <f t="shared" ca="1" si="194"/>
        <v>0.21019223493808636</v>
      </c>
      <c r="N2233" s="314">
        <f t="shared" ca="1" si="194"/>
        <v>0.21276182216226841</v>
      </c>
      <c r="O2233" s="314">
        <f t="shared" ca="1" si="194"/>
        <v>0.2153314093864504</v>
      </c>
      <c r="P2233" s="314">
        <f t="shared" ca="1" si="194"/>
        <v>0.21790099661063239</v>
      </c>
      <c r="Q2233" s="314">
        <f t="shared" ca="1" si="194"/>
        <v>0.22047058383481444</v>
      </c>
      <c r="R2233" s="121"/>
      <c r="S2233" s="179"/>
      <c r="T2233" s="179"/>
      <c r="V2233" s="179"/>
      <c r="W2233" s="179"/>
    </row>
    <row r="2234" spans="1:24" s="65" customFormat="1" ht="15" customHeight="1" outlineLevel="2">
      <c r="A2234" s="219"/>
      <c r="B2234" s="242"/>
      <c r="C2234" s="251" t="s">
        <v>1978</v>
      </c>
      <c r="D2234" s="242"/>
      <c r="E2234" s="242"/>
      <c r="F2234" s="121"/>
      <c r="G2234" s="251" t="s">
        <v>1955</v>
      </c>
      <c r="H2234" s="242"/>
      <c r="I2234" s="314">
        <f t="shared" ref="I2234:Q2234" ca="1" si="195">SUMPRODUCT(I$2135:I$2140,G.30.assumptions.EF.CO2)</f>
        <v>0.17584960915661946</v>
      </c>
      <c r="J2234" s="314">
        <f t="shared" ca="1" si="195"/>
        <v>0.17765319489155917</v>
      </c>
      <c r="K2234" s="314">
        <f t="shared" ca="1" si="195"/>
        <v>0.17990767706023375</v>
      </c>
      <c r="L2234" s="314">
        <f t="shared" ca="1" si="195"/>
        <v>0.18216215922890844</v>
      </c>
      <c r="M2234" s="314">
        <f t="shared" ca="1" si="195"/>
        <v>0.18441664139758296</v>
      </c>
      <c r="N2234" s="314">
        <f t="shared" ca="1" si="195"/>
        <v>0.18667112356625765</v>
      </c>
      <c r="O2234" s="314">
        <f t="shared" ca="1" si="195"/>
        <v>0.18892560573493225</v>
      </c>
      <c r="P2234" s="314">
        <f t="shared" ca="1" si="195"/>
        <v>0.19118008790360685</v>
      </c>
      <c r="Q2234" s="314">
        <f t="shared" ca="1" si="195"/>
        <v>0.19343457007228146</v>
      </c>
      <c r="R2234" s="121"/>
      <c r="S2234" s="179"/>
      <c r="T2234" s="179"/>
      <c r="V2234" s="179"/>
      <c r="W2234" s="179"/>
    </row>
    <row r="2235" spans="1:24" s="65" customFormat="1" ht="15" customHeight="1" outlineLevel="2">
      <c r="A2235" s="219"/>
      <c r="B2235" s="242"/>
      <c r="C2235" s="251" t="s">
        <v>1979</v>
      </c>
      <c r="D2235" s="242"/>
      <c r="E2235" s="242"/>
      <c r="F2235" s="121"/>
      <c r="G2235" s="251" t="s">
        <v>1956</v>
      </c>
      <c r="H2235" s="242"/>
      <c r="I2235" s="314">
        <f t="shared" ref="I2235:Q2235" ca="1" si="196">SUMPRODUCT(I$2141:I$2146,G.30.assumptions.EF.CO2)</f>
        <v>2.3227309646734279E-2</v>
      </c>
      <c r="J2235" s="314">
        <f t="shared" ca="1" si="196"/>
        <v>2.3465538463623859E-2</v>
      </c>
      <c r="K2235" s="314">
        <f t="shared" ca="1" si="196"/>
        <v>2.3763324484735827E-2</v>
      </c>
      <c r="L2235" s="314">
        <f t="shared" ca="1" si="196"/>
        <v>2.4061110505847815E-2</v>
      </c>
      <c r="M2235" s="314">
        <f t="shared" ca="1" si="196"/>
        <v>2.4358896526959793E-2</v>
      </c>
      <c r="N2235" s="314">
        <f t="shared" ca="1" si="196"/>
        <v>2.4656682548071782E-2</v>
      </c>
      <c r="O2235" s="314">
        <f t="shared" ca="1" si="196"/>
        <v>2.4954468569183753E-2</v>
      </c>
      <c r="P2235" s="314">
        <f t="shared" ca="1" si="196"/>
        <v>2.5252254590295727E-2</v>
      </c>
      <c r="Q2235" s="314">
        <f t="shared" ca="1" si="196"/>
        <v>2.5550040611407702E-2</v>
      </c>
      <c r="R2235" s="121"/>
      <c r="S2235" s="179"/>
      <c r="T2235" s="179"/>
      <c r="V2235" s="179"/>
      <c r="W2235" s="179"/>
    </row>
    <row r="2236" spans="1:24" s="65" customFormat="1" ht="15" customHeight="1" outlineLevel="2">
      <c r="A2236" s="219"/>
      <c r="B2236" s="242"/>
      <c r="C2236" s="251" t="s">
        <v>1980</v>
      </c>
      <c r="D2236" s="242"/>
      <c r="E2236" s="242"/>
      <c r="F2236" s="121"/>
      <c r="G2236" s="251" t="s">
        <v>1426</v>
      </c>
      <c r="H2236" s="242"/>
      <c r="I2236" s="314">
        <f t="shared" ref="I2236:Q2236" ca="1" si="197">SUMPRODUCT(I$2147:I$2152,G.30.assumptions.EF.CO2)</f>
        <v>0.81837380235898383</v>
      </c>
      <c r="J2236" s="314">
        <f t="shared" ca="1" si="197"/>
        <v>0.79284871808290902</v>
      </c>
      <c r="K2236" s="314">
        <f t="shared" ca="1" si="197"/>
        <v>0.75997387303088115</v>
      </c>
      <c r="L2236" s="314">
        <f t="shared" ca="1" si="197"/>
        <v>0.72602292830448301</v>
      </c>
      <c r="M2236" s="314">
        <f t="shared" ca="1" si="197"/>
        <v>0.69099588390371369</v>
      </c>
      <c r="N2236" s="314">
        <f t="shared" ca="1" si="197"/>
        <v>0.6548927398285741</v>
      </c>
      <c r="O2236" s="314">
        <f t="shared" ca="1" si="197"/>
        <v>0.61771349607906312</v>
      </c>
      <c r="P2236" s="314">
        <f t="shared" ca="1" si="197"/>
        <v>0.57945815265518186</v>
      </c>
      <c r="Q2236" s="314">
        <f t="shared" ca="1" si="197"/>
        <v>0.54012670955692932</v>
      </c>
      <c r="R2236" s="121"/>
      <c r="S2236" s="179"/>
      <c r="T2236" s="179" t="str">
        <f>$T$6</f>
        <v>Source</v>
      </c>
      <c r="U2236" s="179" t="str">
        <f>$U$6</f>
        <v>Link</v>
      </c>
      <c r="V2236" s="179" t="str">
        <f>$V$6</f>
        <v>Risk (Green, Amber/Green, Amber, Red/Amber, Red)</v>
      </c>
      <c r="W2236" s="179" t="s">
        <v>869</v>
      </c>
      <c r="X2236" s="179" t="str">
        <f>$X$6</f>
        <v>Comment author</v>
      </c>
    </row>
    <row r="2237" spans="1:24" s="65" customFormat="1" ht="15" customHeight="1" outlineLevel="2">
      <c r="A2237" s="219"/>
      <c r="B2237" s="242"/>
      <c r="C2237" s="251" t="s">
        <v>1981</v>
      </c>
      <c r="D2237" s="242"/>
      <c r="E2237" s="242"/>
      <c r="F2237" s="121"/>
      <c r="G2237" s="251" t="s">
        <v>1457</v>
      </c>
      <c r="H2237" s="242"/>
      <c r="I2237" s="314">
        <f t="shared" ref="I2237:Q2237" ca="1" si="198">SUMPRODUCT(I$2153:I$2158,G.30.assumptions.EF.CO2)</f>
        <v>2.4815091111667478</v>
      </c>
      <c r="J2237" s="314">
        <f t="shared" ca="1" si="198"/>
        <v>2.4528589011110471</v>
      </c>
      <c r="K2237" s="314">
        <f t="shared" ca="1" si="198"/>
        <v>2.4155013597660604</v>
      </c>
      <c r="L2237" s="314">
        <f t="shared" ca="1" si="198"/>
        <v>2.3764273975595622</v>
      </c>
      <c r="M2237" s="314">
        <f t="shared" ca="1" si="198"/>
        <v>2.3356370144915526</v>
      </c>
      <c r="N2237" s="314">
        <f t="shared" ca="1" si="198"/>
        <v>2.2931302105620293</v>
      </c>
      <c r="O2237" s="314">
        <f t="shared" ca="1" si="198"/>
        <v>2.2489069857709962</v>
      </c>
      <c r="P2237" s="314">
        <f t="shared" ca="1" si="198"/>
        <v>2.2029673401184504</v>
      </c>
      <c r="Q2237" s="314">
        <f t="shared" ca="1" si="198"/>
        <v>2.155311273604394</v>
      </c>
      <c r="R2237" s="121"/>
      <c r="S2237" s="179"/>
      <c r="T2237" s="179"/>
      <c r="V2237" s="179"/>
      <c r="W2237" s="179"/>
    </row>
    <row r="2238" spans="1:24" s="65" customFormat="1" ht="15" customHeight="1" outlineLevel="2">
      <c r="A2238" s="219"/>
      <c r="B2238" s="242"/>
      <c r="C2238" s="310" t="s">
        <v>375</v>
      </c>
      <c r="D2238" s="312"/>
      <c r="E2238" s="312"/>
      <c r="F2238" s="307"/>
      <c r="G2238" s="310"/>
      <c r="H2238" s="312"/>
      <c r="I2238" s="365">
        <f ca="1">SUBTOTAL(109,G.30.assumptions.CombustionCO2EmissionsAfterEnergyEfficiency[2011])</f>
        <v>8.4863065418756491</v>
      </c>
      <c r="J2238" s="365">
        <f ca="1">SUBTOTAL(109,G.30.assumptions.CombustionCO2EmissionsAfterEnergyEfficiency[2015])</f>
        <v>8.5073884456245104</v>
      </c>
      <c r="K2238" s="365">
        <f ca="1">SUBTOTAL(109,G.30.assumptions.CombustionCO2EmissionsAfterEnergyEfficiency[2020])</f>
        <v>8.5318575314039951</v>
      </c>
      <c r="L2238" s="365">
        <f ca="1">SUBTOTAL(109,G.30.assumptions.CombustionCO2EmissionsAfterEnergyEfficiency[2025])</f>
        <v>8.5542340683983866</v>
      </c>
      <c r="M2238" s="365">
        <f ca="1">SUBTOTAL(109,G.30.assumptions.CombustionCO2EmissionsAfterEnergyEfficiency[2030])</f>
        <v>8.574518056607678</v>
      </c>
      <c r="N2238" s="365">
        <f ca="1">SUBTOTAL(109,G.30.assumptions.CombustionCO2EmissionsAfterEnergyEfficiency[2035])</f>
        <v>8.5927094960318726</v>
      </c>
      <c r="O2238" s="365">
        <f ca="1">SUBTOTAL(109,G.30.assumptions.CombustionCO2EmissionsAfterEnergyEfficiency[2040])</f>
        <v>8.6088083866709724</v>
      </c>
      <c r="P2238" s="365">
        <f ca="1">SUBTOTAL(109,G.30.assumptions.CombustionCO2EmissionsAfterEnergyEfficiency[2045])</f>
        <v>8.6228147285249719</v>
      </c>
      <c r="Q2238" s="365">
        <f ca="1">SUBTOTAL(109,G.30.assumptions.CombustionCO2EmissionsAfterEnergyEfficiency[2050])</f>
        <v>8.6347285215938729</v>
      </c>
      <c r="R2238" s="242"/>
      <c r="S2238" s="179"/>
      <c r="T2238" s="179"/>
      <c r="V2238" s="179"/>
      <c r="W2238" s="179"/>
    </row>
    <row r="2239" spans="1:24" s="65" customFormat="1" ht="15" customHeight="1" outlineLevel="2">
      <c r="A2239" s="219"/>
      <c r="B2239" s="242"/>
      <c r="C2239" s="251"/>
      <c r="D2239" s="242"/>
      <c r="E2239" s="242"/>
      <c r="F2239" s="121"/>
      <c r="G2239" s="251"/>
      <c r="H2239" s="242"/>
      <c r="I2239" s="314"/>
      <c r="J2239" s="314"/>
      <c r="K2239" s="314"/>
      <c r="L2239" s="314"/>
      <c r="M2239" s="314"/>
      <c r="N2239" s="314"/>
      <c r="O2239" s="314"/>
      <c r="P2239" s="314"/>
      <c r="Q2239" s="314"/>
      <c r="R2239" s="242"/>
      <c r="S2239" s="179"/>
      <c r="T2239" s="179"/>
      <c r="V2239" s="179"/>
      <c r="W2239" s="179"/>
    </row>
    <row r="2240" spans="1:24" s="65" customFormat="1" ht="15" customHeight="1" outlineLevel="2">
      <c r="A2240" s="219"/>
      <c r="B2240" s="242"/>
      <c r="C2240" s="242"/>
      <c r="D2240" s="242"/>
      <c r="E2240" s="242"/>
      <c r="F2240" s="242"/>
      <c r="G2240" s="242"/>
      <c r="H2240" s="242"/>
      <c r="I2240" s="242"/>
      <c r="J2240" s="242"/>
      <c r="K2240" s="242"/>
      <c r="L2240" s="242"/>
      <c r="M2240" s="242"/>
      <c r="N2240" s="242"/>
      <c r="O2240" s="242"/>
      <c r="P2240" s="242"/>
      <c r="Q2240" s="242"/>
      <c r="R2240" s="242"/>
      <c r="S2240" s="179"/>
      <c r="T2240" s="179"/>
      <c r="V2240" s="179"/>
      <c r="W2240" s="179"/>
    </row>
    <row r="2241" spans="1:23" s="65" customFormat="1" ht="15" customHeight="1" outlineLevel="2">
      <c r="A2241" s="219"/>
      <c r="B2241" s="242"/>
      <c r="C2241" s="313" t="s">
        <v>243</v>
      </c>
      <c r="D2241" s="121"/>
      <c r="E2241" s="242"/>
      <c r="F2241" s="121"/>
      <c r="G2241" s="242"/>
      <c r="H2241" s="242"/>
      <c r="I2241" s="239"/>
      <c r="J2241" s="239"/>
      <c r="K2241" s="239"/>
      <c r="L2241" s="239"/>
      <c r="M2241" s="239"/>
      <c r="N2241" s="239"/>
      <c r="O2241" s="239"/>
      <c r="P2241" s="239"/>
      <c r="Q2241" s="239"/>
      <c r="R2241" s="242"/>
      <c r="S2241" s="179"/>
      <c r="T2241" s="179"/>
      <c r="V2241" s="179"/>
      <c r="W2241" s="179"/>
    </row>
    <row r="2242" spans="1:23" s="65" customFormat="1" ht="15" customHeight="1" outlineLevel="2">
      <c r="A2242" s="219"/>
      <c r="B2242" s="242"/>
      <c r="C2242" s="301"/>
      <c r="D2242" s="121"/>
      <c r="E2242" s="242"/>
      <c r="F2242" s="121"/>
      <c r="G2242" s="242"/>
      <c r="H2242" s="242"/>
      <c r="I2242" s="239"/>
      <c r="J2242" s="239"/>
      <c r="K2242" s="239"/>
      <c r="L2242" s="239"/>
      <c r="M2242" s="239"/>
      <c r="N2242" s="239"/>
      <c r="O2242" s="239"/>
      <c r="P2242" s="239"/>
      <c r="Q2242" s="239"/>
      <c r="R2242" s="242"/>
      <c r="S2242" s="179"/>
      <c r="T2242" s="179"/>
      <c r="V2242" s="179"/>
      <c r="W2242" s="179"/>
    </row>
    <row r="2243" spans="1:23" s="65" customFormat="1" ht="15" customHeight="1" outlineLevel="2">
      <c r="A2243" s="219"/>
      <c r="B2243" s="242"/>
      <c r="C2243" s="258" t="s">
        <v>454</v>
      </c>
      <c r="D2243" s="258" t="s">
        <v>241</v>
      </c>
      <c r="E2243" s="258" t="s">
        <v>598</v>
      </c>
      <c r="F2243" s="258" t="s">
        <v>274</v>
      </c>
      <c r="G2243" s="258" t="s">
        <v>509</v>
      </c>
      <c r="H2243" s="258" t="s">
        <v>510</v>
      </c>
      <c r="I2243" s="258" t="s">
        <v>1107</v>
      </c>
      <c r="J2243" s="258" t="s">
        <v>210</v>
      </c>
      <c r="K2243" s="258" t="s">
        <v>211</v>
      </c>
      <c r="L2243" s="258" t="s">
        <v>212</v>
      </c>
      <c r="M2243" s="258" t="s">
        <v>213</v>
      </c>
      <c r="N2243" s="258" t="s">
        <v>214</v>
      </c>
      <c r="O2243" s="258" t="s">
        <v>215</v>
      </c>
      <c r="P2243" s="258" t="s">
        <v>216</v>
      </c>
      <c r="Q2243" s="258" t="s">
        <v>217</v>
      </c>
      <c r="R2243" s="242"/>
      <c r="S2243" s="179"/>
      <c r="T2243" s="179"/>
      <c r="V2243" s="179"/>
      <c r="W2243" s="179"/>
    </row>
    <row r="2244" spans="1:23" s="65" customFormat="1" ht="15" customHeight="1" outlineLevel="2">
      <c r="A2244" s="219"/>
      <c r="B2244" s="242"/>
      <c r="C2244" s="251" t="s">
        <v>1968</v>
      </c>
      <c r="D2244" s="242"/>
      <c r="E2244" s="242"/>
      <c r="F2244" s="121"/>
      <c r="G2244" s="251" t="s">
        <v>1377</v>
      </c>
      <c r="H2244" s="242"/>
      <c r="I2244" s="316">
        <f t="shared" ref="I2244:Q2245" ca="1" si="199">SUMPRODUCT(I$2069:I$2074,G.30.assumptions.EF.CH4)</f>
        <v>1.7998356270965257E-4</v>
      </c>
      <c r="J2244" s="316">
        <f t="shared" ca="1" si="199"/>
        <v>1.7901922683775034E-4</v>
      </c>
      <c r="K2244" s="316">
        <f t="shared" ca="1" si="199"/>
        <v>1.7773356305696459E-4</v>
      </c>
      <c r="L2244" s="316">
        <f t="shared" ca="1" si="199"/>
        <v>1.7635873934183682E-4</v>
      </c>
      <c r="M2244" s="316">
        <f t="shared" ca="1" si="199"/>
        <v>1.7489475569236679E-4</v>
      </c>
      <c r="N2244" s="316">
        <f t="shared" ca="1" si="199"/>
        <v>1.7334161210855485E-4</v>
      </c>
      <c r="O2244" s="316">
        <f t="shared" ca="1" si="199"/>
        <v>1.7169930859040072E-4</v>
      </c>
      <c r="P2244" s="316">
        <f t="shared" ca="1" si="199"/>
        <v>1.6996784513790452E-4</v>
      </c>
      <c r="Q2244" s="316">
        <f t="shared" ca="1" si="199"/>
        <v>1.6814722175106613E-4</v>
      </c>
      <c r="R2244" s="242"/>
      <c r="S2244" s="179"/>
      <c r="T2244" s="179"/>
      <c r="V2244" s="179"/>
      <c r="W2244" s="179"/>
    </row>
    <row r="2245" spans="1:23" s="65" customFormat="1" ht="15" customHeight="1" outlineLevel="2">
      <c r="A2245" s="219"/>
      <c r="B2245" s="242"/>
      <c r="C2245" s="251" t="s">
        <v>2196</v>
      </c>
      <c r="D2245" s="242"/>
      <c r="E2245" s="242"/>
      <c r="F2245" s="121"/>
      <c r="G2245" s="251" t="s">
        <v>2185</v>
      </c>
      <c r="H2245" s="242"/>
      <c r="I2245" s="316">
        <f t="shared" ca="1" si="199"/>
        <v>1.7998356270965257E-4</v>
      </c>
      <c r="J2245" s="316">
        <f t="shared" ca="1" si="199"/>
        <v>1.7901922683775034E-4</v>
      </c>
      <c r="K2245" s="316">
        <f t="shared" ca="1" si="199"/>
        <v>1.7773356305696459E-4</v>
      </c>
      <c r="L2245" s="316">
        <f t="shared" ca="1" si="199"/>
        <v>1.7635873934183682E-4</v>
      </c>
      <c r="M2245" s="316">
        <f t="shared" ca="1" si="199"/>
        <v>1.7489475569236679E-4</v>
      </c>
      <c r="N2245" s="316">
        <f t="shared" ca="1" si="199"/>
        <v>1.7334161210855485E-4</v>
      </c>
      <c r="O2245" s="316">
        <f t="shared" ca="1" si="199"/>
        <v>1.7169930859040072E-4</v>
      </c>
      <c r="P2245" s="316">
        <f t="shared" ca="1" si="199"/>
        <v>1.6996784513790452E-4</v>
      </c>
      <c r="Q2245" s="316">
        <f t="shared" ca="1" si="199"/>
        <v>1.6814722175106613E-4</v>
      </c>
      <c r="R2245" s="242"/>
      <c r="S2245" s="179"/>
      <c r="T2245" s="179"/>
      <c r="V2245" s="179"/>
      <c r="W2245" s="179"/>
    </row>
    <row r="2246" spans="1:23" s="65" customFormat="1" ht="15" customHeight="1" outlineLevel="2">
      <c r="A2246" s="219"/>
      <c r="B2246" s="242"/>
      <c r="C2246" s="251" t="s">
        <v>1969</v>
      </c>
      <c r="D2246" s="242"/>
      <c r="E2246" s="242"/>
      <c r="F2246" s="121"/>
      <c r="G2246" s="315" t="s">
        <v>1380</v>
      </c>
      <c r="H2246" s="242"/>
      <c r="I2246" s="366">
        <f t="shared" ref="I2246:Q2246" ca="1" si="200">SUMPRODUCT(I$2081:I$2086,G.30.assumptions.EF.CH4)</f>
        <v>1.4465575200546974E-4</v>
      </c>
      <c r="J2246" s="366">
        <f t="shared" ca="1" si="200"/>
        <v>1.5157537534593219E-4</v>
      </c>
      <c r="K2246" s="366">
        <f t="shared" ca="1" si="200"/>
        <v>1.6038011953235247E-4</v>
      </c>
      <c r="L2246" s="366">
        <f t="shared" ca="1" si="200"/>
        <v>1.6935732484193099E-4</v>
      </c>
      <c r="M2246" s="366">
        <f t="shared" ca="1" si="200"/>
        <v>1.7850699127466762E-4</v>
      </c>
      <c r="N2246" s="366">
        <f t="shared" ca="1" si="200"/>
        <v>1.8782911883056245E-4</v>
      </c>
      <c r="O2246" s="366">
        <f t="shared" ca="1" si="200"/>
        <v>1.9732370750961538E-4</v>
      </c>
      <c r="P2246" s="366">
        <f t="shared" ca="1" si="200"/>
        <v>2.0699075731182644E-4</v>
      </c>
      <c r="Q2246" s="366">
        <f t="shared" ca="1" si="200"/>
        <v>2.1683026823719566E-4</v>
      </c>
      <c r="R2246" s="242"/>
      <c r="S2246" s="179"/>
      <c r="T2246" s="179"/>
      <c r="V2246" s="179"/>
      <c r="W2246" s="179"/>
    </row>
    <row r="2247" spans="1:23" s="65" customFormat="1" ht="15" customHeight="1" outlineLevel="2">
      <c r="A2247" s="219"/>
      <c r="B2247" s="242"/>
      <c r="C2247" s="251" t="s">
        <v>1970</v>
      </c>
      <c r="D2247" s="242"/>
      <c r="E2247" s="242"/>
      <c r="F2247" s="121"/>
      <c r="G2247" s="315" t="s">
        <v>1625</v>
      </c>
      <c r="H2247" s="242"/>
      <c r="I2247" s="316">
        <f t="shared" ref="I2247:Q2247" ca="1" si="201">SUMPRODUCT(I$2087:I$2092,G.30.assumptions.EF.CH4)</f>
        <v>1.1439400985854701E-5</v>
      </c>
      <c r="J2247" s="316">
        <f t="shared" ca="1" si="201"/>
        <v>1.185698530344051E-5</v>
      </c>
      <c r="K2247" s="316">
        <f t="shared" ca="1" si="201"/>
        <v>1.2387539032122926E-5</v>
      </c>
      <c r="L2247" s="316">
        <f t="shared" ca="1" si="201"/>
        <v>1.2927618684916598E-5</v>
      </c>
      <c r="M2247" s="316">
        <f t="shared" ca="1" si="201"/>
        <v>1.3477224261821556E-5</v>
      </c>
      <c r="N2247" s="316">
        <f t="shared" ca="1" si="201"/>
        <v>1.4036355762837781E-5</v>
      </c>
      <c r="O2247" s="316">
        <f t="shared" ca="1" si="201"/>
        <v>1.4605013187965285E-5</v>
      </c>
      <c r="P2247" s="316">
        <f t="shared" ca="1" si="201"/>
        <v>1.5183196537204053E-5</v>
      </c>
      <c r="Q2247" s="316">
        <f t="shared" ca="1" si="201"/>
        <v>1.5770905810554097E-5</v>
      </c>
      <c r="R2247" s="242"/>
      <c r="S2247" s="179"/>
      <c r="T2247" s="179"/>
      <c r="V2247" s="179"/>
      <c r="W2247" s="179"/>
    </row>
    <row r="2248" spans="1:23" s="65" customFormat="1" ht="15" customHeight="1" outlineLevel="2">
      <c r="A2248" s="219"/>
      <c r="B2248" s="242"/>
      <c r="C2248" s="251" t="s">
        <v>1971</v>
      </c>
      <c r="D2248" s="242"/>
      <c r="E2248" s="242"/>
      <c r="F2248" s="121"/>
      <c r="G2248" s="315" t="s">
        <v>1939</v>
      </c>
      <c r="H2248" s="242"/>
      <c r="I2248" s="316">
        <f t="shared" ref="I2248:Q2248" ca="1" si="202">SUMPRODUCT(I$2093:I$2098,G.30.assumptions.EF.CH4)</f>
        <v>2.8473453097493702E-6</v>
      </c>
      <c r="J2248" s="316">
        <f t="shared" ca="1" si="202"/>
        <v>2.9512849084725117E-6</v>
      </c>
      <c r="K2248" s="316">
        <f t="shared" ca="1" si="202"/>
        <v>3.083343367897257E-6</v>
      </c>
      <c r="L2248" s="316">
        <f t="shared" ca="1" si="202"/>
        <v>3.2177728951229171E-6</v>
      </c>
      <c r="M2248" s="316">
        <f t="shared" ca="1" si="202"/>
        <v>3.3545734901494854E-6</v>
      </c>
      <c r="N2248" s="316">
        <f t="shared" ca="1" si="202"/>
        <v>3.4937451529769576E-6</v>
      </c>
      <c r="O2248" s="316">
        <f t="shared" ca="1" si="202"/>
        <v>3.635287883605346E-6</v>
      </c>
      <c r="P2248" s="316">
        <f t="shared" ca="1" si="202"/>
        <v>3.7792016820346472E-6</v>
      </c>
      <c r="Q2248" s="316">
        <f t="shared" ca="1" si="202"/>
        <v>3.9254865482648526E-6</v>
      </c>
      <c r="R2248" s="242"/>
      <c r="S2248" s="179"/>
      <c r="T2248" s="179"/>
      <c r="V2248" s="179"/>
      <c r="W2248" s="179"/>
    </row>
    <row r="2249" spans="1:23" s="65" customFormat="1" ht="15" customHeight="1" outlineLevel="2">
      <c r="A2249" s="219"/>
      <c r="B2249" s="242"/>
      <c r="C2249" s="251" t="s">
        <v>1972</v>
      </c>
      <c r="D2249" s="242"/>
      <c r="E2249" s="242"/>
      <c r="F2249" s="121"/>
      <c r="G2249" s="315" t="s">
        <v>1940</v>
      </c>
      <c r="H2249" s="242"/>
      <c r="I2249" s="316">
        <f t="shared" ref="I2249:Q2249" ca="1" si="203">SUMPRODUCT(I$2099:I$2104,G.30.assumptions.EF.CH4)</f>
        <v>1.2989816220623152E-6</v>
      </c>
      <c r="J2249" s="316">
        <f t="shared" ca="1" si="203"/>
        <v>1.2809917870888845E-6</v>
      </c>
      <c r="K2249" s="316">
        <f t="shared" ca="1" si="203"/>
        <v>1.2576104118027967E-6</v>
      </c>
      <c r="L2249" s="316">
        <f t="shared" ca="1" si="203"/>
        <v>1.2332356125508184E-6</v>
      </c>
      <c r="M2249" s="316">
        <f t="shared" ca="1" si="203"/>
        <v>1.2078673893329507E-6</v>
      </c>
      <c r="N2249" s="316">
        <f t="shared" ca="1" si="203"/>
        <v>1.1815057421491935E-6</v>
      </c>
      <c r="O2249" s="316">
        <f t="shared" ca="1" si="203"/>
        <v>1.1541506709995468E-6</v>
      </c>
      <c r="P2249" s="316">
        <f t="shared" ca="1" si="203"/>
        <v>1.1258021758840104E-6</v>
      </c>
      <c r="Q2249" s="316">
        <f t="shared" ca="1" si="203"/>
        <v>1.0964602568025843E-6</v>
      </c>
      <c r="R2249" s="242"/>
      <c r="S2249" s="179"/>
      <c r="T2249" s="179"/>
      <c r="V2249" s="179"/>
      <c r="W2249" s="179"/>
    </row>
    <row r="2250" spans="1:23" s="65" customFormat="1" ht="15" customHeight="1" outlineLevel="2">
      <c r="A2250" s="219"/>
      <c r="B2250" s="242"/>
      <c r="C2250" s="251" t="s">
        <v>1973</v>
      </c>
      <c r="D2250" s="242"/>
      <c r="E2250" s="242"/>
      <c r="F2250" s="121"/>
      <c r="G2250" s="315" t="s">
        <v>1961</v>
      </c>
      <c r="H2250" s="242"/>
      <c r="I2250" s="316">
        <f t="shared" ref="I2250:Q2250" ca="1" si="204">SUMPRODUCT(I$2105:I$2110,G.30.assumptions.EF.CH4)</f>
        <v>8.220741143684501E-5</v>
      </c>
      <c r="J2250" s="316">
        <f t="shared" ca="1" si="204"/>
        <v>8.3050564374658836E-5</v>
      </c>
      <c r="K2250" s="316">
        <f t="shared" ca="1" si="204"/>
        <v>8.4104505546926038E-5</v>
      </c>
      <c r="L2250" s="316">
        <f t="shared" ca="1" si="204"/>
        <v>8.5158446719193321E-5</v>
      </c>
      <c r="M2250" s="316">
        <f t="shared" ca="1" si="204"/>
        <v>8.6212387891460563E-5</v>
      </c>
      <c r="N2250" s="316">
        <f t="shared" ca="1" si="204"/>
        <v>8.7266329063727819E-5</v>
      </c>
      <c r="O2250" s="316">
        <f t="shared" ca="1" si="204"/>
        <v>8.8320270235995048E-5</v>
      </c>
      <c r="P2250" s="316">
        <f t="shared" ca="1" si="204"/>
        <v>8.9374211408262317E-5</v>
      </c>
      <c r="Q2250" s="316">
        <f t="shared" ca="1" si="204"/>
        <v>9.0428152580529546E-5</v>
      </c>
      <c r="R2250" s="242"/>
      <c r="S2250" s="179"/>
      <c r="T2250" s="179"/>
      <c r="V2250" s="179"/>
      <c r="W2250" s="179"/>
    </row>
    <row r="2251" spans="1:23" s="65" customFormat="1" ht="15" customHeight="1" outlineLevel="2">
      <c r="A2251" s="219"/>
      <c r="B2251" s="242"/>
      <c r="C2251" s="251" t="s">
        <v>1974</v>
      </c>
      <c r="D2251" s="242"/>
      <c r="E2251" s="242"/>
      <c r="F2251" s="121"/>
      <c r="G2251" s="315" t="s">
        <v>1962</v>
      </c>
      <c r="H2251" s="242"/>
      <c r="I2251" s="316">
        <f t="shared" ref="I2251:Q2251" ca="1" si="205">SUMPRODUCT(I$2111:I$2116,G.30.assumptions.EF.CH4)</f>
        <v>4.3273399884361874E-5</v>
      </c>
      <c r="J2251" s="316">
        <f t="shared" ca="1" si="205"/>
        <v>4.3717229626765575E-5</v>
      </c>
      <c r="K2251" s="316">
        <f t="shared" ca="1" si="205"/>
        <v>4.4272016804770214E-5</v>
      </c>
      <c r="L2251" s="316">
        <f t="shared" ca="1" si="205"/>
        <v>4.4826803982774867E-5</v>
      </c>
      <c r="M2251" s="316">
        <f t="shared" ca="1" si="205"/>
        <v>4.5381591160779513E-5</v>
      </c>
      <c r="N2251" s="316">
        <f t="shared" ca="1" si="205"/>
        <v>4.5936378338784145E-5</v>
      </c>
      <c r="O2251" s="316">
        <f t="shared" ca="1" si="205"/>
        <v>4.6491165516788791E-5</v>
      </c>
      <c r="P2251" s="316">
        <f t="shared" ca="1" si="205"/>
        <v>4.7045952694793424E-5</v>
      </c>
      <c r="Q2251" s="316">
        <f t="shared" ca="1" si="205"/>
        <v>4.7600739872798063E-5</v>
      </c>
      <c r="R2251" s="242"/>
      <c r="S2251" s="179"/>
      <c r="T2251" s="179"/>
      <c r="V2251" s="179"/>
      <c r="W2251" s="179"/>
    </row>
    <row r="2252" spans="1:23" s="65" customFormat="1" ht="15" customHeight="1" outlineLevel="2">
      <c r="A2252" s="219"/>
      <c r="B2252" s="242"/>
      <c r="C2252" s="251" t="s">
        <v>1975</v>
      </c>
      <c r="D2252" s="242"/>
      <c r="E2252" s="242"/>
      <c r="F2252" s="121"/>
      <c r="G2252" s="315" t="s">
        <v>1963</v>
      </c>
      <c r="H2252" s="242"/>
      <c r="I2252" s="316">
        <f t="shared" ref="I2252:Q2252" ca="1" si="206">SUMPRODUCT(I$2117:I$2122,G.30.assumptions.EF.CH4)</f>
        <v>1.4629422513554707E-5</v>
      </c>
      <c r="J2252" s="316">
        <f t="shared" ca="1" si="206"/>
        <v>1.4779467872668085E-5</v>
      </c>
      <c r="K2252" s="316">
        <f t="shared" ca="1" si="206"/>
        <v>1.4967024571559815E-5</v>
      </c>
      <c r="L2252" s="316">
        <f t="shared" ca="1" si="206"/>
        <v>1.5154581270451542E-5</v>
      </c>
      <c r="M2252" s="316">
        <f t="shared" ca="1" si="206"/>
        <v>1.5342137969343273E-5</v>
      </c>
      <c r="N2252" s="316">
        <f t="shared" ca="1" si="206"/>
        <v>1.5529694668234997E-5</v>
      </c>
      <c r="O2252" s="316">
        <f t="shared" ca="1" si="206"/>
        <v>1.5717251367126724E-5</v>
      </c>
      <c r="P2252" s="316">
        <f t="shared" ca="1" si="206"/>
        <v>1.5904808066018452E-5</v>
      </c>
      <c r="Q2252" s="316">
        <f t="shared" ca="1" si="206"/>
        <v>1.6092364764910179E-5</v>
      </c>
      <c r="R2252" s="242"/>
      <c r="S2252" s="179"/>
      <c r="T2252" s="179"/>
      <c r="V2252" s="179"/>
      <c r="W2252" s="179"/>
    </row>
    <row r="2253" spans="1:23" s="65" customFormat="1" ht="15" customHeight="1" outlineLevel="2">
      <c r="A2253" s="219"/>
      <c r="B2253" s="242"/>
      <c r="C2253" s="251" t="s">
        <v>1976</v>
      </c>
      <c r="D2253" s="242"/>
      <c r="E2253" s="242"/>
      <c r="F2253" s="121"/>
      <c r="G2253" s="251" t="s">
        <v>1964</v>
      </c>
      <c r="H2253" s="242"/>
      <c r="I2253" s="316">
        <f t="shared" ref="I2253:Q2253" ca="1" si="207">SUMPRODUCT(I$2123:I$2128,G.30.assumptions.EF.CH4)</f>
        <v>3.947628670000394E-5</v>
      </c>
      <c r="J2253" s="316">
        <f t="shared" ca="1" si="207"/>
        <v>3.9881171691798853E-5</v>
      </c>
      <c r="K2253" s="316">
        <f t="shared" ca="1" si="207"/>
        <v>4.0387277931542477E-5</v>
      </c>
      <c r="L2253" s="316">
        <f t="shared" ca="1" si="207"/>
        <v>4.0893384171286156E-5</v>
      </c>
      <c r="M2253" s="316">
        <f t="shared" ca="1" si="207"/>
        <v>4.1399490411029773E-5</v>
      </c>
      <c r="N2253" s="316">
        <f t="shared" ca="1" si="207"/>
        <v>4.190559665077339E-5</v>
      </c>
      <c r="O2253" s="316">
        <f t="shared" ca="1" si="207"/>
        <v>4.2411702890517062E-5</v>
      </c>
      <c r="P2253" s="316">
        <f t="shared" ca="1" si="207"/>
        <v>4.2917809130260713E-5</v>
      </c>
      <c r="Q2253" s="316">
        <f t="shared" ca="1" si="207"/>
        <v>4.3423915370004338E-5</v>
      </c>
      <c r="R2253" s="242"/>
      <c r="S2253" s="179"/>
      <c r="T2253" s="179"/>
      <c r="V2253" s="179"/>
      <c r="W2253" s="179"/>
    </row>
    <row r="2254" spans="1:23" s="65" customFormat="1" ht="15" customHeight="1" outlineLevel="2">
      <c r="A2254" s="219"/>
      <c r="B2254" s="242"/>
      <c r="C2254" s="251" t="s">
        <v>1977</v>
      </c>
      <c r="D2254" s="242"/>
      <c r="E2254" s="242"/>
      <c r="F2254" s="121"/>
      <c r="G2254" s="315" t="s">
        <v>1954</v>
      </c>
      <c r="H2254" s="242"/>
      <c r="I2254" s="316">
        <f t="shared" ref="I2254:Q2254" ca="1" si="208">SUMPRODUCT(I$2129:I$2134,G.30.assumptions.EF.CH4)</f>
        <v>2.5805687163577756E-5</v>
      </c>
      <c r="J2254" s="316">
        <f t="shared" ca="1" si="208"/>
        <v>2.6070360878075991E-5</v>
      </c>
      <c r="K2254" s="316">
        <f t="shared" ca="1" si="208"/>
        <v>2.6401203021198777E-5</v>
      </c>
      <c r="L2254" s="316">
        <f t="shared" ca="1" si="208"/>
        <v>2.673204516432157E-5</v>
      </c>
      <c r="M2254" s="316">
        <f t="shared" ca="1" si="208"/>
        <v>2.7062887307444363E-5</v>
      </c>
      <c r="N2254" s="316">
        <f t="shared" ca="1" si="208"/>
        <v>2.7393729450567156E-5</v>
      </c>
      <c r="O2254" s="316">
        <f t="shared" ca="1" si="208"/>
        <v>2.7724571593689949E-5</v>
      </c>
      <c r="P2254" s="316">
        <f t="shared" ca="1" si="208"/>
        <v>2.8055413736812742E-5</v>
      </c>
      <c r="Q2254" s="316">
        <f t="shared" ca="1" si="208"/>
        <v>2.8386255879935542E-5</v>
      </c>
      <c r="R2254" s="242"/>
      <c r="S2254" s="179"/>
      <c r="T2254" s="179"/>
      <c r="V2254" s="179"/>
      <c r="W2254" s="179"/>
    </row>
    <row r="2255" spans="1:23" s="65" customFormat="1" ht="15" customHeight="1" outlineLevel="2">
      <c r="A2255" s="219"/>
      <c r="B2255" s="242"/>
      <c r="C2255" s="251" t="s">
        <v>1978</v>
      </c>
      <c r="D2255" s="242"/>
      <c r="E2255" s="242"/>
      <c r="F2255" s="121"/>
      <c r="G2255" s="251" t="s">
        <v>1955</v>
      </c>
      <c r="H2255" s="242"/>
      <c r="I2255" s="316">
        <f t="shared" ref="I2255:Q2255" ca="1" si="209">SUMPRODUCT(I$2135:I$2140,G.30.assumptions.EF.CH4)</f>
        <v>2.2463995901766407E-5</v>
      </c>
      <c r="J2255" s="316">
        <f t="shared" ca="1" si="209"/>
        <v>2.2694395859733244E-5</v>
      </c>
      <c r="K2255" s="316">
        <f t="shared" ca="1" si="209"/>
        <v>2.2982395807191782E-5</v>
      </c>
      <c r="L2255" s="316">
        <f t="shared" ca="1" si="209"/>
        <v>2.3270395754650336E-5</v>
      </c>
      <c r="M2255" s="316">
        <f t="shared" ca="1" si="209"/>
        <v>2.3558395702108864E-5</v>
      </c>
      <c r="N2255" s="316">
        <f t="shared" ca="1" si="209"/>
        <v>2.3846395649567418E-5</v>
      </c>
      <c r="O2255" s="316">
        <f t="shared" ca="1" si="209"/>
        <v>2.4134395597025966E-5</v>
      </c>
      <c r="P2255" s="316">
        <f t="shared" ca="1" si="209"/>
        <v>2.4422395544484506E-5</v>
      </c>
      <c r="Q2255" s="316">
        <f t="shared" ca="1" si="209"/>
        <v>2.4710395491943051E-5</v>
      </c>
      <c r="R2255" s="242"/>
      <c r="S2255" s="179"/>
      <c r="T2255" s="179"/>
      <c r="V2255" s="179"/>
      <c r="W2255" s="179"/>
    </row>
    <row r="2256" spans="1:23" s="65" customFormat="1" ht="15" customHeight="1" outlineLevel="2">
      <c r="A2256" s="219"/>
      <c r="B2256" s="242"/>
      <c r="C2256" s="251" t="s">
        <v>1979</v>
      </c>
      <c r="D2256" s="242"/>
      <c r="E2256" s="242"/>
      <c r="F2256" s="121"/>
      <c r="G2256" s="251" t="s">
        <v>1956</v>
      </c>
      <c r="H2256" s="242"/>
      <c r="I2256" s="316">
        <f t="shared" ref="I2256:Q2256" ca="1" si="210">SUMPRODUCT(I$2141:I$2146,G.30.assumptions.EF.CH4)</f>
        <v>2.7354848012121755E-6</v>
      </c>
      <c r="J2256" s="316">
        <f t="shared" ca="1" si="210"/>
        <v>2.7635410555835818E-6</v>
      </c>
      <c r="K2256" s="316">
        <f t="shared" ca="1" si="210"/>
        <v>2.7986113735478391E-6</v>
      </c>
      <c r="L2256" s="316">
        <f t="shared" ca="1" si="210"/>
        <v>2.8336816915120986E-6</v>
      </c>
      <c r="M2256" s="316">
        <f t="shared" ca="1" si="210"/>
        <v>2.868752009476358E-6</v>
      </c>
      <c r="N2256" s="316">
        <f t="shared" ca="1" si="210"/>
        <v>2.9038223274406179E-6</v>
      </c>
      <c r="O2256" s="316">
        <f t="shared" ca="1" si="210"/>
        <v>2.9388926454048756E-6</v>
      </c>
      <c r="P2256" s="316">
        <f t="shared" ca="1" si="210"/>
        <v>2.9739629633691338E-6</v>
      </c>
      <c r="Q2256" s="316">
        <f t="shared" ca="1" si="210"/>
        <v>3.0090332813333916E-6</v>
      </c>
      <c r="R2256" s="242"/>
      <c r="S2256" s="179"/>
      <c r="T2256" s="179"/>
      <c r="V2256" s="179"/>
      <c r="W2256" s="179"/>
    </row>
    <row r="2257" spans="1:23" s="65" customFormat="1" ht="15" customHeight="1" outlineLevel="2">
      <c r="A2257" s="219"/>
      <c r="B2257" s="242"/>
      <c r="C2257" s="251" t="s">
        <v>1980</v>
      </c>
      <c r="D2257" s="242"/>
      <c r="E2257" s="242"/>
      <c r="F2257" s="121"/>
      <c r="G2257" s="251" t="s">
        <v>1426</v>
      </c>
      <c r="H2257" s="242"/>
      <c r="I2257" s="316">
        <f t="shared" ref="I2257:Q2257" ca="1" si="211">SUMPRODUCT(I$2147:I$2152,G.30.assumptions.EF.CH4)</f>
        <v>1.0611222235012787E-4</v>
      </c>
      <c r="J2257" s="316">
        <f t="shared" ca="1" si="211"/>
        <v>1.0280258143737968E-4</v>
      </c>
      <c r="K2257" s="316">
        <f t="shared" ca="1" si="211"/>
        <v>9.8539953701947154E-5</v>
      </c>
      <c r="L2257" s="316">
        <f t="shared" ca="1" si="211"/>
        <v>9.4137796417073359E-5</v>
      </c>
      <c r="M2257" s="316">
        <f t="shared" ca="1" si="211"/>
        <v>8.9596109582758233E-5</v>
      </c>
      <c r="N2257" s="316">
        <f t="shared" ca="1" si="211"/>
        <v>8.4914893199001775E-5</v>
      </c>
      <c r="O2257" s="316">
        <f t="shared" ca="1" si="211"/>
        <v>8.0094147265803972E-5</v>
      </c>
      <c r="P2257" s="316">
        <f t="shared" ca="1" si="211"/>
        <v>7.5133871783164877E-5</v>
      </c>
      <c r="Q2257" s="316">
        <f t="shared" ca="1" si="211"/>
        <v>7.0034066751084397E-5</v>
      </c>
      <c r="R2257" s="242"/>
      <c r="S2257" s="179"/>
      <c r="T2257" s="179"/>
      <c r="V2257" s="179"/>
      <c r="W2257" s="179"/>
    </row>
    <row r="2258" spans="1:23" s="65" customFormat="1" ht="15" customHeight="1" outlineLevel="2">
      <c r="A2258" s="219"/>
      <c r="B2258" s="242"/>
      <c r="C2258" s="251" t="s">
        <v>1981</v>
      </c>
      <c r="D2258" s="242"/>
      <c r="E2258" s="242"/>
      <c r="F2258" s="121"/>
      <c r="G2258" s="251" t="s">
        <v>1457</v>
      </c>
      <c r="H2258" s="242"/>
      <c r="I2258" s="316">
        <f t="shared" ref="I2258:Q2258" ca="1" si="212">SUMPRODUCT(I$2153:I$2158,G.30.assumptions.EF.CH4)</f>
        <v>2.6748038011454998E-4</v>
      </c>
      <c r="J2258" s="316">
        <f t="shared" ca="1" si="212"/>
        <v>2.6439219114051982E-4</v>
      </c>
      <c r="K2258" s="316">
        <f t="shared" ca="1" si="212"/>
        <v>2.6036544414445345E-4</v>
      </c>
      <c r="L2258" s="316">
        <f t="shared" ca="1" si="212"/>
        <v>2.5615368517224415E-4</v>
      </c>
      <c r="M2258" s="316">
        <f t="shared" ca="1" si="212"/>
        <v>2.5175691422389196E-4</v>
      </c>
      <c r="N2258" s="316">
        <f t="shared" ca="1" si="212"/>
        <v>2.4717513129939652E-4</v>
      </c>
      <c r="O2258" s="316">
        <f t="shared" ca="1" si="212"/>
        <v>2.4240833639875841E-4</v>
      </c>
      <c r="P2258" s="316">
        <f t="shared" ca="1" si="212"/>
        <v>2.3745652952197717E-4</v>
      </c>
      <c r="Q2258" s="316">
        <f t="shared" ca="1" si="212"/>
        <v>2.3231971066905313E-4</v>
      </c>
      <c r="R2258" s="242"/>
      <c r="S2258" s="179"/>
      <c r="T2258" s="179"/>
      <c r="V2258" s="179"/>
      <c r="W2258" s="179"/>
    </row>
    <row r="2259" spans="1:23" s="65" customFormat="1" ht="15" customHeight="1" outlineLevel="2">
      <c r="A2259" s="219"/>
      <c r="B2259" s="242"/>
      <c r="C2259" s="242"/>
      <c r="D2259" s="242"/>
      <c r="E2259" s="242"/>
      <c r="F2259" s="242"/>
      <c r="G2259" s="242"/>
      <c r="H2259" s="242"/>
      <c r="I2259" s="242"/>
      <c r="J2259" s="242"/>
      <c r="K2259" s="242"/>
      <c r="L2259" s="242"/>
      <c r="M2259" s="242"/>
      <c r="N2259" s="242"/>
      <c r="O2259" s="242"/>
      <c r="P2259" s="242"/>
      <c r="Q2259" s="242"/>
      <c r="R2259" s="242"/>
      <c r="S2259" s="179"/>
      <c r="T2259" s="179"/>
      <c r="V2259" s="179"/>
      <c r="W2259" s="179"/>
    </row>
    <row r="2260" spans="1:23" s="65" customFormat="1" ht="15" customHeight="1" outlineLevel="2">
      <c r="A2260" s="219"/>
      <c r="B2260" s="242"/>
      <c r="C2260" s="313" t="s">
        <v>244</v>
      </c>
      <c r="D2260" s="121"/>
      <c r="E2260" s="242"/>
      <c r="F2260" s="121"/>
      <c r="G2260" s="242"/>
      <c r="H2260" s="242"/>
      <c r="I2260" s="239"/>
      <c r="J2260" s="239"/>
      <c r="K2260" s="239"/>
      <c r="L2260" s="239"/>
      <c r="M2260" s="239"/>
      <c r="N2260" s="239"/>
      <c r="O2260" s="239"/>
      <c r="P2260" s="239"/>
      <c r="Q2260" s="239"/>
      <c r="R2260" s="242"/>
      <c r="S2260" s="179"/>
      <c r="T2260" s="179"/>
      <c r="V2260" s="179"/>
      <c r="W2260" s="179"/>
    </row>
    <row r="2261" spans="1:23" s="65" customFormat="1" ht="15" customHeight="1" outlineLevel="2">
      <c r="A2261" s="219"/>
      <c r="B2261" s="242"/>
      <c r="C2261" s="301"/>
      <c r="D2261" s="121"/>
      <c r="E2261" s="242"/>
      <c r="F2261" s="121"/>
      <c r="G2261" s="242"/>
      <c r="H2261" s="242"/>
      <c r="I2261" s="239"/>
      <c r="J2261" s="239"/>
      <c r="K2261" s="239"/>
      <c r="L2261" s="239"/>
      <c r="M2261" s="239"/>
      <c r="N2261" s="239"/>
      <c r="O2261" s="239"/>
      <c r="P2261" s="239"/>
      <c r="Q2261" s="239"/>
      <c r="R2261" s="242"/>
      <c r="S2261" s="179"/>
      <c r="T2261" s="179"/>
      <c r="V2261" s="179"/>
      <c r="W2261" s="179"/>
    </row>
    <row r="2262" spans="1:23" s="65" customFormat="1" ht="15" customHeight="1" outlineLevel="2">
      <c r="A2262" s="219"/>
      <c r="B2262" s="242"/>
      <c r="C2262" s="258" t="s">
        <v>454</v>
      </c>
      <c r="D2262" s="258" t="s">
        <v>241</v>
      </c>
      <c r="E2262" s="258" t="s">
        <v>598</v>
      </c>
      <c r="F2262" s="258" t="s">
        <v>274</v>
      </c>
      <c r="G2262" s="258" t="s">
        <v>509</v>
      </c>
      <c r="H2262" s="258" t="s">
        <v>510</v>
      </c>
      <c r="I2262" s="258" t="s">
        <v>1107</v>
      </c>
      <c r="J2262" s="258" t="s">
        <v>210</v>
      </c>
      <c r="K2262" s="258" t="s">
        <v>211</v>
      </c>
      <c r="L2262" s="258" t="s">
        <v>212</v>
      </c>
      <c r="M2262" s="258" t="s">
        <v>213</v>
      </c>
      <c r="N2262" s="258" t="s">
        <v>214</v>
      </c>
      <c r="O2262" s="258" t="s">
        <v>215</v>
      </c>
      <c r="P2262" s="258" t="s">
        <v>216</v>
      </c>
      <c r="Q2262" s="258" t="s">
        <v>217</v>
      </c>
      <c r="R2262" s="242"/>
      <c r="S2262" s="179"/>
      <c r="T2262" s="179"/>
      <c r="V2262" s="179"/>
      <c r="W2262" s="179"/>
    </row>
    <row r="2263" spans="1:23" s="65" customFormat="1" ht="15" customHeight="1" outlineLevel="2">
      <c r="A2263" s="219"/>
      <c r="B2263" s="242"/>
      <c r="C2263" s="251" t="s">
        <v>1968</v>
      </c>
      <c r="D2263" s="242"/>
      <c r="E2263" s="242"/>
      <c r="F2263" s="121"/>
      <c r="G2263" s="251" t="s">
        <v>1377</v>
      </c>
      <c r="H2263" s="242"/>
      <c r="I2263" s="316">
        <f t="shared" ref="I2263:Q2264" ca="1" si="213">SUMPRODUCT(I$2069:I$2074,G.30.assumptions.EF.N2O)</f>
        <v>3.7953225923356975E-5</v>
      </c>
      <c r="J2263" s="316">
        <f t="shared" ca="1" si="213"/>
        <v>3.7749875924827679E-5</v>
      </c>
      <c r="K2263" s="316">
        <f t="shared" ca="1" si="213"/>
        <v>3.7478767345805084E-5</v>
      </c>
      <c r="L2263" s="316">
        <f t="shared" ca="1" si="213"/>
        <v>3.7188857565825857E-5</v>
      </c>
      <c r="M2263" s="316">
        <f t="shared" ca="1" si="213"/>
        <v>3.688014658488995E-5</v>
      </c>
      <c r="N2263" s="316">
        <f t="shared" ca="1" si="213"/>
        <v>3.6552634402997418E-5</v>
      </c>
      <c r="O2263" s="316">
        <f t="shared" ca="1" si="213"/>
        <v>3.6206321020148241E-5</v>
      </c>
      <c r="P2263" s="316">
        <f t="shared" ca="1" si="213"/>
        <v>3.5841206436342424E-5</v>
      </c>
      <c r="Q2263" s="316">
        <f t="shared" ca="1" si="213"/>
        <v>3.5457290651579942E-5</v>
      </c>
      <c r="R2263" s="242"/>
      <c r="S2263" s="179"/>
      <c r="T2263" s="179"/>
      <c r="V2263" s="179"/>
      <c r="W2263" s="179"/>
    </row>
    <row r="2264" spans="1:23" s="65" customFormat="1" ht="15" customHeight="1" outlineLevel="2">
      <c r="A2264" s="219"/>
      <c r="B2264" s="242"/>
      <c r="C2264" s="251" t="s">
        <v>2196</v>
      </c>
      <c r="D2264" s="242"/>
      <c r="E2264" s="242"/>
      <c r="F2264" s="121"/>
      <c r="G2264" s="251" t="s">
        <v>2185</v>
      </c>
      <c r="H2264" s="242"/>
      <c r="I2264" s="316">
        <f t="shared" ca="1" si="213"/>
        <v>3.7953225923356975E-5</v>
      </c>
      <c r="J2264" s="316">
        <f t="shared" ca="1" si="213"/>
        <v>3.7749875924827679E-5</v>
      </c>
      <c r="K2264" s="316">
        <f t="shared" ca="1" si="213"/>
        <v>3.7478767345805084E-5</v>
      </c>
      <c r="L2264" s="316">
        <f t="shared" ca="1" si="213"/>
        <v>3.7188857565825857E-5</v>
      </c>
      <c r="M2264" s="316">
        <f t="shared" ca="1" si="213"/>
        <v>3.688014658488995E-5</v>
      </c>
      <c r="N2264" s="316">
        <f t="shared" ca="1" si="213"/>
        <v>3.6552634402997418E-5</v>
      </c>
      <c r="O2264" s="316">
        <f t="shared" ca="1" si="213"/>
        <v>3.6206321020148241E-5</v>
      </c>
      <c r="P2264" s="316">
        <f t="shared" ca="1" si="213"/>
        <v>3.5841206436342424E-5</v>
      </c>
      <c r="Q2264" s="316">
        <f t="shared" ca="1" si="213"/>
        <v>3.5457290651579942E-5</v>
      </c>
      <c r="R2264" s="242"/>
      <c r="S2264" s="179"/>
      <c r="T2264" s="179"/>
      <c r="V2264" s="179"/>
      <c r="W2264" s="179"/>
    </row>
    <row r="2265" spans="1:23" s="65" customFormat="1" ht="15" customHeight="1" outlineLevel="2">
      <c r="A2265" s="219"/>
      <c r="B2265" s="242"/>
      <c r="C2265" s="251" t="s">
        <v>1969</v>
      </c>
      <c r="D2265" s="242"/>
      <c r="E2265" s="242"/>
      <c r="F2265" s="121"/>
      <c r="G2265" s="315" t="s">
        <v>1380</v>
      </c>
      <c r="H2265" s="242"/>
      <c r="I2265" s="316">
        <f t="shared" ref="I2265:Q2265" ca="1" si="214">SUMPRODUCT(I$2081:I$2086,G.30.assumptions.EF.N2O)</f>
        <v>2.8668259152441647E-5</v>
      </c>
      <c r="J2265" s="316">
        <f t="shared" ca="1" si="214"/>
        <v>3.0039608389588885E-5</v>
      </c>
      <c r="K2265" s="316">
        <f t="shared" ca="1" si="214"/>
        <v>3.1784555856992101E-5</v>
      </c>
      <c r="L2265" s="316">
        <f t="shared" ca="1" si="214"/>
        <v>3.3563682125472186E-5</v>
      </c>
      <c r="M2265" s="316">
        <f t="shared" ca="1" si="214"/>
        <v>3.5376987195029121E-5</v>
      </c>
      <c r="N2265" s="316">
        <f t="shared" ca="1" si="214"/>
        <v>3.7224471065662932E-5</v>
      </c>
      <c r="O2265" s="316">
        <f t="shared" ca="1" si="214"/>
        <v>3.9106133737373607E-5</v>
      </c>
      <c r="P2265" s="316">
        <f t="shared" ca="1" si="214"/>
        <v>4.1021975210161132E-5</v>
      </c>
      <c r="Q2265" s="316">
        <f t="shared" ca="1" si="214"/>
        <v>4.2971995484025527E-5</v>
      </c>
      <c r="R2265" s="242"/>
      <c r="S2265" s="179"/>
      <c r="T2265" s="179"/>
      <c r="V2265" s="179"/>
      <c r="W2265" s="179"/>
    </row>
    <row r="2266" spans="1:23" s="65" customFormat="1" ht="15" customHeight="1" outlineLevel="2">
      <c r="A2266" s="219"/>
      <c r="B2266" s="242"/>
      <c r="C2266" s="251" t="s">
        <v>1970</v>
      </c>
      <c r="D2266" s="242"/>
      <c r="E2266" s="242"/>
      <c r="F2266" s="121"/>
      <c r="G2266" s="315" t="s">
        <v>1625</v>
      </c>
      <c r="H2266" s="242"/>
      <c r="I2266" s="316">
        <f t="shared" ref="I2266:Q2266" ca="1" si="215">SUMPRODUCT(I$2087:I$2092,G.30.assumptions.EF.N2O)</f>
        <v>3.2481747566805245E-6</v>
      </c>
      <c r="J2266" s="316">
        <f t="shared" ca="1" si="215"/>
        <v>3.3667462483910712E-6</v>
      </c>
      <c r="K2266" s="316">
        <f t="shared" ca="1" si="215"/>
        <v>3.5173949782240336E-6</v>
      </c>
      <c r="L2266" s="316">
        <f t="shared" ca="1" si="215"/>
        <v>3.6707485582734113E-6</v>
      </c>
      <c r="M2266" s="316">
        <f t="shared" ca="1" si="215"/>
        <v>3.82680698853921E-6</v>
      </c>
      <c r="N2266" s="316">
        <f t="shared" ca="1" si="215"/>
        <v>3.9855702690214257E-6</v>
      </c>
      <c r="O2266" s="316">
        <f t="shared" ca="1" si="215"/>
        <v>4.147038399720063E-6</v>
      </c>
      <c r="P2266" s="316">
        <f t="shared" ca="1" si="215"/>
        <v>4.3112113806351168E-6</v>
      </c>
      <c r="Q2266" s="316">
        <f t="shared" ca="1" si="215"/>
        <v>4.4780892117665888E-6</v>
      </c>
      <c r="R2266" s="242"/>
      <c r="S2266" s="179"/>
      <c r="T2266" s="179"/>
      <c r="V2266" s="179"/>
      <c r="W2266" s="179"/>
    </row>
    <row r="2267" spans="1:23" s="65" customFormat="1" ht="15" customHeight="1" outlineLevel="2">
      <c r="A2267" s="219"/>
      <c r="B2267" s="242"/>
      <c r="C2267" s="251" t="s">
        <v>1971</v>
      </c>
      <c r="D2267" s="242"/>
      <c r="E2267" s="242"/>
      <c r="F2267" s="121"/>
      <c r="G2267" s="315" t="s">
        <v>1939</v>
      </c>
      <c r="H2267" s="242"/>
      <c r="I2267" s="316">
        <f t="shared" ref="I2267:Q2267" ca="1" si="216">SUMPRODUCT(I$2093:I$2098,G.30.assumptions.EF.N2O)</f>
        <v>1.0807538239004136E-6</v>
      </c>
      <c r="J2267" s="316">
        <f t="shared" ca="1" si="216"/>
        <v>1.1202057015459099E-6</v>
      </c>
      <c r="K2267" s="316">
        <f t="shared" ca="1" si="216"/>
        <v>1.1703305264180483E-6</v>
      </c>
      <c r="L2267" s="316">
        <f t="shared" ca="1" si="216"/>
        <v>1.2213553266404852E-6</v>
      </c>
      <c r="M2267" s="316">
        <f t="shared" ca="1" si="216"/>
        <v>1.2732801022132204E-6</v>
      </c>
      <c r="N2267" s="316">
        <f t="shared" ca="1" si="216"/>
        <v>1.3261048531362514E-6</v>
      </c>
      <c r="O2267" s="316">
        <f t="shared" ca="1" si="216"/>
        <v>1.3798295794095821E-6</v>
      </c>
      <c r="P2267" s="316">
        <f t="shared" ca="1" si="216"/>
        <v>1.4344542810332112E-6</v>
      </c>
      <c r="Q2267" s="316">
        <f t="shared" ca="1" si="216"/>
        <v>1.4899789580071365E-6</v>
      </c>
      <c r="R2267" s="242"/>
      <c r="S2267" s="179"/>
      <c r="T2267" s="179"/>
      <c r="V2267" s="179"/>
      <c r="W2267" s="179"/>
    </row>
    <row r="2268" spans="1:23" s="65" customFormat="1" ht="15" customHeight="1" outlineLevel="2">
      <c r="A2268" s="219"/>
      <c r="B2268" s="242"/>
      <c r="C2268" s="251" t="s">
        <v>1972</v>
      </c>
      <c r="D2268" s="242"/>
      <c r="E2268" s="242"/>
      <c r="F2268" s="121"/>
      <c r="G2268" s="315" t="s">
        <v>1940</v>
      </c>
      <c r="H2268" s="242"/>
      <c r="I2268" s="316">
        <f t="shared" ref="I2268:Q2268" ca="1" si="217">SUMPRODUCT(I$2099:I$2104,G.30.assumptions.EF.N2O)</f>
        <v>9.5319969958313822E-8</v>
      </c>
      <c r="J2268" s="316">
        <f t="shared" ca="1" si="217"/>
        <v>9.3999866193874127E-8</v>
      </c>
      <c r="K2268" s="316">
        <f t="shared" ca="1" si="217"/>
        <v>9.2284128301974176E-8</v>
      </c>
      <c r="L2268" s="316">
        <f t="shared" ca="1" si="217"/>
        <v>9.0495492425240426E-8</v>
      </c>
      <c r="M2268" s="316">
        <f t="shared" ca="1" si="217"/>
        <v>8.8633958563672863E-8</v>
      </c>
      <c r="N2268" s="316">
        <f t="shared" ca="1" si="217"/>
        <v>8.6699526717271513E-8</v>
      </c>
      <c r="O2268" s="316">
        <f t="shared" ca="1" si="217"/>
        <v>8.4692196886036404E-8</v>
      </c>
      <c r="P2268" s="316">
        <f t="shared" ca="1" si="217"/>
        <v>8.2611969069967495E-8</v>
      </c>
      <c r="Q2268" s="316">
        <f t="shared" ca="1" si="217"/>
        <v>8.0458843269064812E-8</v>
      </c>
      <c r="R2268" s="242"/>
      <c r="S2268" s="179"/>
      <c r="T2268" s="179"/>
      <c r="V2268" s="179"/>
      <c r="W2268" s="179"/>
    </row>
    <row r="2269" spans="1:23" s="65" customFormat="1" ht="15" customHeight="1" outlineLevel="2">
      <c r="A2269" s="219"/>
      <c r="B2269" s="242"/>
      <c r="C2269" s="251" t="s">
        <v>1973</v>
      </c>
      <c r="D2269" s="242"/>
      <c r="E2269" s="242"/>
      <c r="F2269" s="121"/>
      <c r="G2269" s="315" t="s">
        <v>1961</v>
      </c>
      <c r="H2269" s="242"/>
      <c r="I2269" s="316">
        <f t="shared" ref="I2269:Q2269" ca="1" si="218">SUMPRODUCT(I$2105:I$2110,G.30.assumptions.EF.N2O)</f>
        <v>7.7935540178262409E-5</v>
      </c>
      <c r="J2269" s="316">
        <f t="shared" ca="1" si="218"/>
        <v>7.8734879051885613E-5</v>
      </c>
      <c r="K2269" s="316">
        <f t="shared" ca="1" si="218"/>
        <v>7.9734052643914611E-5</v>
      </c>
      <c r="L2269" s="316">
        <f t="shared" ca="1" si="218"/>
        <v>8.0733226235943622E-5</v>
      </c>
      <c r="M2269" s="316">
        <f t="shared" ca="1" si="218"/>
        <v>8.1732399827972647E-5</v>
      </c>
      <c r="N2269" s="316">
        <f t="shared" ca="1" si="218"/>
        <v>8.2731573420001631E-5</v>
      </c>
      <c r="O2269" s="316">
        <f t="shared" ca="1" si="218"/>
        <v>8.373074701203067E-5</v>
      </c>
      <c r="P2269" s="316">
        <f t="shared" ca="1" si="218"/>
        <v>8.4729920604059667E-5</v>
      </c>
      <c r="Q2269" s="316">
        <f t="shared" ca="1" si="218"/>
        <v>8.5729094196088665E-5</v>
      </c>
      <c r="R2269" s="242"/>
      <c r="S2269" s="179"/>
      <c r="T2269" s="179"/>
      <c r="V2269" s="179"/>
      <c r="W2269" s="179"/>
    </row>
    <row r="2270" spans="1:23" s="65" customFormat="1" ht="15" customHeight="1" outlineLevel="2">
      <c r="A2270" s="219"/>
      <c r="B2270" s="242"/>
      <c r="C2270" s="251" t="s">
        <v>1974</v>
      </c>
      <c r="D2270" s="242"/>
      <c r="E2270" s="242"/>
      <c r="F2270" s="121"/>
      <c r="G2270" s="315" t="s">
        <v>1962</v>
      </c>
      <c r="H2270" s="242"/>
      <c r="I2270" s="316">
        <f t="shared" ref="I2270:Q2270" ca="1" si="219">SUMPRODUCT(I$2111:I$2116,G.30.assumptions.EF.N2O)</f>
        <v>5.6632958007176466E-6</v>
      </c>
      <c r="J2270" s="316">
        <f t="shared" ca="1" si="219"/>
        <v>5.7213808858532112E-6</v>
      </c>
      <c r="K2270" s="316">
        <f t="shared" ca="1" si="219"/>
        <v>5.7939872422726684E-6</v>
      </c>
      <c r="L2270" s="316">
        <f t="shared" ca="1" si="219"/>
        <v>5.8665935986921281E-6</v>
      </c>
      <c r="M2270" s="316">
        <f t="shared" ca="1" si="219"/>
        <v>5.9391999551115845E-6</v>
      </c>
      <c r="N2270" s="316">
        <f t="shared" ca="1" si="219"/>
        <v>6.0118063115310417E-6</v>
      </c>
      <c r="O2270" s="316">
        <f t="shared" ca="1" si="219"/>
        <v>6.0844126679504989E-6</v>
      </c>
      <c r="P2270" s="316">
        <f t="shared" ca="1" si="219"/>
        <v>6.1570190243699553E-6</v>
      </c>
      <c r="Q2270" s="316">
        <f t="shared" ca="1" si="219"/>
        <v>6.2296253807894116E-6</v>
      </c>
      <c r="R2270" s="242"/>
      <c r="S2270" s="179"/>
      <c r="T2270" s="179"/>
      <c r="V2270" s="179"/>
      <c r="W2270" s="179"/>
    </row>
    <row r="2271" spans="1:23" s="65" customFormat="1" ht="15" customHeight="1" outlineLevel="2">
      <c r="A2271" s="219"/>
      <c r="B2271" s="242"/>
      <c r="C2271" s="251" t="s">
        <v>1975</v>
      </c>
      <c r="D2271" s="242"/>
      <c r="E2271" s="242"/>
      <c r="F2271" s="121"/>
      <c r="G2271" s="315" t="s">
        <v>1963</v>
      </c>
      <c r="H2271" s="242"/>
      <c r="I2271" s="316">
        <f t="shared" ref="I2271:Q2271" ca="1" si="220">SUMPRODUCT(I$2117:I$2122,G.30.assumptions.EF.N2O)</f>
        <v>2.3285174936156825E-6</v>
      </c>
      <c r="J2271" s="316">
        <f t="shared" ca="1" si="220"/>
        <v>2.352399724319433E-6</v>
      </c>
      <c r="K2271" s="316">
        <f t="shared" ca="1" si="220"/>
        <v>2.3822525126991212E-6</v>
      </c>
      <c r="L2271" s="316">
        <f t="shared" ca="1" si="220"/>
        <v>2.4121053010788094E-6</v>
      </c>
      <c r="M2271" s="316">
        <f t="shared" ca="1" si="220"/>
        <v>2.4419580894584985E-6</v>
      </c>
      <c r="N2271" s="316">
        <f t="shared" ca="1" si="220"/>
        <v>2.4718108778381859E-6</v>
      </c>
      <c r="O2271" s="316">
        <f t="shared" ca="1" si="220"/>
        <v>2.5016636662178749E-6</v>
      </c>
      <c r="P2271" s="316">
        <f t="shared" ca="1" si="220"/>
        <v>2.5315164545975631E-6</v>
      </c>
      <c r="Q2271" s="316">
        <f t="shared" ca="1" si="220"/>
        <v>2.5613692429772513E-6</v>
      </c>
      <c r="R2271" s="242"/>
      <c r="S2271" s="179"/>
      <c r="T2271" s="179"/>
      <c r="V2271" s="179"/>
      <c r="W2271" s="179"/>
    </row>
    <row r="2272" spans="1:23" s="65" customFormat="1" ht="15" customHeight="1" outlineLevel="2">
      <c r="A2272" s="219"/>
      <c r="B2272" s="242"/>
      <c r="C2272" s="251" t="s">
        <v>1976</v>
      </c>
      <c r="D2272" s="242"/>
      <c r="E2272" s="242"/>
      <c r="F2272" s="121"/>
      <c r="G2272" s="251" t="s">
        <v>1964</v>
      </c>
      <c r="H2272" s="242"/>
      <c r="I2272" s="316">
        <f t="shared" ref="I2272:Q2272" ca="1" si="221">SUMPRODUCT(I$2123:I$2128,G.30.assumptions.EF.N2O)</f>
        <v>3.8106282049764645E-6</v>
      </c>
      <c r="J2272" s="316">
        <f t="shared" ca="1" si="221"/>
        <v>3.8497115711813518E-6</v>
      </c>
      <c r="K2272" s="316">
        <f t="shared" ca="1" si="221"/>
        <v>3.8985657789374558E-6</v>
      </c>
      <c r="L2272" s="316">
        <f t="shared" ca="1" si="221"/>
        <v>3.9474199866935726E-6</v>
      </c>
      <c r="M2272" s="316">
        <f t="shared" ca="1" si="221"/>
        <v>3.9962741944496775E-6</v>
      </c>
      <c r="N2272" s="316">
        <f t="shared" ca="1" si="221"/>
        <v>4.0451284022057807E-6</v>
      </c>
      <c r="O2272" s="316">
        <f t="shared" ca="1" si="221"/>
        <v>4.093982609961894E-6</v>
      </c>
      <c r="P2272" s="316">
        <f t="shared" ca="1" si="221"/>
        <v>4.1428368177180074E-6</v>
      </c>
      <c r="Q2272" s="316">
        <f t="shared" ca="1" si="221"/>
        <v>4.1916910254741106E-6</v>
      </c>
      <c r="R2272" s="242"/>
      <c r="S2272" s="179"/>
      <c r="T2272" s="179"/>
      <c r="V2272" s="179"/>
      <c r="W2272" s="179"/>
    </row>
    <row r="2273" spans="1:24" s="65" customFormat="1" ht="15" customHeight="1" outlineLevel="2">
      <c r="A2273" s="219"/>
      <c r="B2273" s="242"/>
      <c r="C2273" s="251" t="s">
        <v>1977</v>
      </c>
      <c r="D2273" s="242"/>
      <c r="E2273" s="242"/>
      <c r="F2273" s="121"/>
      <c r="G2273" s="315" t="s">
        <v>1954</v>
      </c>
      <c r="H2273" s="242"/>
      <c r="I2273" s="316">
        <f t="shared" ref="I2273:Q2273" ca="1" si="222">SUMPRODUCT(I$2129:I$2134,G.30.assumptions.EF.N2O)</f>
        <v>5.5311139219921046E-6</v>
      </c>
      <c r="J2273" s="316">
        <f t="shared" ca="1" si="222"/>
        <v>5.5878432955509985E-6</v>
      </c>
      <c r="K2273" s="316">
        <f t="shared" ca="1" si="222"/>
        <v>5.6587550124996137E-6</v>
      </c>
      <c r="L2273" s="316">
        <f t="shared" ca="1" si="222"/>
        <v>5.7296667294482332E-6</v>
      </c>
      <c r="M2273" s="316">
        <f t="shared" ca="1" si="222"/>
        <v>5.8005784463968484E-6</v>
      </c>
      <c r="N2273" s="316">
        <f t="shared" ca="1" si="222"/>
        <v>5.8714901633454662E-6</v>
      </c>
      <c r="O2273" s="316">
        <f t="shared" ca="1" si="222"/>
        <v>5.9424018802940832E-6</v>
      </c>
      <c r="P2273" s="316">
        <f t="shared" ca="1" si="222"/>
        <v>6.0133135972427001E-6</v>
      </c>
      <c r="Q2273" s="316">
        <f t="shared" ca="1" si="222"/>
        <v>6.0842253141913187E-6</v>
      </c>
      <c r="R2273" s="242"/>
      <c r="S2273" s="179"/>
      <c r="T2273" s="179"/>
      <c r="V2273" s="179"/>
      <c r="W2273" s="179"/>
    </row>
    <row r="2274" spans="1:24" s="65" customFormat="1" ht="15" customHeight="1" outlineLevel="2">
      <c r="A2274" s="219"/>
      <c r="B2274" s="242"/>
      <c r="C2274" s="251" t="s">
        <v>1978</v>
      </c>
      <c r="D2274" s="242"/>
      <c r="E2274" s="242"/>
      <c r="F2274" s="121"/>
      <c r="G2274" s="251" t="s">
        <v>1955</v>
      </c>
      <c r="H2274" s="242"/>
      <c r="I2274" s="316">
        <f t="shared" ref="I2274:Q2274" ca="1" si="223">SUMPRODUCT(I$2135:I$2140,G.30.assumptions.EF.N2O)</f>
        <v>4.8414290665203519E-6</v>
      </c>
      <c r="J2274" s="316">
        <f t="shared" ca="1" si="223"/>
        <v>4.8910847492538949E-6</v>
      </c>
      <c r="K2274" s="316">
        <f t="shared" ca="1" si="223"/>
        <v>4.953154352670822E-6</v>
      </c>
      <c r="L2274" s="316">
        <f t="shared" ca="1" si="223"/>
        <v>5.0152239560877517E-6</v>
      </c>
      <c r="M2274" s="316">
        <f t="shared" ca="1" si="223"/>
        <v>5.0772935595046763E-6</v>
      </c>
      <c r="N2274" s="316">
        <f t="shared" ca="1" si="223"/>
        <v>5.139363162921606E-6</v>
      </c>
      <c r="O2274" s="316">
        <f t="shared" ca="1" si="223"/>
        <v>5.201432766338534E-6</v>
      </c>
      <c r="P2274" s="316">
        <f t="shared" ca="1" si="223"/>
        <v>5.2635023697554603E-6</v>
      </c>
      <c r="Q2274" s="316">
        <f t="shared" ca="1" si="223"/>
        <v>5.3255719731723892E-6</v>
      </c>
      <c r="R2274" s="242"/>
      <c r="S2274" s="179"/>
      <c r="T2274" s="179"/>
      <c r="V2274" s="179"/>
      <c r="W2274" s="179"/>
    </row>
    <row r="2275" spans="1:24" s="65" customFormat="1" ht="15" customHeight="1" outlineLevel="2">
      <c r="A2275" s="219"/>
      <c r="B2275" s="242"/>
      <c r="C2275" s="251" t="s">
        <v>1979</v>
      </c>
      <c r="D2275" s="242"/>
      <c r="E2275" s="242"/>
      <c r="F2275" s="121"/>
      <c r="G2275" s="251" t="s">
        <v>1956</v>
      </c>
      <c r="H2275" s="242"/>
      <c r="I2275" s="316">
        <f t="shared" ref="I2275:Q2275" ca="1" si="224">SUMPRODUCT(I$2141:I$2146,G.30.assumptions.EF.N2O)</f>
        <v>5.9797383948775313E-7</v>
      </c>
      <c r="J2275" s="316">
        <f t="shared" ca="1" si="224"/>
        <v>6.0410690450814027E-7</v>
      </c>
      <c r="K2275" s="316">
        <f t="shared" ca="1" si="224"/>
        <v>6.1177323578362397E-7</v>
      </c>
      <c r="L2275" s="316">
        <f t="shared" ca="1" si="224"/>
        <v>6.1943956705910819E-7</v>
      </c>
      <c r="M2275" s="316">
        <f t="shared" ca="1" si="224"/>
        <v>6.2710589833459221E-7</v>
      </c>
      <c r="N2275" s="316">
        <f t="shared" ca="1" si="224"/>
        <v>6.3477222961007654E-7</v>
      </c>
      <c r="O2275" s="316">
        <f t="shared" ca="1" si="224"/>
        <v>6.4243856088556034E-7</v>
      </c>
      <c r="P2275" s="316">
        <f t="shared" ca="1" si="224"/>
        <v>6.5010489216104435E-7</v>
      </c>
      <c r="Q2275" s="316">
        <f t="shared" ca="1" si="224"/>
        <v>6.5777122343652805E-7</v>
      </c>
      <c r="R2275" s="242"/>
      <c r="S2275" s="179"/>
      <c r="T2275" s="179"/>
      <c r="V2275" s="179"/>
      <c r="W2275" s="179"/>
    </row>
    <row r="2276" spans="1:24" s="65" customFormat="1" ht="15" customHeight="1" outlineLevel="2">
      <c r="A2276" s="219"/>
      <c r="B2276" s="242"/>
      <c r="C2276" s="251" t="s">
        <v>1980</v>
      </c>
      <c r="D2276" s="242"/>
      <c r="E2276" s="242"/>
      <c r="F2276" s="121"/>
      <c r="G2276" s="251" t="s">
        <v>1426</v>
      </c>
      <c r="H2276" s="242"/>
      <c r="I2276" s="316">
        <f t="shared" ref="I2276:Q2276" ca="1" si="225">SUMPRODUCT(I$2147:I$2152,G.30.assumptions.EF.N2O)</f>
        <v>2.4684803041955774E-5</v>
      </c>
      <c r="J2276" s="316">
        <f t="shared" ca="1" si="225"/>
        <v>2.3914883872783932E-5</v>
      </c>
      <c r="K2276" s="316">
        <f t="shared" ca="1" si="225"/>
        <v>2.2923272126654073E-5</v>
      </c>
      <c r="L2276" s="316">
        <f t="shared" ca="1" si="225"/>
        <v>2.1899201730896417E-5</v>
      </c>
      <c r="M2276" s="316">
        <f t="shared" ca="1" si="225"/>
        <v>2.084267268551093E-5</v>
      </c>
      <c r="N2276" s="316">
        <f t="shared" ca="1" si="225"/>
        <v>1.9753684990497635E-5</v>
      </c>
      <c r="O2276" s="316">
        <f t="shared" ca="1" si="225"/>
        <v>1.8632238645856508E-5</v>
      </c>
      <c r="P2276" s="316">
        <f t="shared" ca="1" si="225"/>
        <v>1.7478333651587574E-5</v>
      </c>
      <c r="Q2276" s="316">
        <f t="shared" ca="1" si="225"/>
        <v>1.6291970007690809E-5</v>
      </c>
      <c r="R2276" s="242"/>
      <c r="S2276" s="179"/>
      <c r="T2276" s="179"/>
      <c r="V2276" s="179"/>
      <c r="W2276" s="179"/>
    </row>
    <row r="2277" spans="1:24" s="65" customFormat="1" ht="15" customHeight="1" outlineLevel="2">
      <c r="A2277" s="219"/>
      <c r="B2277" s="242"/>
      <c r="C2277" s="251" t="s">
        <v>1981</v>
      </c>
      <c r="D2277" s="242"/>
      <c r="E2277" s="242"/>
      <c r="F2277" s="121"/>
      <c r="G2277" s="251" t="s">
        <v>1457</v>
      </c>
      <c r="H2277" s="242"/>
      <c r="I2277" s="316">
        <f t="shared" ref="I2277:Q2277" ca="1" si="226">SUMPRODUCT(I$2153:I$2158,G.30.assumptions.EF.N2O)</f>
        <v>7.4606157504119065E-5</v>
      </c>
      <c r="J2277" s="316">
        <f t="shared" ca="1" si="226"/>
        <v>7.374479371773477E-5</v>
      </c>
      <c r="K2277" s="316">
        <f t="shared" ca="1" si="226"/>
        <v>7.2621645468546892E-5</v>
      </c>
      <c r="L2277" s="316">
        <f t="shared" ca="1" si="226"/>
        <v>7.144689331246177E-5</v>
      </c>
      <c r="M2277" s="316">
        <f t="shared" ca="1" si="226"/>
        <v>7.022053724947943E-5</v>
      </c>
      <c r="N2277" s="316">
        <f t="shared" ca="1" si="226"/>
        <v>6.8942577279599779E-5</v>
      </c>
      <c r="O2277" s="316">
        <f t="shared" ca="1" si="226"/>
        <v>6.7613013402822951E-5</v>
      </c>
      <c r="P2277" s="316">
        <f t="shared" ca="1" si="226"/>
        <v>6.6231845619148865E-5</v>
      </c>
      <c r="Q2277" s="316">
        <f t="shared" ca="1" si="226"/>
        <v>6.4799073928577548E-5</v>
      </c>
      <c r="R2277" s="242"/>
      <c r="S2277" s="179"/>
      <c r="T2277" s="179"/>
      <c r="V2277" s="179"/>
      <c r="W2277" s="179"/>
    </row>
    <row r="2278" spans="1:24" s="65" customFormat="1" ht="15" customHeight="1" outlineLevel="2">
      <c r="A2278" s="219"/>
      <c r="B2278" s="242"/>
      <c r="C2278" s="242"/>
      <c r="D2278" s="242"/>
      <c r="E2278" s="242"/>
      <c r="F2278" s="242"/>
      <c r="G2278" s="242"/>
      <c r="H2278" s="242"/>
      <c r="I2278" s="242"/>
      <c r="J2278" s="246"/>
      <c r="K2278" s="246"/>
      <c r="L2278" s="246"/>
      <c r="M2278" s="246"/>
      <c r="N2278" s="246"/>
      <c r="O2278" s="246"/>
      <c r="P2278" s="246"/>
      <c r="Q2278" s="246"/>
      <c r="R2278" s="242"/>
      <c r="S2278" s="179"/>
      <c r="T2278" s="179"/>
      <c r="V2278" s="179"/>
      <c r="W2278" s="179"/>
    </row>
    <row r="2279" spans="1:24" s="65" customFormat="1" ht="15" customHeight="1" outlineLevel="1">
      <c r="A2279" s="219"/>
      <c r="B2279" s="242"/>
      <c r="C2279" s="248" t="s">
        <v>1924</v>
      </c>
      <c r="D2279" s="242"/>
      <c r="E2279" s="242"/>
      <c r="F2279" s="242"/>
      <c r="G2279" s="242"/>
      <c r="H2279" s="242"/>
      <c r="I2279" s="242"/>
      <c r="J2279" s="246"/>
      <c r="K2279" s="246"/>
      <c r="L2279" s="246"/>
      <c r="M2279" s="246"/>
      <c r="N2279" s="246"/>
      <c r="O2279" s="246"/>
      <c r="P2279" s="246"/>
      <c r="Q2279" s="246" t="s">
        <v>511</v>
      </c>
      <c r="R2279" s="242"/>
      <c r="S2279" s="179"/>
      <c r="T2279" s="179"/>
      <c r="V2279" s="179"/>
      <c r="W2279" s="179"/>
    </row>
    <row r="2280" spans="1:24" s="65" customFormat="1" ht="15" customHeight="1" outlineLevel="2">
      <c r="A2280" s="219"/>
      <c r="B2280" s="242"/>
      <c r="C2280" s="244"/>
      <c r="D2280" s="242" t="s">
        <v>2197</v>
      </c>
      <c r="E2280" s="242"/>
      <c r="F2280" s="242"/>
      <c r="G2280" s="242" t="s">
        <v>2198</v>
      </c>
      <c r="H2280" s="242"/>
      <c r="I2280" s="242"/>
      <c r="J2280" s="260"/>
      <c r="K2280" s="246"/>
      <c r="L2280" s="246"/>
      <c r="M2280" s="246"/>
      <c r="N2280" s="246"/>
      <c r="O2280" s="246"/>
      <c r="P2280" s="246"/>
      <c r="Q2280" s="246"/>
      <c r="R2280" s="242"/>
      <c r="S2280" s="179"/>
      <c r="T2280" s="179"/>
      <c r="V2280" s="179"/>
      <c r="W2280" s="179"/>
    </row>
    <row r="2281" spans="1:24" s="65" customFormat="1" ht="15" customHeight="1" outlineLevel="2">
      <c r="A2281" s="219"/>
      <c r="B2281" s="242"/>
      <c r="C2281" s="242" t="s">
        <v>454</v>
      </c>
      <c r="D2281" s="242" t="s">
        <v>241</v>
      </c>
      <c r="E2281" s="242" t="s">
        <v>207</v>
      </c>
      <c r="F2281" s="242" t="s">
        <v>274</v>
      </c>
      <c r="G2281" s="242" t="s">
        <v>509</v>
      </c>
      <c r="H2281" s="242" t="s">
        <v>510</v>
      </c>
      <c r="I2281" s="183" t="s">
        <v>1107</v>
      </c>
      <c r="J2281" s="242" t="s">
        <v>210</v>
      </c>
      <c r="K2281" s="242" t="s">
        <v>211</v>
      </c>
      <c r="L2281" s="242" t="s">
        <v>212</v>
      </c>
      <c r="M2281" s="242" t="s">
        <v>213</v>
      </c>
      <c r="N2281" s="242" t="s">
        <v>214</v>
      </c>
      <c r="O2281" s="242" t="s">
        <v>215</v>
      </c>
      <c r="P2281" s="242" t="s">
        <v>216</v>
      </c>
      <c r="Q2281" s="121" t="s">
        <v>217</v>
      </c>
      <c r="R2281" s="242"/>
      <c r="S2281" s="179"/>
      <c r="T2281" s="179" t="str">
        <f>$T$6</f>
        <v>Source</v>
      </c>
      <c r="U2281" s="179" t="str">
        <f>$U$6</f>
        <v>Link</v>
      </c>
      <c r="V2281" s="179" t="str">
        <f>$V$6</f>
        <v>Risk (Green, Amber/Green, Amber, Red/Amber, Red)</v>
      </c>
      <c r="W2281" s="179" t="s">
        <v>869</v>
      </c>
      <c r="X2281" s="179" t="str">
        <f>$X$6</f>
        <v>Comment author</v>
      </c>
    </row>
    <row r="2282" spans="1:24" s="65" customFormat="1" ht="15" customHeight="1" outlineLevel="2">
      <c r="A2282" s="219"/>
      <c r="B2282" s="242"/>
      <c r="C2282" s="242"/>
      <c r="D2282" s="245" t="s">
        <v>1613</v>
      </c>
      <c r="E2282" s="242">
        <f ca="1">INDEX(G.30.Levers[],MATCH(G.30.assumptions.CCS[[#This Row],[.]],G.30.Levers[Lever code],0),4)</f>
        <v>1</v>
      </c>
      <c r="F2282" s="121"/>
      <c r="G2282" s="242" t="str">
        <f t="shared" ref="G2282:G2296" si="227">"CCS."&amp;LEFT(D2282,FIND("|",SUBSTITUTE(D2282,".","|",LEN(D2282)-LEN(SUBSTITUTE(D2282,".",""))))-1)</f>
        <v>CCS.Steel.Oxygen</v>
      </c>
      <c r="H2282" s="265"/>
      <c r="I2282" s="406">
        <f t="array" aca="1" ref="I2282"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2" s="406">
        <f t="array" aca="1" ref="J2282"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2" s="406">
        <f t="array" aca="1" ref="K2282"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2" s="406">
        <f t="array" aca="1" ref="L2282"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2" s="406">
        <f t="array" aca="1" ref="M2282"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2" s="406">
        <f t="array" aca="1" ref="N2282"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2" s="406">
        <f t="array" aca="1" ref="O2282"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2" s="406">
        <f t="array" aca="1" ref="P2282"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2" s="406">
        <f t="array" aca="1" ref="Q2282"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2" s="251"/>
      <c r="S2282" s="179"/>
      <c r="T2282" s="179"/>
      <c r="V2282" s="179"/>
      <c r="W2282" s="179"/>
    </row>
    <row r="2283" spans="1:24" s="65" customFormat="1" ht="15" customHeight="1" outlineLevel="2">
      <c r="A2283" s="219"/>
      <c r="B2283" s="242"/>
      <c r="C2283" s="242"/>
      <c r="D2283" s="245" t="s">
        <v>2182</v>
      </c>
      <c r="E2283" s="242">
        <f ca="1">INDEX(G.30.Levers[],MATCH(G.30.assumptions.CCS[[#This Row],[.]],G.30.Levers[Lever code],0),4)</f>
        <v>1</v>
      </c>
      <c r="F2283" s="121"/>
      <c r="G2283" s="242" t="str">
        <f t="shared" si="227"/>
        <v>CCS.Steel.OxygenHisarna</v>
      </c>
      <c r="H2283" s="265"/>
      <c r="I2283" s="406">
        <f t="array" aca="1" ref="I2283"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3" s="406">
        <f t="array" aca="1" ref="J2283"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3" s="406">
        <f t="array" aca="1" ref="K2283"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3" s="406">
        <f t="array" aca="1" ref="L2283"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3" s="406">
        <f t="array" aca="1" ref="M2283"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3" s="406">
        <f t="array" aca="1" ref="N2283"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3" s="406">
        <f t="array" aca="1" ref="O2283"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3" s="406">
        <f t="array" aca="1" ref="P2283"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3" s="406">
        <f t="array" aca="1" ref="Q2283"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3" s="251"/>
      <c r="S2283" s="179"/>
      <c r="T2283" s="179"/>
      <c r="V2283" s="179"/>
      <c r="W2283" s="179"/>
    </row>
    <row r="2284" spans="1:24" s="65" customFormat="1" ht="15" customHeight="1" outlineLevel="2">
      <c r="A2284" s="219"/>
      <c r="B2284" s="242"/>
      <c r="C2284" s="242"/>
      <c r="D2284" s="245" t="s">
        <v>1614</v>
      </c>
      <c r="E2284" s="242">
        <f ca="1">INDEX(G.30.Levers[],MATCH(G.30.assumptions.CCS[[#This Row],[.]],G.30.Levers[Lever code],0),4)</f>
        <v>1</v>
      </c>
      <c r="F2284" s="121"/>
      <c r="G2284" s="242" t="str">
        <f t="shared" si="227"/>
        <v>CCS.Steel.Electric</v>
      </c>
      <c r="H2284" s="265"/>
      <c r="I2284" s="406">
        <f t="array" aca="1" ref="I2284"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4" s="406">
        <f t="array" aca="1" ref="J2284"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4" s="406">
        <f t="array" aca="1" ref="K2284"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4" s="406">
        <f t="array" aca="1" ref="L2284"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4" s="406">
        <f t="array" aca="1" ref="M2284"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4" s="406">
        <f t="array" aca="1" ref="N2284"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4" s="406">
        <f t="array" aca="1" ref="O2284"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4" s="406">
        <f t="array" aca="1" ref="P2284"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4" s="406">
        <f t="array" aca="1" ref="Q2284"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4" s="315"/>
      <c r="S2284" s="179"/>
      <c r="T2284" s="179"/>
      <c r="V2284" s="179"/>
      <c r="W2284" s="179"/>
    </row>
    <row r="2285" spans="1:24" s="65" customFormat="1" ht="15" customHeight="1" outlineLevel="2">
      <c r="A2285" s="219"/>
      <c r="B2285" s="242"/>
      <c r="C2285" s="242"/>
      <c r="D2285" s="245" t="s">
        <v>2003</v>
      </c>
      <c r="E2285" s="242">
        <f ca="1">INDEX(G.30.Levers[],MATCH(G.30.assumptions.CCS[[#This Row],[.]],G.30.Levers[Lever code],0),4)</f>
        <v>1</v>
      </c>
      <c r="F2285" s="121"/>
      <c r="G2285" s="242" t="str">
        <f t="shared" si="227"/>
        <v>CCS.Aluminium.Alumina</v>
      </c>
      <c r="H2285" s="265"/>
      <c r="I2285" s="406">
        <f t="array" aca="1" ref="I2285"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5" s="406">
        <f t="array" aca="1" ref="J2285"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5" s="406">
        <f t="array" aca="1" ref="K2285"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5" s="406">
        <f t="array" aca="1" ref="L2285"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5" s="406">
        <f t="array" aca="1" ref="M2285"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5" s="406">
        <f t="array" aca="1" ref="N2285"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5" s="406">
        <f t="array" aca="1" ref="O2285"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5" s="406">
        <f t="array" aca="1" ref="P2285"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5" s="406">
        <f t="array" aca="1" ref="Q2285"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5" s="315"/>
      <c r="T2285" s="179"/>
      <c r="U2285" s="179"/>
      <c r="W2285" s="179"/>
      <c r="X2285" s="179"/>
    </row>
    <row r="2286" spans="1:24" s="65" customFormat="1" ht="15" customHeight="1" outlineLevel="2">
      <c r="A2286" s="219"/>
      <c r="B2286" s="242"/>
      <c r="C2286" s="242"/>
      <c r="D2286" s="245" t="s">
        <v>1925</v>
      </c>
      <c r="E2286" s="242">
        <f ca="1">INDEX(G.30.Levers[],MATCH(G.30.assumptions.CCS[[#This Row],[.]],G.30.Levers[Lever code],0),4)</f>
        <v>1</v>
      </c>
      <c r="F2286" s="121"/>
      <c r="G2286" s="242" t="str">
        <f t="shared" si="227"/>
        <v>CCS.Aluminium.Primary</v>
      </c>
      <c r="H2286" s="265"/>
      <c r="I2286" s="406">
        <f t="array" aca="1" ref="I2286"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6" s="406">
        <f t="array" aca="1" ref="J2286"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6" s="406">
        <f t="array" aca="1" ref="K2286"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6" s="406">
        <f t="array" aca="1" ref="L2286"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6" s="406">
        <f t="array" aca="1" ref="M2286"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6" s="406">
        <f t="array" aca="1" ref="N2286"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6" s="406">
        <f t="array" aca="1" ref="O2286"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6" s="406">
        <f t="array" aca="1" ref="P2286"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6" s="406">
        <f t="array" aca="1" ref="Q2286"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6" s="315"/>
      <c r="T2286" s="179"/>
      <c r="U2286" s="179"/>
      <c r="W2286" s="179"/>
      <c r="X2286" s="179"/>
    </row>
    <row r="2287" spans="1:24" s="65" customFormat="1" ht="15" customHeight="1" outlineLevel="2">
      <c r="A2287" s="219"/>
      <c r="B2287" s="242"/>
      <c r="C2287" s="242"/>
      <c r="D2287" s="245" t="s">
        <v>2004</v>
      </c>
      <c r="E2287" s="242">
        <f ca="1">INDEX(G.30.Levers[],MATCH(G.30.assumptions.CCS[[#This Row],[.]],G.30.Levers[Lever code],0),4)</f>
        <v>1</v>
      </c>
      <c r="F2287" s="121"/>
      <c r="G2287" s="242" t="str">
        <f t="shared" si="227"/>
        <v>CCS.Aluminium.Secondary</v>
      </c>
      <c r="H2287" s="265"/>
      <c r="I2287" s="406">
        <f t="array" aca="1" ref="I2287"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7" s="406">
        <f t="array" aca="1" ref="J2287"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7" s="406">
        <f t="array" aca="1" ref="K2287"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7" s="406">
        <f t="array" aca="1" ref="L2287"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7" s="406">
        <f t="array" aca="1" ref="M2287"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7" s="406">
        <f t="array" aca="1" ref="N2287"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7" s="406">
        <f t="array" aca="1" ref="O2287"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7" s="406">
        <f t="array" aca="1" ref="P2287"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7" s="406">
        <f t="array" aca="1" ref="Q2287"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7" s="251"/>
      <c r="S2287" s="179"/>
      <c r="T2287" s="179"/>
      <c r="V2287" s="179"/>
      <c r="W2287" s="179"/>
    </row>
    <row r="2288" spans="1:24" s="65" customFormat="1" ht="15" customHeight="1" outlineLevel="2">
      <c r="A2288" s="219"/>
      <c r="B2288" s="242"/>
      <c r="C2288" s="242"/>
      <c r="D2288" s="245" t="s">
        <v>1821</v>
      </c>
      <c r="E2288" s="242">
        <f ca="1">INDEX(G.30.Levers[],MATCH(G.30.assumptions.CCS[[#This Row],[.]],G.30.Levers[Lever code],0),4)</f>
        <v>1</v>
      </c>
      <c r="F2288" s="121"/>
      <c r="G2288" s="242" t="str">
        <f t="shared" si="227"/>
        <v>CCS.Chemicals &amp; petrochemicals.HighValueChemicals</v>
      </c>
      <c r="H2288" s="265"/>
      <c r="I2288" s="406">
        <f t="array" aca="1" ref="I2288"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8" s="406">
        <f t="array" aca="1" ref="J2288"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8" s="406">
        <f t="array" aca="1" ref="K2288"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8" s="406">
        <f t="array" aca="1" ref="L2288"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8" s="406">
        <f t="array" aca="1" ref="M2288"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8" s="406">
        <f t="array" aca="1" ref="N2288"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8" s="406">
        <f t="array" aca="1" ref="O2288"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8" s="406">
        <f t="array" aca="1" ref="P2288"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8" s="406">
        <f t="array" aca="1" ref="Q2288"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8" s="251"/>
      <c r="S2288" s="179"/>
      <c r="T2288" s="179"/>
      <c r="V2288" s="179"/>
      <c r="W2288" s="179"/>
    </row>
    <row r="2289" spans="1:24" s="65" customFormat="1" ht="15" customHeight="1" outlineLevel="2">
      <c r="A2289" s="219"/>
      <c r="B2289" s="242"/>
      <c r="C2289" s="242"/>
      <c r="D2289" s="245" t="s">
        <v>1827</v>
      </c>
      <c r="E2289" s="242">
        <f ca="1">INDEX(G.30.Levers[],MATCH(G.30.assumptions.CCS[[#This Row],[.]],G.30.Levers[Lever code],0),4)</f>
        <v>1</v>
      </c>
      <c r="F2289" s="121"/>
      <c r="G2289" s="242" t="str">
        <f t="shared" si="227"/>
        <v>CCS.Chemicals &amp; petrochemicals.Ammonia</v>
      </c>
      <c r="H2289" s="265"/>
      <c r="I2289" s="406">
        <f t="array" aca="1" ref="I2289"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89" s="406">
        <f t="array" aca="1" ref="J2289"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89" s="406">
        <f t="array" aca="1" ref="K2289"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89" s="406">
        <f t="array" aca="1" ref="L2289"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89" s="406">
        <f t="array" aca="1" ref="M2289"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89" s="406">
        <f t="array" aca="1" ref="N2289"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89" s="406">
        <f t="array" aca="1" ref="O2289"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89" s="406">
        <f t="array" aca="1" ref="P2289"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89" s="406">
        <f t="array" aca="1" ref="Q2289"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89" s="251"/>
      <c r="S2289" s="179"/>
      <c r="T2289" s="179"/>
      <c r="V2289" s="179"/>
      <c r="W2289" s="179"/>
    </row>
    <row r="2290" spans="1:24" s="65" customFormat="1" ht="15" customHeight="1" outlineLevel="2">
      <c r="A2290" s="219"/>
      <c r="B2290" s="242"/>
      <c r="C2290" s="242"/>
      <c r="D2290" s="245" t="s">
        <v>1928</v>
      </c>
      <c r="E2290" s="242">
        <f ca="1">INDEX(G.30.Levers[],MATCH(G.30.assumptions.CCS[[#This Row],[.]],G.30.Levers[Lever code],0),4)</f>
        <v>1</v>
      </c>
      <c r="F2290" s="121"/>
      <c r="G2290" s="242" t="str">
        <f t="shared" si="227"/>
        <v>CCS.Chemicals &amp; petrochemicals.Methanol</v>
      </c>
      <c r="H2290" s="265"/>
      <c r="I2290" s="406">
        <f t="array" aca="1" ref="I2290"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0" s="406">
        <f t="array" aca="1" ref="J2290"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0" s="406">
        <f t="array" aca="1" ref="K2290"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0" s="406">
        <f t="array" aca="1" ref="L2290"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0" s="406">
        <f t="array" aca="1" ref="M2290"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0" s="406">
        <f t="array" aca="1" ref="N2290"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0" s="406">
        <f t="array" aca="1" ref="O2290"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0" s="406">
        <f t="array" aca="1" ref="P2290"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0" s="406">
        <f t="array" aca="1" ref="Q2290"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0" s="251"/>
      <c r="S2290" s="179"/>
      <c r="T2290" s="179"/>
      <c r="V2290" s="179"/>
      <c r="W2290" s="179"/>
    </row>
    <row r="2291" spans="1:24" s="65" customFormat="1" ht="15" customHeight="1" outlineLevel="2">
      <c r="A2291" s="219"/>
      <c r="B2291" s="242"/>
      <c r="C2291" s="242"/>
      <c r="D2291" s="245" t="s">
        <v>1929</v>
      </c>
      <c r="E2291" s="242">
        <f ca="1">INDEX(G.30.Levers[],MATCH(G.30.assumptions.CCS[[#This Row],[.]],G.30.Levers[Lever code],0),4)</f>
        <v>1</v>
      </c>
      <c r="F2291" s="121"/>
      <c r="G2291" s="242" t="str">
        <f t="shared" si="227"/>
        <v>CCS.Chemicals &amp; petrochemicals.Others</v>
      </c>
      <c r="H2291" s="265"/>
      <c r="I2291" s="406">
        <f t="array" aca="1" ref="I2291"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1" s="406">
        <f t="array" aca="1" ref="J2291"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1" s="406">
        <f t="array" aca="1" ref="K2291"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1" s="406">
        <f t="array" aca="1" ref="L2291"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1" s="406">
        <f t="array" aca="1" ref="M2291"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1" s="406">
        <f t="array" aca="1" ref="N2291"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1" s="406">
        <f t="array" aca="1" ref="O2291"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1" s="406">
        <f t="array" aca="1" ref="P2291"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1" s="406">
        <f t="array" aca="1" ref="Q2291"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1" s="251"/>
      <c r="S2291" s="179"/>
      <c r="T2291" s="179"/>
      <c r="V2291" s="179"/>
      <c r="W2291" s="179"/>
    </row>
    <row r="2292" spans="1:24" s="65" customFormat="1" ht="15" customHeight="1" outlineLevel="2">
      <c r="A2292" s="219"/>
      <c r="B2292" s="242"/>
      <c r="C2292" s="242"/>
      <c r="D2292" s="245" t="s">
        <v>1930</v>
      </c>
      <c r="E2292" s="242">
        <f ca="1">INDEX(G.30.Levers[],MATCH(G.30.assumptions.CCS[[#This Row],[.]],G.30.Levers[Lever code],0),4)</f>
        <v>1</v>
      </c>
      <c r="F2292" s="121"/>
      <c r="G2292" s="242" t="str">
        <f t="shared" si="227"/>
        <v>CCS.Pulp &amp; paper.Pulp</v>
      </c>
      <c r="H2292" s="265"/>
      <c r="I2292" s="406">
        <f t="array" aca="1" ref="I2292"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2" s="406">
        <f t="array" aca="1" ref="J2292"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2" s="406">
        <f t="array" aca="1" ref="K2292"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2" s="406">
        <f t="array" aca="1" ref="L2292"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2" s="406">
        <f t="array" aca="1" ref="M2292"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2" s="406">
        <f t="array" aca="1" ref="N2292"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2" s="406">
        <f t="array" aca="1" ref="O2292"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2" s="406">
        <f t="array" aca="1" ref="P2292"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2" s="406">
        <f t="array" aca="1" ref="Q2292"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2" s="251"/>
      <c r="S2292" s="179"/>
      <c r="T2292" s="179"/>
      <c r="V2292" s="179"/>
      <c r="W2292" s="179"/>
    </row>
    <row r="2293" spans="1:24" s="65" customFormat="1" ht="15" customHeight="1" outlineLevel="2">
      <c r="A2293" s="219"/>
      <c r="B2293" s="242"/>
      <c r="C2293" s="242"/>
      <c r="D2293" s="245" t="s">
        <v>1931</v>
      </c>
      <c r="E2293" s="242">
        <f ca="1">INDEX(G.30.Levers[],MATCH(G.30.assumptions.CCS[[#This Row],[.]],G.30.Levers[Lever code],0),4)</f>
        <v>1</v>
      </c>
      <c r="F2293" s="121"/>
      <c r="G2293" s="242" t="str">
        <f t="shared" si="227"/>
        <v>CCS.Pulp &amp; paper.Virgin</v>
      </c>
      <c r="H2293" s="265"/>
      <c r="I2293" s="406">
        <f t="array" aca="1" ref="I2293"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3" s="406">
        <f t="array" aca="1" ref="J2293"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3" s="406">
        <f t="array" aca="1" ref="K2293"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3" s="406">
        <f t="array" aca="1" ref="L2293"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3" s="406">
        <f t="array" aca="1" ref="M2293"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3" s="406">
        <f t="array" aca="1" ref="N2293"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3" s="406">
        <f t="array" aca="1" ref="O2293"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3" s="406">
        <f t="array" aca="1" ref="P2293"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3" s="406">
        <f t="array" aca="1" ref="Q2293"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3" s="251"/>
      <c r="S2293" s="179"/>
      <c r="T2293" s="179"/>
      <c r="V2293" s="179"/>
      <c r="W2293" s="179"/>
    </row>
    <row r="2294" spans="1:24" s="65" customFormat="1" ht="15" customHeight="1" outlineLevel="2">
      <c r="A2294" s="219"/>
      <c r="B2294" s="242"/>
      <c r="C2294" s="242"/>
      <c r="D2294" s="245" t="s">
        <v>1932</v>
      </c>
      <c r="E2294" s="242">
        <f ca="1">INDEX(G.30.Levers[],MATCH(G.30.assumptions.CCS[[#This Row],[.]],G.30.Levers[Lever code],0),4)</f>
        <v>1</v>
      </c>
      <c r="F2294" s="121"/>
      <c r="G2294" s="242" t="str">
        <f t="shared" si="227"/>
        <v>CCS.Pulp &amp; paper.Recycled</v>
      </c>
      <c r="H2294" s="265"/>
      <c r="I2294" s="406">
        <f t="array" aca="1" ref="I2294"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4" s="406">
        <f t="array" aca="1" ref="J2294"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4" s="406">
        <f t="array" aca="1" ref="K2294"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4" s="406">
        <f t="array" aca="1" ref="L2294"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4" s="406">
        <f t="array" aca="1" ref="M2294"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4" s="406">
        <f t="array" aca="1" ref="N2294"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4" s="406">
        <f t="array" aca="1" ref="O2294"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4" s="406">
        <f t="array" aca="1" ref="P2294"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4" s="406">
        <f t="array" aca="1" ref="Q2294"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4" s="251"/>
      <c r="S2294" s="179"/>
      <c r="T2294" s="179"/>
      <c r="V2294" s="179"/>
      <c r="W2294" s="179"/>
    </row>
    <row r="2295" spans="1:24" s="65" customFormat="1" ht="15" customHeight="1" outlineLevel="2">
      <c r="A2295" s="219"/>
      <c r="B2295" s="242"/>
      <c r="C2295" s="242"/>
      <c r="D2295" s="245" t="s">
        <v>2005</v>
      </c>
      <c r="E2295" s="242">
        <f ca="1">INDEX(G.30.Levers[],MATCH(G.30.assumptions.CCS[[#This Row],[.]],G.30.Levers[Lever code],0),4)</f>
        <v>1</v>
      </c>
      <c r="F2295" s="121"/>
      <c r="G2295" s="242" t="str">
        <f t="shared" si="227"/>
        <v>CCS.Cement</v>
      </c>
      <c r="H2295" s="265"/>
      <c r="I2295" s="406">
        <f t="array" aca="1" ref="I2295"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5" s="406">
        <f t="array" aca="1" ref="J2295"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5" s="406">
        <f t="array" aca="1" ref="K2295"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5" s="406">
        <f t="array" aca="1" ref="L2295"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5" s="406">
        <f t="array" aca="1" ref="M2295"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5" s="406">
        <f t="array" aca="1" ref="N2295"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5" s="406">
        <f t="array" aca="1" ref="O2295"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5" s="406">
        <f t="array" aca="1" ref="P2295"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5" s="406">
        <f t="array" aca="1" ref="Q2295"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5" s="251"/>
      <c r="S2295" s="179"/>
      <c r="T2295" s="179"/>
      <c r="V2295" s="179"/>
      <c r="W2295" s="179"/>
    </row>
    <row r="2296" spans="1:24" s="65" customFormat="1" ht="15" customHeight="1" outlineLevel="2">
      <c r="A2296" s="219"/>
      <c r="B2296" s="242"/>
      <c r="C2296" s="242"/>
      <c r="D2296" s="245" t="s">
        <v>1933</v>
      </c>
      <c r="E2296" s="242">
        <f ca="1">INDEX(G.30.Levers[],MATCH(G.30.assumptions.CCS[[#This Row],[.]],G.30.Levers[Lever code],0),4)</f>
        <v>1</v>
      </c>
      <c r="F2296" s="121"/>
      <c r="G2296" s="242" t="str">
        <f t="shared" si="227"/>
        <v>CCS.Other industries</v>
      </c>
      <c r="H2296" s="265"/>
      <c r="I2296" s="406">
        <f t="array" aca="1" ref="I2296" ca="1">(SUMIFS(INDIRECT("G.30.levels.CCS["&amp;I$2281&amp;"]"),
               G.30.levels.CCS[[Description]:[Description]],G.30.assumptions.CCS[[#This Row],[Description]:[Description]],
               G.30.levels.CCS[[Level]:[Level]],ROUNDDOWN(G.30.assumptions.CCS[[#This Row],[Level]:[Level]],0))*(1-MOD(G.30.assumptions.CCS[[#This Row],[Level]:[Level]],1)))
+(SUMIFS(INDIRECT("G.30.levels.CCS["&amp;I$2281&amp;"]"),
               G.30.levels.CCS[[Description]:[Description]],G.30.assumptions.CCS[[#This Row],[Description]:[Description]],
               G.30.levels.CCS[[Level]:[Level]],ROUNDUP(G.30.assumptions.CCS[[#This Row],[Level]:[Level]],0))*MOD(G.30.assumptions.CCS[[#This Row],[Level]:[Level]],1))</f>
        <v>0</v>
      </c>
      <c r="J2296" s="406">
        <f t="array" aca="1" ref="J2296" ca="1">(SUMIFS(INDIRECT("G.30.levels.CCS["&amp;J$2281&amp;"]"),
               G.30.levels.CCS[[Description]:[Description]],G.30.assumptions.CCS[[#This Row],[Description]:[Description]],
               G.30.levels.CCS[[Level]:[Level]],ROUNDDOWN(G.30.assumptions.CCS[[#This Row],[Level]:[Level]],0))*(1-MOD(G.30.assumptions.CCS[[#This Row],[Level]:[Level]],1)))
+(SUMIFS(INDIRECT("G.30.levels.CCS["&amp;J$2281&amp;"]"),
               G.30.levels.CCS[[Description]:[Description]],G.30.assumptions.CCS[[#This Row],[Description]:[Description]],
               G.30.levels.CCS[[Level]:[Level]],ROUNDUP(G.30.assumptions.CCS[[#This Row],[Level]:[Level]],0))*MOD(G.30.assumptions.CCS[[#This Row],[Level]:[Level]],1))</f>
        <v>0</v>
      </c>
      <c r="K2296" s="406">
        <f t="array" aca="1" ref="K2296" ca="1">(SUMIFS(INDIRECT("G.30.levels.CCS["&amp;K$2281&amp;"]"),
               G.30.levels.CCS[[Description]:[Description]],G.30.assumptions.CCS[[#This Row],[Description]:[Description]],
               G.30.levels.CCS[[Level]:[Level]],ROUNDDOWN(G.30.assumptions.CCS[[#This Row],[Level]:[Level]],0))*(1-MOD(G.30.assumptions.CCS[[#This Row],[Level]:[Level]],1)))
+(SUMIFS(INDIRECT("G.30.levels.CCS["&amp;K$2281&amp;"]"),
               G.30.levels.CCS[[Description]:[Description]],G.30.assumptions.CCS[[#This Row],[Description]:[Description]],
               G.30.levels.CCS[[Level]:[Level]],ROUNDUP(G.30.assumptions.CCS[[#This Row],[Level]:[Level]],0))*MOD(G.30.assumptions.CCS[[#This Row],[Level]:[Level]],1))</f>
        <v>0</v>
      </c>
      <c r="L2296" s="406">
        <f t="array" aca="1" ref="L2296" ca="1">(SUMIFS(INDIRECT("G.30.levels.CCS["&amp;L$2281&amp;"]"),
               G.30.levels.CCS[[Description]:[Description]],G.30.assumptions.CCS[[#This Row],[Description]:[Description]],
               G.30.levels.CCS[[Level]:[Level]],ROUNDDOWN(G.30.assumptions.CCS[[#This Row],[Level]:[Level]],0))*(1-MOD(G.30.assumptions.CCS[[#This Row],[Level]:[Level]],1)))
+(SUMIFS(INDIRECT("G.30.levels.CCS["&amp;L$2281&amp;"]"),
               G.30.levels.CCS[[Description]:[Description]],G.30.assumptions.CCS[[#This Row],[Description]:[Description]],
               G.30.levels.CCS[[Level]:[Level]],ROUNDUP(G.30.assumptions.CCS[[#This Row],[Level]:[Level]],0))*MOD(G.30.assumptions.CCS[[#This Row],[Level]:[Level]],1))</f>
        <v>0</v>
      </c>
      <c r="M2296" s="406">
        <f t="array" aca="1" ref="M2296" ca="1">(SUMIFS(INDIRECT("G.30.levels.CCS["&amp;M$2281&amp;"]"),
               G.30.levels.CCS[[Description]:[Description]],G.30.assumptions.CCS[[#This Row],[Description]:[Description]],
               G.30.levels.CCS[[Level]:[Level]],ROUNDDOWN(G.30.assumptions.CCS[[#This Row],[Level]:[Level]],0))*(1-MOD(G.30.assumptions.CCS[[#This Row],[Level]:[Level]],1)))
+(SUMIFS(INDIRECT("G.30.levels.CCS["&amp;M$2281&amp;"]"),
               G.30.levels.CCS[[Description]:[Description]],G.30.assumptions.CCS[[#This Row],[Description]:[Description]],
               G.30.levels.CCS[[Level]:[Level]],ROUNDUP(G.30.assumptions.CCS[[#This Row],[Level]:[Level]],0))*MOD(G.30.assumptions.CCS[[#This Row],[Level]:[Level]],1))</f>
        <v>0</v>
      </c>
      <c r="N2296" s="406">
        <f t="array" aca="1" ref="N2296" ca="1">(SUMIFS(INDIRECT("G.30.levels.CCS["&amp;N$2281&amp;"]"),
               G.30.levels.CCS[[Description]:[Description]],G.30.assumptions.CCS[[#This Row],[Description]:[Description]],
               G.30.levels.CCS[[Level]:[Level]],ROUNDDOWN(G.30.assumptions.CCS[[#This Row],[Level]:[Level]],0))*(1-MOD(G.30.assumptions.CCS[[#This Row],[Level]:[Level]],1)))
+(SUMIFS(INDIRECT("G.30.levels.CCS["&amp;N$2281&amp;"]"),
               G.30.levels.CCS[[Description]:[Description]],G.30.assumptions.CCS[[#This Row],[Description]:[Description]],
               G.30.levels.CCS[[Level]:[Level]],ROUNDUP(G.30.assumptions.CCS[[#This Row],[Level]:[Level]],0))*MOD(G.30.assumptions.CCS[[#This Row],[Level]:[Level]],1))</f>
        <v>0</v>
      </c>
      <c r="O2296" s="406">
        <f t="array" aca="1" ref="O2296" ca="1">(SUMIFS(INDIRECT("G.30.levels.CCS["&amp;O$2281&amp;"]"),
               G.30.levels.CCS[[Description]:[Description]],G.30.assumptions.CCS[[#This Row],[Description]:[Description]],
               G.30.levels.CCS[[Level]:[Level]],ROUNDDOWN(G.30.assumptions.CCS[[#This Row],[Level]:[Level]],0))*(1-MOD(G.30.assumptions.CCS[[#This Row],[Level]:[Level]],1)))
+(SUMIFS(INDIRECT("G.30.levels.CCS["&amp;O$2281&amp;"]"),
               G.30.levels.CCS[[Description]:[Description]],G.30.assumptions.CCS[[#This Row],[Description]:[Description]],
               G.30.levels.CCS[[Level]:[Level]],ROUNDUP(G.30.assumptions.CCS[[#This Row],[Level]:[Level]],0))*MOD(G.30.assumptions.CCS[[#This Row],[Level]:[Level]],1))</f>
        <v>0</v>
      </c>
      <c r="P2296" s="406">
        <f t="array" aca="1" ref="P2296" ca="1">(SUMIFS(INDIRECT("G.30.levels.CCS["&amp;P$2281&amp;"]"),
               G.30.levels.CCS[[Description]:[Description]],G.30.assumptions.CCS[[#This Row],[Description]:[Description]],
               G.30.levels.CCS[[Level]:[Level]],ROUNDDOWN(G.30.assumptions.CCS[[#This Row],[Level]:[Level]],0))*(1-MOD(G.30.assumptions.CCS[[#This Row],[Level]:[Level]],1)))
+(SUMIFS(INDIRECT("G.30.levels.CCS["&amp;P$2281&amp;"]"),
               G.30.levels.CCS[[Description]:[Description]],G.30.assumptions.CCS[[#This Row],[Description]:[Description]],
               G.30.levels.CCS[[Level]:[Level]],ROUNDUP(G.30.assumptions.CCS[[#This Row],[Level]:[Level]],0))*MOD(G.30.assumptions.CCS[[#This Row],[Level]:[Level]],1))</f>
        <v>0</v>
      </c>
      <c r="Q2296" s="406">
        <f t="array" aca="1" ref="Q2296" ca="1">(SUMIFS(INDIRECT("G.30.levels.CCS["&amp;Q$2281&amp;"]"),
               G.30.levels.CCS[[Description]:[Description]],G.30.assumptions.CCS[[#This Row],[Description]:[Description]],
               G.30.levels.CCS[[Level]:[Level]],ROUNDDOWN(G.30.assumptions.CCS[[#This Row],[Level]:[Level]],0))*(1-MOD(G.30.assumptions.CCS[[#This Row],[Level]:[Level]],1)))
+(SUMIFS(INDIRECT("G.30.levels.CCS["&amp;Q$2281&amp;"]"),
               G.30.levels.CCS[[Description]:[Description]],G.30.assumptions.CCS[[#This Row],[Description]:[Description]],
               G.30.levels.CCS[[Level]:[Level]],ROUNDUP(G.30.assumptions.CCS[[#This Row],[Level]:[Level]],0))*MOD(G.30.assumptions.CCS[[#This Row],[Level]:[Level]],1))</f>
        <v>0</v>
      </c>
      <c r="R2296" s="251"/>
      <c r="S2296" s="179"/>
      <c r="T2296" s="179"/>
      <c r="V2296" s="179"/>
      <c r="W2296" s="179"/>
    </row>
    <row r="2297" spans="1:24" s="65" customFormat="1" ht="15" customHeight="1" outlineLevel="2">
      <c r="A2297" s="219"/>
      <c r="B2297" s="242"/>
      <c r="C2297" s="242"/>
      <c r="D2297" s="242"/>
      <c r="E2297" s="300"/>
      <c r="F2297" s="121"/>
      <c r="G2297" s="242"/>
      <c r="H2297" s="265"/>
      <c r="I2297" s="421"/>
      <c r="J2297" s="422"/>
      <c r="K2297" s="422"/>
      <c r="L2297" s="422"/>
      <c r="M2297" s="422"/>
      <c r="N2297" s="422"/>
      <c r="O2297" s="422"/>
      <c r="P2297" s="422"/>
      <c r="Q2297" s="422"/>
      <c r="R2297" s="251"/>
      <c r="S2297" s="179"/>
      <c r="T2297" s="179"/>
      <c r="V2297" s="179"/>
      <c r="W2297" s="179"/>
    </row>
    <row r="2298" spans="1:24" s="65" customFormat="1" ht="15" customHeight="1" outlineLevel="2">
      <c r="A2298" s="219"/>
      <c r="B2298" s="242"/>
      <c r="C2298" s="242"/>
      <c r="D2298" s="242"/>
      <c r="E2298" s="242"/>
      <c r="F2298" s="242"/>
      <c r="G2298" s="242"/>
      <c r="H2298" s="242"/>
      <c r="I2298" s="242"/>
      <c r="J2298" s="242"/>
      <c r="K2298" s="242"/>
      <c r="L2298" s="242"/>
      <c r="M2298" s="242"/>
      <c r="N2298" s="242"/>
      <c r="O2298" s="242"/>
      <c r="P2298" s="242"/>
      <c r="Q2298" s="242"/>
      <c r="R2298" s="251"/>
      <c r="S2298" s="179"/>
      <c r="T2298" s="179"/>
      <c r="V2298" s="179"/>
      <c r="W2298" s="179"/>
    </row>
    <row r="2299" spans="1:24" s="65" customFormat="1" ht="15" customHeight="1" outlineLevel="2">
      <c r="A2299" s="219"/>
      <c r="B2299" s="242"/>
      <c r="C2299" s="248" t="s">
        <v>1657</v>
      </c>
      <c r="D2299" s="242"/>
      <c r="E2299" s="242"/>
      <c r="F2299" s="242"/>
      <c r="G2299" s="242"/>
      <c r="H2299" s="242"/>
      <c r="I2299" s="242"/>
      <c r="J2299" s="249"/>
      <c r="K2299" s="249"/>
      <c r="L2299" s="249"/>
      <c r="M2299" s="249"/>
      <c r="N2299" s="249"/>
      <c r="O2299" s="249"/>
      <c r="P2299" s="249"/>
      <c r="Q2299" s="323" t="str">
        <f>Preferences.energy</f>
        <v>EJ</v>
      </c>
      <c r="R2299" s="251"/>
      <c r="S2299" s="179"/>
      <c r="T2299" s="179"/>
      <c r="V2299" s="179"/>
      <c r="W2299" s="179"/>
    </row>
    <row r="2300" spans="1:24" s="65" customFormat="1" ht="15" customHeight="1" outlineLevel="2">
      <c r="A2300" s="219"/>
      <c r="B2300" s="242"/>
      <c r="C2300" s="248"/>
      <c r="D2300" s="242"/>
      <c r="E2300" s="242"/>
      <c r="F2300" s="242"/>
      <c r="G2300" s="242"/>
      <c r="H2300" s="242"/>
      <c r="I2300" s="242"/>
      <c r="J2300" s="260"/>
      <c r="K2300" s="249"/>
      <c r="L2300" s="249"/>
      <c r="M2300" s="249"/>
      <c r="N2300" s="249"/>
      <c r="O2300" s="249"/>
      <c r="P2300" s="249"/>
      <c r="Q2300" s="249"/>
      <c r="R2300" s="251"/>
      <c r="S2300" s="179"/>
      <c r="T2300" s="179"/>
      <c r="V2300" s="179"/>
      <c r="W2300" s="179"/>
    </row>
    <row r="2301" spans="1:24" s="65" customFormat="1" ht="15" customHeight="1" outlineLevel="2">
      <c r="A2301" s="219"/>
      <c r="B2301" s="242"/>
      <c r="C2301" s="258" t="s">
        <v>454</v>
      </c>
      <c r="D2301" s="258" t="s">
        <v>241</v>
      </c>
      <c r="E2301" s="258" t="s">
        <v>598</v>
      </c>
      <c r="F2301" s="258" t="s">
        <v>274</v>
      </c>
      <c r="G2301" s="258" t="s">
        <v>509</v>
      </c>
      <c r="H2301" s="258" t="s">
        <v>510</v>
      </c>
      <c r="I2301" s="258" t="s">
        <v>1107</v>
      </c>
      <c r="J2301" s="258" t="s">
        <v>210</v>
      </c>
      <c r="K2301" s="258" t="s">
        <v>211</v>
      </c>
      <c r="L2301" s="258" t="s">
        <v>212</v>
      </c>
      <c r="M2301" s="258" t="s">
        <v>213</v>
      </c>
      <c r="N2301" s="258" t="s">
        <v>214</v>
      </c>
      <c r="O2301" s="258" t="s">
        <v>215</v>
      </c>
      <c r="P2301" s="258" t="s">
        <v>216</v>
      </c>
      <c r="Q2301" s="258" t="s">
        <v>217</v>
      </c>
      <c r="R2301" s="251"/>
      <c r="S2301" s="179"/>
      <c r="T2301" s="179" t="str">
        <f>$T$6</f>
        <v>Source</v>
      </c>
      <c r="U2301" s="179" t="str">
        <f>$U$6</f>
        <v>Link</v>
      </c>
      <c r="V2301" s="179" t="str">
        <f>$V$6</f>
        <v>Risk (Green, Amber/Green, Amber, Red/Amber, Red)</v>
      </c>
      <c r="W2301" s="179" t="s">
        <v>869</v>
      </c>
      <c r="X2301" s="179" t="str">
        <f>$X$6</f>
        <v>Comment author</v>
      </c>
    </row>
    <row r="2302" spans="1:24" s="65" customFormat="1" ht="15" customHeight="1" outlineLevel="2">
      <c r="A2302" s="219"/>
      <c r="B2302" s="242"/>
      <c r="C2302" s="242" t="s">
        <v>1376</v>
      </c>
      <c r="D2302" s="121" t="str">
        <f>INDEX(Regional.Technologies[Description],MATCH($B$2&amp;"."&amp;G.30.assumptions.EnergyDemandAfterCCS[[#This Row],[Technology code]],Regional.Technologies[Code],0))</f>
        <v>Global Electricity use in the Oxygen steel technology</v>
      </c>
      <c r="E2302" s="242"/>
      <c r="F2302" s="121" t="s">
        <v>1377</v>
      </c>
      <c r="G2302" s="256"/>
      <c r="H2302" s="242" t="s">
        <v>24</v>
      </c>
      <c r="I2302" s="308">
        <f t="array" aca="1" ref="I230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2.3089557437005142</v>
      </c>
      <c r="J2302" s="308">
        <f t="array" aca="1" ref="J230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2.296584564817489</v>
      </c>
      <c r="K2302" s="308">
        <f t="array" aca="1" ref="K230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2.2800911654957865</v>
      </c>
      <c r="L2302" s="308">
        <f t="array" aca="1" ref="L230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2.2624539598208386</v>
      </c>
      <c r="M2302" s="308">
        <f t="array" aca="1" ref="M230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2.243672947792644</v>
      </c>
      <c r="N2302" s="308">
        <f t="array" aca="1" ref="N230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2.223748129411204</v>
      </c>
      <c r="O2302" s="308">
        <f t="array" aca="1" ref="O230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2.2026795046765182</v>
      </c>
      <c r="P2302" s="308">
        <f t="array" aca="1" ref="P230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2.1804670735885865</v>
      </c>
      <c r="Q2302" s="308">
        <f t="array" aca="1" ref="Q230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2.1571108361474076</v>
      </c>
      <c r="R2302" s="248"/>
      <c r="S2302" s="179"/>
      <c r="T2302" s="179"/>
      <c r="V2302" s="179"/>
      <c r="W2302" s="179"/>
    </row>
    <row r="2303" spans="1:24" s="65" customFormat="1" ht="15" customHeight="1" outlineLevel="2">
      <c r="A2303" s="219"/>
      <c r="B2303" s="242"/>
      <c r="C2303" s="251" t="s">
        <v>1798</v>
      </c>
      <c r="D2303" s="121" t="str">
        <f>INDEX(Regional.Technologies[Description],MATCH($B$2&amp;"."&amp;G.30.assumptions.EnergyDemandAfterCCS[[#This Row],[Technology code]],Regional.Technologies[Code],0))</f>
        <v>Global Coal use in the Oxygen steel technology</v>
      </c>
      <c r="E2303" s="242"/>
      <c r="F2303" s="121" t="s">
        <v>1377</v>
      </c>
      <c r="G2303" s="242"/>
      <c r="H2303" s="242"/>
      <c r="I2303" s="308">
        <f t="array" aca="1" ref="I230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12.811296723305107</v>
      </c>
      <c r="J2303" s="308">
        <f t="array" aca="1" ref="J230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12.74265493841169</v>
      </c>
      <c r="K2303" s="308">
        <f t="array" aca="1" ref="K230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12.651140913830325</v>
      </c>
      <c r="L2303" s="308">
        <f t="array" aca="1" ref="L230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12.553280452066092</v>
      </c>
      <c r="M2303" s="308">
        <f t="array" aca="1" ref="M230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12.449073553118971</v>
      </c>
      <c r="N2303" s="308">
        <f t="array" aca="1" ref="N230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12.338520216988986</v>
      </c>
      <c r="O2303" s="308">
        <f t="array" aca="1" ref="O230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12.22162044367612</v>
      </c>
      <c r="P2303" s="308">
        <f t="array" aca="1" ref="P230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12.09837423318038</v>
      </c>
      <c r="Q2303" s="308">
        <f t="array" aca="1" ref="Q230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11.968781585501759</v>
      </c>
      <c r="R2303" s="248"/>
      <c r="S2303" s="179"/>
      <c r="T2303" s="179"/>
      <c r="V2303" s="179"/>
      <c r="W2303" s="179"/>
    </row>
    <row r="2304" spans="1:24" s="65" customFormat="1" ht="15" customHeight="1" outlineLevel="2">
      <c r="A2304" s="219"/>
      <c r="B2304" s="242"/>
      <c r="C2304" s="251" t="s">
        <v>1799</v>
      </c>
      <c r="D2304" s="121" t="str">
        <f>INDEX(Regional.Technologies[Description],MATCH($B$2&amp;"."&amp;G.30.assumptions.EnergyDemandAfterCCS[[#This Row],[Technology code]],Regional.Technologies[Code],0))</f>
        <v>Global Oil use in the Oxygen steel technology</v>
      </c>
      <c r="E2304" s="242"/>
      <c r="F2304" s="121" t="s">
        <v>1377</v>
      </c>
      <c r="G2304" s="242"/>
      <c r="H2304" s="242"/>
      <c r="I2304" s="308">
        <f t="array" aca="1" ref="I230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0.6053795859240001</v>
      </c>
      <c r="J2304" s="308">
        <f t="array" aca="1" ref="J230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0.60213601611109646</v>
      </c>
      <c r="K2304" s="308">
        <f t="array" aca="1" ref="K230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0.59781165117725454</v>
      </c>
      <c r="L2304" s="308">
        <f t="array" aca="1" ref="L230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0.5931873943903988</v>
      </c>
      <c r="M2304" s="308">
        <f t="array" aca="1" ref="M230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0.58826324575052924</v>
      </c>
      <c r="N2304" s="308">
        <f t="array" aca="1" ref="N230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0.58303920525764585</v>
      </c>
      <c r="O2304" s="308">
        <f t="array" aca="1" ref="O230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0.57751527291174864</v>
      </c>
      <c r="P2304" s="308">
        <f t="array" aca="1" ref="P230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0.57169144871283772</v>
      </c>
      <c r="Q2304" s="308">
        <f t="array" aca="1" ref="Q230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0.56556773266091265</v>
      </c>
      <c r="R2304" s="248"/>
      <c r="S2304" s="179"/>
      <c r="T2304" s="179"/>
      <c r="V2304" s="179"/>
      <c r="W2304" s="179"/>
    </row>
    <row r="2305" spans="1:23" s="65" customFormat="1" ht="15" customHeight="1" outlineLevel="2">
      <c r="A2305" s="219"/>
      <c r="B2305" s="242"/>
      <c r="C2305" s="251" t="s">
        <v>1800</v>
      </c>
      <c r="D2305" s="121" t="str">
        <f>INDEX(Regional.Technologies[Description],MATCH($B$2&amp;"."&amp;G.30.assumptions.EnergyDemandAfterCCS[[#This Row],[Technology code]],Regional.Technologies[Code],0))</f>
        <v>Global Natural Gas use in the Oxygen steel technology</v>
      </c>
      <c r="E2305" s="242"/>
      <c r="F2305" s="121" t="s">
        <v>1377</v>
      </c>
      <c r="G2305" s="242"/>
      <c r="H2305" s="242"/>
      <c r="I2305" s="308">
        <f t="array" aca="1" ref="I230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1.0517591114635856</v>
      </c>
      <c r="J2305" s="308">
        <f t="array" aca="1" ref="J230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1.0461238799762498</v>
      </c>
      <c r="K2305" s="308">
        <f t="array" aca="1" ref="K230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1.0386109239298094</v>
      </c>
      <c r="L2305" s="308">
        <f t="array" aca="1" ref="L230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1.030576949341949</v>
      </c>
      <c r="M2305" s="308">
        <f t="array" aca="1" ref="M230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1.0220219562126687</v>
      </c>
      <c r="N2305" s="308">
        <f t="array" aca="1" ref="N230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1.0129459445419791</v>
      </c>
      <c r="O2305" s="308">
        <f t="array" aca="1" ref="O230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1.0033489143298713</v>
      </c>
      <c r="P2305" s="308">
        <f t="array" aca="1" ref="P230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0.9932308655763471</v>
      </c>
      <c r="Q2305" s="308">
        <f t="array" aca="1" ref="Q230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0.9825917982814083</v>
      </c>
      <c r="R2305" s="248"/>
      <c r="S2305" s="179"/>
      <c r="T2305" s="179"/>
      <c r="V2305" s="179"/>
      <c r="W2305" s="179"/>
    </row>
    <row r="2306" spans="1:23" s="65" customFormat="1" ht="15" customHeight="1" outlineLevel="2">
      <c r="A2306" s="219"/>
      <c r="B2306" s="242"/>
      <c r="C2306" s="251" t="s">
        <v>1802</v>
      </c>
      <c r="D2306" s="121" t="str">
        <f>INDEX(Regional.Technologies[Description],MATCH($B$2&amp;"."&amp;G.30.assumptions.EnergyDemandAfterCCS[[#This Row],[Technology code]],Regional.Technologies[Code],0))</f>
        <v>Global Solid Hydrocarbons use in the Oxygen steel technology</v>
      </c>
      <c r="E2306" s="242"/>
      <c r="F2306" s="121" t="s">
        <v>1377</v>
      </c>
      <c r="G2306" s="242"/>
      <c r="H2306" s="242"/>
      <c r="I2306" s="308">
        <f t="array" aca="1" ref="I230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0.17590630860000006</v>
      </c>
      <c r="J2306" s="308">
        <f t="array" aca="1" ref="J230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0.17496381829186816</v>
      </c>
      <c r="K2306" s="308">
        <f t="array" aca="1" ref="K230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0.17370727927033774</v>
      </c>
      <c r="L2306" s="308">
        <f t="array" aca="1" ref="L230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0.17236360009729013</v>
      </c>
      <c r="M2306" s="308">
        <f t="array" aca="1" ref="M230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0.1709327807727252</v>
      </c>
      <c r="N2306" s="308">
        <f t="array" aca="1" ref="N230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0.16941482129664301</v>
      </c>
      <c r="O2306" s="308">
        <f t="array" aca="1" ref="O230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0.16780972166904359</v>
      </c>
      <c r="P2306" s="308">
        <f t="array" aca="1" ref="P230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0.16611748188992692</v>
      </c>
      <c r="Q2306" s="308">
        <f t="array" aca="1" ref="Q230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0.16433810195929288</v>
      </c>
      <c r="R2306" s="248"/>
      <c r="S2306" s="179"/>
      <c r="T2306" s="179"/>
      <c r="V2306" s="179"/>
      <c r="W2306" s="179"/>
    </row>
    <row r="2307" spans="1:23" s="65" customFormat="1" ht="15" customHeight="1" outlineLevel="2">
      <c r="A2307" s="219"/>
      <c r="B2307" s="242"/>
      <c r="C2307" s="251" t="s">
        <v>1635</v>
      </c>
      <c r="D2307" s="121" t="str">
        <f>INDEX(Regional.Technologies[Description],MATCH($B$2&amp;"."&amp;G.30.assumptions.EnergyDemandAfterCCS[[#This Row],[Technology code]],Regional.Technologies[Code],0))</f>
        <v>Global Heat use in the Oxygen steel technology</v>
      </c>
      <c r="E2307" s="242"/>
      <c r="F2307" s="121" t="s">
        <v>1377</v>
      </c>
      <c r="G2307" s="242"/>
      <c r="H2307" s="242"/>
      <c r="I2307" s="308">
        <f t="array" aca="1" ref="I230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0.80340865264799999</v>
      </c>
      <c r="J2307" s="308">
        <f t="array" aca="1" ref="J230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0.7991040607626011</v>
      </c>
      <c r="K2307" s="308">
        <f t="array" aca="1" ref="K230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0.79336512888277322</v>
      </c>
      <c r="L2307" s="308">
        <f t="array" aca="1" ref="L230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0.78722820586619091</v>
      </c>
      <c r="M2307" s="308">
        <f t="array" aca="1" ref="M230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0.78069329171285384</v>
      </c>
      <c r="N2307" s="308">
        <f t="array" aca="1" ref="N230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0.77376038642276201</v>
      </c>
      <c r="O2307" s="308">
        <f t="array" aca="1" ref="O230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0.76642948999591576</v>
      </c>
      <c r="P2307" s="308">
        <f t="array" aca="1" ref="P230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0.75870060243231485</v>
      </c>
      <c r="Q2307" s="308">
        <f t="array" aca="1" ref="Q230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0.75057372373195896</v>
      </c>
      <c r="R2307" s="248"/>
      <c r="S2307" s="179"/>
      <c r="T2307" s="179"/>
      <c r="V2307" s="179"/>
      <c r="W2307" s="179"/>
    </row>
    <row r="2308" spans="1:23" s="65" customFormat="1" ht="15" customHeight="1" outlineLevel="2">
      <c r="A2308" s="219"/>
      <c r="B2308" s="242"/>
      <c r="C2308" s="242" t="s">
        <v>2053</v>
      </c>
      <c r="D2308" s="121" t="str">
        <f>INDEX(Regional.Technologies[Description],MATCH($B$2&amp;"."&amp;G.30.assumptions.EnergyDemandAfterCCS[[#This Row],[Technology code]],Regional.Technologies[Code],0))</f>
        <v>Global Electricity use in the Hisarna Oxygen steel technology</v>
      </c>
      <c r="E2308" s="242"/>
      <c r="F2308" s="121" t="s">
        <v>2185</v>
      </c>
      <c r="G2308" s="256"/>
      <c r="H2308" s="242" t="s">
        <v>24</v>
      </c>
      <c r="I2308" s="308">
        <f t="array" aca="1" ref="I230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08" s="308">
        <f t="array" aca="1" ref="J230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-8.0502011307048707E-24</v>
      </c>
      <c r="K2308" s="308">
        <f t="array" aca="1" ref="K230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08" s="308">
        <f t="array" aca="1" ref="L230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-1.6100402261409741E-23</v>
      </c>
      <c r="M2308" s="308">
        <f t="array" aca="1" ref="M230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1.6100402261409741E-23</v>
      </c>
      <c r="N2308" s="308">
        <f t="array" aca="1" ref="N230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08" s="308">
        <f t="array" aca="1" ref="O230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8.0502011307048707E-24</v>
      </c>
      <c r="P2308" s="308">
        <f t="array" aca="1" ref="P230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1.6100402261409741E-23</v>
      </c>
      <c r="Q2308" s="308">
        <f t="array" aca="1" ref="Q230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-8.0502011307048707E-24</v>
      </c>
      <c r="R2308" s="248"/>
      <c r="S2308" s="179"/>
      <c r="T2308" s="179"/>
      <c r="V2308" s="179"/>
      <c r="W2308" s="179"/>
    </row>
    <row r="2309" spans="1:23" s="65" customFormat="1" ht="15" customHeight="1" outlineLevel="2">
      <c r="A2309" s="219"/>
      <c r="B2309" s="242"/>
      <c r="C2309" s="251" t="s">
        <v>2054</v>
      </c>
      <c r="D2309" s="121" t="str">
        <f>INDEX(Regional.Technologies[Description],MATCH($B$2&amp;"."&amp;G.30.assumptions.EnergyDemandAfterCCS[[#This Row],[Technology code]],Regional.Technologies[Code],0))</f>
        <v>Global Coal use in the Hisarna Oxygen steel technology</v>
      </c>
      <c r="E2309" s="242"/>
      <c r="F2309" s="121" t="s">
        <v>2185</v>
      </c>
      <c r="G2309" s="242"/>
      <c r="H2309" s="242"/>
      <c r="I2309" s="308">
        <f t="array" aca="1" ref="I230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09" s="308">
        <f t="array" aca="1" ref="J230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09" s="308">
        <f t="array" aca="1" ref="K230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09" s="308">
        <f t="array" aca="1" ref="L230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09" s="308">
        <f t="array" aca="1" ref="M230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09" s="308">
        <f t="array" aca="1" ref="N230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09" s="308">
        <f t="array" aca="1" ref="O230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09" s="308">
        <f t="array" aca="1" ref="P230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09" s="308">
        <f t="array" aca="1" ref="Q230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09" s="248"/>
      <c r="S2309" s="179"/>
      <c r="T2309" s="179"/>
      <c r="V2309" s="179"/>
      <c r="W2309" s="179"/>
    </row>
    <row r="2310" spans="1:23" s="65" customFormat="1" ht="15" customHeight="1" outlineLevel="2">
      <c r="A2310" s="219"/>
      <c r="B2310" s="242"/>
      <c r="C2310" s="251" t="s">
        <v>2055</v>
      </c>
      <c r="D2310" s="121" t="str">
        <f>INDEX(Regional.Technologies[Description],MATCH($B$2&amp;"."&amp;G.30.assumptions.EnergyDemandAfterCCS[[#This Row],[Technology code]],Regional.Technologies[Code],0))</f>
        <v>Global Oil use in the Hisarna Oxygen steel technology</v>
      </c>
      <c r="E2310" s="242"/>
      <c r="F2310" s="121" t="s">
        <v>2185</v>
      </c>
      <c r="G2310" s="242"/>
      <c r="H2310" s="242"/>
      <c r="I2310" s="308">
        <f t="array" aca="1" ref="I231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0" s="308">
        <f t="array" aca="1" ref="J231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0" s="308">
        <f t="array" aca="1" ref="K231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0" s="308">
        <f t="array" aca="1" ref="L231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0" s="308">
        <f t="array" aca="1" ref="M231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0" s="308">
        <f t="array" aca="1" ref="N231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0" s="308">
        <f t="array" aca="1" ref="O231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0" s="308">
        <f t="array" aca="1" ref="P231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0" s="308">
        <f t="array" aca="1" ref="Q231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0" s="248"/>
      <c r="S2310" s="179"/>
      <c r="T2310" s="179"/>
      <c r="V2310" s="179"/>
      <c r="W2310" s="179"/>
    </row>
    <row r="2311" spans="1:23" s="65" customFormat="1" ht="15" customHeight="1" outlineLevel="2">
      <c r="A2311" s="219"/>
      <c r="B2311" s="242"/>
      <c r="C2311" s="251" t="s">
        <v>2056</v>
      </c>
      <c r="D2311" s="121" t="str">
        <f>INDEX(Regional.Technologies[Description],MATCH($B$2&amp;"."&amp;G.30.assumptions.EnergyDemandAfterCCS[[#This Row],[Technology code]],Regional.Technologies[Code],0))</f>
        <v>Global Natural Gas use in the Hisarna Oxygen steel technology</v>
      </c>
      <c r="E2311" s="242"/>
      <c r="F2311" s="121" t="s">
        <v>2185</v>
      </c>
      <c r="G2311" s="242"/>
      <c r="H2311" s="242"/>
      <c r="I2311" s="308">
        <f t="array" aca="1" ref="I231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1" s="308">
        <f t="array" aca="1" ref="J231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1" s="308">
        <f t="array" aca="1" ref="K231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1" s="308">
        <f t="array" aca="1" ref="L231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1" s="308">
        <f t="array" aca="1" ref="M231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1" s="308">
        <f t="array" aca="1" ref="N231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1" s="308">
        <f t="array" aca="1" ref="O231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1" s="308">
        <f t="array" aca="1" ref="P231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1" s="308">
        <f t="array" aca="1" ref="Q231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1" s="248"/>
      <c r="S2311" s="179"/>
      <c r="T2311" s="179"/>
      <c r="V2311" s="179"/>
      <c r="W2311" s="179"/>
    </row>
    <row r="2312" spans="1:23" s="65" customFormat="1" ht="15" customHeight="1" outlineLevel="2">
      <c r="A2312" s="219"/>
      <c r="B2312" s="242"/>
      <c r="C2312" s="251" t="s">
        <v>2057</v>
      </c>
      <c r="D2312" s="121" t="str">
        <f>INDEX(Regional.Technologies[Description],MATCH($B$2&amp;"."&amp;G.30.assumptions.EnergyDemandAfterCCS[[#This Row],[Technology code]],Regional.Technologies[Code],0))</f>
        <v>Global Solid Hydrocarbons use in the Hisarna Oxygen steel technology</v>
      </c>
      <c r="E2312" s="242"/>
      <c r="F2312" s="121" t="s">
        <v>2185</v>
      </c>
      <c r="G2312" s="242"/>
      <c r="H2312" s="242"/>
      <c r="I2312" s="308">
        <f t="array" aca="1" ref="I231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2" s="308">
        <f t="array" aca="1" ref="J231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2" s="308">
        <f t="array" aca="1" ref="K231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2" s="308">
        <f t="array" aca="1" ref="L231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2" s="308">
        <f t="array" aca="1" ref="M231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2" s="308">
        <f t="array" aca="1" ref="N231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2" s="308">
        <f t="array" aca="1" ref="O231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2" s="308">
        <f t="array" aca="1" ref="P231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2" s="308">
        <f t="array" aca="1" ref="Q231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2" s="248"/>
      <c r="S2312" s="179"/>
      <c r="T2312" s="179"/>
      <c r="V2312" s="179"/>
      <c r="W2312" s="179"/>
    </row>
    <row r="2313" spans="1:23" s="65" customFormat="1" ht="15" customHeight="1" outlineLevel="2">
      <c r="A2313" s="219"/>
      <c r="B2313" s="242"/>
      <c r="C2313" s="251" t="s">
        <v>2058</v>
      </c>
      <c r="D2313" s="121" t="str">
        <f>INDEX(Regional.Technologies[Description],MATCH($B$2&amp;"."&amp;G.30.assumptions.EnergyDemandAfterCCS[[#This Row],[Technology code]],Regional.Technologies[Code],0))</f>
        <v>Global Heat use in the Hisarna Oxygen steel technology</v>
      </c>
      <c r="E2313" s="242"/>
      <c r="F2313" s="121" t="s">
        <v>2185</v>
      </c>
      <c r="G2313" s="242"/>
      <c r="H2313" s="242"/>
      <c r="I2313" s="308">
        <f t="array" aca="1" ref="I231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3" s="308">
        <f t="array" aca="1" ref="J231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3" s="308">
        <f t="array" aca="1" ref="K231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3" s="308">
        <f t="array" aca="1" ref="L231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3" s="308">
        <f t="array" aca="1" ref="M231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3" s="308">
        <f t="array" aca="1" ref="N231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3" s="308">
        <f t="array" aca="1" ref="O231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3" s="308">
        <f t="array" aca="1" ref="P231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3" s="308">
        <f t="array" aca="1" ref="Q231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3" s="248"/>
      <c r="S2313" s="179"/>
      <c r="T2313" s="179"/>
      <c r="V2313" s="179"/>
      <c r="W2313" s="179"/>
    </row>
    <row r="2314" spans="1:23" s="65" customFormat="1" ht="15" customHeight="1" outlineLevel="2">
      <c r="A2314" s="219"/>
      <c r="B2314" s="242"/>
      <c r="C2314" s="251" t="s">
        <v>1379</v>
      </c>
      <c r="D2314" s="121" t="str">
        <f>INDEX(Regional.Technologies[Description],MATCH($B$2&amp;"."&amp;G.30.assumptions.EnergyDemandAfterCCS[[#This Row],[Technology code]],Regional.Technologies[Code],0))</f>
        <v>Global Electricity use in the Electric steel technology</v>
      </c>
      <c r="E2314" s="242"/>
      <c r="F2314" s="121" t="s">
        <v>1380</v>
      </c>
      <c r="G2314" s="242"/>
      <c r="H2314" s="242" t="s">
        <v>24</v>
      </c>
      <c r="I2314" s="308">
        <f t="array" aca="1" ref="I231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1.6352704427314861</v>
      </c>
      <c r="J2314" s="308">
        <f t="array" aca="1" ref="J231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1.7134937789391276</v>
      </c>
      <c r="K2314" s="308">
        <f t="array" aca="1" ref="K231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1.8130275874759676</v>
      </c>
      <c r="L2314" s="308">
        <f t="array" aca="1" ref="L231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1.9145109940986842</v>
      </c>
      <c r="M2314" s="308">
        <f t="array" aca="1" ref="M231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2.0179439988072758</v>
      </c>
      <c r="N2314" s="308">
        <f t="array" aca="1" ref="N231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2.123326601601744</v>
      </c>
      <c r="O2314" s="308">
        <f t="array" aca="1" ref="O231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2.2306588024820879</v>
      </c>
      <c r="P2314" s="308">
        <f t="array" aca="1" ref="P231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2.3399406014483071</v>
      </c>
      <c r="Q2314" s="308">
        <f t="array" aca="1" ref="Q231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2.4511719985004023</v>
      </c>
      <c r="R2314" s="248"/>
      <c r="S2314" s="179"/>
      <c r="T2314" s="179"/>
      <c r="V2314" s="179"/>
      <c r="W2314" s="179"/>
    </row>
    <row r="2315" spans="1:23" s="65" customFormat="1" ht="15" customHeight="1" outlineLevel="2">
      <c r="A2315" s="219"/>
      <c r="B2315" s="242"/>
      <c r="C2315" s="251" t="s">
        <v>1803</v>
      </c>
      <c r="D2315" s="121" t="str">
        <f>INDEX(Regional.Technologies[Description],MATCH($B$2&amp;"."&amp;G.30.assumptions.EnergyDemandAfterCCS[[#This Row],[Technology code]],Regional.Technologies[Code],0))</f>
        <v>Global Coal use in the Electric steel technology</v>
      </c>
      <c r="E2315" s="242"/>
      <c r="F2315" s="121" t="s">
        <v>1380</v>
      </c>
      <c r="G2315" s="242"/>
      <c r="H2315" s="242"/>
      <c r="I2315" s="308">
        <f t="array" aca="1" ref="I231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10.424196405786889</v>
      </c>
      <c r="J2315" s="308">
        <f t="array" aca="1" ref="J231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10.922838953732857</v>
      </c>
      <c r="K2315" s="308">
        <f t="array" aca="1" ref="K231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11.557327257374492</v>
      </c>
      <c r="L2315" s="308">
        <f t="array" aca="1" ref="L231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12.204243470692997</v>
      </c>
      <c r="M2315" s="308">
        <f t="array" aca="1" ref="M231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12.863587593688365</v>
      </c>
      <c r="N2315" s="308">
        <f t="array" aca="1" ref="N231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13.535359626360606</v>
      </c>
      <c r="O2315" s="308">
        <f t="array" aca="1" ref="O231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14.219559568709709</v>
      </c>
      <c r="P2315" s="308">
        <f t="array" aca="1" ref="P231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14.916187420735676</v>
      </c>
      <c r="Q2315" s="308">
        <f t="array" aca="1" ref="Q231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15.62524318243851</v>
      </c>
      <c r="R2315" s="248"/>
      <c r="S2315" s="179"/>
      <c r="T2315" s="179"/>
      <c r="V2315" s="179"/>
      <c r="W2315" s="179"/>
    </row>
    <row r="2316" spans="1:23" s="65" customFormat="1" ht="15" customHeight="1" outlineLevel="2">
      <c r="A2316" s="219"/>
      <c r="B2316" s="242"/>
      <c r="C2316" s="251" t="s">
        <v>1804</v>
      </c>
      <c r="D2316" s="121" t="str">
        <f>INDEX(Regional.Technologies[Description],MATCH($B$2&amp;"."&amp;G.30.assumptions.EnergyDemandAfterCCS[[#This Row],[Technology code]],Regional.Technologies[Code],0))</f>
        <v>Global Oil use in the Electric steel technology</v>
      </c>
      <c r="E2316" s="242"/>
      <c r="F2316" s="121" t="s">
        <v>1380</v>
      </c>
      <c r="G2316" s="242"/>
      <c r="H2316" s="242"/>
      <c r="I2316" s="308">
        <f t="array" aca="1" ref="I231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6" s="308">
        <f t="array" aca="1" ref="J231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6" s="308">
        <f t="array" aca="1" ref="K231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6" s="308">
        <f t="array" aca="1" ref="L231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6" s="308">
        <f t="array" aca="1" ref="M231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6" s="308">
        <f t="array" aca="1" ref="N231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6" s="308">
        <f t="array" aca="1" ref="O231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6" s="308">
        <f t="array" aca="1" ref="P231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6" s="308">
        <f t="array" aca="1" ref="Q231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6" s="248"/>
      <c r="S2316" s="179"/>
      <c r="T2316" s="179"/>
      <c r="V2316" s="179"/>
      <c r="W2316" s="179"/>
    </row>
    <row r="2317" spans="1:23" s="65" customFormat="1" ht="15" customHeight="1" outlineLevel="2">
      <c r="A2317" s="219"/>
      <c r="B2317" s="242"/>
      <c r="C2317" s="251" t="s">
        <v>1805</v>
      </c>
      <c r="D2317" s="121" t="str">
        <f>INDEX(Regional.Technologies[Description],MATCH($B$2&amp;"."&amp;G.30.assumptions.EnergyDemandAfterCCS[[#This Row],[Technology code]],Regional.Technologies[Code],0))</f>
        <v>Global Natural Gas use in the Electric steel technology</v>
      </c>
      <c r="E2317" s="242"/>
      <c r="F2317" s="121" t="s">
        <v>1380</v>
      </c>
      <c r="G2317" s="242"/>
      <c r="H2317" s="242"/>
      <c r="I2317" s="308">
        <f t="array" aca="1" ref="I231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1.2528070032244134</v>
      </c>
      <c r="J2317" s="308">
        <f t="array" aca="1" ref="J231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1.3127351599718793</v>
      </c>
      <c r="K2317" s="308">
        <f t="array" aca="1" ref="K231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1.3889896125285226</v>
      </c>
      <c r="L2317" s="308">
        <f t="array" aca="1" ref="L231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1.4667376835544026</v>
      </c>
      <c r="M2317" s="308">
        <f t="array" aca="1" ref="M231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1.5459793730495193</v>
      </c>
      <c r="N2317" s="308">
        <f t="array" aca="1" ref="N231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1.6267146810138691</v>
      </c>
      <c r="O2317" s="308">
        <f t="array" aca="1" ref="O231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1.7089436074474555</v>
      </c>
      <c r="P2317" s="308">
        <f t="array" aca="1" ref="P231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1.7926661523502752</v>
      </c>
      <c r="Q2317" s="308">
        <f t="array" aca="1" ref="Q231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1.8778823157223314</v>
      </c>
      <c r="R2317" s="248"/>
      <c r="S2317" s="179"/>
      <c r="T2317" s="179"/>
      <c r="V2317" s="179"/>
      <c r="W2317" s="179"/>
    </row>
    <row r="2318" spans="1:23" s="65" customFormat="1" ht="15" customHeight="1" outlineLevel="2">
      <c r="A2318" s="219"/>
      <c r="B2318" s="242"/>
      <c r="C2318" s="251" t="s">
        <v>1806</v>
      </c>
      <c r="D2318" s="121" t="str">
        <f>INDEX(Regional.Technologies[Description],MATCH($B$2&amp;"."&amp;G.30.assumptions.EnergyDemandAfterCCS[[#This Row],[Technology code]],Regional.Technologies[Code],0))</f>
        <v>Global Solid Hydrocarbons use in the Electric steel technology</v>
      </c>
      <c r="E2318" s="242"/>
      <c r="F2318" s="121" t="s">
        <v>1380</v>
      </c>
      <c r="G2318" s="242"/>
      <c r="H2318" s="242"/>
      <c r="I2318" s="308">
        <f t="array" aca="1" ref="I231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8" s="308">
        <f t="array" aca="1" ref="J231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8" s="308">
        <f t="array" aca="1" ref="K231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8" s="308">
        <f t="array" aca="1" ref="L231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8" s="308">
        <f t="array" aca="1" ref="M231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8" s="308">
        <f t="array" aca="1" ref="N231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8" s="308">
        <f t="array" aca="1" ref="O231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8" s="308">
        <f t="array" aca="1" ref="P231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8" s="308">
        <f t="array" aca="1" ref="Q231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8" s="248"/>
      <c r="S2318" s="179"/>
      <c r="T2318" s="179"/>
      <c r="V2318" s="179"/>
      <c r="W2318" s="179"/>
    </row>
    <row r="2319" spans="1:23" s="65" customFormat="1" ht="15" customHeight="1" outlineLevel="2">
      <c r="A2319" s="219"/>
      <c r="B2319" s="242"/>
      <c r="C2319" s="251" t="s">
        <v>1636</v>
      </c>
      <c r="D2319" s="121" t="str">
        <f>INDEX(Regional.Technologies[Description],MATCH($B$2&amp;"."&amp;G.30.assumptions.EnergyDemandAfterCCS[[#This Row],[Technology code]],Regional.Technologies[Code],0))</f>
        <v>Global Heat use in the Electric steel technology</v>
      </c>
      <c r="E2319" s="242"/>
      <c r="F2319" s="121" t="s">
        <v>1380</v>
      </c>
      <c r="G2319" s="242"/>
      <c r="H2319" s="242"/>
      <c r="I2319" s="308">
        <f t="array" aca="1" ref="I231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19" s="308">
        <f t="array" aca="1" ref="J231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19" s="308">
        <f t="array" aca="1" ref="K231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19" s="308">
        <f t="array" aca="1" ref="L231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19" s="308">
        <f t="array" aca="1" ref="M231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19" s="308">
        <f t="array" aca="1" ref="N231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19" s="308">
        <f t="array" aca="1" ref="O231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19" s="308">
        <f t="array" aca="1" ref="P231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19" s="308">
        <f t="array" aca="1" ref="Q231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19" s="248"/>
      <c r="S2319" s="179"/>
      <c r="T2319" s="179"/>
      <c r="V2319" s="179"/>
      <c r="W2319" s="179"/>
    </row>
    <row r="2320" spans="1:23" s="65" customFormat="1" ht="15" customHeight="1" outlineLevel="2">
      <c r="A2320" s="219"/>
      <c r="B2320" s="242"/>
      <c r="C2320" s="242" t="s">
        <v>1807</v>
      </c>
      <c r="D2320" s="121" t="str">
        <f>INDEX(Regional.Technologies[Description],MATCH($B$2&amp;"."&amp;G.30.assumptions.EnergyDemandAfterCCS[[#This Row],[Technology code]],Regional.Technologies[Code],0))</f>
        <v>Global Electricity use in the Alumina Aluminium technology</v>
      </c>
      <c r="E2320" s="242"/>
      <c r="F2320" s="121" t="s">
        <v>1625</v>
      </c>
      <c r="G2320" s="242"/>
      <c r="H2320" s="242" t="s">
        <v>24</v>
      </c>
      <c r="I2320" s="308">
        <f t="array" aca="1" ref="I232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5.7780487765234236E-2</v>
      </c>
      <c r="J2320" s="308">
        <f t="array" aca="1" ref="J232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5.9889708832233816E-2</v>
      </c>
      <c r="K2320" s="308">
        <f t="array" aca="1" ref="K232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6.2569539119400122E-2</v>
      </c>
      <c r="L2320" s="308">
        <f t="array" aca="1" ref="L232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6.529748491036283E-2</v>
      </c>
      <c r="M2320" s="308">
        <f t="array" aca="1" ref="M232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6.8073546205122029E-2</v>
      </c>
      <c r="N2320" s="308">
        <f t="array" aca="1" ref="N232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7.0897723003677623E-2</v>
      </c>
      <c r="O2320" s="308">
        <f t="array" aca="1" ref="O232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7.377001530602971E-2</v>
      </c>
      <c r="P2320" s="308">
        <f t="array" aca="1" ref="P232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7.6690423112178219E-2</v>
      </c>
      <c r="Q2320" s="308">
        <f t="array" aca="1" ref="Q232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7.9658946422123164E-2</v>
      </c>
      <c r="R2320" s="248"/>
      <c r="S2320" s="179"/>
      <c r="T2320" s="179"/>
      <c r="V2320" s="179"/>
      <c r="W2320" s="179"/>
    </row>
    <row r="2321" spans="1:24" s="65" customFormat="1" ht="15" customHeight="1" outlineLevel="2">
      <c r="A2321" s="219"/>
      <c r="B2321" s="242"/>
      <c r="C2321" s="251" t="s">
        <v>1808</v>
      </c>
      <c r="D2321" s="121" t="str">
        <f>INDEX(Regional.Technologies[Description],MATCH($B$2&amp;"."&amp;G.30.assumptions.EnergyDemandAfterCCS[[#This Row],[Technology code]],Regional.Technologies[Code],0))</f>
        <v>Global Coal use in the Alumina Aluminium technology</v>
      </c>
      <c r="E2321" s="242"/>
      <c r="F2321" s="121" t="s">
        <v>1625</v>
      </c>
      <c r="G2321" s="242"/>
      <c r="H2321" s="242"/>
      <c r="I2321" s="308">
        <f t="array" aca="1" ref="I232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0.61777191351520933</v>
      </c>
      <c r="J2321" s="308">
        <f t="array" aca="1" ref="J232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0.64032308234371027</v>
      </c>
      <c r="K2321" s="308">
        <f t="array" aca="1" ref="K232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0.66897503646229173</v>
      </c>
      <c r="L2321" s="308">
        <f t="array" aca="1" ref="L232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0.6981414273397113</v>
      </c>
      <c r="M2321" s="308">
        <f t="array" aca="1" ref="M232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0.72782225497597042</v>
      </c>
      <c r="N2321" s="308">
        <f t="array" aca="1" ref="N232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0.75801751937106809</v>
      </c>
      <c r="O2321" s="308">
        <f t="array" aca="1" ref="O232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0.7887272205250051</v>
      </c>
      <c r="P2321" s="308">
        <f t="array" aca="1" ref="P232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0.81995135843778066</v>
      </c>
      <c r="Q2321" s="308">
        <f t="array" aca="1" ref="Q232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0.851689933109395</v>
      </c>
      <c r="R2321" s="248"/>
      <c r="S2321" s="179"/>
      <c r="T2321" s="179"/>
      <c r="V2321" s="179"/>
      <c r="W2321" s="179"/>
    </row>
    <row r="2322" spans="1:24" s="65" customFormat="1" ht="15" customHeight="1" outlineLevel="2">
      <c r="A2322" s="219"/>
      <c r="B2322" s="242"/>
      <c r="C2322" s="251" t="s">
        <v>1809</v>
      </c>
      <c r="D2322" s="121" t="str">
        <f>INDEX(Regional.Technologies[Description],MATCH($B$2&amp;"."&amp;G.30.assumptions.EnergyDemandAfterCCS[[#This Row],[Technology code]],Regional.Technologies[Code],0))</f>
        <v>Global Oil use in the Alumina Aluminium technology</v>
      </c>
      <c r="E2322" s="242"/>
      <c r="F2322" s="121" t="s">
        <v>1625</v>
      </c>
      <c r="G2322" s="242"/>
      <c r="H2322" s="242"/>
      <c r="I2322" s="308">
        <f t="array" aca="1" ref="I232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0.36003980562967391</v>
      </c>
      <c r="J2322" s="308">
        <f t="array" aca="1" ref="J232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0.37318271203915326</v>
      </c>
      <c r="K2322" s="308">
        <f t="array" aca="1" ref="K232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0.38988117916930454</v>
      </c>
      <c r="L2322" s="308">
        <f t="array" aca="1" ref="L232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0.40687946198645758</v>
      </c>
      <c r="M2322" s="308">
        <f t="array" aca="1" ref="M232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0.42417756049061289</v>
      </c>
      <c r="N2322" s="308">
        <f t="array" aca="1" ref="N232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0.44177547468176992</v>
      </c>
      <c r="O2322" s="308">
        <f t="array" aca="1" ref="O232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0.45967320455992927</v>
      </c>
      <c r="P2322" s="308">
        <f t="array" aca="1" ref="P232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0.47787075012509045</v>
      </c>
      <c r="Q2322" s="308">
        <f t="array" aca="1" ref="Q232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0.49636811137725367</v>
      </c>
      <c r="R2322" s="248"/>
      <c r="S2322" s="179"/>
      <c r="T2322" s="179"/>
      <c r="V2322" s="179"/>
      <c r="W2322" s="179"/>
    </row>
    <row r="2323" spans="1:24" s="65" customFormat="1" ht="15" customHeight="1" outlineLevel="2">
      <c r="A2323" s="219"/>
      <c r="B2323" s="242"/>
      <c r="C2323" s="251" t="s">
        <v>1810</v>
      </c>
      <c r="D2323" s="121" t="str">
        <f>INDEX(Regional.Technologies[Description],MATCH($B$2&amp;"."&amp;G.30.assumptions.EnergyDemandAfterCCS[[#This Row],[Technology code]],Regional.Technologies[Code],0))</f>
        <v>Global Natural Gas use in the Alumina Aluminium technology</v>
      </c>
      <c r="E2323" s="242"/>
      <c r="F2323" s="121" t="s">
        <v>1625</v>
      </c>
      <c r="G2323" s="242"/>
      <c r="H2323" s="242"/>
      <c r="I2323" s="308">
        <f t="array" aca="1" ref="I232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0.33333998618469551</v>
      </c>
      <c r="J2323" s="308">
        <f t="array" aca="1" ref="J232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0.34550824139553415</v>
      </c>
      <c r="K2323" s="308">
        <f t="array" aca="1" ref="K232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0.36096838417817834</v>
      </c>
      <c r="L2323" s="308">
        <f t="array" aca="1" ref="L232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0.37670610892648404</v>
      </c>
      <c r="M2323" s="308">
        <f t="array" aca="1" ref="M232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0.39272141564045193</v>
      </c>
      <c r="N2323" s="308">
        <f t="array" aca="1" ref="N232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0.40901430432008157</v>
      </c>
      <c r="O2323" s="308">
        <f t="array" aca="1" ref="O232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0.42558477496537339</v>
      </c>
      <c r="P2323" s="308">
        <f t="array" aca="1" ref="P232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0.44243282757632674</v>
      </c>
      <c r="Q2323" s="308">
        <f t="array" aca="1" ref="Q232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0.45955846215294205</v>
      </c>
      <c r="R2323" s="248"/>
      <c r="S2323" s="179"/>
      <c r="T2323" s="179"/>
      <c r="V2323" s="179"/>
      <c r="W2323" s="179"/>
    </row>
    <row r="2324" spans="1:24" s="65" customFormat="1" ht="15" customHeight="1" outlineLevel="2">
      <c r="A2324" s="219"/>
      <c r="B2324" s="242"/>
      <c r="C2324" s="251" t="s">
        <v>1811</v>
      </c>
      <c r="D2324" s="121" t="str">
        <f>INDEX(Regional.Technologies[Description],MATCH($B$2&amp;"."&amp;G.30.assumptions.EnergyDemandAfterCCS[[#This Row],[Technology code]],Regional.Technologies[Code],0))</f>
        <v>Global Solid Hydrocarbons use in the Alumina Aluminium technology</v>
      </c>
      <c r="E2324" s="242"/>
      <c r="F2324" s="121" t="s">
        <v>1625</v>
      </c>
      <c r="G2324" s="242"/>
      <c r="H2324" s="242"/>
      <c r="I2324" s="308">
        <f t="array" aca="1" ref="I232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24" s="308">
        <f t="array" aca="1" ref="J232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24" s="308">
        <f t="array" aca="1" ref="K232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24" s="308">
        <f t="array" aca="1" ref="L232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24" s="308">
        <f t="array" aca="1" ref="M232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24" s="308">
        <f t="array" aca="1" ref="N232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24" s="308">
        <f t="array" aca="1" ref="O232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24" s="308">
        <f t="array" aca="1" ref="P232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24" s="308">
        <f t="array" aca="1" ref="Q232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24" s="248"/>
      <c r="S2324" s="179"/>
      <c r="T2324" s="179"/>
      <c r="V2324" s="179"/>
      <c r="W2324" s="179"/>
    </row>
    <row r="2325" spans="1:24" s="65" customFormat="1" ht="15" customHeight="1" outlineLevel="2">
      <c r="A2325" s="219"/>
      <c r="B2325" s="242"/>
      <c r="C2325" s="251" t="s">
        <v>1812</v>
      </c>
      <c r="D2325" s="121" t="str">
        <f>INDEX(Regional.Technologies[Description],MATCH($B$2&amp;"."&amp;G.30.assumptions.EnergyDemandAfterCCS[[#This Row],[Technology code]],Regional.Technologies[Code],0))</f>
        <v>Global Heat use in the Alumina Aluminium technology</v>
      </c>
      <c r="E2325" s="242"/>
      <c r="F2325" s="121" t="s">
        <v>1939</v>
      </c>
      <c r="G2325" s="242"/>
      <c r="H2325" s="242"/>
      <c r="I2325" s="308">
        <f t="array" aca="1" ref="I232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25" s="308">
        <f t="array" aca="1" ref="J232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25" s="308">
        <f t="array" aca="1" ref="K232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25" s="308">
        <f t="array" aca="1" ref="L232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25" s="308">
        <f t="array" aca="1" ref="M232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25" s="308">
        <f t="array" aca="1" ref="N232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25" s="308">
        <f t="array" aca="1" ref="O232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25" s="308">
        <f t="array" aca="1" ref="P232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25" s="308">
        <f t="array" aca="1" ref="Q232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25" s="248"/>
      <c r="S2325" s="179"/>
      <c r="T2325" s="179"/>
      <c r="V2325" s="179"/>
      <c r="W2325" s="179"/>
    </row>
    <row r="2326" spans="1:24" s="65" customFormat="1" ht="15" customHeight="1" outlineLevel="2">
      <c r="A2326" s="219"/>
      <c r="B2326" s="242"/>
      <c r="C2326" s="242" t="s">
        <v>1639</v>
      </c>
      <c r="D2326" s="121" t="str">
        <f>INDEX(Regional.Technologies[Description],MATCH($B$2&amp;"."&amp;G.30.assumptions.EnergyDemandAfterCCS[[#This Row],[Technology code]],Regional.Technologies[Code],0))</f>
        <v>Global Electricity use in the Primary Aluminium technology</v>
      </c>
      <c r="E2326" s="242"/>
      <c r="F2326" s="121" t="s">
        <v>1939</v>
      </c>
      <c r="G2326" s="242"/>
      <c r="H2326" s="242" t="s">
        <v>24</v>
      </c>
      <c r="I2326" s="308">
        <f t="array" aca="1" ref="I232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2.3556733001938612</v>
      </c>
      <c r="J2326" s="308">
        <f t="array" aca="1" ref="J232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2.441664885656504</v>
      </c>
      <c r="K2326" s="308">
        <f t="array" aca="1" ref="K232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2.5509198417963317</v>
      </c>
      <c r="L2326" s="308">
        <f t="array" aca="1" ref="L232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2.6621364360600723</v>
      </c>
      <c r="M2326" s="308">
        <f t="array" aca="1" ref="M232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2.775314668447729</v>
      </c>
      <c r="N2326" s="308">
        <f t="array" aca="1" ref="N232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2.8904545389592986</v>
      </c>
      <c r="O2326" s="308">
        <f t="array" aca="1" ref="O232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3.0075560475947847</v>
      </c>
      <c r="P2326" s="308">
        <f t="array" aca="1" ref="P232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3.1266191943541837</v>
      </c>
      <c r="Q2326" s="308">
        <f t="array" aca="1" ref="Q232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3.2476439792374969</v>
      </c>
      <c r="R2326" s="248"/>
      <c r="S2326" s="179"/>
      <c r="T2326" s="179"/>
      <c r="V2326" s="179"/>
      <c r="W2326" s="179"/>
    </row>
    <row r="2327" spans="1:24" s="65" customFormat="1" ht="15" customHeight="1" outlineLevel="2">
      <c r="A2327" s="219"/>
      <c r="B2327" s="242"/>
      <c r="C2327" s="251" t="s">
        <v>1813</v>
      </c>
      <c r="D2327" s="121" t="str">
        <f>INDEX(Regional.Technologies[Description],MATCH($B$2&amp;"."&amp;G.30.assumptions.EnergyDemandAfterCCS[[#This Row],[Technology code]],Regional.Technologies[Code],0))</f>
        <v>Global Coal use in the Primary Aluminium technology</v>
      </c>
      <c r="E2327" s="242"/>
      <c r="F2327" s="121" t="s">
        <v>1939</v>
      </c>
      <c r="G2327" s="242"/>
      <c r="H2327" s="242"/>
      <c r="I2327" s="308">
        <f t="array" aca="1" ref="I232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0.11615556705932617</v>
      </c>
      <c r="J2327" s="308">
        <f t="array" aca="1" ref="J232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0.1203957141845331</v>
      </c>
      <c r="K2327" s="308">
        <f t="array" aca="1" ref="K232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0.1257829516182718</v>
      </c>
      <c r="L2327" s="308">
        <f t="array" aca="1" ref="L232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0.13126691519337763</v>
      </c>
      <c r="M2327" s="308">
        <f t="array" aca="1" ref="M232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0.13684760490985015</v>
      </c>
      <c r="N2327" s="308">
        <f t="array" aca="1" ref="N232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0.14252502076768891</v>
      </c>
      <c r="O2327" s="308">
        <f t="array" aca="1" ref="O232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0.14829916276689481</v>
      </c>
      <c r="P2327" s="308">
        <f t="array" aca="1" ref="P232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0.15417003090746784</v>
      </c>
      <c r="Q2327" s="308">
        <f t="array" aca="1" ref="Q232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0.16013762518940711</v>
      </c>
      <c r="R2327" s="248"/>
      <c r="S2327" s="179"/>
      <c r="T2327" s="179"/>
      <c r="U2327" s="179"/>
      <c r="W2327" s="179"/>
      <c r="X2327" s="179"/>
    </row>
    <row r="2328" spans="1:24" s="65" customFormat="1" ht="15" customHeight="1" outlineLevel="2">
      <c r="A2328" s="219"/>
      <c r="B2328" s="242"/>
      <c r="C2328" s="251" t="s">
        <v>1814</v>
      </c>
      <c r="D2328" s="121" t="str">
        <f>INDEX(Regional.Technologies[Description],MATCH($B$2&amp;"."&amp;G.30.assumptions.EnergyDemandAfterCCS[[#This Row],[Technology code]],Regional.Technologies[Code],0))</f>
        <v>Global Oil use in the Primary Aluminium technology</v>
      </c>
      <c r="E2328" s="242"/>
      <c r="F2328" s="121" t="s">
        <v>1939</v>
      </c>
      <c r="G2328" s="242"/>
      <c r="H2328" s="242"/>
      <c r="I2328" s="308">
        <f t="array" aca="1" ref="I232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0.18032133468483588</v>
      </c>
      <c r="J2328" s="308">
        <f t="array" aca="1" ref="J232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0.18690379136973051</v>
      </c>
      <c r="K2328" s="308">
        <f t="array" aca="1" ref="K232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0.1952670051950286</v>
      </c>
      <c r="L2328" s="308">
        <f t="array" aca="1" ref="L232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0.20378037787497078</v>
      </c>
      <c r="M2328" s="308">
        <f t="array" aca="1" ref="M232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0.21244390940955721</v>
      </c>
      <c r="N2328" s="308">
        <f t="array" aca="1" ref="N232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0.22125759979878762</v>
      </c>
      <c r="O2328" s="308">
        <f t="array" aca="1" ref="O232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0.23022144904266237</v>
      </c>
      <c r="P2328" s="308">
        <f t="array" aca="1" ref="P232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0.23933545714118118</v>
      </c>
      <c r="Q2328" s="308">
        <f t="array" aca="1" ref="Q232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0.24859962409434408</v>
      </c>
      <c r="R2328" s="248"/>
      <c r="S2328" s="179"/>
      <c r="T2328" s="179"/>
      <c r="U2328" s="179"/>
      <c r="W2328" s="179"/>
      <c r="X2328" s="179"/>
    </row>
    <row r="2329" spans="1:24" s="65" customFormat="1" ht="15" customHeight="1" outlineLevel="2">
      <c r="A2329" s="219"/>
      <c r="B2329" s="242"/>
      <c r="C2329" s="251" t="s">
        <v>1815</v>
      </c>
      <c r="D2329" s="121" t="str">
        <f>INDEX(Regional.Technologies[Description],MATCH($B$2&amp;"."&amp;G.30.assumptions.EnergyDemandAfterCCS[[#This Row],[Technology code]],Regional.Technologies[Code],0))</f>
        <v>Global Natural Gas use in the Primary Aluminium technology</v>
      </c>
      <c r="E2329" s="242"/>
      <c r="F2329" s="121" t="s">
        <v>1939</v>
      </c>
      <c r="G2329" s="242"/>
      <c r="H2329" s="242"/>
      <c r="I2329" s="308">
        <f t="array" aca="1" ref="I232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0.10632786060601518</v>
      </c>
      <c r="J2329" s="308">
        <f t="array" aca="1" ref="J232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0.11020925677058946</v>
      </c>
      <c r="K2329" s="308">
        <f t="array" aca="1" ref="K232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0.11514069006653749</v>
      </c>
      <c r="L2329" s="308">
        <f t="array" aca="1" ref="L232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0.12016066568496386</v>
      </c>
      <c r="M2329" s="308">
        <f t="array" aca="1" ref="M232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0.12526918362586814</v>
      </c>
      <c r="N2329" s="308">
        <f t="array" aca="1" ref="N232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0.13046624388925077</v>
      </c>
      <c r="O2329" s="308">
        <f t="array" aca="1" ref="O232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0.13575184647511174</v>
      </c>
      <c r="P2329" s="308">
        <f t="array" aca="1" ref="P232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0.14112599138345061</v>
      </c>
      <c r="Q2329" s="308">
        <f t="array" aca="1" ref="Q232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0.14658867861426783</v>
      </c>
      <c r="R2329" s="248"/>
      <c r="S2329" s="179"/>
      <c r="T2329" s="179"/>
      <c r="U2329" s="179"/>
      <c r="W2329" s="179"/>
      <c r="X2329" s="179"/>
    </row>
    <row r="2330" spans="1:24" s="65" customFormat="1" ht="15" customHeight="1" outlineLevel="2">
      <c r="A2330" s="219"/>
      <c r="B2330" s="242"/>
      <c r="C2330" s="251" t="s">
        <v>1816</v>
      </c>
      <c r="D2330" s="121" t="str">
        <f>INDEX(Regional.Technologies[Description],MATCH($B$2&amp;"."&amp;G.30.assumptions.EnergyDemandAfterCCS[[#This Row],[Technology code]],Regional.Technologies[Code],0))</f>
        <v>Global Solid Hydrocarbons use in the Primary Aluminium technology</v>
      </c>
      <c r="E2330" s="242"/>
      <c r="F2330" s="121" t="s">
        <v>1939</v>
      </c>
      <c r="G2330" s="242"/>
      <c r="H2330" s="242"/>
      <c r="I2330" s="308">
        <f t="array" aca="1" ref="I233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30" s="308">
        <f t="array" aca="1" ref="J233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30" s="308">
        <f t="array" aca="1" ref="K233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30" s="308">
        <f t="array" aca="1" ref="L233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30" s="308">
        <f t="array" aca="1" ref="M233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30" s="308">
        <f t="array" aca="1" ref="N233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30" s="308">
        <f t="array" aca="1" ref="O233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30" s="308">
        <f t="array" aca="1" ref="P233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30" s="308">
        <f t="array" aca="1" ref="Q233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30" s="248"/>
      <c r="S2330" s="179"/>
      <c r="T2330" s="179"/>
      <c r="U2330" s="179"/>
      <c r="W2330" s="179"/>
      <c r="X2330" s="179"/>
    </row>
    <row r="2331" spans="1:24" s="65" customFormat="1" ht="15" customHeight="1" outlineLevel="2">
      <c r="A2331" s="219"/>
      <c r="B2331" s="242"/>
      <c r="C2331" s="251" t="s">
        <v>1640</v>
      </c>
      <c r="D2331" s="121" t="str">
        <f>INDEX(Regional.Technologies[Description],MATCH($B$2&amp;"."&amp;G.30.assumptions.EnergyDemandAfterCCS[[#This Row],[Technology code]],Regional.Technologies[Code],0))</f>
        <v>Global Heat use in the Primary Aluminium technology</v>
      </c>
      <c r="E2331" s="242"/>
      <c r="F2331" s="121" t="s">
        <v>1939</v>
      </c>
      <c r="G2331" s="242"/>
      <c r="H2331" s="242"/>
      <c r="I2331" s="308">
        <f t="array" aca="1" ref="I233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31" s="308">
        <f t="array" aca="1" ref="J233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31" s="308">
        <f t="array" aca="1" ref="K233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31" s="308">
        <f t="array" aca="1" ref="L233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31" s="308">
        <f t="array" aca="1" ref="M233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31" s="308">
        <f t="array" aca="1" ref="N233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31" s="308">
        <f t="array" aca="1" ref="O233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31" s="308">
        <f t="array" aca="1" ref="P233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31" s="308">
        <f t="array" aca="1" ref="Q233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31" s="248"/>
      <c r="S2331" s="179"/>
      <c r="T2331" s="179"/>
      <c r="U2331" s="179"/>
      <c r="W2331" s="179"/>
      <c r="X2331" s="179"/>
    </row>
    <row r="2332" spans="1:24" s="65" customFormat="1" ht="15" customHeight="1" outlineLevel="2">
      <c r="A2332" s="219"/>
      <c r="B2332" s="242"/>
      <c r="C2332" s="242" t="s">
        <v>1641</v>
      </c>
      <c r="D2332" s="121" t="str">
        <f>INDEX(Regional.Technologies[Description],MATCH($B$2&amp;"."&amp;G.30.assumptions.EnergyDemandAfterCCS[[#This Row],[Technology code]],Regional.Technologies[Code],0))</f>
        <v>Global Electricity use in the Secondary Aluminium technology</v>
      </c>
      <c r="E2332" s="242"/>
      <c r="F2332" s="121" t="s">
        <v>1940</v>
      </c>
      <c r="G2332" s="242"/>
      <c r="H2332" s="242" t="s">
        <v>24</v>
      </c>
      <c r="I2332" s="308">
        <f t="array" aca="1" ref="I233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2.0996808027856011E-2</v>
      </c>
      <c r="J2332" s="308">
        <f t="array" aca="1" ref="J233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2.0706019378521439E-2</v>
      </c>
      <c r="K2332" s="308">
        <f t="array" aca="1" ref="K233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2.0328081584813605E-2</v>
      </c>
      <c r="L2332" s="308">
        <f t="array" aca="1" ref="L233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1.9934086033283963E-2</v>
      </c>
      <c r="M2332" s="308">
        <f t="array" aca="1" ref="M233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1.9524032723932511E-2</v>
      </c>
      <c r="N2332" s="308">
        <f t="array" aca="1" ref="N233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1.9097921656759255E-2</v>
      </c>
      <c r="O2332" s="308">
        <f t="array" aca="1" ref="O233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1.8655752831764193E-2</v>
      </c>
      <c r="P2332" s="308">
        <f t="array" aca="1" ref="P233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1.819752624894732E-2</v>
      </c>
      <c r="Q2332" s="308">
        <f t="array" aca="1" ref="Q233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1.7723241908308644E-2</v>
      </c>
      <c r="R2332" s="248"/>
      <c r="S2332" s="179"/>
      <c r="T2332" s="179"/>
      <c r="U2332" s="179"/>
      <c r="W2332" s="179"/>
      <c r="X2332" s="179"/>
    </row>
    <row r="2333" spans="1:24" s="65" customFormat="1" ht="15" customHeight="1" outlineLevel="2">
      <c r="A2333" s="219"/>
      <c r="B2333" s="242"/>
      <c r="C2333" s="251" t="s">
        <v>1817</v>
      </c>
      <c r="D2333" s="121" t="str">
        <f>INDEX(Regional.Technologies[Description],MATCH($B$2&amp;"."&amp;G.30.assumptions.EnergyDemandAfterCCS[[#This Row],[Technology code]],Regional.Technologies[Code],0))</f>
        <v>Global Coal use in the Secondary Aluminium technology</v>
      </c>
      <c r="E2333" s="242"/>
      <c r="F2333" s="121" t="s">
        <v>1940</v>
      </c>
      <c r="G2333" s="242"/>
      <c r="H2333" s="242"/>
      <c r="I2333" s="308">
        <f t="array" aca="1" ref="I233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33" s="308">
        <f t="array" aca="1" ref="J233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33" s="308">
        <f t="array" aca="1" ref="K233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33" s="308">
        <f t="array" aca="1" ref="L233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33" s="308">
        <f t="array" aca="1" ref="M233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33" s="308">
        <f t="array" aca="1" ref="N233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33" s="308">
        <f t="array" aca="1" ref="O233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33" s="308">
        <f t="array" aca="1" ref="P233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33" s="308">
        <f t="array" aca="1" ref="Q233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33" s="248"/>
      <c r="S2333" s="179"/>
      <c r="T2333" s="179"/>
      <c r="U2333" s="179"/>
      <c r="W2333" s="179"/>
      <c r="X2333" s="179"/>
    </row>
    <row r="2334" spans="1:24" s="65" customFormat="1" ht="15" customHeight="1" outlineLevel="2">
      <c r="A2334" s="219"/>
      <c r="B2334" s="242"/>
      <c r="C2334" s="251" t="s">
        <v>1818</v>
      </c>
      <c r="D2334" s="121" t="str">
        <f>INDEX(Regional.Technologies[Description],MATCH($B$2&amp;"."&amp;G.30.assumptions.EnergyDemandAfterCCS[[#This Row],[Technology code]],Regional.Technologies[Code],0))</f>
        <v>Global Oil use in the Secondary Aluminium technology</v>
      </c>
      <c r="E2334" s="251"/>
      <c r="F2334" s="121" t="s">
        <v>1940</v>
      </c>
      <c r="G2334" s="242"/>
      <c r="H2334" s="242"/>
      <c r="I2334" s="308">
        <f t="array" aca="1" ref="I233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1.8172055149596165E-4</v>
      </c>
      <c r="J2334" s="308">
        <f t="array" aca="1" ref="J233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1.7920387021489552E-4</v>
      </c>
      <c r="K2334" s="308">
        <f t="array" aca="1" ref="K233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1.7593294140454306E-4</v>
      </c>
      <c r="L2334" s="308">
        <f t="array" aca="1" ref="L233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1.7252303791750177E-4</v>
      </c>
      <c r="M2334" s="308">
        <f t="array" aca="1" ref="M233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1.6897415975377175E-4</v>
      </c>
      <c r="N2334" s="308">
        <f t="array" aca="1" ref="N233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1.6528630691335294E-4</v>
      </c>
      <c r="O2334" s="308">
        <f t="array" aca="1" ref="O233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1.6145947939624541E-4</v>
      </c>
      <c r="P2334" s="308">
        <f t="array" aca="1" ref="P233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1.5749367720244904E-4</v>
      </c>
      <c r="Q2334" s="308">
        <f t="array" aca="1" ref="Q233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1.5338890033196395E-4</v>
      </c>
      <c r="R2334" s="248"/>
      <c r="S2334" s="179"/>
      <c r="T2334" s="179"/>
      <c r="U2334" s="179"/>
      <c r="W2334" s="179"/>
      <c r="X2334" s="179"/>
    </row>
    <row r="2335" spans="1:24" s="65" customFormat="1" ht="15" customHeight="1" outlineLevel="2">
      <c r="A2335" s="219"/>
      <c r="B2335" s="242"/>
      <c r="C2335" s="251" t="s">
        <v>1819</v>
      </c>
      <c r="D2335" s="121" t="str">
        <f>INDEX(Regional.Technologies[Description],MATCH($B$2&amp;"."&amp;G.30.assumptions.EnergyDemandAfterCCS[[#This Row],[Technology code]],Regional.Technologies[Code],0))</f>
        <v>Global Natural Gas use in the Secondary Aluminium technology</v>
      </c>
      <c r="E2335" s="251"/>
      <c r="F2335" s="121" t="s">
        <v>1940</v>
      </c>
      <c r="G2335" s="242"/>
      <c r="H2335" s="242"/>
      <c r="I2335" s="308">
        <f t="array" aca="1" ref="I233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0.24244140449555462</v>
      </c>
      <c r="J2335" s="308">
        <f t="array" aca="1" ref="J233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0.2390837889731138</v>
      </c>
      <c r="K2335" s="308">
        <f t="array" aca="1" ref="K233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0.23471989854763026</v>
      </c>
      <c r="L2335" s="308">
        <f t="array" aca="1" ref="L233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0.23017059587499919</v>
      </c>
      <c r="M2335" s="308">
        <f t="array" aca="1" ref="M233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0.2254358809552206</v>
      </c>
      <c r="N2335" s="308">
        <f t="array" aca="1" ref="N233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0.22051575378829461</v>
      </c>
      <c r="O2335" s="308">
        <f t="array" aca="1" ref="O233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0.2154102143742212</v>
      </c>
      <c r="P2335" s="308">
        <f t="array" aca="1" ref="P233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0.2101192627130003</v>
      </c>
      <c r="Q2335" s="308">
        <f t="array" aca="1" ref="Q233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0.20464289880463196</v>
      </c>
      <c r="R2335" s="248"/>
      <c r="S2335" s="179"/>
      <c r="T2335" s="179"/>
      <c r="U2335" s="179"/>
      <c r="W2335" s="179"/>
      <c r="X2335" s="179"/>
    </row>
    <row r="2336" spans="1:24" s="65" customFormat="1" ht="15" customHeight="1" outlineLevel="2">
      <c r="A2336" s="219"/>
      <c r="B2336" s="242"/>
      <c r="C2336" s="251" t="s">
        <v>1820</v>
      </c>
      <c r="D2336" s="121" t="str">
        <f>INDEX(Regional.Technologies[Description],MATCH($B$2&amp;"."&amp;G.30.assumptions.EnergyDemandAfterCCS[[#This Row],[Technology code]],Regional.Technologies[Code],0))</f>
        <v>Global Solid Hydrocarbons use in the Secondary Aluminium technology</v>
      </c>
      <c r="E2336" s="251"/>
      <c r="F2336" s="121" t="s">
        <v>1940</v>
      </c>
      <c r="G2336" s="242"/>
      <c r="H2336" s="242"/>
      <c r="I2336" s="308">
        <f t="array" aca="1" ref="I233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36" s="308">
        <f t="array" aca="1" ref="J233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36" s="308">
        <f t="array" aca="1" ref="K233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36" s="308">
        <f t="array" aca="1" ref="L233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36" s="308">
        <f t="array" aca="1" ref="M233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36" s="308">
        <f t="array" aca="1" ref="N233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36" s="308">
        <f t="array" aca="1" ref="O233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36" s="308">
        <f t="array" aca="1" ref="P233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36" s="308">
        <f t="array" aca="1" ref="Q233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36" s="248"/>
      <c r="S2336" s="179"/>
      <c r="T2336" s="179"/>
      <c r="U2336" s="179"/>
      <c r="W2336" s="179"/>
      <c r="X2336" s="179"/>
    </row>
    <row r="2337" spans="1:24" s="65" customFormat="1" ht="15" customHeight="1" outlineLevel="2">
      <c r="A2337" s="219"/>
      <c r="B2337" s="242"/>
      <c r="C2337" s="251" t="s">
        <v>1642</v>
      </c>
      <c r="D2337" s="121" t="str">
        <f>INDEX(Regional.Technologies[Description],MATCH($B$2&amp;"."&amp;G.30.assumptions.EnergyDemandAfterCCS[[#This Row],[Technology code]],Regional.Technologies[Code],0))</f>
        <v>Global Heat use in the Secondary Aluminium technology</v>
      </c>
      <c r="E2337" s="251"/>
      <c r="F2337" s="121" t="s">
        <v>1940</v>
      </c>
      <c r="G2337" s="242"/>
      <c r="H2337" s="242"/>
      <c r="I2337" s="308">
        <f t="array" aca="1" ref="I233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37" s="308">
        <f t="array" aca="1" ref="J233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37" s="308">
        <f t="array" aca="1" ref="K233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37" s="308">
        <f t="array" aca="1" ref="L233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37" s="308">
        <f t="array" aca="1" ref="M233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37" s="308">
        <f t="array" aca="1" ref="N233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37" s="308">
        <f t="array" aca="1" ref="O233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37" s="308">
        <f t="array" aca="1" ref="P233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37" s="308">
        <f t="array" aca="1" ref="Q233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37" s="248"/>
      <c r="S2337" s="179"/>
      <c r="T2337" s="179"/>
      <c r="U2337" s="179"/>
      <c r="W2337" s="179"/>
      <c r="X2337" s="179"/>
    </row>
    <row r="2338" spans="1:24" s="65" customFormat="1" ht="15" customHeight="1" outlineLevel="2">
      <c r="A2338" s="219"/>
      <c r="B2338" s="242"/>
      <c r="C2338" s="413" t="s">
        <v>1821</v>
      </c>
      <c r="D2338" s="121" t="str">
        <f>INDEX(Regional.Technologies[Description],MATCH($B$2&amp;"."&amp;G.30.assumptions.EnergyDemandAfterCCS[[#This Row],[Technology code]],Regional.Technologies[Code],0))</f>
        <v>Global Electricity use in the Chemicals: High Value Chemicals  technology</v>
      </c>
      <c r="E2338" s="242"/>
      <c r="F2338" s="121" t="s">
        <v>1961</v>
      </c>
      <c r="G2338" s="242"/>
      <c r="H2338" s="242" t="s">
        <v>24</v>
      </c>
      <c r="I2338" s="308">
        <f t="array" aca="1" ref="I233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-9.2491949499908004E-20</v>
      </c>
      <c r="J2338" s="308">
        <f t="array" aca="1" ref="J233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-5.9031025562694149E-20</v>
      </c>
      <c r="K2338" s="308">
        <f t="array" aca="1" ref="K233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3.6452787589103238E-20</v>
      </c>
      <c r="L2338" s="308">
        <f t="array" aca="1" ref="L233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-1.2675511308429998E-19</v>
      </c>
      <c r="M2338" s="308">
        <f t="array" aca="1" ref="M233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1.447281921357569E-19</v>
      </c>
      <c r="N2338" s="308">
        <f t="array" aca="1" ref="N233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2.4386703077792956E-19</v>
      </c>
      <c r="O2338" s="308">
        <f t="array" aca="1" ref="O233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8.167382492539047E-20</v>
      </c>
      <c r="P2338" s="308">
        <f t="array" aca="1" ref="P233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-8.6584621389067705E-20</v>
      </c>
      <c r="Q2338" s="308">
        <f t="array" aca="1" ref="Q233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8.6771457653498074E-20</v>
      </c>
      <c r="R2338" s="248"/>
      <c r="S2338" s="179"/>
      <c r="T2338" s="179"/>
      <c r="U2338" s="179"/>
      <c r="W2338" s="179"/>
      <c r="X2338" s="179"/>
    </row>
    <row r="2339" spans="1:24" s="65" customFormat="1" ht="15" customHeight="1" outlineLevel="2">
      <c r="A2339" s="219"/>
      <c r="B2339" s="242"/>
      <c r="C2339" s="413" t="s">
        <v>1822</v>
      </c>
      <c r="D2339" s="121" t="str">
        <f>INDEX(Regional.Technologies[Description],MATCH($B$2&amp;"."&amp;G.30.assumptions.EnergyDemandAfterCCS[[#This Row],[Technology code]],Regional.Technologies[Code],0))</f>
        <v>Global Coal use in the Chemicals: High Value Chemicals  technology</v>
      </c>
      <c r="E2339" s="242"/>
      <c r="F2339" s="121" t="s">
        <v>1961</v>
      </c>
      <c r="G2339" s="242"/>
      <c r="H2339" s="242"/>
      <c r="I2339" s="308">
        <f t="array" aca="1" ref="I233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0.24646345986547047</v>
      </c>
      <c r="J2339" s="308">
        <f t="array" aca="1" ref="J233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0.2489912902230671</v>
      </c>
      <c r="K2339" s="308">
        <f t="array" aca="1" ref="K233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0.25215107817005844</v>
      </c>
      <c r="L2339" s="308">
        <f t="array" aca="1" ref="L233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0.25531086611705334</v>
      </c>
      <c r="M2339" s="308">
        <f t="array" aca="1" ref="M233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0.25847065406404468</v>
      </c>
      <c r="N2339" s="308">
        <f t="array" aca="1" ref="N233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0.26163044201103958</v>
      </c>
      <c r="O2339" s="308">
        <f t="array" aca="1" ref="O233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0.26479022995803092</v>
      </c>
      <c r="P2339" s="308">
        <f t="array" aca="1" ref="P233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0.26795001790502582</v>
      </c>
      <c r="Q2339" s="308">
        <f t="array" aca="1" ref="Q233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0.27110980585201716</v>
      </c>
      <c r="R2339" s="248"/>
      <c r="S2339" s="179"/>
      <c r="T2339" s="179"/>
      <c r="U2339" s="179"/>
      <c r="W2339" s="179"/>
      <c r="X2339" s="179"/>
    </row>
    <row r="2340" spans="1:24" s="65" customFormat="1" ht="15" customHeight="1" outlineLevel="2">
      <c r="A2340" s="219"/>
      <c r="B2340" s="242"/>
      <c r="C2340" s="413" t="s">
        <v>1823</v>
      </c>
      <c r="D2340" s="121" t="str">
        <f>INDEX(Regional.Technologies[Description],MATCH($B$2&amp;"."&amp;G.30.assumptions.EnergyDemandAfterCCS[[#This Row],[Technology code]],Regional.Technologies[Code],0))</f>
        <v>Global Oil use in the Chemicals: High Value Chemicals  technology</v>
      </c>
      <c r="E2340" s="242"/>
      <c r="F2340" s="121" t="s">
        <v>1961</v>
      </c>
      <c r="G2340" s="242"/>
      <c r="H2340" s="242"/>
      <c r="I2340" s="308">
        <f t="array" aca="1" ref="I234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19.210879294175736</v>
      </c>
      <c r="J2340" s="308">
        <f t="array" aca="1" ref="J234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19.407913953603178</v>
      </c>
      <c r="K2340" s="308">
        <f t="array" aca="1" ref="K234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19.654207277887483</v>
      </c>
      <c r="L2340" s="308">
        <f t="array" aca="1" ref="L234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19.900500602171789</v>
      </c>
      <c r="M2340" s="308">
        <f t="array" aca="1" ref="M234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20.146793926456095</v>
      </c>
      <c r="N2340" s="308">
        <f t="array" aca="1" ref="N234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20.393087250740397</v>
      </c>
      <c r="O2340" s="308">
        <f t="array" aca="1" ref="O234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20.639380575024706</v>
      </c>
      <c r="P2340" s="308">
        <f t="array" aca="1" ref="P234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20.885673899309008</v>
      </c>
      <c r="Q2340" s="308">
        <f t="array" aca="1" ref="Q234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21.131967223593314</v>
      </c>
      <c r="R2340" s="248"/>
      <c r="S2340" s="179"/>
      <c r="T2340" s="179"/>
      <c r="U2340" s="179"/>
      <c r="W2340" s="179"/>
      <c r="X2340" s="179"/>
    </row>
    <row r="2341" spans="1:24" s="65" customFormat="1" ht="15" customHeight="1" outlineLevel="2">
      <c r="A2341" s="219"/>
      <c r="B2341" s="242"/>
      <c r="C2341" s="413" t="s">
        <v>1824</v>
      </c>
      <c r="D2341" s="121" t="str">
        <f>INDEX(Regional.Technologies[Description],MATCH($B$2&amp;"."&amp;G.30.assumptions.EnergyDemandAfterCCS[[#This Row],[Technology code]],Regional.Technologies[Code],0))</f>
        <v>Global Natural Gas use in the Chemicals: High Value Chemicals  technology</v>
      </c>
      <c r="E2341" s="242"/>
      <c r="F2341" s="121" t="s">
        <v>1961</v>
      </c>
      <c r="G2341" s="242"/>
      <c r="H2341" s="242"/>
      <c r="I2341" s="308">
        <f t="array" aca="1" ref="I234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3.4032396515364383E-3</v>
      </c>
      <c r="J2341" s="308">
        <f t="array" aca="1" ref="J234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3.4381446736055921E-3</v>
      </c>
      <c r="K2341" s="308">
        <f t="array" aca="1" ref="K234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3.4817759511867052E-3</v>
      </c>
      <c r="L2341" s="308">
        <f t="array" aca="1" ref="L234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3.5254072287713711E-3</v>
      </c>
      <c r="M2341" s="308">
        <f t="array" aca="1" ref="M234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3.569038506356037E-3</v>
      </c>
      <c r="N2341" s="308">
        <f t="array" aca="1" ref="N234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3.6126697839407029E-3</v>
      </c>
      <c r="O2341" s="308">
        <f t="array" aca="1" ref="O234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3.6563010615218161E-3</v>
      </c>
      <c r="P2341" s="308">
        <f t="array" aca="1" ref="P234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3.699932339106482E-3</v>
      </c>
      <c r="Q2341" s="308">
        <f t="array" aca="1" ref="Q234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3.7435636166911479E-3</v>
      </c>
      <c r="R2341" s="248"/>
      <c r="S2341" s="179"/>
      <c r="T2341" s="179"/>
      <c r="U2341" s="179"/>
      <c r="W2341" s="179"/>
      <c r="X2341" s="179"/>
    </row>
    <row r="2342" spans="1:24" s="65" customFormat="1" ht="15" customHeight="1" outlineLevel="2">
      <c r="A2342" s="219"/>
      <c r="B2342" s="242"/>
      <c r="C2342" s="413" t="s">
        <v>1825</v>
      </c>
      <c r="D2342" s="121" t="str">
        <f>INDEX(Regional.Technologies[Description],MATCH($B$2&amp;"."&amp;G.30.assumptions.EnergyDemandAfterCCS[[#This Row],[Technology code]],Regional.Technologies[Code],0))</f>
        <v>Global Solid Hydrocarbons use in the Chemicals: High Value Chemicals  technology</v>
      </c>
      <c r="E2342" s="242"/>
      <c r="F2342" s="121" t="s">
        <v>1961</v>
      </c>
      <c r="G2342" s="242"/>
      <c r="H2342" s="242"/>
      <c r="I2342" s="308">
        <f t="array" aca="1" ref="I234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42" s="308">
        <f t="array" aca="1" ref="J234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42" s="308">
        <f t="array" aca="1" ref="K234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42" s="308">
        <f t="array" aca="1" ref="L234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42" s="308">
        <f t="array" aca="1" ref="M234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42" s="308">
        <f t="array" aca="1" ref="N234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42" s="308">
        <f t="array" aca="1" ref="O234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42" s="308">
        <f t="array" aca="1" ref="P234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42" s="308">
        <f t="array" aca="1" ref="Q234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42" s="248"/>
      <c r="S2342" s="179"/>
      <c r="T2342" s="179"/>
      <c r="U2342" s="179"/>
      <c r="W2342" s="179"/>
      <c r="X2342" s="179"/>
    </row>
    <row r="2343" spans="1:24" s="65" customFormat="1" ht="15" customHeight="1" outlineLevel="2">
      <c r="A2343" s="219"/>
      <c r="B2343" s="242"/>
      <c r="C2343" s="413" t="s">
        <v>1826</v>
      </c>
      <c r="D2343" s="121" t="str">
        <f>INDEX(Regional.Technologies[Description],MATCH($B$2&amp;"."&amp;G.30.assumptions.EnergyDemandAfterCCS[[#This Row],[Technology code]],Regional.Technologies[Code],0))</f>
        <v>Global Heat use in the Chemicals: High Value Chemicals  technology</v>
      </c>
      <c r="E2343" s="242"/>
      <c r="F2343" s="121" t="s">
        <v>1961</v>
      </c>
      <c r="G2343" s="242"/>
      <c r="H2343" s="242"/>
      <c r="I2343" s="308">
        <f t="array" aca="1" ref="I234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43" s="308">
        <f t="array" aca="1" ref="J234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43" s="308">
        <f t="array" aca="1" ref="K234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43" s="308">
        <f t="array" aca="1" ref="L234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43" s="308">
        <f t="array" aca="1" ref="M234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43" s="308">
        <f t="array" aca="1" ref="N234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43" s="308">
        <f t="array" aca="1" ref="O234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43" s="308">
        <f t="array" aca="1" ref="P234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43" s="308">
        <f t="array" aca="1" ref="Q234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43" s="248"/>
      <c r="S2343" s="179"/>
      <c r="T2343" s="179"/>
      <c r="U2343" s="179"/>
      <c r="W2343" s="179"/>
      <c r="X2343" s="179"/>
    </row>
    <row r="2344" spans="1:24" s="65" customFormat="1" ht="15" customHeight="1" outlineLevel="2">
      <c r="A2344" s="219"/>
      <c r="B2344" s="242"/>
      <c r="C2344" s="413" t="s">
        <v>1827</v>
      </c>
      <c r="D2344" s="121" t="str">
        <f>INDEX(Regional.Technologies[Description],MATCH($B$2&amp;"."&amp;G.30.assumptions.EnergyDemandAfterCCS[[#This Row],[Technology code]],Regional.Technologies[Code],0))</f>
        <v>Global Electricity use in the Chemicals: Ammonia technology</v>
      </c>
      <c r="E2344" s="242"/>
      <c r="F2344" s="121" t="s">
        <v>1962</v>
      </c>
      <c r="G2344" s="242"/>
      <c r="H2344" s="242" t="s">
        <v>24</v>
      </c>
      <c r="I2344" s="308">
        <f t="array" aca="1" ref="I234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1.7803019800553821E-20</v>
      </c>
      <c r="J2344" s="308">
        <f t="array" aca="1" ref="J234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1.9614544195061165E-20</v>
      </c>
      <c r="K2344" s="308">
        <f t="array" aca="1" ref="K234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-9.7532065116840316E-21</v>
      </c>
      <c r="L2344" s="308">
        <f t="array" aca="1" ref="L234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1.592778266866951E-20</v>
      </c>
      <c r="M2344" s="308">
        <f t="array" aca="1" ref="M234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-2.1517232940053065E-20</v>
      </c>
      <c r="N2344" s="308">
        <f t="array" aca="1" ref="N234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-7.3005973144566078E-21</v>
      </c>
      <c r="O2344" s="308">
        <f t="array" aca="1" ref="O234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-4.7681836247916083E-20</v>
      </c>
      <c r="P2344" s="308">
        <f t="array" aca="1" ref="P234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4.3814313466690296E-20</v>
      </c>
      <c r="Q2344" s="308">
        <f t="array" aca="1" ref="Q234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1.2339618281117486E-20</v>
      </c>
      <c r="R2344" s="248"/>
      <c r="S2344" s="179"/>
      <c r="T2344" s="179"/>
      <c r="U2344" s="179"/>
      <c r="W2344" s="179"/>
      <c r="X2344" s="179"/>
    </row>
    <row r="2345" spans="1:24" s="65" customFormat="1" ht="15" customHeight="1" outlineLevel="2">
      <c r="A2345" s="219"/>
      <c r="B2345" s="242"/>
      <c r="C2345" s="413" t="s">
        <v>1828</v>
      </c>
      <c r="D2345" s="121" t="str">
        <f>INDEX(Regional.Technologies[Description],MATCH($B$2&amp;"."&amp;G.30.assumptions.EnergyDemandAfterCCS[[#This Row],[Technology code]],Regional.Technologies[Code],0))</f>
        <v>Global Coal use in the Chemicals: Ammonia technology</v>
      </c>
      <c r="E2345" s="242"/>
      <c r="F2345" s="121" t="s">
        <v>1962</v>
      </c>
      <c r="G2345" s="242"/>
      <c r="H2345" s="242"/>
      <c r="I2345" s="308">
        <f t="array" aca="1" ref="I234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1.4435125863870013</v>
      </c>
      <c r="J2345" s="308">
        <f t="array" aca="1" ref="J234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1.458317843683278</v>
      </c>
      <c r="K2345" s="308">
        <f t="array" aca="1" ref="K234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1.4768244153036241</v>
      </c>
      <c r="L2345" s="308">
        <f t="array" aca="1" ref="L234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1.495330986923971</v>
      </c>
      <c r="M2345" s="308">
        <f t="array" aca="1" ref="M234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1.5138375585443171</v>
      </c>
      <c r="N2345" s="308">
        <f t="array" aca="1" ref="N234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1.5323441301646632</v>
      </c>
      <c r="O2345" s="308">
        <f t="array" aca="1" ref="O234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1.5508507017850093</v>
      </c>
      <c r="P2345" s="308">
        <f t="array" aca="1" ref="P234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1.5693572734053554</v>
      </c>
      <c r="Q2345" s="308">
        <f t="array" aca="1" ref="Q234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1.5878638450257014</v>
      </c>
      <c r="R2345" s="248"/>
      <c r="S2345" s="179"/>
      <c r="T2345" s="179"/>
      <c r="U2345" s="179"/>
      <c r="W2345" s="179"/>
      <c r="X2345" s="179"/>
    </row>
    <row r="2346" spans="1:24" s="65" customFormat="1" ht="15" customHeight="1" outlineLevel="2">
      <c r="A2346" s="219"/>
      <c r="B2346" s="242"/>
      <c r="C2346" s="413" t="s">
        <v>1829</v>
      </c>
      <c r="D2346" s="121" t="str">
        <f>INDEX(Regional.Technologies[Description],MATCH($B$2&amp;"."&amp;G.30.assumptions.EnergyDemandAfterCCS[[#This Row],[Technology code]],Regional.Technologies[Code],0))</f>
        <v>Global Oil use in the Chemicals: Ammonia technology</v>
      </c>
      <c r="E2346" s="242"/>
      <c r="F2346" s="121" t="s">
        <v>1962</v>
      </c>
      <c r="G2346" s="242"/>
      <c r="H2346" s="242"/>
      <c r="I2346" s="308">
        <f t="array" aca="1" ref="I234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46" s="308">
        <f t="array" aca="1" ref="J234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46" s="308">
        <f t="array" aca="1" ref="K234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46" s="308">
        <f t="array" aca="1" ref="L234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46" s="308">
        <f t="array" aca="1" ref="M234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46" s="308">
        <f t="array" aca="1" ref="N234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46" s="308">
        <f t="array" aca="1" ref="O234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46" s="308">
        <f t="array" aca="1" ref="P234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46" s="308">
        <f t="array" aca="1" ref="Q234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46" s="248"/>
      <c r="S2346" s="179"/>
      <c r="T2346" s="179"/>
      <c r="U2346" s="179"/>
      <c r="W2346" s="179"/>
      <c r="X2346" s="179"/>
    </row>
    <row r="2347" spans="1:24" s="65" customFormat="1" ht="15" customHeight="1" outlineLevel="2">
      <c r="A2347" s="219"/>
      <c r="B2347" s="242"/>
      <c r="C2347" s="413" t="s">
        <v>1830</v>
      </c>
      <c r="D2347" s="121" t="str">
        <f>INDEX(Regional.Technologies[Description],MATCH($B$2&amp;"."&amp;G.30.assumptions.EnergyDemandAfterCCS[[#This Row],[Technology code]],Regional.Technologies[Code],0))</f>
        <v>Global Natural Gas use in the Chemicals: Ammonia technology</v>
      </c>
      <c r="E2347" s="242"/>
      <c r="F2347" s="121" t="s">
        <v>1962</v>
      </c>
      <c r="G2347" s="242"/>
      <c r="H2347" s="242"/>
      <c r="I2347" s="308">
        <f t="array" aca="1" ref="I234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4.5138365842133039</v>
      </c>
      <c r="J2347" s="308">
        <f t="array" aca="1" ref="J234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4.5601323440513886</v>
      </c>
      <c r="K2347" s="308">
        <f t="array" aca="1" ref="K234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4.6180020438489944</v>
      </c>
      <c r="L2347" s="308">
        <f t="array" aca="1" ref="L234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4.675871743646602</v>
      </c>
      <c r="M2347" s="308">
        <f t="array" aca="1" ref="M234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4.7337414434442087</v>
      </c>
      <c r="N2347" s="308">
        <f t="array" aca="1" ref="N234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4.7916111432418145</v>
      </c>
      <c r="O2347" s="308">
        <f t="array" aca="1" ref="O234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4.8494808430394221</v>
      </c>
      <c r="P2347" s="308">
        <f t="array" aca="1" ref="P234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4.9073505428370279</v>
      </c>
      <c r="Q2347" s="308">
        <f t="array" aca="1" ref="Q234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4.9652202426346346</v>
      </c>
      <c r="R2347" s="248"/>
      <c r="S2347" s="179"/>
      <c r="T2347" s="179"/>
      <c r="U2347" s="179"/>
      <c r="W2347" s="179"/>
      <c r="X2347" s="179"/>
    </row>
    <row r="2348" spans="1:24" s="65" customFormat="1" ht="15" customHeight="1" outlineLevel="2">
      <c r="A2348" s="219"/>
      <c r="B2348" s="242"/>
      <c r="C2348" s="413" t="s">
        <v>1831</v>
      </c>
      <c r="D2348" s="121" t="str">
        <f>INDEX(Regional.Technologies[Description],MATCH($B$2&amp;"."&amp;G.30.assumptions.EnergyDemandAfterCCS[[#This Row],[Technology code]],Regional.Technologies[Code],0))</f>
        <v>Global Solid Hydrocarbons use in the Chemicals: Ammonia technology</v>
      </c>
      <c r="E2348" s="242"/>
      <c r="F2348" s="121" t="s">
        <v>1962</v>
      </c>
      <c r="G2348" s="242"/>
      <c r="H2348" s="242"/>
      <c r="I2348" s="308">
        <f t="array" aca="1" ref="I234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48" s="308">
        <f t="array" aca="1" ref="J234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48" s="308">
        <f t="array" aca="1" ref="K234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48" s="308">
        <f t="array" aca="1" ref="L234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48" s="308">
        <f t="array" aca="1" ref="M234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48" s="308">
        <f t="array" aca="1" ref="N234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48" s="308">
        <f t="array" aca="1" ref="O234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48" s="308">
        <f t="array" aca="1" ref="P234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48" s="308">
        <f t="array" aca="1" ref="Q234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48" s="248"/>
      <c r="S2348" s="179"/>
      <c r="T2348" s="179"/>
      <c r="U2348" s="179"/>
      <c r="W2348" s="179"/>
      <c r="X2348" s="179"/>
    </row>
    <row r="2349" spans="1:24" s="65" customFormat="1" ht="15" customHeight="1" outlineLevel="2">
      <c r="A2349" s="219"/>
      <c r="B2349" s="242"/>
      <c r="C2349" s="413" t="s">
        <v>1832</v>
      </c>
      <c r="D2349" s="121" t="str">
        <f>INDEX(Regional.Technologies[Description],MATCH($B$2&amp;"."&amp;G.30.assumptions.EnergyDemandAfterCCS[[#This Row],[Technology code]],Regional.Technologies[Code],0))</f>
        <v>Global Heat use in the Chemicals: Ammonia technology</v>
      </c>
      <c r="E2349" s="242"/>
      <c r="F2349" s="121" t="s">
        <v>1962</v>
      </c>
      <c r="G2349" s="242"/>
      <c r="H2349" s="242"/>
      <c r="I2349" s="308">
        <f t="array" aca="1" ref="I234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49" s="308">
        <f t="array" aca="1" ref="J234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49" s="308">
        <f t="array" aca="1" ref="K234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49" s="308">
        <f t="array" aca="1" ref="L234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49" s="308">
        <f t="array" aca="1" ref="M234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49" s="308">
        <f t="array" aca="1" ref="N234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49" s="308">
        <f t="array" aca="1" ref="O234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49" s="308">
        <f t="array" aca="1" ref="P234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49" s="308">
        <f t="array" aca="1" ref="Q234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49" s="248"/>
      <c r="S2349" s="179"/>
      <c r="T2349" s="179"/>
      <c r="U2349" s="179"/>
      <c r="W2349" s="179"/>
      <c r="X2349" s="179"/>
    </row>
    <row r="2350" spans="1:24" s="65" customFormat="1" ht="15" customHeight="1" outlineLevel="2">
      <c r="A2350" s="219"/>
      <c r="B2350" s="242"/>
      <c r="C2350" s="413" t="s">
        <v>1833</v>
      </c>
      <c r="D2350" s="121" t="str">
        <f>INDEX(Regional.Technologies[Description],MATCH($B$2&amp;"."&amp;G.30.assumptions.EnergyDemandAfterCCS[[#This Row],[Technology code]],Regional.Technologies[Code],0))</f>
        <v>Global Electricity use in the Chemicals: Methanol technology</v>
      </c>
      <c r="E2350" s="242"/>
      <c r="F2350" s="121" t="s">
        <v>1601</v>
      </c>
      <c r="G2350" s="242"/>
      <c r="H2350" s="242" t="s">
        <v>24</v>
      </c>
      <c r="I2350" s="308">
        <f t="array" aca="1" ref="I235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50" s="308">
        <f t="array" aca="1" ref="J235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50" s="308">
        <f t="array" aca="1" ref="K235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50" s="308">
        <f t="array" aca="1" ref="L235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50" s="308">
        <f t="array" aca="1" ref="M235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50" s="308">
        <f t="array" aca="1" ref="N235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50" s="308">
        <f t="array" aca="1" ref="O235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50" s="308">
        <f t="array" aca="1" ref="P235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50" s="308">
        <f t="array" aca="1" ref="Q235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50" s="248"/>
      <c r="S2350" s="179"/>
      <c r="T2350" s="179"/>
      <c r="U2350" s="179"/>
      <c r="W2350" s="179"/>
      <c r="X2350" s="179"/>
    </row>
    <row r="2351" spans="1:24" s="65" customFormat="1" ht="15" customHeight="1" outlineLevel="2">
      <c r="A2351" s="219"/>
      <c r="B2351" s="242"/>
      <c r="C2351" s="413" t="s">
        <v>1834</v>
      </c>
      <c r="D2351" s="121" t="str">
        <f>INDEX(Regional.Technologies[Description],MATCH($B$2&amp;"."&amp;G.30.assumptions.EnergyDemandAfterCCS[[#This Row],[Technology code]],Regional.Technologies[Code],0))</f>
        <v>Global Coal use in the Chemicals: Methanol technology</v>
      </c>
      <c r="E2351" s="242"/>
      <c r="F2351" s="121" t="s">
        <v>1601</v>
      </c>
      <c r="G2351" s="242"/>
      <c r="H2351" s="242"/>
      <c r="I2351" s="308">
        <f t="array" aca="1" ref="I235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0.726021750603001</v>
      </c>
      <c r="J2351" s="308">
        <f t="array" aca="1" ref="J235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0.73346812753226243</v>
      </c>
      <c r="K2351" s="308">
        <f t="array" aca="1" ref="K235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0.74277609869383943</v>
      </c>
      <c r="L2351" s="308">
        <f t="array" aca="1" ref="L235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0.75208406985541643</v>
      </c>
      <c r="M2351" s="308">
        <f t="array" aca="1" ref="M235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0.76139204101699354</v>
      </c>
      <c r="N2351" s="308">
        <f t="array" aca="1" ref="N235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0.7707000121785702</v>
      </c>
      <c r="O2351" s="308">
        <f t="array" aca="1" ref="O235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0.78000798334014743</v>
      </c>
      <c r="P2351" s="308">
        <f t="array" aca="1" ref="P235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0.78931595450172432</v>
      </c>
      <c r="Q2351" s="308">
        <f t="array" aca="1" ref="Q235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0.7986239256633012</v>
      </c>
      <c r="R2351" s="248"/>
      <c r="S2351" s="179"/>
      <c r="T2351" s="179"/>
      <c r="U2351" s="179"/>
      <c r="W2351" s="179"/>
      <c r="X2351" s="179"/>
    </row>
    <row r="2352" spans="1:24" s="65" customFormat="1" ht="15" customHeight="1" outlineLevel="2">
      <c r="A2352" s="219"/>
      <c r="B2352" s="242"/>
      <c r="C2352" s="413" t="s">
        <v>1835</v>
      </c>
      <c r="D2352" s="121" t="str">
        <f>INDEX(Regional.Technologies[Description],MATCH($B$2&amp;"."&amp;G.30.assumptions.EnergyDemandAfterCCS[[#This Row],[Technology code]],Regional.Technologies[Code],0))</f>
        <v>Global Oil use in the Chemicals: Methanol technology</v>
      </c>
      <c r="E2352" s="242"/>
      <c r="F2352" s="121" t="s">
        <v>1601</v>
      </c>
      <c r="G2352" s="242"/>
      <c r="H2352" s="242"/>
      <c r="I2352" s="308">
        <f t="array" aca="1" ref="I235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52" s="308">
        <f t="array" aca="1" ref="J235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52" s="308">
        <f t="array" aca="1" ref="K235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52" s="308">
        <f t="array" aca="1" ref="L235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52" s="308">
        <f t="array" aca="1" ref="M235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52" s="308">
        <f t="array" aca="1" ref="N235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52" s="308">
        <f t="array" aca="1" ref="O235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52" s="308">
        <f t="array" aca="1" ref="P235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52" s="308">
        <f t="array" aca="1" ref="Q235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52" s="248"/>
      <c r="S2352" s="179"/>
      <c r="T2352" s="179"/>
      <c r="U2352" s="179"/>
      <c r="W2352" s="179"/>
      <c r="X2352" s="179"/>
    </row>
    <row r="2353" spans="1:24" s="65" customFormat="1" ht="15" customHeight="1" outlineLevel="2">
      <c r="A2353" s="219"/>
      <c r="B2353" s="242"/>
      <c r="C2353" s="413" t="s">
        <v>1836</v>
      </c>
      <c r="D2353" s="121" t="str">
        <f>INDEX(Regional.Technologies[Description],MATCH($B$2&amp;"."&amp;G.30.assumptions.EnergyDemandAfterCCS[[#This Row],[Technology code]],Regional.Technologies[Code],0))</f>
        <v>Global Natural Gas use in the Chemicals: Methanol technology</v>
      </c>
      <c r="E2353" s="242"/>
      <c r="F2353" s="121" t="s">
        <v>1601</v>
      </c>
      <c r="G2353" s="242"/>
      <c r="H2353" s="242"/>
      <c r="I2353" s="308">
        <f t="array" aca="1" ref="I235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0.937789568259083</v>
      </c>
      <c r="J2353" s="308">
        <f t="array" aca="1" ref="J235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0.94740792280532993</v>
      </c>
      <c r="K2353" s="308">
        <f t="array" aca="1" ref="K235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0.95943086598813876</v>
      </c>
      <c r="L2353" s="308">
        <f t="array" aca="1" ref="L235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0.97145380917094759</v>
      </c>
      <c r="M2353" s="308">
        <f t="array" aca="1" ref="M235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0.98347675235375631</v>
      </c>
      <c r="N2353" s="308">
        <f t="array" aca="1" ref="N235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0.99549969553656503</v>
      </c>
      <c r="O2353" s="308">
        <f t="array" aca="1" ref="O235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1.0075226387193739</v>
      </c>
      <c r="P2353" s="308">
        <f t="array" aca="1" ref="P235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1.0195455819021826</v>
      </c>
      <c r="Q2353" s="308">
        <f t="array" aca="1" ref="Q235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1.0315685250849913</v>
      </c>
      <c r="R2353" s="248"/>
      <c r="S2353" s="179"/>
      <c r="T2353" s="179"/>
      <c r="U2353" s="179"/>
      <c r="W2353" s="179"/>
      <c r="X2353" s="179"/>
    </row>
    <row r="2354" spans="1:24" s="65" customFormat="1" ht="15" customHeight="1" outlineLevel="2">
      <c r="A2354" s="219"/>
      <c r="B2354" s="242"/>
      <c r="C2354" s="413" t="s">
        <v>1837</v>
      </c>
      <c r="D2354" s="121" t="str">
        <f>INDEX(Regional.Technologies[Description],MATCH($B$2&amp;"."&amp;G.30.assumptions.EnergyDemandAfterCCS[[#This Row],[Technology code]],Regional.Technologies[Code],0))</f>
        <v>Global Solid Hydrocarbons use in the Chemicals: Methanol technology</v>
      </c>
      <c r="E2354" s="242"/>
      <c r="F2354" s="121" t="s">
        <v>1601</v>
      </c>
      <c r="G2354" s="242"/>
      <c r="H2354" s="242"/>
      <c r="I2354" s="308">
        <f t="array" aca="1" ref="I235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54" s="308">
        <f t="array" aca="1" ref="J235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54" s="308">
        <f t="array" aca="1" ref="K235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54" s="308">
        <f t="array" aca="1" ref="L235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54" s="308">
        <f t="array" aca="1" ref="M235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54" s="308">
        <f t="array" aca="1" ref="N235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54" s="308">
        <f t="array" aca="1" ref="O235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54" s="308">
        <f t="array" aca="1" ref="P235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54" s="308">
        <f t="array" aca="1" ref="Q235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54" s="248"/>
      <c r="S2354" s="179"/>
      <c r="T2354" s="179"/>
      <c r="U2354" s="179"/>
      <c r="W2354" s="179"/>
      <c r="X2354" s="179"/>
    </row>
    <row r="2355" spans="1:24" s="65" customFormat="1" ht="15" customHeight="1" outlineLevel="2">
      <c r="A2355" s="219"/>
      <c r="B2355" s="242"/>
      <c r="C2355" s="413" t="s">
        <v>1838</v>
      </c>
      <c r="D2355" s="121" t="str">
        <f>INDEX(Regional.Technologies[Description],MATCH($B$2&amp;"."&amp;G.30.assumptions.EnergyDemandAfterCCS[[#This Row],[Technology code]],Regional.Technologies[Code],0))</f>
        <v>Global Heat use in the Chemicals: Methanol technology</v>
      </c>
      <c r="E2355" s="242"/>
      <c r="F2355" s="121" t="s">
        <v>1601</v>
      </c>
      <c r="G2355" s="242"/>
      <c r="H2355" s="242"/>
      <c r="I2355" s="308">
        <f t="array" aca="1" ref="I235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55" s="308">
        <f t="array" aca="1" ref="J235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55" s="308">
        <f t="array" aca="1" ref="K235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55" s="308">
        <f t="array" aca="1" ref="L235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55" s="308">
        <f t="array" aca="1" ref="M235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55" s="308">
        <f t="array" aca="1" ref="N235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55" s="308">
        <f t="array" aca="1" ref="O235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55" s="308">
        <f t="array" aca="1" ref="P235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55" s="308">
        <f t="array" aca="1" ref="Q235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55" s="248"/>
      <c r="S2355" s="179"/>
      <c r="T2355" s="179"/>
      <c r="U2355" s="179"/>
      <c r="W2355" s="179"/>
      <c r="X2355" s="179"/>
    </row>
    <row r="2356" spans="1:24" s="65" customFormat="1" ht="15" customHeight="1" outlineLevel="2">
      <c r="A2356" s="219"/>
      <c r="B2356" s="242"/>
      <c r="C2356" s="413" t="s">
        <v>1839</v>
      </c>
      <c r="D2356" s="121" t="str">
        <f>INDEX(Regional.Technologies[Description],MATCH($B$2&amp;"."&amp;G.30.assumptions.EnergyDemandAfterCCS[[#This Row],[Technology code]],Regional.Technologies[Code],0))</f>
        <v>Global Electricity use in the Chemicals: Others technology</v>
      </c>
      <c r="E2356" s="242"/>
      <c r="F2356" s="121" t="s">
        <v>1601</v>
      </c>
      <c r="G2356" s="242"/>
      <c r="H2356" s="242" t="s">
        <v>24</v>
      </c>
      <c r="I2356" s="308">
        <f t="array" aca="1" ref="I235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4.1752925085634338</v>
      </c>
      <c r="J2356" s="308">
        <f t="array" aca="1" ref="J235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4.2181160214717766</v>
      </c>
      <c r="K2356" s="308">
        <f t="array" aca="1" ref="K235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4.2716454126072056</v>
      </c>
      <c r="L2356" s="308">
        <f t="array" aca="1" ref="L235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4.3251748037426347</v>
      </c>
      <c r="M2356" s="308">
        <f t="array" aca="1" ref="M235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4.3787041948780629</v>
      </c>
      <c r="N2356" s="308">
        <f t="array" aca="1" ref="N235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4.4322335860134912</v>
      </c>
      <c r="O2356" s="308">
        <f t="array" aca="1" ref="O235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4.4857629771489211</v>
      </c>
      <c r="P2356" s="308">
        <f t="array" aca="1" ref="P235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4.5392923682843493</v>
      </c>
      <c r="Q2356" s="308">
        <f t="array" aca="1" ref="Q235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4.5928217594197784</v>
      </c>
      <c r="R2356" s="248"/>
      <c r="S2356" s="179"/>
      <c r="T2356" s="179"/>
      <c r="U2356" s="179"/>
      <c r="W2356" s="179"/>
      <c r="X2356" s="179"/>
    </row>
    <row r="2357" spans="1:24" s="65" customFormat="1" ht="15" customHeight="1" outlineLevel="2">
      <c r="A2357" s="219"/>
      <c r="B2357" s="242"/>
      <c r="C2357" s="413" t="s">
        <v>1840</v>
      </c>
      <c r="D2357" s="121" t="str">
        <f>INDEX(Regional.Technologies[Description],MATCH($B$2&amp;"."&amp;G.30.assumptions.EnergyDemandAfterCCS[[#This Row],[Technology code]],Regional.Technologies[Code],0))</f>
        <v>Global Coal use in the Chemicals: Others technology</v>
      </c>
      <c r="E2357" s="242"/>
      <c r="F2357" s="121" t="s">
        <v>1601</v>
      </c>
      <c r="G2357" s="242"/>
      <c r="H2357" s="242"/>
      <c r="I2357" s="308">
        <f t="array" aca="1" ref="I235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0.37414965620854623</v>
      </c>
      <c r="J2357" s="308">
        <f t="array" aca="1" ref="J235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0.37798708857991592</v>
      </c>
      <c r="K2357" s="308">
        <f t="array" aca="1" ref="K235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0.38278387904412625</v>
      </c>
      <c r="L2357" s="308">
        <f t="array" aca="1" ref="L235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0.38758066950834191</v>
      </c>
      <c r="M2357" s="308">
        <f t="array" aca="1" ref="M235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0.39237745997255224</v>
      </c>
      <c r="N2357" s="308">
        <f t="array" aca="1" ref="N235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0.39717425043676258</v>
      </c>
      <c r="O2357" s="308">
        <f t="array" aca="1" ref="O235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0.40197104090097646</v>
      </c>
      <c r="P2357" s="308">
        <f t="array" aca="1" ref="P235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0.40676783136519035</v>
      </c>
      <c r="Q2357" s="308">
        <f t="array" aca="1" ref="Q235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0.41156462182940068</v>
      </c>
      <c r="R2357" s="248"/>
      <c r="S2357" s="179"/>
      <c r="T2357" s="179"/>
      <c r="U2357" s="179"/>
      <c r="W2357" s="179"/>
      <c r="X2357" s="179"/>
    </row>
    <row r="2358" spans="1:24" s="65" customFormat="1" ht="15" customHeight="1" outlineLevel="2">
      <c r="A2358" s="219"/>
      <c r="B2358" s="242"/>
      <c r="C2358" s="413" t="s">
        <v>1841</v>
      </c>
      <c r="D2358" s="121" t="str">
        <f>INDEX(Regional.Technologies[Description],MATCH($B$2&amp;"."&amp;G.30.assumptions.EnergyDemandAfterCCS[[#This Row],[Technology code]],Regional.Technologies[Code],0))</f>
        <v>Global Oil use in the Chemicals: Others technology</v>
      </c>
      <c r="E2358" s="242"/>
      <c r="F2358" s="121" t="s">
        <v>1601</v>
      </c>
      <c r="G2358" s="242"/>
      <c r="H2358" s="242"/>
      <c r="I2358" s="308">
        <f t="array" aca="1" ref="I235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-2.3799202608643097E-15</v>
      </c>
      <c r="J2358" s="308">
        <f t="array" aca="1" ref="J235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-2.4043296994372769E-15</v>
      </c>
      <c r="K2358" s="308">
        <f t="array" aca="1" ref="K235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-2.434841497653486E-15</v>
      </c>
      <c r="L2358" s="308">
        <f t="array" aca="1" ref="L235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-2.4653532958696954E-15</v>
      </c>
      <c r="M2358" s="308">
        <f t="array" aca="1" ref="M235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-2.4958650940859044E-15</v>
      </c>
      <c r="N2358" s="308">
        <f t="array" aca="1" ref="N235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-2.5263768923021135E-15</v>
      </c>
      <c r="O2358" s="308">
        <f t="array" aca="1" ref="O235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-2.5568886905183229E-15</v>
      </c>
      <c r="P2358" s="308">
        <f t="array" aca="1" ref="P235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-2.5874004887345319E-15</v>
      </c>
      <c r="Q2358" s="308">
        <f t="array" aca="1" ref="Q235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-2.617912286950741E-15</v>
      </c>
      <c r="R2358" s="248"/>
      <c r="S2358" s="179"/>
      <c r="T2358" s="179"/>
      <c r="U2358" s="179"/>
      <c r="W2358" s="179"/>
      <c r="X2358" s="179"/>
    </row>
    <row r="2359" spans="1:24" s="65" customFormat="1" ht="15" customHeight="1" outlineLevel="2">
      <c r="A2359" s="219"/>
      <c r="B2359" s="242"/>
      <c r="C2359" s="413" t="s">
        <v>1842</v>
      </c>
      <c r="D2359" s="121" t="str">
        <f>INDEX(Regional.Technologies[Description],MATCH($B$2&amp;"."&amp;G.30.assumptions.EnergyDemandAfterCCS[[#This Row],[Technology code]],Regional.Technologies[Code],0))</f>
        <v>Global Natural Gas use in the Chemicals: Others technology</v>
      </c>
      <c r="E2359" s="242"/>
      <c r="F2359" s="121" t="s">
        <v>1601</v>
      </c>
      <c r="G2359" s="242"/>
      <c r="H2359" s="242"/>
      <c r="I2359" s="308">
        <f t="array" aca="1" ref="I235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6.0442800620537298</v>
      </c>
      <c r="J2359" s="308">
        <f t="array" aca="1" ref="J235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6.1062726780747951</v>
      </c>
      <c r="K2359" s="308">
        <f t="array" aca="1" ref="K235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6.1837634481011259</v>
      </c>
      <c r="L2359" s="308">
        <f t="array" aca="1" ref="L235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6.2612542181274531</v>
      </c>
      <c r="M2359" s="308">
        <f t="array" aca="1" ref="M235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6.3387449881537838</v>
      </c>
      <c r="N2359" s="308">
        <f t="array" aca="1" ref="N235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6.4162357581801146</v>
      </c>
      <c r="O2359" s="308">
        <f t="array" aca="1" ref="O235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6.4937265282064454</v>
      </c>
      <c r="P2359" s="308">
        <f t="array" aca="1" ref="P235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6.5712172982327735</v>
      </c>
      <c r="Q2359" s="308">
        <f t="array" aca="1" ref="Q235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6.6487080682591042</v>
      </c>
      <c r="R2359" s="248"/>
      <c r="S2359" s="179"/>
      <c r="T2359" s="179"/>
      <c r="U2359" s="179"/>
      <c r="W2359" s="179"/>
      <c r="X2359" s="179"/>
    </row>
    <row r="2360" spans="1:24" s="65" customFormat="1" ht="15" customHeight="1" outlineLevel="2">
      <c r="A2360" s="219"/>
      <c r="B2360" s="242"/>
      <c r="C2360" s="413" t="s">
        <v>1843</v>
      </c>
      <c r="D2360" s="121" t="str">
        <f>INDEX(Regional.Technologies[Description],MATCH($B$2&amp;"."&amp;G.30.assumptions.EnergyDemandAfterCCS[[#This Row],[Technology code]],Regional.Technologies[Code],0))</f>
        <v>Global Solid Hydrocarbons use in the Chemicals: Others technology</v>
      </c>
      <c r="E2360" s="242"/>
      <c r="F2360" s="121" t="s">
        <v>1601</v>
      </c>
      <c r="G2360" s="242"/>
      <c r="H2360" s="242"/>
      <c r="I2360" s="308">
        <f t="array" aca="1" ref="I236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0.16313870478909601</v>
      </c>
      <c r="J2360" s="308">
        <f t="array" aca="1" ref="J236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0.16481192227411237</v>
      </c>
      <c r="K2360" s="308">
        <f t="array" aca="1" ref="K236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0.16690344413038283</v>
      </c>
      <c r="L2360" s="308">
        <f t="array" aca="1" ref="L236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0.16899496598665331</v>
      </c>
      <c r="M2360" s="308">
        <f t="array" aca="1" ref="M236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0.17108648784292377</v>
      </c>
      <c r="N2360" s="308">
        <f t="array" aca="1" ref="N236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0.17317800969919422</v>
      </c>
      <c r="O2360" s="308">
        <f t="array" aca="1" ref="O236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0.17526953155546471</v>
      </c>
      <c r="P2360" s="308">
        <f t="array" aca="1" ref="P236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0.17736105341173516</v>
      </c>
      <c r="Q2360" s="308">
        <f t="array" aca="1" ref="Q236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0.17945257526800562</v>
      </c>
      <c r="R2360" s="248"/>
      <c r="S2360" s="179"/>
      <c r="T2360" s="179"/>
      <c r="U2360" s="179"/>
      <c r="W2360" s="179"/>
      <c r="X2360" s="179"/>
    </row>
    <row r="2361" spans="1:24" s="65" customFormat="1" ht="15" customHeight="1" outlineLevel="2">
      <c r="A2361" s="219"/>
      <c r="B2361" s="242"/>
      <c r="C2361" s="413" t="s">
        <v>1844</v>
      </c>
      <c r="D2361" s="121" t="str">
        <f>INDEX(Regional.Technologies[Description],MATCH($B$2&amp;"."&amp;G.30.assumptions.EnergyDemandAfterCCS[[#This Row],[Technology code]],Regional.Technologies[Code],0))</f>
        <v>Global Heat use in the Chemicals: Others technology</v>
      </c>
      <c r="E2361" s="242"/>
      <c r="F2361" s="121" t="s">
        <v>1601</v>
      </c>
      <c r="G2361" s="242"/>
      <c r="H2361" s="242"/>
      <c r="I2361" s="308">
        <f t="array" aca="1" ref="I236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1.9701384317850921</v>
      </c>
      <c r="J2361" s="308">
        <f t="array" aca="1" ref="J236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1.9903449798034007</v>
      </c>
      <c r="K2361" s="308">
        <f t="array" aca="1" ref="K236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2.0156031648262864</v>
      </c>
      <c r="L2361" s="308">
        <f t="array" aca="1" ref="L236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2.0408613498491723</v>
      </c>
      <c r="M2361" s="308">
        <f t="array" aca="1" ref="M236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2.0661195348720582</v>
      </c>
      <c r="N2361" s="308">
        <f t="array" aca="1" ref="N236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2.0913777198949437</v>
      </c>
      <c r="O2361" s="308">
        <f t="array" aca="1" ref="O236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2.11663590491783</v>
      </c>
      <c r="P2361" s="308">
        <f t="array" aca="1" ref="P236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2.141894089940716</v>
      </c>
      <c r="Q2361" s="308">
        <f t="array" aca="1" ref="Q236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2.1671522749636014</v>
      </c>
      <c r="R2361" s="248"/>
      <c r="S2361" s="179"/>
      <c r="T2361" s="179"/>
      <c r="U2361" s="179"/>
      <c r="W2361" s="179"/>
      <c r="X2361" s="179"/>
    </row>
    <row r="2362" spans="1:24" s="65" customFormat="1" ht="15" customHeight="1" outlineLevel="2">
      <c r="A2362" s="219"/>
      <c r="B2362" s="242"/>
      <c r="C2362" s="413" t="s">
        <v>1845</v>
      </c>
      <c r="D2362" s="121" t="str">
        <f>INDEX(Regional.Technologies[Description],MATCH($B$2&amp;"."&amp;G.30.assumptions.EnergyDemandAfterCCS[[#This Row],[Technology code]],Regional.Technologies[Code],0))</f>
        <v>Global Electricity use in the Pulp &amp; paper: Pulp technology</v>
      </c>
      <c r="E2362" s="242"/>
      <c r="F2362" s="121" t="s">
        <v>1954</v>
      </c>
      <c r="G2362" s="242"/>
      <c r="H2362" s="242" t="s">
        <v>24</v>
      </c>
      <c r="I2362" s="308">
        <f t="array" aca="1" ref="I236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0.65799398015612487</v>
      </c>
      <c r="J2362" s="308">
        <f t="array" aca="1" ref="J236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0.66474263636285447</v>
      </c>
      <c r="K2362" s="308">
        <f t="array" aca="1" ref="K236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0.67317845662126619</v>
      </c>
      <c r="L2362" s="308">
        <f t="array" aca="1" ref="L236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0.68161427687967835</v>
      </c>
      <c r="M2362" s="308">
        <f t="array" aca="1" ref="M236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0.69005009713809007</v>
      </c>
      <c r="N2362" s="308">
        <f t="array" aca="1" ref="N236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0.6984859173965019</v>
      </c>
      <c r="O2362" s="308">
        <f t="array" aca="1" ref="O236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0.70692173765491395</v>
      </c>
      <c r="P2362" s="308">
        <f t="array" aca="1" ref="P236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0.71535755791332567</v>
      </c>
      <c r="Q2362" s="308">
        <f t="array" aca="1" ref="Q236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0.72379337817173739</v>
      </c>
      <c r="R2362" s="248"/>
      <c r="S2362" s="179"/>
      <c r="T2362" s="179"/>
      <c r="U2362" s="179"/>
      <c r="W2362" s="179"/>
      <c r="X2362" s="179"/>
    </row>
    <row r="2363" spans="1:24" s="65" customFormat="1" ht="15" customHeight="1" outlineLevel="2">
      <c r="A2363" s="219"/>
      <c r="B2363" s="242"/>
      <c r="C2363" s="413" t="s">
        <v>1846</v>
      </c>
      <c r="D2363" s="121" t="str">
        <f>INDEX(Regional.Technologies[Description],MATCH($B$2&amp;"."&amp;G.30.assumptions.EnergyDemandAfterCCS[[#This Row],[Technology code]],Regional.Technologies[Code],0))</f>
        <v>Global Coal use in the Pulp &amp; paper: Pulp technology</v>
      </c>
      <c r="E2363" s="242"/>
      <c r="F2363" s="121" t="s">
        <v>1954</v>
      </c>
      <c r="G2363" s="242"/>
      <c r="H2363" s="242"/>
      <c r="I2363" s="308">
        <f t="array" aca="1" ref="I236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0.59772552046925531</v>
      </c>
      <c r="J2363" s="308">
        <f t="array" aca="1" ref="J236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0.60385603862791459</v>
      </c>
      <c r="K2363" s="308">
        <f t="array" aca="1" ref="K236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0.61151918632623792</v>
      </c>
      <c r="L2363" s="308">
        <f t="array" aca="1" ref="L236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0.61918233402456213</v>
      </c>
      <c r="M2363" s="308">
        <f t="array" aca="1" ref="M236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0.62684548172288546</v>
      </c>
      <c r="N2363" s="308">
        <f t="array" aca="1" ref="N236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0.63450862942120967</v>
      </c>
      <c r="O2363" s="308">
        <f t="array" aca="1" ref="O236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0.64217177711953344</v>
      </c>
      <c r="P2363" s="308">
        <f t="array" aca="1" ref="P236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0.64983492481785721</v>
      </c>
      <c r="Q2363" s="308">
        <f t="array" aca="1" ref="Q236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0.65749807251618186</v>
      </c>
      <c r="R2363" s="248"/>
      <c r="S2363" s="179"/>
      <c r="T2363" s="179"/>
      <c r="U2363" s="179"/>
      <c r="W2363" s="179"/>
      <c r="X2363" s="179"/>
    </row>
    <row r="2364" spans="1:24" s="65" customFormat="1" ht="15" customHeight="1" outlineLevel="2">
      <c r="A2364" s="219"/>
      <c r="B2364" s="242"/>
      <c r="C2364" s="413" t="s">
        <v>1847</v>
      </c>
      <c r="D2364" s="121" t="str">
        <f>INDEX(Regional.Technologies[Description],MATCH($B$2&amp;"."&amp;G.30.assumptions.EnergyDemandAfterCCS[[#This Row],[Technology code]],Regional.Technologies[Code],0))</f>
        <v>Global Oil use in the Pulp &amp; paper: Pulp technology</v>
      </c>
      <c r="E2364" s="242"/>
      <c r="F2364" s="121" t="s">
        <v>1954</v>
      </c>
      <c r="G2364" s="242"/>
      <c r="H2364" s="242"/>
      <c r="I2364" s="308">
        <f t="array" aca="1" ref="I236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0.18690202814673121</v>
      </c>
      <c r="J2364" s="308">
        <f t="array" aca="1" ref="J236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0.18881897202515924</v>
      </c>
      <c r="K2364" s="308">
        <f t="array" aca="1" ref="K236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0.19121515187319424</v>
      </c>
      <c r="L2364" s="308">
        <f t="array" aca="1" ref="L236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0.19361133172122932</v>
      </c>
      <c r="M2364" s="308">
        <f t="array" aca="1" ref="M236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0.1960075115692643</v>
      </c>
      <c r="N2364" s="308">
        <f t="array" aca="1" ref="N236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0.1984036914172993</v>
      </c>
      <c r="O2364" s="308">
        <f t="array" aca="1" ref="O236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0.20079987126533438</v>
      </c>
      <c r="P2364" s="308">
        <f t="array" aca="1" ref="P236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0.20319605111336939</v>
      </c>
      <c r="Q2364" s="308">
        <f t="array" aca="1" ref="Q236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0.20559223096140436</v>
      </c>
      <c r="R2364" s="248"/>
      <c r="S2364" s="179"/>
      <c r="T2364" s="179"/>
      <c r="U2364" s="179"/>
      <c r="W2364" s="179"/>
      <c r="X2364" s="179"/>
    </row>
    <row r="2365" spans="1:24" s="65" customFormat="1" ht="15" customHeight="1" outlineLevel="2">
      <c r="A2365" s="219"/>
      <c r="B2365" s="242"/>
      <c r="C2365" s="413" t="s">
        <v>1848</v>
      </c>
      <c r="D2365" s="121" t="str">
        <f>INDEX(Regional.Technologies[Description],MATCH($B$2&amp;"."&amp;G.30.assumptions.EnergyDemandAfterCCS[[#This Row],[Technology code]],Regional.Technologies[Code],0))</f>
        <v>Global Natural Gas use in the Pulp &amp; paper: Pulp technology</v>
      </c>
      <c r="E2365" s="242"/>
      <c r="F2365" s="121" t="s">
        <v>1954</v>
      </c>
      <c r="G2365" s="242"/>
      <c r="H2365" s="242"/>
      <c r="I2365" s="308">
        <f t="array" aca="1" ref="I236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0.47643652328594177</v>
      </c>
      <c r="J2365" s="308">
        <f t="array" aca="1" ref="J236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0.48132305172990009</v>
      </c>
      <c r="K2365" s="308">
        <f t="array" aca="1" ref="K236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0.48743121228484831</v>
      </c>
      <c r="L2365" s="308">
        <f t="array" aca="1" ref="L236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0.49353937283979565</v>
      </c>
      <c r="M2365" s="308">
        <f t="array" aca="1" ref="M236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0.49964753339474388</v>
      </c>
      <c r="N2365" s="308">
        <f t="array" aca="1" ref="N236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0.50575569394969211</v>
      </c>
      <c r="O2365" s="308">
        <f t="array" aca="1" ref="O236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0.51186385450463989</v>
      </c>
      <c r="P2365" s="308">
        <f t="array" aca="1" ref="P236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0.51797201505958812</v>
      </c>
      <c r="Q2365" s="308">
        <f t="array" aca="1" ref="Q236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0.52408017561453635</v>
      </c>
      <c r="R2365" s="248"/>
      <c r="S2365" s="179"/>
      <c r="T2365" s="179"/>
      <c r="U2365" s="179"/>
      <c r="W2365" s="179"/>
      <c r="X2365" s="179"/>
    </row>
    <row r="2366" spans="1:24" s="65" customFormat="1" ht="15" customHeight="1" outlineLevel="2">
      <c r="A2366" s="219"/>
      <c r="B2366" s="242"/>
      <c r="C2366" s="413" t="s">
        <v>1849</v>
      </c>
      <c r="D2366" s="121" t="str">
        <f>INDEX(Regional.Technologies[Description],MATCH($B$2&amp;"."&amp;G.30.assumptions.EnergyDemandAfterCCS[[#This Row],[Technology code]],Regional.Technologies[Code],0))</f>
        <v>Global Solid Hydrocarbons use in the Pulp &amp; paper: Pulp technology</v>
      </c>
      <c r="E2366" s="242"/>
      <c r="F2366" s="121" t="s">
        <v>1954</v>
      </c>
      <c r="G2366" s="242"/>
      <c r="H2366" s="242"/>
      <c r="I2366" s="308">
        <f t="array" aca="1" ref="I236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1.1015070797346034</v>
      </c>
      <c r="J2366" s="308">
        <f t="array" aca="1" ref="J236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1.1128045882447017</v>
      </c>
      <c r="K2366" s="308">
        <f t="array" aca="1" ref="K236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1.1269264738823248</v>
      </c>
      <c r="L2366" s="308">
        <f t="array" aca="1" ref="L236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1.1410483595199483</v>
      </c>
      <c r="M2366" s="308">
        <f t="array" aca="1" ref="M236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1.1551702451575714</v>
      </c>
      <c r="N2366" s="308">
        <f t="array" aca="1" ref="N236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1.1692921307951945</v>
      </c>
      <c r="O2366" s="308">
        <f t="array" aca="1" ref="O236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1.1834140164328177</v>
      </c>
      <c r="P2366" s="308">
        <f t="array" aca="1" ref="P236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1.1975359020704408</v>
      </c>
      <c r="Q2366" s="308">
        <f t="array" aca="1" ref="Q236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1.2116577877080636</v>
      </c>
      <c r="R2366" s="248"/>
      <c r="S2366" s="179"/>
      <c r="T2366" s="179"/>
      <c r="U2366" s="179"/>
      <c r="W2366" s="179"/>
      <c r="X2366" s="179"/>
    </row>
    <row r="2367" spans="1:24" s="65" customFormat="1" ht="15" customHeight="1" outlineLevel="2">
      <c r="A2367" s="219"/>
      <c r="B2367" s="242"/>
      <c r="C2367" s="413" t="s">
        <v>1850</v>
      </c>
      <c r="D2367" s="121" t="str">
        <f>INDEX(Regional.Technologies[Description],MATCH($B$2&amp;"."&amp;G.30.assumptions.EnergyDemandAfterCCS[[#This Row],[Technology code]],Regional.Technologies[Code],0))</f>
        <v>Global Heat use in the Pulp &amp; paper: Pulp technology</v>
      </c>
      <c r="E2367" s="242"/>
      <c r="F2367" s="121" t="s">
        <v>1954</v>
      </c>
      <c r="G2367" s="242"/>
      <c r="H2367" s="242"/>
      <c r="I2367" s="308">
        <f t="array" aca="1" ref="I236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67" s="308">
        <f t="array" aca="1" ref="J236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67" s="308">
        <f t="array" aca="1" ref="K236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67" s="308">
        <f t="array" aca="1" ref="L236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67" s="308">
        <f t="array" aca="1" ref="M236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67" s="308">
        <f t="array" aca="1" ref="N236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67" s="308">
        <f t="array" aca="1" ref="O236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67" s="308">
        <f t="array" aca="1" ref="P236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67" s="308">
        <f t="array" aca="1" ref="Q236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67" s="248"/>
      <c r="S2367" s="179"/>
      <c r="T2367" s="179"/>
      <c r="U2367" s="179"/>
      <c r="W2367" s="179"/>
      <c r="X2367" s="179"/>
    </row>
    <row r="2368" spans="1:24" s="65" customFormat="1" ht="15" customHeight="1" outlineLevel="2">
      <c r="A2368" s="219"/>
      <c r="B2368" s="242"/>
      <c r="C2368" s="413" t="s">
        <v>1631</v>
      </c>
      <c r="D2368" s="121" t="str">
        <f>INDEX(Regional.Technologies[Description],MATCH($B$2&amp;"."&amp;G.30.assumptions.EnergyDemandAfterCCS[[#This Row],[Technology code]],Regional.Technologies[Code],0))</f>
        <v>Global Electricity use in the Pulp &amp; paper: Virgin technology</v>
      </c>
      <c r="E2368" s="242"/>
      <c r="F2368" s="121" t="s">
        <v>1955</v>
      </c>
      <c r="G2368" s="242"/>
      <c r="H2368" s="242" t="s">
        <v>24</v>
      </c>
      <c r="I2368" s="308">
        <f t="array" aca="1" ref="I236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0.96830205621334242</v>
      </c>
      <c r="J2368" s="308">
        <f t="array" aca="1" ref="J236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0.97823335935399203</v>
      </c>
      <c r="K2368" s="308">
        <f t="array" aca="1" ref="K236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0.99064748827980409</v>
      </c>
      <c r="L2368" s="308">
        <f t="array" aca="1" ref="L236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1.0030616172056164</v>
      </c>
      <c r="M2368" s="308">
        <f t="array" aca="1" ref="M236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1.0154757461314283</v>
      </c>
      <c r="N2368" s="308">
        <f t="array" aca="1" ref="N236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1.0278898750572405</v>
      </c>
      <c r="O2368" s="308">
        <f t="array" aca="1" ref="O236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1.0403040039830527</v>
      </c>
      <c r="P2368" s="308">
        <f t="array" aca="1" ref="P236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1.0527181329088646</v>
      </c>
      <c r="Q2368" s="308">
        <f t="array" aca="1" ref="Q236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1.0651322618346766</v>
      </c>
      <c r="R2368" s="248"/>
      <c r="S2368" s="179"/>
      <c r="T2368" s="179"/>
      <c r="U2368" s="179"/>
      <c r="W2368" s="179"/>
      <c r="X2368" s="179"/>
    </row>
    <row r="2369" spans="1:24" s="65" customFormat="1" ht="15" customHeight="1" outlineLevel="2">
      <c r="A2369" s="219"/>
      <c r="B2369" s="242"/>
      <c r="C2369" s="413" t="s">
        <v>1851</v>
      </c>
      <c r="D2369" s="121" t="str">
        <f>INDEX(Regional.Technologies[Description],MATCH($B$2&amp;"."&amp;G.30.assumptions.EnergyDemandAfterCCS[[#This Row],[Technology code]],Regional.Technologies[Code],0))</f>
        <v>Global Coal use in the Pulp &amp; paper: Virgin technology</v>
      </c>
      <c r="E2369" s="242"/>
      <c r="F2369" s="121" t="s">
        <v>1955</v>
      </c>
      <c r="G2369" s="242"/>
      <c r="H2369" s="242"/>
      <c r="I2369" s="308">
        <f t="array" aca="1" ref="I236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0.77413991162387541</v>
      </c>
      <c r="J2369" s="308">
        <f t="array" aca="1" ref="J236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0.78207980815335132</v>
      </c>
      <c r="K2369" s="308">
        <f t="array" aca="1" ref="K236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0.79200467881519554</v>
      </c>
      <c r="L2369" s="308">
        <f t="array" aca="1" ref="L236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0.80192954947704065</v>
      </c>
      <c r="M2369" s="308">
        <f t="array" aca="1" ref="M236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0.81185442013888398</v>
      </c>
      <c r="N2369" s="308">
        <f t="array" aca="1" ref="N236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0.82177929080072953</v>
      </c>
      <c r="O2369" s="308">
        <f t="array" aca="1" ref="O236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0.8317041614625742</v>
      </c>
      <c r="P2369" s="308">
        <f t="array" aca="1" ref="P236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0.84162903212441842</v>
      </c>
      <c r="Q2369" s="308">
        <f t="array" aca="1" ref="Q236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0.85155390278626353</v>
      </c>
      <c r="R2369" s="248"/>
      <c r="S2369" s="179"/>
      <c r="T2369" s="179"/>
      <c r="U2369" s="179"/>
      <c r="W2369" s="179"/>
      <c r="X2369" s="179"/>
    </row>
    <row r="2370" spans="1:24" s="65" customFormat="1" ht="15" customHeight="1" outlineLevel="2">
      <c r="A2370" s="219"/>
      <c r="B2370" s="242"/>
      <c r="C2370" s="413" t="s">
        <v>1852</v>
      </c>
      <c r="D2370" s="121" t="str">
        <f>INDEX(Regional.Technologies[Description],MATCH($B$2&amp;"."&amp;G.30.assumptions.EnergyDemandAfterCCS[[#This Row],[Technology code]],Regional.Technologies[Code],0))</f>
        <v>Global Oil use in the Pulp &amp; paper: Virgin technology</v>
      </c>
      <c r="E2370" s="242"/>
      <c r="F2370" s="121" t="s">
        <v>1955</v>
      </c>
      <c r="G2370" s="242"/>
      <c r="H2370" s="242"/>
      <c r="I2370" s="308">
        <f t="array" aca="1" ref="I237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0.17969717966158166</v>
      </c>
      <c r="J2370" s="308">
        <f t="array" aca="1" ref="J237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0.1815402276581107</v>
      </c>
      <c r="K2370" s="308">
        <f t="array" aca="1" ref="K237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0.18384403765377202</v>
      </c>
      <c r="L2370" s="308">
        <f t="array" aca="1" ref="L237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0.18614784764943337</v>
      </c>
      <c r="M2370" s="308">
        <f t="array" aca="1" ref="M237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0.18845165764509464</v>
      </c>
      <c r="N2370" s="308">
        <f t="array" aca="1" ref="N237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0.19075546764075593</v>
      </c>
      <c r="O2370" s="308">
        <f t="array" aca="1" ref="O237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0.19305927763641725</v>
      </c>
      <c r="P2370" s="308">
        <f t="array" aca="1" ref="P237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0.19536308763207857</v>
      </c>
      <c r="Q2370" s="308">
        <f t="array" aca="1" ref="Q237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0.19766689762773984</v>
      </c>
      <c r="R2370" s="248"/>
      <c r="S2370" s="179"/>
      <c r="T2370" s="179"/>
      <c r="U2370" s="179"/>
      <c r="W2370" s="179"/>
      <c r="X2370" s="179"/>
    </row>
    <row r="2371" spans="1:24" s="65" customFormat="1" ht="15" customHeight="1" outlineLevel="2">
      <c r="A2371" s="219"/>
      <c r="B2371" s="242"/>
      <c r="C2371" s="413" t="s">
        <v>1853</v>
      </c>
      <c r="D2371" s="121" t="str">
        <f>INDEX(Regional.Technologies[Description],MATCH($B$2&amp;"."&amp;G.30.assumptions.EnergyDemandAfterCCS[[#This Row],[Technology code]],Regional.Technologies[Code],0))</f>
        <v>Global Natural Gas use in the Pulp &amp; paper: Virgin technology</v>
      </c>
      <c r="E2371" s="242"/>
      <c r="F2371" s="121" t="s">
        <v>1955</v>
      </c>
      <c r="G2371" s="242"/>
      <c r="H2371" s="242"/>
      <c r="I2371" s="308">
        <f t="array" aca="1" ref="I237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0.45387282618987923</v>
      </c>
      <c r="J2371" s="308">
        <f t="array" aca="1" ref="J237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0.45852793209951903</v>
      </c>
      <c r="K2371" s="308">
        <f t="array" aca="1" ref="K237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0.46434681448656878</v>
      </c>
      <c r="L2371" s="308">
        <f t="array" aca="1" ref="L237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0.47016569687361853</v>
      </c>
      <c r="M2371" s="308">
        <f t="array" aca="1" ref="M237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0.47598457926066828</v>
      </c>
      <c r="N2371" s="308">
        <f t="array" aca="1" ref="N237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0.48180346164771803</v>
      </c>
      <c r="O2371" s="308">
        <f t="array" aca="1" ref="O237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0.48762234403476779</v>
      </c>
      <c r="P2371" s="308">
        <f t="array" aca="1" ref="P237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0.49344122642181754</v>
      </c>
      <c r="Q2371" s="308">
        <f t="array" aca="1" ref="Q237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0.49926010880886684</v>
      </c>
      <c r="R2371" s="248"/>
      <c r="S2371" s="179"/>
      <c r="T2371" s="179"/>
      <c r="U2371" s="179"/>
      <c r="W2371" s="179"/>
      <c r="X2371" s="179"/>
    </row>
    <row r="2372" spans="1:24" s="65" customFormat="1" ht="15" customHeight="1" outlineLevel="2">
      <c r="A2372" s="219"/>
      <c r="B2372" s="242"/>
      <c r="C2372" s="413" t="s">
        <v>1854</v>
      </c>
      <c r="D2372" s="121" t="str">
        <f>INDEX(Regional.Technologies[Description],MATCH($B$2&amp;"."&amp;G.30.assumptions.EnergyDemandAfterCCS[[#This Row],[Technology code]],Regional.Technologies[Code],0))</f>
        <v>Global Solid Hydrocarbons use in the Pulp &amp; paper: Virgin technology</v>
      </c>
      <c r="E2372" s="242"/>
      <c r="F2372" s="121" t="s">
        <v>1955</v>
      </c>
      <c r="G2372" s="242"/>
      <c r="H2372" s="242"/>
      <c r="I2372" s="308">
        <f t="array" aca="1" ref="I237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0.68393967671459854</v>
      </c>
      <c r="J2372" s="308">
        <f t="array" aca="1" ref="J237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0.69095444262962002</v>
      </c>
      <c r="K2372" s="308">
        <f t="array" aca="1" ref="K237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0.69972290002339688</v>
      </c>
      <c r="L2372" s="308">
        <f t="array" aca="1" ref="L237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0.70849135741717395</v>
      </c>
      <c r="M2372" s="308">
        <f t="array" aca="1" ref="M237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0.7172598148109508</v>
      </c>
      <c r="N2372" s="308">
        <f t="array" aca="1" ref="N237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0.72602827220472765</v>
      </c>
      <c r="O2372" s="308">
        <f t="array" aca="1" ref="O237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0.73479672959850462</v>
      </c>
      <c r="P2372" s="308">
        <f t="array" aca="1" ref="P237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0.74356518699228158</v>
      </c>
      <c r="Q2372" s="308">
        <f t="array" aca="1" ref="Q237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0.75233364438605832</v>
      </c>
      <c r="R2372" s="248"/>
      <c r="S2372" s="179"/>
      <c r="T2372" s="179"/>
      <c r="U2372" s="179"/>
      <c r="W2372" s="179"/>
      <c r="X2372" s="179"/>
    </row>
    <row r="2373" spans="1:24" s="65" customFormat="1" ht="15" customHeight="1" outlineLevel="2">
      <c r="A2373" s="219"/>
      <c r="B2373" s="242"/>
      <c r="C2373" s="413" t="s">
        <v>1855</v>
      </c>
      <c r="D2373" s="121" t="str">
        <f>INDEX(Regional.Technologies[Description],MATCH($B$2&amp;"."&amp;G.30.assumptions.EnergyDemandAfterCCS[[#This Row],[Technology code]],Regional.Technologies[Code],0))</f>
        <v>Global Heat use in the Pulp &amp; paper: Virgin technology</v>
      </c>
      <c r="E2373" s="242"/>
      <c r="F2373" s="121" t="s">
        <v>1955</v>
      </c>
      <c r="G2373" s="242"/>
      <c r="H2373" s="242"/>
      <c r="I2373" s="308">
        <f t="array" aca="1" ref="I237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73" s="308">
        <f t="array" aca="1" ref="J237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73" s="308">
        <f t="array" aca="1" ref="K237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73" s="308">
        <f t="array" aca="1" ref="L237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73" s="308">
        <f t="array" aca="1" ref="M237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73" s="308">
        <f t="array" aca="1" ref="N237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73" s="308">
        <f t="array" aca="1" ref="O237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73" s="308">
        <f t="array" aca="1" ref="P237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73" s="308">
        <f t="array" aca="1" ref="Q237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73" s="248"/>
      <c r="S2373" s="179"/>
      <c r="T2373" s="179"/>
      <c r="U2373" s="179"/>
      <c r="W2373" s="179"/>
      <c r="X2373" s="179"/>
    </row>
    <row r="2374" spans="1:24" s="65" customFormat="1" ht="15" customHeight="1" outlineLevel="2">
      <c r="A2374" s="219"/>
      <c r="B2374" s="242"/>
      <c r="C2374" s="413" t="s">
        <v>1632</v>
      </c>
      <c r="D2374" s="121" t="str">
        <f>INDEX(Regional.Technologies[Description],MATCH($B$2&amp;"."&amp;G.30.assumptions.EnergyDemandAfterCCS[[#This Row],[Technology code]],Regional.Technologies[Code],0))</f>
        <v>Global Electricity use in the Pulp &amp; paper: Recycled technology</v>
      </c>
      <c r="E2374" s="242"/>
      <c r="F2374" s="121" t="s">
        <v>1956</v>
      </c>
      <c r="G2374" s="242"/>
      <c r="H2374" s="242" t="s">
        <v>24</v>
      </c>
      <c r="I2374" s="308">
        <f t="array" aca="1" ref="I237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0.22638860872541189</v>
      </c>
      <c r="J2374" s="308">
        <f t="array" aca="1" ref="J237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0.22871054317387765</v>
      </c>
      <c r="K2374" s="308">
        <f t="array" aca="1" ref="K237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0.23161296123445987</v>
      </c>
      <c r="L2374" s="308">
        <f t="array" aca="1" ref="L237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0.2345153792950421</v>
      </c>
      <c r="M2374" s="308">
        <f t="array" aca="1" ref="M237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0.23741779735562429</v>
      </c>
      <c r="N2374" s="308">
        <f t="array" aca="1" ref="N237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0.24032021541620649</v>
      </c>
      <c r="O2374" s="308">
        <f t="array" aca="1" ref="O237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0.24322263347678871</v>
      </c>
      <c r="P2374" s="308">
        <f t="array" aca="1" ref="P237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0.24612505153737091</v>
      </c>
      <c r="Q2374" s="308">
        <f t="array" aca="1" ref="Q237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0.24902746959795308</v>
      </c>
      <c r="R2374" s="248"/>
      <c r="S2374" s="179"/>
      <c r="T2374" s="179"/>
      <c r="U2374" s="179"/>
      <c r="W2374" s="179"/>
      <c r="X2374" s="179"/>
    </row>
    <row r="2375" spans="1:24" s="65" customFormat="1" ht="15" customHeight="1" outlineLevel="2">
      <c r="A2375" s="219"/>
      <c r="B2375" s="242"/>
      <c r="C2375" s="413" t="s">
        <v>1856</v>
      </c>
      <c r="D2375" s="121" t="str">
        <f>INDEX(Regional.Technologies[Description],MATCH($B$2&amp;"."&amp;G.30.assumptions.EnergyDemandAfterCCS[[#This Row],[Technology code]],Regional.Technologies[Code],0))</f>
        <v>Global Coal use in the Pulp &amp; paper: Recycled technology</v>
      </c>
      <c r="E2375" s="242"/>
      <c r="F2375" s="121" t="s">
        <v>1956</v>
      </c>
      <c r="G2375" s="242"/>
      <c r="H2375" s="242"/>
      <c r="I2375" s="308">
        <f t="array" aca="1" ref="I237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0.14639565534575039</v>
      </c>
      <c r="J2375" s="308">
        <f t="array" aca="1" ref="J237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0.14789714924673242</v>
      </c>
      <c r="K2375" s="308">
        <f t="array" aca="1" ref="K237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0.14977401662295986</v>
      </c>
      <c r="L2375" s="308">
        <f t="array" aca="1" ref="L237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0.15165088399918747</v>
      </c>
      <c r="M2375" s="308">
        <f t="array" aca="1" ref="M237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0.15352775137541508</v>
      </c>
      <c r="N2375" s="308">
        <f t="array" aca="1" ref="N237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0.15540461875164274</v>
      </c>
      <c r="O2375" s="308">
        <f t="array" aca="1" ref="O237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0.15728148612787024</v>
      </c>
      <c r="P2375" s="308">
        <f t="array" aca="1" ref="P237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0.15915835350409779</v>
      </c>
      <c r="Q2375" s="308">
        <f t="array" aca="1" ref="Q237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0.16103522088032529</v>
      </c>
      <c r="R2375" s="248"/>
      <c r="S2375" s="179"/>
      <c r="T2375" s="179"/>
      <c r="U2375" s="179"/>
      <c r="W2375" s="179"/>
      <c r="X2375" s="179"/>
    </row>
    <row r="2376" spans="1:24" s="65" customFormat="1" ht="15" customHeight="1" outlineLevel="2">
      <c r="A2376" s="219"/>
      <c r="B2376" s="242"/>
      <c r="C2376" s="413" t="s">
        <v>1857</v>
      </c>
      <c r="D2376" s="121" t="str">
        <f>INDEX(Regional.Technologies[Description],MATCH($B$2&amp;"."&amp;G.30.assumptions.EnergyDemandAfterCCS[[#This Row],[Technology code]],Regional.Technologies[Code],0))</f>
        <v>Global Oil use in the Pulp &amp; paper: Recycled technology</v>
      </c>
      <c r="E2376" s="242"/>
      <c r="F2376" s="121" t="s">
        <v>1956</v>
      </c>
      <c r="G2376" s="242"/>
      <c r="H2376" s="242"/>
      <c r="I2376" s="308">
        <f t="array" aca="1" ref="I237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3.8700157409069846E-2</v>
      </c>
      <c r="J2376" s="308">
        <f t="array" aca="1" ref="J237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3.9097082100444921E-2</v>
      </c>
      <c r="K2376" s="308">
        <f t="array" aca="1" ref="K237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3.9593237964663769E-2</v>
      </c>
      <c r="L2376" s="308">
        <f t="array" aca="1" ref="L237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4.0089393828882623E-2</v>
      </c>
      <c r="M2376" s="308">
        <f t="array" aca="1" ref="M237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4.0585549693101464E-2</v>
      </c>
      <c r="N2376" s="308">
        <f t="array" aca="1" ref="N237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4.1081705557320304E-2</v>
      </c>
      <c r="O2376" s="308">
        <f t="array" aca="1" ref="O237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4.1577861421539151E-2</v>
      </c>
      <c r="P2376" s="308">
        <f t="array" aca="1" ref="P237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4.2074017285757999E-2</v>
      </c>
      <c r="Q2376" s="308">
        <f t="array" aca="1" ref="Q237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4.2570173149976832E-2</v>
      </c>
      <c r="R2376" s="248"/>
      <c r="S2376" s="179"/>
      <c r="T2376" s="179"/>
      <c r="U2376" s="179"/>
      <c r="W2376" s="179"/>
      <c r="X2376" s="179"/>
    </row>
    <row r="2377" spans="1:24" s="65" customFormat="1" ht="15" customHeight="1" outlineLevel="2">
      <c r="A2377" s="219"/>
      <c r="B2377" s="242"/>
      <c r="C2377" s="413" t="s">
        <v>1858</v>
      </c>
      <c r="D2377" s="121" t="str">
        <f>INDEX(Regional.Technologies[Description],MATCH($B$2&amp;"."&amp;G.30.assumptions.EnergyDemandAfterCCS[[#This Row],[Technology code]],Regional.Technologies[Code],0))</f>
        <v>Global Natural Gas use in the Pulp &amp; paper: Recycled technology</v>
      </c>
      <c r="E2377" s="242"/>
      <c r="F2377" s="121" t="s">
        <v>1956</v>
      </c>
      <c r="G2377" s="242"/>
      <c r="H2377" s="242"/>
      <c r="I2377" s="308">
        <f t="array" aca="1" ref="I237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0.11936470129372101</v>
      </c>
      <c r="J2377" s="308">
        <f t="array" aca="1" ref="J237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0.12058895464032326</v>
      </c>
      <c r="K2377" s="308">
        <f t="array" aca="1" ref="K237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0.12211927132357614</v>
      </c>
      <c r="L2377" s="308">
        <f t="array" aca="1" ref="L237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0.12364958800682907</v>
      </c>
      <c r="M2377" s="308">
        <f t="array" aca="1" ref="M237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0.12517990469008189</v>
      </c>
      <c r="N2377" s="308">
        <f t="array" aca="1" ref="N237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0.12671022137333471</v>
      </c>
      <c r="O2377" s="308">
        <f t="array" aca="1" ref="O237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0.12824053805658758</v>
      </c>
      <c r="P2377" s="308">
        <f t="array" aca="1" ref="P237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0.12977085473984035</v>
      </c>
      <c r="Q2377" s="308">
        <f t="array" aca="1" ref="Q237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0.13130117142309322</v>
      </c>
      <c r="R2377" s="248"/>
      <c r="S2377" s="179"/>
      <c r="T2377" s="179"/>
      <c r="U2377" s="179"/>
      <c r="W2377" s="179"/>
      <c r="X2377" s="179"/>
    </row>
    <row r="2378" spans="1:24" s="65" customFormat="1" ht="15" customHeight="1" outlineLevel="2">
      <c r="A2378" s="219"/>
      <c r="B2378" s="242"/>
      <c r="C2378" s="413" t="s">
        <v>1859</v>
      </c>
      <c r="D2378" s="121" t="str">
        <f>INDEX(Regional.Technologies[Description],MATCH($B$2&amp;"."&amp;G.30.assumptions.EnergyDemandAfterCCS[[#This Row],[Technology code]],Regional.Technologies[Code],0))</f>
        <v>Global Solid Hydrocarbons use in the Pulp &amp; paper: Recycled technology</v>
      </c>
      <c r="E2378" s="242"/>
      <c r="F2378" s="121" t="s">
        <v>1956</v>
      </c>
      <c r="G2378" s="242"/>
      <c r="H2378" s="242"/>
      <c r="I2378" s="308">
        <f t="array" aca="1" ref="I237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78" s="308">
        <f t="array" aca="1" ref="J237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78" s="308">
        <f t="array" aca="1" ref="K237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78" s="308">
        <f t="array" aca="1" ref="L237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78" s="308">
        <f t="array" aca="1" ref="M237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78" s="308">
        <f t="array" aca="1" ref="N237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78" s="308">
        <f t="array" aca="1" ref="O237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78" s="308">
        <f t="array" aca="1" ref="P237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78" s="308">
        <f t="array" aca="1" ref="Q237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78" s="248"/>
      <c r="S2378" s="179"/>
      <c r="T2378" s="179"/>
      <c r="U2378" s="179"/>
      <c r="W2378" s="179"/>
      <c r="X2378" s="179"/>
    </row>
    <row r="2379" spans="1:24" s="65" customFormat="1" ht="15" customHeight="1" outlineLevel="2">
      <c r="A2379" s="219"/>
      <c r="B2379" s="242"/>
      <c r="C2379" s="413" t="s">
        <v>1860</v>
      </c>
      <c r="D2379" s="121" t="str">
        <f>INDEX(Regional.Technologies[Description],MATCH($B$2&amp;"."&amp;G.30.assumptions.EnergyDemandAfterCCS[[#This Row],[Technology code]],Regional.Technologies[Code],0))</f>
        <v>Global Heat use in the Pulp &amp; paper: Recycled technology</v>
      </c>
      <c r="E2379" s="242"/>
      <c r="F2379" s="121" t="s">
        <v>1956</v>
      </c>
      <c r="G2379" s="242"/>
      <c r="H2379" s="242"/>
      <c r="I2379" s="308">
        <f t="array" aca="1" ref="I237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79" s="308">
        <f t="array" aca="1" ref="J237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79" s="308">
        <f t="array" aca="1" ref="K237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79" s="308">
        <f t="array" aca="1" ref="L237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79" s="308">
        <f t="array" aca="1" ref="M237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79" s="308">
        <f t="array" aca="1" ref="N237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79" s="308">
        <f t="array" aca="1" ref="O237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79" s="308">
        <f t="array" aca="1" ref="P237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79" s="308">
        <f t="array" aca="1" ref="Q237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79" s="248"/>
      <c r="S2379" s="179"/>
      <c r="T2379" s="179"/>
      <c r="U2379" s="179"/>
      <c r="W2379" s="179"/>
      <c r="X2379" s="179"/>
    </row>
    <row r="2380" spans="1:24" s="65" customFormat="1" ht="15" customHeight="1" outlineLevel="2">
      <c r="A2380" s="219"/>
      <c r="B2380" s="242"/>
      <c r="C2380" s="413" t="s">
        <v>1633</v>
      </c>
      <c r="D2380" s="121" t="str">
        <f>INDEX(Regional.Technologies[Description],MATCH($B$2&amp;"."&amp;G.30.assumptions.EnergyDemandAfterCCS[[#This Row],[Technology code]],Regional.Technologies[Code],0))</f>
        <v>Global Electricity use in the Cement technology</v>
      </c>
      <c r="E2380" s="242"/>
      <c r="F2380" s="121" t="s">
        <v>1426</v>
      </c>
      <c r="G2380" s="242"/>
      <c r="H2380" s="242" t="s">
        <v>24</v>
      </c>
      <c r="I2380" s="308">
        <f t="array" aca="1" ref="I238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1.2878995795200781</v>
      </c>
      <c r="J2380" s="308">
        <f t="array" aca="1" ref="J238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1.247729983167394</v>
      </c>
      <c r="K2380" s="308">
        <f t="array" aca="1" ref="K238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1.1959938462123139</v>
      </c>
      <c r="L2380" s="308">
        <f t="array" aca="1" ref="L238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1.1425642186858731</v>
      </c>
      <c r="M2380" s="308">
        <f t="array" aca="1" ref="M238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1.0874411005880709</v>
      </c>
      <c r="N2380" s="308">
        <f t="array" aca="1" ref="N238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1.0306244919189076</v>
      </c>
      <c r="O2380" s="308">
        <f t="array" aca="1" ref="O238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0.97211439267838329</v>
      </c>
      <c r="P2380" s="308">
        <f t="array" aca="1" ref="P238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0.91191080286649806</v>
      </c>
      <c r="Q2380" s="308">
        <f t="array" aca="1" ref="Q238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0.85001372248325158</v>
      </c>
      <c r="R2380" s="248"/>
      <c r="S2380" s="179"/>
      <c r="T2380" s="179"/>
      <c r="U2380" s="179"/>
      <c r="W2380" s="179"/>
      <c r="X2380" s="179"/>
    </row>
    <row r="2381" spans="1:24" s="65" customFormat="1" ht="15" customHeight="1" outlineLevel="2">
      <c r="A2381" s="219"/>
      <c r="B2381" s="242"/>
      <c r="C2381" s="413" t="s">
        <v>1861</v>
      </c>
      <c r="D2381" s="121" t="str">
        <f>INDEX(Regional.Technologies[Description],MATCH($B$2&amp;"."&amp;G.30.assumptions.EnergyDemandAfterCCS[[#This Row],[Technology code]],Regional.Technologies[Code],0))</f>
        <v>Global Coal use in the Cement technology</v>
      </c>
      <c r="E2381" s="242"/>
      <c r="F2381" s="121" t="s">
        <v>1426</v>
      </c>
      <c r="G2381" s="242"/>
      <c r="H2381" s="242"/>
      <c r="I2381" s="308">
        <f t="array" aca="1" ref="I238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6.8409905230434269</v>
      </c>
      <c r="J2381" s="308">
        <f t="array" aca="1" ref="J238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6.6276199836527798</v>
      </c>
      <c r="K2381" s="308">
        <f t="array" aca="1" ref="K238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6.3528109626416303</v>
      </c>
      <c r="L2381" s="308">
        <f t="array" aca="1" ref="L238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6.0690065563273379</v>
      </c>
      <c r="M2381" s="308">
        <f t="array" aca="1" ref="M238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5.7762067647098974</v>
      </c>
      <c r="N2381" s="308">
        <f t="array" aca="1" ref="N238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5.4744115877893105</v>
      </c>
      <c r="O2381" s="308">
        <f t="array" aca="1" ref="O238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5.1636210255655746</v>
      </c>
      <c r="P2381" s="308">
        <f t="array" aca="1" ref="P238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4.8438350780386941</v>
      </c>
      <c r="Q2381" s="308">
        <f t="array" aca="1" ref="Q238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4.5150537452086619</v>
      </c>
      <c r="R2381" s="248"/>
      <c r="S2381" s="179"/>
      <c r="T2381" s="179"/>
      <c r="U2381" s="179"/>
      <c r="W2381" s="179"/>
      <c r="X2381" s="179"/>
    </row>
    <row r="2382" spans="1:24" s="65" customFormat="1" ht="15" customHeight="1" outlineLevel="2">
      <c r="A2382" s="219"/>
      <c r="B2382" s="242"/>
      <c r="C2382" s="413" t="s">
        <v>1862</v>
      </c>
      <c r="D2382" s="121" t="str">
        <f>INDEX(Regional.Technologies[Description],MATCH($B$2&amp;"."&amp;G.30.assumptions.EnergyDemandAfterCCS[[#This Row],[Technology code]],Regional.Technologies[Code],0))</f>
        <v>Global Oil use in the Cement technology</v>
      </c>
      <c r="E2382" s="242"/>
      <c r="F2382" s="121" t="s">
        <v>1426</v>
      </c>
      <c r="G2382" s="242"/>
      <c r="H2382" s="242"/>
      <c r="I2382" s="308">
        <f t="array" aca="1" ref="I2382"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1.1283944201925584</v>
      </c>
      <c r="J2382" s="308">
        <f t="array" aca="1" ref="J2382"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1.0931997908079858</v>
      </c>
      <c r="K2382" s="308">
        <f t="array" aca="1" ref="K2382"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1.0478711260652078</v>
      </c>
      <c r="L2382" s="308">
        <f t="array" aca="1" ref="L2382"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1.0010587079756941</v>
      </c>
      <c r="M2382" s="308">
        <f t="array" aca="1" ref="M2382"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0.95276253653944454</v>
      </c>
      <c r="N2382" s="308">
        <f t="array" aca="1" ref="N2382"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0.90298261175645922</v>
      </c>
      <c r="O2382" s="308">
        <f t="array" aca="1" ref="O2382"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0.85171893362673812</v>
      </c>
      <c r="P2382" s="308">
        <f t="array" aca="1" ref="P2382"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0.79897150215028134</v>
      </c>
      <c r="Q2382" s="308">
        <f t="array" aca="1" ref="Q2382"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0.74474031732708856</v>
      </c>
      <c r="R2382" s="248"/>
      <c r="S2382" s="179"/>
      <c r="T2382" s="179"/>
      <c r="U2382" s="179"/>
      <c r="W2382" s="179"/>
      <c r="X2382" s="179"/>
    </row>
    <row r="2383" spans="1:24" s="65" customFormat="1" ht="15" customHeight="1" outlineLevel="2">
      <c r="A2383" s="219"/>
      <c r="B2383" s="242"/>
      <c r="C2383" s="413" t="s">
        <v>1863</v>
      </c>
      <c r="D2383" s="121" t="str">
        <f>INDEX(Regional.Technologies[Description],MATCH($B$2&amp;"."&amp;G.30.assumptions.EnergyDemandAfterCCS[[#This Row],[Technology code]],Regional.Technologies[Code],0))</f>
        <v>Global Natural Gas use in the Cement technology</v>
      </c>
      <c r="E2383" s="242"/>
      <c r="F2383" s="121" t="s">
        <v>1426</v>
      </c>
      <c r="G2383" s="242"/>
      <c r="H2383" s="242"/>
      <c r="I2383" s="308">
        <f t="array" aca="1" ref="I2383"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0.82844526016904574</v>
      </c>
      <c r="J2383" s="308">
        <f t="array" aca="1" ref="J2383"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0.80260604705765992</v>
      </c>
      <c r="K2383" s="308">
        <f t="array" aca="1" ref="K2383"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0.76932662207650893</v>
      </c>
      <c r="L2383" s="308">
        <f t="array" aca="1" ref="L2383"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0.73495785421545357</v>
      </c>
      <c r="M2383" s="308">
        <f t="array" aca="1" ref="M2383"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0.69949974347449029</v>
      </c>
      <c r="N2383" s="308">
        <f t="array" aca="1" ref="N2383"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0.66295228985362176</v>
      </c>
      <c r="O2383" s="308">
        <f t="array" aca="1" ref="O2383"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0.62531549335284353</v>
      </c>
      <c r="P2383" s="308">
        <f t="array" aca="1" ref="P2383"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0.58658935397216094</v>
      </c>
      <c r="Q2383" s="308">
        <f t="array" aca="1" ref="Q2383"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0.54677387171157044</v>
      </c>
      <c r="R2383" s="248"/>
      <c r="S2383" s="179"/>
      <c r="T2383" s="179"/>
      <c r="U2383" s="179"/>
      <c r="W2383" s="179"/>
      <c r="X2383" s="179"/>
    </row>
    <row r="2384" spans="1:24" s="65" customFormat="1" ht="15" customHeight="1" outlineLevel="2">
      <c r="A2384" s="219"/>
      <c r="B2384" s="242"/>
      <c r="C2384" s="413" t="s">
        <v>1864</v>
      </c>
      <c r="D2384" s="121" t="str">
        <f>INDEX(Regional.Technologies[Description],MATCH($B$2&amp;"."&amp;G.30.assumptions.EnergyDemandAfterCCS[[#This Row],[Technology code]],Regional.Technologies[Code],0))</f>
        <v>Global Solid Hydrocarbons use in the Cement technology</v>
      </c>
      <c r="E2384" s="242"/>
      <c r="F2384" s="121" t="s">
        <v>1426</v>
      </c>
      <c r="G2384" s="242"/>
      <c r="H2384" s="242"/>
      <c r="I2384" s="308">
        <f t="array" aca="1" ref="I2384"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0.49199351442122363</v>
      </c>
      <c r="J2384" s="308">
        <f t="array" aca="1" ref="J2384"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0.47664823347175428</v>
      </c>
      <c r="K2384" s="308">
        <f t="array" aca="1" ref="K2384"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0.4568843914394487</v>
      </c>
      <c r="L2384" s="308">
        <f t="array" aca="1" ref="L2384"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0.43647361513440003</v>
      </c>
      <c r="M2384" s="308">
        <f t="array" aca="1" ref="M2384"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0.41541590455660798</v>
      </c>
      <c r="N2384" s="308">
        <f t="array" aca="1" ref="N2384"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0.39371125970607268</v>
      </c>
      <c r="O2384" s="308">
        <f t="array" aca="1" ref="O2384"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0.37135968058279423</v>
      </c>
      <c r="P2384" s="308">
        <f t="array" aca="1" ref="P2384"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0.34836116718677257</v>
      </c>
      <c r="Q2384" s="308">
        <f t="array" aca="1" ref="Q2384"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0.3247157195180076</v>
      </c>
      <c r="R2384" s="248"/>
      <c r="S2384" s="179"/>
      <c r="T2384" s="179"/>
      <c r="U2384" s="179"/>
      <c r="W2384" s="179"/>
      <c r="X2384" s="179"/>
    </row>
    <row r="2385" spans="1:24" s="65" customFormat="1" ht="15" customHeight="1" outlineLevel="2">
      <c r="A2385" s="219"/>
      <c r="B2385" s="242"/>
      <c r="C2385" s="413" t="s">
        <v>1638</v>
      </c>
      <c r="D2385" s="121" t="str">
        <f>INDEX(Regional.Technologies[Description],MATCH($B$2&amp;"."&amp;G.30.assumptions.EnergyDemandAfterCCS[[#This Row],[Technology code]],Regional.Technologies[Code],0))</f>
        <v>Global Heat use in the Cement technology</v>
      </c>
      <c r="E2385" s="242"/>
      <c r="F2385" s="121" t="s">
        <v>1426</v>
      </c>
      <c r="G2385" s="242"/>
      <c r="H2385" s="242"/>
      <c r="I2385" s="308">
        <f t="array" aca="1" ref="I2385"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0</v>
      </c>
      <c r="J2385" s="308">
        <f t="array" aca="1" ref="J2385"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0</v>
      </c>
      <c r="K2385" s="308">
        <f t="array" aca="1" ref="K2385"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0</v>
      </c>
      <c r="L2385" s="308">
        <f t="array" aca="1" ref="L2385"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0</v>
      </c>
      <c r="M2385" s="308">
        <f t="array" aca="1" ref="M2385"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0</v>
      </c>
      <c r="N2385" s="308">
        <f t="array" aca="1" ref="N2385"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0</v>
      </c>
      <c r="O2385" s="308">
        <f t="array" aca="1" ref="O2385"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0</v>
      </c>
      <c r="P2385" s="308">
        <f t="array" aca="1" ref="P2385"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0</v>
      </c>
      <c r="Q2385" s="308">
        <f t="array" aca="1" ref="Q2385"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0</v>
      </c>
      <c r="R2385" s="248"/>
      <c r="S2385" s="179"/>
      <c r="T2385" s="179"/>
      <c r="U2385" s="179"/>
      <c r="W2385" s="179"/>
      <c r="X2385" s="179"/>
    </row>
    <row r="2386" spans="1:24" s="65" customFormat="1" ht="15" customHeight="1" outlineLevel="2">
      <c r="A2386" s="219"/>
      <c r="B2386" s="121"/>
      <c r="C2386" s="413" t="s">
        <v>1634</v>
      </c>
      <c r="D2386" s="121" t="str">
        <f>INDEX(Regional.Technologies[Description],MATCH($B$2&amp;"."&amp;G.30.assumptions.EnergyDemandAfterCCS[[#This Row],[Technology code]],Regional.Technologies[Code],0))</f>
        <v>Global Electricity use in the Other industries technology</v>
      </c>
      <c r="E2386" s="242"/>
      <c r="F2386" s="121" t="s">
        <v>1457</v>
      </c>
      <c r="G2386" s="242"/>
      <c r="H2386" s="242" t="s">
        <v>24</v>
      </c>
      <c r="I2386" s="308">
        <f t="array" aca="1" ref="I2386"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14.492680358828368</v>
      </c>
      <c r="J2386" s="308">
        <f t="array" aca="1" ref="J2386"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14.325355429541551</v>
      </c>
      <c r="K2386" s="308">
        <f t="array" aca="1" ref="K2386"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14.107177344573708</v>
      </c>
      <c r="L2386" s="308">
        <f t="array" aca="1" ref="L2386"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13.878974900317736</v>
      </c>
      <c r="M2386" s="308">
        <f t="array" aca="1" ref="M2386"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13.640748096773628</v>
      </c>
      <c r="N2386" s="308">
        <f t="array" aca="1" ref="N2386"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13.392496933941382</v>
      </c>
      <c r="O2386" s="308">
        <f t="array" aca="1" ref="O2386"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13.134221411821009</v>
      </c>
      <c r="P2386" s="308">
        <f t="array" aca="1" ref="P2386"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12.865921530412498</v>
      </c>
      <c r="Q2386" s="308">
        <f t="array" aca="1" ref="Q2386"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12.587597289715852</v>
      </c>
      <c r="R2386" s="121"/>
      <c r="S2386" s="179"/>
      <c r="T2386" s="179"/>
      <c r="V2386" s="179"/>
      <c r="W2386" s="179"/>
    </row>
    <row r="2387" spans="1:24" s="65" customFormat="1" ht="15" customHeight="1" outlineLevel="2">
      <c r="A2387" s="219"/>
      <c r="B2387" s="121"/>
      <c r="C2387" s="413" t="s">
        <v>1865</v>
      </c>
      <c r="D2387" s="121" t="str">
        <f>INDEX(Regional.Technologies[Description],MATCH($B$2&amp;"."&amp;G.30.assumptions.EnergyDemandAfterCCS[[#This Row],[Technology code]],Regional.Technologies[Code],0))</f>
        <v>Global Coal use in the Other industries technology</v>
      </c>
      <c r="E2387" s="242"/>
      <c r="F2387" s="121" t="s">
        <v>1457</v>
      </c>
      <c r="G2387" s="242"/>
      <c r="H2387" s="242"/>
      <c r="I2387" s="308">
        <f t="array" aca="1" ref="I2387"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7.1683560026671529</v>
      </c>
      <c r="J2387" s="308">
        <f t="array" aca="1" ref="J2387"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7.0855939026586299</v>
      </c>
      <c r="K2387" s="308">
        <f t="array" aca="1" ref="K2387"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6.977678862355063</v>
      </c>
      <c r="L2387" s="308">
        <f t="array" aca="1" ref="L2387"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6.8648055828371639</v>
      </c>
      <c r="M2387" s="308">
        <f t="array" aca="1" ref="M2387"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6.7469740641049327</v>
      </c>
      <c r="N2387" s="308">
        <f t="array" aca="1" ref="N2387"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6.6241843061583481</v>
      </c>
      <c r="O2387" s="308">
        <f t="array" aca="1" ref="O2387"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6.4964363089974384</v>
      </c>
      <c r="P2387" s="308">
        <f t="array" aca="1" ref="P2387"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6.3637300726221824</v>
      </c>
      <c r="Q2387" s="308">
        <f t="array" aca="1" ref="Q2387"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6.2260655970326013</v>
      </c>
      <c r="R2387" s="121"/>
      <c r="S2387" s="179"/>
      <c r="T2387" s="179"/>
      <c r="V2387" s="179"/>
      <c r="W2387" s="179"/>
    </row>
    <row r="2388" spans="1:24" s="65" customFormat="1" ht="15" customHeight="1" outlineLevel="2">
      <c r="A2388" s="219"/>
      <c r="B2388" s="121"/>
      <c r="C2388" s="413" t="s">
        <v>1866</v>
      </c>
      <c r="D2388" s="121" t="str">
        <f>INDEX(Regional.Technologies[Description],MATCH($B$2&amp;"."&amp;G.30.assumptions.EnergyDemandAfterCCS[[#This Row],[Technology code]],Regional.Technologies[Code],0))</f>
        <v>Global Oil use in the Other industries technology</v>
      </c>
      <c r="E2388" s="242"/>
      <c r="F2388" s="121" t="s">
        <v>1457</v>
      </c>
      <c r="G2388" s="242"/>
      <c r="H2388" s="242"/>
      <c r="I2388" s="308">
        <f t="array" aca="1" ref="I2388"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8.9190113729480487</v>
      </c>
      <c r="J2388" s="308">
        <f t="array" aca="1" ref="J2388"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8.8160371190256015</v>
      </c>
      <c r="K2388" s="308">
        <f t="array" aca="1" ref="K2388"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8.6817670755984171</v>
      </c>
      <c r="L2388" s="308">
        <f t="array" aca="1" ref="L2388"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8.5413278921444249</v>
      </c>
      <c r="M2388" s="308">
        <f t="array" aca="1" ref="M2388"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8.3947195686636231</v>
      </c>
      <c r="N2388" s="308">
        <f t="array" aca="1" ref="N2388"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8.2419421051560118</v>
      </c>
      <c r="O2388" s="308">
        <f t="array" aca="1" ref="O2388"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8.0829955016215962</v>
      </c>
      <c r="P2388" s="308">
        <f t="array" aca="1" ref="P2388"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7.917879758060371</v>
      </c>
      <c r="Q2388" s="308">
        <f t="array" aca="1" ref="Q2388"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7.7465948744723363</v>
      </c>
      <c r="R2388" s="121"/>
      <c r="S2388" s="179"/>
      <c r="T2388" s="179"/>
      <c r="V2388" s="179"/>
      <c r="W2388" s="179"/>
    </row>
    <row r="2389" spans="1:24" s="65" customFormat="1" ht="15" customHeight="1" outlineLevel="2">
      <c r="A2389" s="219"/>
      <c r="B2389" s="121"/>
      <c r="C2389" s="413" t="s">
        <v>1867</v>
      </c>
      <c r="D2389" s="121" t="str">
        <f>INDEX(Regional.Technologies[Description],MATCH($B$2&amp;"."&amp;G.30.assumptions.EnergyDemandAfterCCS[[#This Row],[Technology code]],Regional.Technologies[Code],0))</f>
        <v>Global Natural Gas use in the Other industries technology</v>
      </c>
      <c r="E2389" s="242"/>
      <c r="F2389" s="121" t="s">
        <v>1457</v>
      </c>
      <c r="G2389" s="242"/>
      <c r="H2389" s="242"/>
      <c r="I2389" s="308">
        <f t="array" aca="1" ref="I2389"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11.967321601700888</v>
      </c>
      <c r="J2389" s="308">
        <f t="array" aca="1" ref="J2389"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11.829153147613823</v>
      </c>
      <c r="K2389" s="308">
        <f t="array" aca="1" ref="K2389"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11.648992732521059</v>
      </c>
      <c r="L2389" s="308">
        <f t="array" aca="1" ref="L2389"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11.460554709112785</v>
      </c>
      <c r="M2389" s="308">
        <f t="array" aca="1" ref="M2389"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11.263839077389022</v>
      </c>
      <c r="N2389" s="308">
        <f t="array" aca="1" ref="N2389"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11.05884583734975</v>
      </c>
      <c r="O2389" s="308">
        <f t="array" aca="1" ref="O2389"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10.84557498899499</v>
      </c>
      <c r="P2389" s="308">
        <f t="array" aca="1" ref="P2389"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10.624026532324727</v>
      </c>
      <c r="Q2389" s="308">
        <f t="array" aca="1" ref="Q2389"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10.394200467338969</v>
      </c>
      <c r="R2389" s="121"/>
      <c r="S2389" s="179"/>
      <c r="T2389" s="179"/>
      <c r="V2389" s="179"/>
      <c r="W2389" s="179"/>
    </row>
    <row r="2390" spans="1:24" s="65" customFormat="1" ht="15" customHeight="1" outlineLevel="2">
      <c r="A2390" s="219"/>
      <c r="B2390" s="121"/>
      <c r="C2390" s="413" t="s">
        <v>1868</v>
      </c>
      <c r="D2390" s="121" t="str">
        <f>INDEX(Regional.Technologies[Description],MATCH($B$2&amp;"."&amp;G.30.assumptions.EnergyDemandAfterCCS[[#This Row],[Technology code]],Regional.Technologies[Code],0))</f>
        <v>Global Solid Hydrocarbons use in the Other industries technology</v>
      </c>
      <c r="E2390" s="242"/>
      <c r="F2390" s="121" t="s">
        <v>1457</v>
      </c>
      <c r="G2390" s="242"/>
      <c r="H2390" s="242"/>
      <c r="I2390" s="308">
        <f t="array" aca="1" ref="I2390"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5.4326469694895918</v>
      </c>
      <c r="J2390" s="308">
        <f t="array" aca="1" ref="J2390"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5.3699244607815082</v>
      </c>
      <c r="K2390" s="308">
        <f t="array" aca="1" ref="K2390"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5.2881394160028483</v>
      </c>
      <c r="L2390" s="308">
        <f t="array" aca="1" ref="L2390"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5.202596694675794</v>
      </c>
      <c r="M2390" s="308">
        <f t="array" aca="1" ref="M2390"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5.1132962968003435</v>
      </c>
      <c r="N2390" s="308">
        <f t="array" aca="1" ref="N2390"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5.0202382223764976</v>
      </c>
      <c r="O2390" s="308">
        <f t="array" aca="1" ref="O2390"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4.9234224714042583</v>
      </c>
      <c r="P2390" s="308">
        <f t="array" aca="1" ref="P2390"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4.8228490438836227</v>
      </c>
      <c r="Q2390" s="308">
        <f t="array" aca="1" ref="Q2390"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4.7185179398145918</v>
      </c>
      <c r="R2390" s="121"/>
      <c r="S2390" s="179"/>
      <c r="T2390" s="179"/>
      <c r="V2390" s="179"/>
      <c r="W2390" s="179"/>
    </row>
    <row r="2391" spans="1:24" s="65" customFormat="1" ht="15" customHeight="1" outlineLevel="2">
      <c r="A2391" s="219"/>
      <c r="B2391" s="121"/>
      <c r="C2391" s="413" t="s">
        <v>1869</v>
      </c>
      <c r="D2391" s="121" t="str">
        <f>INDEX(Regional.Technologies[Description],MATCH($B$2&amp;"."&amp;G.30.assumptions.EnergyDemandAfterCCS[[#This Row],[Technology code]],Regional.Technologies[Code],0))</f>
        <v>Global Heat use in the Other industries technology</v>
      </c>
      <c r="E2391" s="242"/>
      <c r="F2391" s="121" t="s">
        <v>1457</v>
      </c>
      <c r="G2391" s="242"/>
      <c r="H2391" s="242"/>
      <c r="I2391" s="308">
        <f t="array" aca="1" ref="I2391" ca="1">SUM((G.30.assumptions.EnergyDemandAfterCCS[[#This Row],[Technology code]]=G.30.Assumptions.EnergyDemandAfterEnergyEfficiency[Technology code])
          *INDIRECT("G.30.assumptions.EnergyDemandAfterEnergyEfficiency["&amp;I$2068&amp;"]"))
+SUM((G.30.assumptions.EnergyDemandAfterCCS[[#This Row],[..]]="Electricity")*(G.30.assumptions.EnergyDemandAfterCCS[[#This Row],[Notes]]=G.30.assumptions.TotalCCSimpact[Description])*$D$1036*-INDIRECT("G.30.assumptions.TotalCCSimpact["&amp;I$2301&amp;"]"))</f>
        <v>2.5365553629120043</v>
      </c>
      <c r="J2391" s="308">
        <f t="array" aca="1" ref="J2391" ca="1">SUM((G.30.assumptions.EnergyDemandAfterCCS[[#This Row],[Technology code]]=G.30.Assumptions.EnergyDemandAfterEnergyEfficiency[Technology code])
          *INDIRECT("G.30.assumptions.EnergyDemandAfterEnergyEfficiency["&amp;J$2068&amp;"]"))
+SUM((G.30.assumptions.EnergyDemandAfterCCS[[#This Row],[..]]="Electricity")*(G.30.assumptions.EnergyDemandAfterCCS[[#This Row],[Notes]]=G.30.assumptions.TotalCCSimpact[Description])*$D$1036*-INDIRECT("G.30.assumptions.TotalCCSimpact["&amp;J$2301&amp;"]"))</f>
        <v>2.5072696175410454</v>
      </c>
      <c r="K2391" s="308">
        <f t="array" aca="1" ref="K2391" ca="1">SUM((G.30.assumptions.EnergyDemandAfterCCS[[#This Row],[Technology code]]=G.30.Assumptions.EnergyDemandAfterEnergyEfficiency[Technology code])
          *INDIRECT("G.30.assumptions.EnergyDemandAfterEnergyEfficiency["&amp;K$2068&amp;"]"))
+SUM((G.30.assumptions.EnergyDemandAfterCCS[[#This Row],[..]]="Electricity")*(G.30.assumptions.EnergyDemandAfterCCS[[#This Row],[Notes]]=G.30.assumptions.TotalCCSimpact[Description])*$D$1036*-INDIRECT("G.30.assumptions.TotalCCSimpact["&amp;K$2301&amp;"]"))</f>
        <v>2.469083389887309</v>
      </c>
      <c r="L2391" s="308">
        <f t="array" aca="1" ref="L2391" ca="1">SUM((G.30.assumptions.EnergyDemandAfterCCS[[#This Row],[Technology code]]=G.30.Assumptions.EnergyDemandAfterEnergyEfficiency[Technology code])
          *INDIRECT("G.30.assumptions.EnergyDemandAfterEnergyEfficiency["&amp;L$2068&amp;"]"))
+SUM((G.30.assumptions.EnergyDemandAfterCCS[[#This Row],[..]]="Electricity")*(G.30.assumptions.EnergyDemandAfterCCS[[#This Row],[Notes]]=G.30.assumptions.TotalCCSimpact[Description])*$D$1036*-INDIRECT("G.30.assumptions.TotalCCSimpact["&amp;L$2301&amp;"]"))</f>
        <v>2.4291426667446432</v>
      </c>
      <c r="M2391" s="308">
        <f t="array" aca="1" ref="M2391" ca="1">SUM((G.30.assumptions.EnergyDemandAfterCCS[[#This Row],[Technology code]]=G.30.Assumptions.EnergyDemandAfterEnergyEfficiency[Technology code])
          *INDIRECT("G.30.assumptions.EnergyDemandAfterEnergyEfficiency["&amp;M$2068&amp;"]"))
+SUM((G.30.assumptions.EnergyDemandAfterCCS[[#This Row],[..]]="Electricity")*(G.30.assumptions.EnergyDemandAfterCCS[[#This Row],[Notes]]=G.30.assumptions.TotalCCSimpact[Description])*$D$1036*-INDIRECT("G.30.assumptions.TotalCCSimpact["&amp;M$2301&amp;"]"))</f>
        <v>2.387447448113047</v>
      </c>
      <c r="N2391" s="308">
        <f t="array" aca="1" ref="N2391" ca="1">SUM((G.30.assumptions.EnergyDemandAfterCCS[[#This Row],[Technology code]]=G.30.Assumptions.EnergyDemandAfterEnergyEfficiency[Technology code])
          *INDIRECT("G.30.assumptions.EnergyDemandAfterEnergyEfficiency["&amp;N$2068&amp;"]"))
+SUM((G.30.assumptions.EnergyDemandAfterCCS[[#This Row],[..]]="Electricity")*(G.30.assumptions.EnergyDemandAfterCCS[[#This Row],[Notes]]=G.30.assumptions.TotalCCSimpact[Description])*$D$1036*-INDIRECT("G.30.assumptions.TotalCCSimpact["&amp;N$2301&amp;"]"))</f>
        <v>2.3439977339925195</v>
      </c>
      <c r="O2391" s="308">
        <f t="array" aca="1" ref="O2391" ca="1">SUM((G.30.assumptions.EnergyDemandAfterCCS[[#This Row],[Technology code]]=G.30.Assumptions.EnergyDemandAfterEnergyEfficiency[Technology code])
          *INDIRECT("G.30.assumptions.EnergyDemandAfterEnergyEfficiency["&amp;O$2068&amp;"]"))
+SUM((G.30.assumptions.EnergyDemandAfterCCS[[#This Row],[..]]="Electricity")*(G.30.assumptions.EnergyDemandAfterCCS[[#This Row],[Notes]]=G.30.assumptions.TotalCCSimpact[Description])*$D$1036*-INDIRECT("G.30.assumptions.TotalCCSimpact["&amp;O$2301&amp;"]"))</f>
        <v>2.2987935243830631</v>
      </c>
      <c r="P2391" s="308">
        <f t="array" aca="1" ref="P2391" ca="1">SUM((G.30.assumptions.EnergyDemandAfterCCS[[#This Row],[Technology code]]=G.30.Assumptions.EnergyDemandAfterEnergyEfficiency[Technology code])
          *INDIRECT("G.30.assumptions.EnergyDemandAfterEnergyEfficiency["&amp;P$2068&amp;"]"))
+SUM((G.30.assumptions.EnergyDemandAfterCCS[[#This Row],[..]]="Electricity")*(G.30.assumptions.EnergyDemandAfterCCS[[#This Row],[Notes]]=G.30.assumptions.TotalCCSimpact[Description])*$D$1036*-INDIRECT("G.30.assumptions.TotalCCSimpact["&amp;P$2301&amp;"]"))</f>
        <v>2.2518348192846758</v>
      </c>
      <c r="Q2391" s="308">
        <f t="array" aca="1" ref="Q2391" ca="1">SUM((G.30.assumptions.EnergyDemandAfterCCS[[#This Row],[Technology code]]=G.30.Assumptions.EnergyDemandAfterEnergyEfficiency[Technology code])
          *INDIRECT("G.30.assumptions.EnergyDemandAfterEnergyEfficiency["&amp;Q$2068&amp;"]"))
+SUM((G.30.assumptions.EnergyDemandAfterCCS[[#This Row],[..]]="Electricity")*(G.30.assumptions.EnergyDemandAfterCCS[[#This Row],[Notes]]=G.30.assumptions.TotalCCSimpact[Description])*$D$1036*-INDIRECT("G.30.assumptions.TotalCCSimpact["&amp;Q$2301&amp;"]"))</f>
        <v>2.2031216186973581</v>
      </c>
      <c r="R2391" s="121"/>
      <c r="S2391" s="179"/>
      <c r="T2391" s="179"/>
      <c r="V2391" s="179"/>
      <c r="W2391" s="179"/>
    </row>
    <row r="2392" spans="1:24" s="65" customFormat="1" ht="15" customHeight="1" outlineLevel="2">
      <c r="A2392" s="219"/>
      <c r="B2392" s="121"/>
      <c r="C2392" s="310" t="s">
        <v>375</v>
      </c>
      <c r="D2392" s="311"/>
      <c r="E2392" s="312"/>
      <c r="F2392" s="307"/>
      <c r="G2392" s="312"/>
      <c r="H2392" s="312"/>
      <c r="I2392" s="340">
        <f ca="1">SUBTOTAL(109,G.30.assumptions.EnergyDemandAfterCCS[2011])</f>
        <v>142.97457688351503</v>
      </c>
      <c r="J2392" s="340">
        <f ca="1">SUBTOTAL(109,G.30.assumptions.EnergyDemandAfterCCS[2015])</f>
        <v>143.22619639397101</v>
      </c>
      <c r="K2392" s="340">
        <f ca="1">SUBTOTAL(109,G.30.assumptions.EnergyDemandAfterCCS[2020])</f>
        <v>143.5060346219627</v>
      </c>
      <c r="L2392" s="340">
        <f ca="1">SUBTOTAL(109,G.30.assumptions.EnergyDemandAfterCCS[2025])</f>
        <v>143.74733267208956</v>
      </c>
      <c r="M2392" s="340">
        <f ca="1">SUBTOTAL(109,G.30.assumptions.EnergyDemandAfterCCS[2030])</f>
        <v>143.95009054435167</v>
      </c>
      <c r="N2392" s="340">
        <f ca="1">SUBTOTAL(109,G.30.assumptions.EnergyDemandAfterCCS[2035])</f>
        <v>144.11430823874898</v>
      </c>
      <c r="O2392" s="340">
        <f ca="1">SUBTOTAL(109,G.30.assumptions.EnergyDemandAfterCCS[2040])</f>
        <v>144.23998575528148</v>
      </c>
      <c r="P2392" s="340">
        <f ca="1">SUBTOTAL(109,G.30.assumptions.EnergyDemandAfterCCS[2045])</f>
        <v>144.32712309394924</v>
      </c>
      <c r="Q2392" s="340">
        <f ca="1">SUBTOTAL(109,G.30.assumptions.EnergyDemandAfterCCS[2050])</f>
        <v>144.37572025475217</v>
      </c>
      <c r="R2392" s="121"/>
      <c r="S2392" s="179"/>
      <c r="T2392" s="179"/>
      <c r="V2392" s="179"/>
      <c r="W2392" s="179"/>
    </row>
    <row r="2393" spans="1:24" s="65" customFormat="1" ht="15" customHeight="1" outlineLevel="2">
      <c r="A2393" s="219"/>
      <c r="B2393" s="121"/>
      <c r="C2393" s="248"/>
      <c r="D2393" s="251"/>
      <c r="E2393" s="251"/>
      <c r="F2393" s="242"/>
      <c r="G2393" s="242"/>
      <c r="H2393" s="242"/>
      <c r="I2393" s="242"/>
      <c r="J2393" s="242"/>
      <c r="K2393" s="242"/>
      <c r="L2393" s="242"/>
      <c r="M2393" s="242"/>
      <c r="N2393" s="242"/>
      <c r="O2393" s="242"/>
      <c r="P2393" s="242"/>
      <c r="Q2393" s="242"/>
      <c r="R2393" s="121"/>
      <c r="S2393" s="179"/>
      <c r="T2393" s="179"/>
      <c r="V2393" s="179"/>
      <c r="W2393" s="179"/>
    </row>
    <row r="2394" spans="1:24" s="65" customFormat="1" ht="15" customHeight="1" outlineLevel="2">
      <c r="A2394" s="219"/>
      <c r="B2394" s="121"/>
      <c r="C2394" s="248"/>
      <c r="D2394" s="251"/>
      <c r="E2394" s="251"/>
      <c r="F2394" s="242"/>
      <c r="G2394" s="242"/>
      <c r="H2394" s="242"/>
      <c r="I2394" s="242"/>
      <c r="J2394" s="242"/>
      <c r="K2394" s="242"/>
      <c r="L2394" s="242"/>
      <c r="M2394" s="242"/>
      <c r="N2394" s="242"/>
      <c r="O2394" s="242"/>
      <c r="P2394" s="242"/>
      <c r="Q2394" s="242"/>
      <c r="R2394" s="121"/>
      <c r="S2394" s="179"/>
      <c r="T2394" s="179"/>
      <c r="V2394" s="179"/>
      <c r="W2394" s="179"/>
    </row>
    <row r="2395" spans="1:24" s="65" customFormat="1" ht="15" customHeight="1" outlineLevel="2">
      <c r="A2395" s="219"/>
      <c r="B2395" s="121"/>
      <c r="C2395" s="313" t="s">
        <v>2006</v>
      </c>
      <c r="D2395" s="242"/>
      <c r="E2395" s="242"/>
      <c r="F2395" s="121"/>
      <c r="G2395" s="242"/>
      <c r="H2395" s="242"/>
      <c r="I2395" s="239"/>
      <c r="J2395" s="239"/>
      <c r="K2395" s="239"/>
      <c r="L2395" s="239"/>
      <c r="M2395" s="239"/>
      <c r="N2395" s="239"/>
      <c r="O2395" s="239"/>
      <c r="P2395" s="239"/>
      <c r="Q2395" s="239"/>
      <c r="R2395" s="121"/>
      <c r="S2395" s="179"/>
      <c r="T2395" s="179"/>
      <c r="V2395" s="179"/>
      <c r="W2395" s="179"/>
    </row>
    <row r="2396" spans="1:24" s="65" customFormat="1" ht="15" customHeight="1" outlineLevel="2">
      <c r="A2396" s="219"/>
      <c r="B2396" s="121"/>
      <c r="C2396" s="313" t="s">
        <v>242</v>
      </c>
      <c r="D2396" s="242"/>
      <c r="E2396" s="242"/>
      <c r="F2396" s="121"/>
      <c r="G2396" s="242"/>
      <c r="H2396" s="242"/>
      <c r="I2396" s="239"/>
      <c r="J2396" s="239"/>
      <c r="K2396" s="239"/>
      <c r="L2396" s="239"/>
      <c r="M2396" s="239"/>
      <c r="N2396" s="239"/>
      <c r="O2396" s="239"/>
      <c r="P2396" s="239"/>
      <c r="Q2396" s="239"/>
      <c r="R2396" s="121"/>
      <c r="S2396" s="179"/>
      <c r="T2396" s="179"/>
      <c r="V2396" s="179"/>
      <c r="W2396" s="179"/>
    </row>
    <row r="2397" spans="1:24" s="65" customFormat="1" ht="15" customHeight="1" outlineLevel="2">
      <c r="A2397" s="219"/>
      <c r="B2397" s="121"/>
      <c r="C2397" s="301"/>
      <c r="D2397" s="242"/>
      <c r="E2397" s="242"/>
      <c r="F2397" s="121"/>
      <c r="G2397" s="242"/>
      <c r="H2397" s="242"/>
      <c r="I2397" s="239"/>
      <c r="J2397" s="239"/>
      <c r="K2397" s="239"/>
      <c r="L2397" s="239"/>
      <c r="M2397" s="239"/>
      <c r="N2397" s="239"/>
      <c r="O2397" s="239"/>
      <c r="P2397" s="239"/>
      <c r="Q2397" s="239"/>
      <c r="R2397" s="121"/>
      <c r="S2397" s="179"/>
      <c r="T2397" s="179"/>
      <c r="V2397" s="179"/>
      <c r="W2397" s="179"/>
    </row>
    <row r="2398" spans="1:24" s="65" customFormat="1" ht="15" customHeight="1" outlineLevel="2">
      <c r="A2398" s="219"/>
      <c r="B2398" s="121"/>
      <c r="C2398" s="258" t="s">
        <v>454</v>
      </c>
      <c r="D2398" s="258" t="s">
        <v>241</v>
      </c>
      <c r="E2398" s="258" t="s">
        <v>598</v>
      </c>
      <c r="F2398" s="258" t="s">
        <v>274</v>
      </c>
      <c r="G2398" s="258" t="s">
        <v>509</v>
      </c>
      <c r="H2398" s="258" t="s">
        <v>510</v>
      </c>
      <c r="I2398" s="258" t="s">
        <v>1107</v>
      </c>
      <c r="J2398" s="258" t="s">
        <v>210</v>
      </c>
      <c r="K2398" s="258" t="s">
        <v>211</v>
      </c>
      <c r="L2398" s="258" t="s">
        <v>212</v>
      </c>
      <c r="M2398" s="258" t="s">
        <v>213</v>
      </c>
      <c r="N2398" s="258" t="s">
        <v>214</v>
      </c>
      <c r="O2398" s="258" t="s">
        <v>215</v>
      </c>
      <c r="P2398" s="258" t="s">
        <v>216</v>
      </c>
      <c r="Q2398" s="258" t="s">
        <v>217</v>
      </c>
      <c r="R2398" s="121"/>
      <c r="S2398" s="179"/>
      <c r="T2398" s="179" t="str">
        <f>$T$6</f>
        <v>Source</v>
      </c>
      <c r="U2398" s="179" t="str">
        <f>$U$6</f>
        <v>Link</v>
      </c>
      <c r="V2398" s="179" t="str">
        <f>$V$6</f>
        <v>Risk (Green, Amber/Green, Amber, Red/Amber, Red)</v>
      </c>
      <c r="W2398" s="179" t="s">
        <v>869</v>
      </c>
      <c r="X2398" s="179" t="str">
        <f>$X$6</f>
        <v>Comment author</v>
      </c>
    </row>
    <row r="2399" spans="1:24" s="65" customFormat="1" ht="15" customHeight="1" outlineLevel="2">
      <c r="A2399" s="219"/>
      <c r="B2399" s="121"/>
      <c r="C2399" s="251"/>
      <c r="D2399" s="251" t="s">
        <v>1986</v>
      </c>
      <c r="E2399" s="242"/>
      <c r="F2399" s="121"/>
      <c r="G2399" s="251" t="s">
        <v>1613</v>
      </c>
      <c r="H2399" s="242"/>
      <c r="I2399" s="319">
        <f t="array" aca="1" ref="I2399"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0.10030998914952237</v>
      </c>
      <c r="J2399" s="319">
        <f t="array" aca="1" ref="J2399"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9.9772537176738257E-2</v>
      </c>
      <c r="K2399" s="319">
        <f t="array" aca="1" ref="K2399"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9.9055999966567582E-2</v>
      </c>
      <c r="L2399" s="319">
        <f t="array" aca="1" ref="L2399"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9.8289771373962997E-2</v>
      </c>
      <c r="M2399" s="319">
        <f t="array" aca="1" ref="M2399"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9.7473851398924449E-2</v>
      </c>
      <c r="N2399" s="319">
        <f t="array" aca="1" ref="N2399"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9.6608240041451965E-2</v>
      </c>
      <c r="O2399" s="319">
        <f t="array" aca="1" ref="O2399"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9.5692937301545572E-2</v>
      </c>
      <c r="P2399" s="319">
        <f t="array" aca="1" ref="P2399"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9.4727943179205243E-2</v>
      </c>
      <c r="Q2399" s="319">
        <f t="array" aca="1" ref="Q2399"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9.3713257674430936E-2</v>
      </c>
      <c r="R2399" s="121"/>
      <c r="S2399" s="179"/>
      <c r="T2399" s="179"/>
      <c r="V2399" s="179"/>
      <c r="W2399" s="179"/>
    </row>
    <row r="2400" spans="1:24" s="65" customFormat="1" ht="15" customHeight="1" outlineLevel="2">
      <c r="A2400" s="219"/>
      <c r="B2400" s="121"/>
      <c r="C2400" s="251"/>
      <c r="D2400" s="251" t="s">
        <v>2192</v>
      </c>
      <c r="E2400" s="242"/>
      <c r="F2400" s="121"/>
      <c r="G2400" s="251" t="s">
        <v>2182</v>
      </c>
      <c r="H2400" s="242"/>
      <c r="I2400" s="319">
        <f t="array" aca="1" ref="I2400"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0.10030998914952237</v>
      </c>
      <c r="J2400" s="319">
        <f t="array" aca="1" ref="J2400"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9.9772537176738257E-2</v>
      </c>
      <c r="K2400" s="319">
        <f t="array" aca="1" ref="K2400"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9.9055999966567582E-2</v>
      </c>
      <c r="L2400" s="319">
        <f t="array" aca="1" ref="L2400"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9.8289771373962997E-2</v>
      </c>
      <c r="M2400" s="319">
        <f t="array" aca="1" ref="M2400"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9.7473851398924449E-2</v>
      </c>
      <c r="N2400" s="319">
        <f t="array" aca="1" ref="N2400"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9.6608240041451965E-2</v>
      </c>
      <c r="O2400" s="319">
        <f t="array" aca="1" ref="O2400"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9.5692937301545572E-2</v>
      </c>
      <c r="P2400" s="319">
        <f t="array" aca="1" ref="P2400"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9.4727943179205243E-2</v>
      </c>
      <c r="Q2400" s="319">
        <f t="array" aca="1" ref="Q2400"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9.3713257674430936E-2</v>
      </c>
      <c r="R2400" s="121"/>
      <c r="S2400" s="179"/>
      <c r="T2400" s="179"/>
      <c r="V2400" s="179"/>
      <c r="W2400" s="179"/>
    </row>
    <row r="2401" spans="1:24" s="65" customFormat="1" ht="15" customHeight="1" outlineLevel="2">
      <c r="A2401" s="219"/>
      <c r="B2401" s="121"/>
      <c r="C2401" s="251"/>
      <c r="D2401" s="251" t="s">
        <v>1987</v>
      </c>
      <c r="E2401" s="242"/>
      <c r="F2401" s="121"/>
      <c r="G2401" s="251" t="s">
        <v>1614</v>
      </c>
      <c r="H2401" s="242"/>
      <c r="I2401" s="319">
        <f t="array" aca="1" ref="I2401"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0.81692123829171892</v>
      </c>
      <c r="J2401" s="319">
        <f t="array" aca="1" ref="J2401"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0.85599875293896976</v>
      </c>
      <c r="K2401" s="319">
        <f t="array" aca="1" ref="K2401"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0.90572219928585485</v>
      </c>
      <c r="L2401" s="319">
        <f t="array" aca="1" ref="L2401"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0.95641959345254224</v>
      </c>
      <c r="M2401" s="319">
        <f t="array" aca="1" ref="M2401"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1.0080909354390313</v>
      </c>
      <c r="N2401" s="319">
        <f t="array" aca="1" ref="N2401"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1.0607362252453225</v>
      </c>
      <c r="O2401" s="319">
        <f t="array" aca="1" ref="O2401"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1.1143554628714156</v>
      </c>
      <c r="P2401" s="319">
        <f t="array" aca="1" ref="P2401"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1.1689486483173106</v>
      </c>
      <c r="Q2401" s="319">
        <f t="array" aca="1" ref="Q2401"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1.2245157815830074</v>
      </c>
      <c r="R2401" s="121"/>
      <c r="S2401" s="179"/>
      <c r="T2401" s="179"/>
      <c r="V2401" s="179"/>
      <c r="W2401" s="179"/>
    </row>
    <row r="2402" spans="1:24" s="65" customFormat="1" ht="15" customHeight="1" outlineLevel="2">
      <c r="A2402" s="219"/>
      <c r="B2402" s="121"/>
      <c r="C2402" s="251"/>
      <c r="D2402" s="251" t="s">
        <v>1988</v>
      </c>
      <c r="E2402" s="242"/>
      <c r="F2402" s="121"/>
      <c r="G2402" s="251" t="s">
        <v>2003</v>
      </c>
      <c r="H2402" s="242"/>
      <c r="I2402" s="319">
        <f t="array" aca="1" ref="I2402"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-0.5438760438296899</v>
      </c>
      <c r="J2402" s="319">
        <f t="array" aca="1" ref="J2402"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-0.56372971509226089</v>
      </c>
      <c r="K2402" s="319">
        <f t="array" aca="1" ref="K2402"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-0.58895441552471295</v>
      </c>
      <c r="L2402" s="319">
        <f t="array" aca="1" ref="L2402"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-0.61463201746187335</v>
      </c>
      <c r="M2402" s="319">
        <f t="array" aca="1" ref="M2402"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-0.64076252090374297</v>
      </c>
      <c r="N2402" s="319">
        <f t="array" aca="1" ref="N2402"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-0.66734592585032093</v>
      </c>
      <c r="O2402" s="319">
        <f t="array" aca="1" ref="O2402"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-0.69438223230160823</v>
      </c>
      <c r="P2402" s="319">
        <f t="array" aca="1" ref="P2402"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-0.72187144025760397</v>
      </c>
      <c r="Q2402" s="319">
        <f t="array" aca="1" ref="Q2402"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-0.74981354971830838</v>
      </c>
      <c r="R2402" s="121"/>
      <c r="S2402" s="179"/>
      <c r="T2402" s="179"/>
      <c r="V2402" s="179"/>
      <c r="W2402" s="179"/>
    </row>
    <row r="2403" spans="1:24" s="65" customFormat="1" ht="15" customHeight="1" outlineLevel="2">
      <c r="A2403" s="219"/>
      <c r="B2403" s="121"/>
      <c r="C2403" s="251"/>
      <c r="D2403" s="251" t="s">
        <v>1989</v>
      </c>
      <c r="E2403" s="242"/>
      <c r="F2403" s="121"/>
      <c r="G2403" s="251" t="s">
        <v>1925</v>
      </c>
      <c r="H2403" s="242"/>
      <c r="I2403" s="319">
        <f t="array" aca="1" ref="I2403"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0.56612770196201156</v>
      </c>
      <c r="J2403" s="319">
        <f t="array" aca="1" ref="J2403"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0.58679364857779637</v>
      </c>
      <c r="K2403" s="319">
        <f t="array" aca="1" ref="K2403"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0.61305036984823347</v>
      </c>
      <c r="L2403" s="319">
        <f t="array" aca="1" ref="L2403"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0.63977852223056575</v>
      </c>
      <c r="M2403" s="319">
        <f t="array" aca="1" ref="M2403"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0.66697810572479377</v>
      </c>
      <c r="N2403" s="319">
        <f t="array" aca="1" ref="N2403"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0.69464912033091686</v>
      </c>
      <c r="O2403" s="319">
        <f t="array" aca="1" ref="O2403"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0.7227915660489358</v>
      </c>
      <c r="P2403" s="319">
        <f t="array" aca="1" ref="P2403"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0.75140544287884992</v>
      </c>
      <c r="Q2403" s="319">
        <f t="array" aca="1" ref="Q2403"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0.78049075082065933</v>
      </c>
      <c r="R2403" s="121"/>
      <c r="S2403" s="179"/>
      <c r="T2403" s="179"/>
      <c r="V2403" s="179"/>
      <c r="W2403" s="179"/>
    </row>
    <row r="2404" spans="1:24" s="65" customFormat="1" ht="15" customHeight="1" outlineLevel="2">
      <c r="A2404" s="219"/>
      <c r="B2404" s="121"/>
      <c r="C2404" s="251"/>
      <c r="D2404" s="251" t="s">
        <v>1990</v>
      </c>
      <c r="E2404" s="242"/>
      <c r="F2404" s="121"/>
      <c r="G2404" s="251" t="s">
        <v>2004</v>
      </c>
      <c r="H2404" s="242"/>
      <c r="I2404" s="319">
        <f t="array" aca="1" ref="I2404"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0.70378288474460216</v>
      </c>
      <c r="J2404" s="319">
        <f t="array" aca="1" ref="J2404"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0.69403606636115245</v>
      </c>
      <c r="K2404" s="319">
        <f t="array" aca="1" ref="K2404"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0.68136813367553506</v>
      </c>
      <c r="L2404" s="319">
        <f t="array" aca="1" ref="L2404"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0.66816196798291161</v>
      </c>
      <c r="M2404" s="319">
        <f t="array" aca="1" ref="M2404"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0.65441756928328221</v>
      </c>
      <c r="N2404" s="319">
        <f t="array" aca="1" ref="N2404"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0.64013493757664663</v>
      </c>
      <c r="O2404" s="319">
        <f t="array" aca="1" ref="O2404"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0.62531407286300511</v>
      </c>
      <c r="P2404" s="319">
        <f t="array" aca="1" ref="P2404"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0.60995497514235741</v>
      </c>
      <c r="Q2404" s="319">
        <f t="array" aca="1" ref="Q2404"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0.59405764441470377</v>
      </c>
      <c r="R2404" s="121"/>
      <c r="S2404" s="179"/>
      <c r="T2404" s="179"/>
      <c r="V2404" s="179"/>
      <c r="W2404" s="179"/>
    </row>
    <row r="2405" spans="1:24" s="65" customFormat="1" ht="15" customHeight="1" outlineLevel="2">
      <c r="A2405" s="219"/>
      <c r="B2405" s="121"/>
      <c r="C2405" s="251"/>
      <c r="D2405" s="251" t="s">
        <v>1991</v>
      </c>
      <c r="E2405" s="242"/>
      <c r="F2405" s="121"/>
      <c r="G2405" s="251" t="s">
        <v>1821</v>
      </c>
      <c r="H2405" s="242"/>
      <c r="I2405" s="319">
        <f t="array" aca="1" ref="I2405"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-3.293387109951563</v>
      </c>
      <c r="J2405" s="319">
        <f t="array" aca="1" ref="J2405"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-3.3271654392843995</v>
      </c>
      <c r="K2405" s="319">
        <f t="array" aca="1" ref="K2405"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-3.369388350950445</v>
      </c>
      <c r="L2405" s="319">
        <f t="array" aca="1" ref="L2405"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-3.4116112626164914</v>
      </c>
      <c r="M2405" s="319">
        <f t="array" aca="1" ref="M2405"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-3.4538341742825369</v>
      </c>
      <c r="N2405" s="319">
        <f t="array" aca="1" ref="N2405"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-3.4960570859485824</v>
      </c>
      <c r="O2405" s="319">
        <f t="array" aca="1" ref="O2405"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-3.5382799976146289</v>
      </c>
      <c r="P2405" s="319">
        <f t="array" aca="1" ref="P2405"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-3.5805029092806744</v>
      </c>
      <c r="Q2405" s="319">
        <f t="array" aca="1" ref="Q2405"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-3.6227258209467199</v>
      </c>
      <c r="R2405" s="121"/>
      <c r="S2405" s="179"/>
      <c r="T2405" s="179"/>
      <c r="V2405" s="179"/>
      <c r="W2405" s="179"/>
    </row>
    <row r="2406" spans="1:24" s="65" customFormat="1" ht="15" customHeight="1" outlineLevel="2">
      <c r="A2406" s="219"/>
      <c r="B2406" s="121"/>
      <c r="C2406" s="251"/>
      <c r="D2406" s="251" t="s">
        <v>1992</v>
      </c>
      <c r="E2406" s="242"/>
      <c r="F2406" s="121"/>
      <c r="G2406" s="251" t="s">
        <v>1827</v>
      </c>
      <c r="H2406" s="242"/>
      <c r="I2406" s="319">
        <f t="array" aca="1" ref="I2406"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-0.53299346790018109</v>
      </c>
      <c r="J2406" s="319">
        <f t="array" aca="1" ref="J2406"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-0.53846006757095211</v>
      </c>
      <c r="K2406" s="319">
        <f t="array" aca="1" ref="K2406"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-0.54529331715941598</v>
      </c>
      <c r="L2406" s="319">
        <f t="array" aca="1" ref="L2406"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-0.55212656674787997</v>
      </c>
      <c r="M2406" s="319">
        <f t="array" aca="1" ref="M2406"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-0.55895981633634373</v>
      </c>
      <c r="N2406" s="319">
        <f t="array" aca="1" ref="N2406"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-0.5657930659248076</v>
      </c>
      <c r="O2406" s="319">
        <f t="array" aca="1" ref="O2406"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-0.57262631551327159</v>
      </c>
      <c r="P2406" s="319">
        <f t="array" aca="1" ref="P2406"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-0.57945956510173535</v>
      </c>
      <c r="Q2406" s="319">
        <f t="array" aca="1" ref="Q2406"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-0.58629281469019923</v>
      </c>
      <c r="R2406" s="121"/>
      <c r="S2406" s="179"/>
      <c r="T2406" s="179"/>
      <c r="V2406" s="179"/>
      <c r="W2406" s="179"/>
    </row>
    <row r="2407" spans="1:24" s="65" customFormat="1" ht="15" customHeight="1" outlineLevel="2">
      <c r="A2407" s="219"/>
      <c r="B2407" s="242"/>
      <c r="C2407" s="251"/>
      <c r="D2407" s="251" t="s">
        <v>1993</v>
      </c>
      <c r="E2407" s="242"/>
      <c r="F2407" s="121"/>
      <c r="G2407" s="251" t="s">
        <v>1928</v>
      </c>
      <c r="H2407" s="242"/>
      <c r="I2407" s="319">
        <f t="array" aca="1" ref="I2407"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3.1222089796594057</v>
      </c>
      <c r="J2407" s="319">
        <f t="array" aca="1" ref="J2407"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3.1542316358610405</v>
      </c>
      <c r="K2407" s="319">
        <f t="array" aca="1" ref="K2407"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3.194259956113084</v>
      </c>
      <c r="L2407" s="319">
        <f t="array" aca="1" ref="L2407"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3.2342882763651284</v>
      </c>
      <c r="M2407" s="319">
        <f t="array" aca="1" ref="M2407"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3.2743165966171719</v>
      </c>
      <c r="N2407" s="319">
        <f t="array" aca="1" ref="N2407"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3.3143449168692154</v>
      </c>
      <c r="O2407" s="319">
        <f t="array" aca="1" ref="O2407"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3.3543732371212598</v>
      </c>
      <c r="P2407" s="319">
        <f t="array" aca="1" ref="P2407"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3.3944015573733033</v>
      </c>
      <c r="Q2407" s="319">
        <f t="array" aca="1" ref="Q2407"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3.4344298776253468</v>
      </c>
      <c r="R2407" s="121"/>
      <c r="S2407" s="179"/>
      <c r="T2407" s="179"/>
      <c r="U2407" s="179"/>
      <c r="W2407" s="179"/>
      <c r="X2407" s="179"/>
    </row>
    <row r="2408" spans="1:24" s="65" customFormat="1" ht="15" customHeight="1" outlineLevel="2">
      <c r="A2408" s="219"/>
      <c r="B2408" s="242"/>
      <c r="C2408" s="251"/>
      <c r="D2408" s="251" t="s">
        <v>1994</v>
      </c>
      <c r="E2408" s="242"/>
      <c r="F2408" s="121"/>
      <c r="G2408" s="251" t="s">
        <v>1929</v>
      </c>
      <c r="H2408" s="242"/>
      <c r="I2408" s="319">
        <f t="array" aca="1" ref="I2408"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-0.5970978743360067</v>
      </c>
      <c r="J2408" s="319">
        <f t="array" aca="1" ref="J2408"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-0.60322195509842724</v>
      </c>
      <c r="K2408" s="319">
        <f t="array" aca="1" ref="K2408"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-0.61087705605145293</v>
      </c>
      <c r="L2408" s="319">
        <f t="array" aca="1" ref="L2408"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-0.61853215700447872</v>
      </c>
      <c r="M2408" s="319">
        <f t="array" aca="1" ref="M2408"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-0.62618725795750441</v>
      </c>
      <c r="N2408" s="319">
        <f t="array" aca="1" ref="N2408"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-0.63384235891053009</v>
      </c>
      <c r="O2408" s="319">
        <f t="array" aca="1" ref="O2408"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-0.641497459863556</v>
      </c>
      <c r="P2408" s="319">
        <f t="array" aca="1" ref="P2408"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-0.64915256081658168</v>
      </c>
      <c r="Q2408" s="319">
        <f t="array" aca="1" ref="Q2408"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-0.65680766176960736</v>
      </c>
      <c r="R2408" s="121"/>
      <c r="S2408" s="179"/>
      <c r="T2408" s="179"/>
      <c r="U2408" s="179"/>
      <c r="W2408" s="179"/>
      <c r="X2408" s="179"/>
    </row>
    <row r="2409" spans="1:24" s="65" customFormat="1" ht="15" customHeight="1" outlineLevel="2">
      <c r="A2409" s="219"/>
      <c r="B2409" s="242"/>
      <c r="C2409" s="251"/>
      <c r="D2409" s="251" t="s">
        <v>1995</v>
      </c>
      <c r="E2409" s="242"/>
      <c r="F2409" s="121"/>
      <c r="G2409" s="251" t="s">
        <v>1930</v>
      </c>
      <c r="H2409" s="242"/>
      <c r="I2409" s="319">
        <f t="array" aca="1" ref="I2409"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-0.10236263666932323</v>
      </c>
      <c r="J2409" s="319">
        <f t="array" aca="1" ref="J2409"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-0.10341250986593167</v>
      </c>
      <c r="K2409" s="319">
        <f t="array" aca="1" ref="K2409"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-0.10472485136169223</v>
      </c>
      <c r="L2409" s="319">
        <f t="array" aca="1" ref="L2409"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-0.10603719285745282</v>
      </c>
      <c r="M2409" s="319">
        <f t="array" aca="1" ref="M2409"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-0.10734953435321336</v>
      </c>
      <c r="N2409" s="319">
        <f t="array" aca="1" ref="N2409"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-0.1086618758489739</v>
      </c>
      <c r="O2409" s="319">
        <f t="array" aca="1" ref="O2409"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-0.10997421734473448</v>
      </c>
      <c r="P2409" s="319">
        <f t="array" aca="1" ref="P2409"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-0.11128655884049503</v>
      </c>
      <c r="Q2409" s="319">
        <f t="array" aca="1" ref="Q2409"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-0.11259890033625557</v>
      </c>
      <c r="R2409" s="121"/>
      <c r="S2409" s="179"/>
      <c r="T2409" s="179"/>
      <c r="V2409" s="179"/>
      <c r="W2409" s="179"/>
    </row>
    <row r="2410" spans="1:24" s="65" customFormat="1" ht="15" customHeight="1" outlineLevel="2">
      <c r="A2410" s="219"/>
      <c r="B2410" s="242"/>
      <c r="C2410" s="251"/>
      <c r="D2410" s="251" t="s">
        <v>1996</v>
      </c>
      <c r="E2410" s="242"/>
      <c r="F2410" s="121"/>
      <c r="G2410" s="251" t="s">
        <v>1931</v>
      </c>
      <c r="H2410" s="242"/>
      <c r="I2410" s="319">
        <f t="array" aca="1" ref="I2410"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-1.4826754676830483</v>
      </c>
      <c r="J2410" s="319">
        <f t="array" aca="1" ref="J2410"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-1.4978823955567204</v>
      </c>
      <c r="K2410" s="319">
        <f t="array" aca="1" ref="K2410"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-1.5168910553988109</v>
      </c>
      <c r="L2410" s="319">
        <f t="array" aca="1" ref="L2410"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-1.5358997152409015</v>
      </c>
      <c r="M2410" s="319">
        <f t="array" aca="1" ref="M2410"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-1.5549083750829917</v>
      </c>
      <c r="N2410" s="319">
        <f t="array" aca="1" ref="N2410"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-1.5739170349250822</v>
      </c>
      <c r="O2410" s="319">
        <f t="array" aca="1" ref="O2410"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-1.5929256947671726</v>
      </c>
      <c r="P2410" s="319">
        <f t="array" aca="1" ref="P2410"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-1.611934354609263</v>
      </c>
      <c r="Q2410" s="319">
        <f t="array" aca="1" ref="Q2410"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-1.630943014451353</v>
      </c>
      <c r="R2410" s="121"/>
      <c r="S2410" s="179"/>
      <c r="T2410" s="179"/>
      <c r="V2410" s="179"/>
      <c r="W2410" s="179"/>
    </row>
    <row r="2411" spans="1:24" s="65" customFormat="1" ht="15" customHeight="1" outlineLevel="2">
      <c r="A2411" s="219"/>
      <c r="B2411" s="242"/>
      <c r="C2411" s="251"/>
      <c r="D2411" s="251" t="s">
        <v>1997</v>
      </c>
      <c r="E2411" s="242"/>
      <c r="F2411" s="121"/>
      <c r="G2411" s="251" t="s">
        <v>1932</v>
      </c>
      <c r="H2411" s="242"/>
      <c r="I2411" s="319">
        <f t="array" aca="1" ref="I2411"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-0.17297587734176467</v>
      </c>
      <c r="J2411" s="319">
        <f t="array" aca="1" ref="J2411"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-0.17474998890424429</v>
      </c>
      <c r="K2411" s="319">
        <f t="array" aca="1" ref="K2411"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-0.17696762835734386</v>
      </c>
      <c r="L2411" s="319">
        <f t="array" aca="1" ref="L2411"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-0.17918526781044344</v>
      </c>
      <c r="M2411" s="319">
        <f t="array" aca="1" ref="M2411"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-0.18140290726354297</v>
      </c>
      <c r="N2411" s="319">
        <f t="array" aca="1" ref="N2411"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-0.18362054671664252</v>
      </c>
      <c r="O2411" s="319">
        <f t="array" aca="1" ref="O2411"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-0.18583818616974207</v>
      </c>
      <c r="P2411" s="319">
        <f t="array" aca="1" ref="P2411"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-0.18805582562284162</v>
      </c>
      <c r="Q2411" s="319">
        <f t="array" aca="1" ref="Q2411"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-0.19027346507594114</v>
      </c>
      <c r="R2411" s="121"/>
      <c r="S2411" s="179"/>
      <c r="T2411" s="179"/>
      <c r="V2411" s="179"/>
      <c r="W2411" s="179"/>
    </row>
    <row r="2412" spans="1:24" s="65" customFormat="1" ht="15" customHeight="1" outlineLevel="2">
      <c r="A2412" s="219"/>
      <c r="B2412" s="242"/>
      <c r="C2412" s="251"/>
      <c r="D2412" s="251" t="s">
        <v>1998</v>
      </c>
      <c r="E2412" s="242"/>
      <c r="F2412" s="121"/>
      <c r="G2412" s="251" t="s">
        <v>2005</v>
      </c>
      <c r="H2412" s="242"/>
      <c r="I2412" s="319">
        <f t="array" aca="1" ref="I2412"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0.3454485798237234</v>
      </c>
      <c r="J2412" s="319">
        <f t="array" aca="1" ref="J2412"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0.33467403634782766</v>
      </c>
      <c r="K2412" s="319">
        <f t="array" aca="1" ref="K2412"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0.32079704211559257</v>
      </c>
      <c r="L2412" s="319">
        <f t="array" aca="1" ref="L2412"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0.30646580911961835</v>
      </c>
      <c r="M2412" s="319">
        <f t="array" aca="1" ref="M2412"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0.29168033735990473</v>
      </c>
      <c r="N2412" s="319">
        <f t="array" aca="1" ref="N2412"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0.27644062683645182</v>
      </c>
      <c r="O2412" s="319">
        <f t="array" aca="1" ref="O2412"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0.26074667754925962</v>
      </c>
      <c r="P2412" s="319">
        <f t="array" aca="1" ref="P2412"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0.24459848949832821</v>
      </c>
      <c r="Q2412" s="319">
        <f t="array" aca="1" ref="Q2412"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0.22799606268365744</v>
      </c>
      <c r="R2412" s="121"/>
      <c r="S2412" s="179"/>
      <c r="T2412" s="179"/>
      <c r="V2412" s="179"/>
      <c r="W2412" s="179"/>
    </row>
    <row r="2413" spans="1:24" s="65" customFormat="1" ht="15" customHeight="1" outlineLevel="2">
      <c r="A2413" s="219"/>
      <c r="B2413" s="242"/>
      <c r="C2413" s="251"/>
      <c r="D2413" s="251" t="s">
        <v>1999</v>
      </c>
      <c r="E2413" s="242"/>
      <c r="F2413" s="121"/>
      <c r="G2413" s="251" t="s">
        <v>1933</v>
      </c>
      <c r="H2413" s="242"/>
      <c r="I2413" s="319">
        <f t="array" aca="1" ref="I2413" ca="1">SUM((G.30.assumptions.SpecificProcessCO2EmissionsAfterCCS[[#This Row],[Description]]=G.30.assumptions.SpecificProcessCO2EmissionsAfterEnergyEfficiency[Description])
        *INDIRECT("G.30.assumptions.SpecificProcessCO2EmissionsAfterEnergyEfficiency["&amp;I$2398&amp;"]"))
*(1-SUM((G.30.assumptions.SpecificProcessCO2EmissionsAfterCCS[[#This Row],[.]]=G.30.assumptions.CCS[Description])
        *INDIRECT("G.30.assumptions.CCS["&amp;I$2398&amp;"]")))</f>
        <v>5.7114314498832863E-2</v>
      </c>
      <c r="J2413" s="319">
        <f t="array" aca="1" ref="J2413" ca="1">SUM((G.30.assumptions.SpecificProcessCO2EmissionsAfterCCS[[#This Row],[Description]]=G.30.assumptions.SpecificProcessCO2EmissionsAfterEnergyEfficiency[Description])
        *INDIRECT("G.30.assumptions.SpecificProcessCO2EmissionsAfterEnergyEfficiency["&amp;J$2398&amp;"]"))
*(1-SUM((G.30.assumptions.SpecificProcessCO2EmissionsAfterCCS[[#This Row],[.]]=G.30.assumptions.CCS[Description])
        *INDIRECT("G.30.assumptions.CCS["&amp;J$2398&amp;"]")))</f>
        <v>5.6454902409545961E-2</v>
      </c>
      <c r="K2413" s="319">
        <f t="array" aca="1" ref="K2413" ca="1">SUM((G.30.assumptions.SpecificProcessCO2EmissionsAfterCCS[[#This Row],[Description]]=G.30.assumptions.SpecificProcessCO2EmissionsAfterEnergyEfficiency[Description])
        *INDIRECT("G.30.assumptions.SpecificProcessCO2EmissionsAfterEnergyEfficiency["&amp;K$2398&amp;"]"))
*(1-SUM((G.30.assumptions.SpecificProcessCO2EmissionsAfterCCS[[#This Row],[.]]=G.30.assumptions.CCS[Description])
        *INDIRECT("G.30.assumptions.CCS["&amp;K$2398&amp;"]")))</f>
        <v>5.559508273139957E-2</v>
      </c>
      <c r="L2413" s="319">
        <f t="array" aca="1" ref="L2413" ca="1">SUM((G.30.assumptions.SpecificProcessCO2EmissionsAfterCCS[[#This Row],[Description]]=G.30.assumptions.SpecificProcessCO2EmissionsAfterEnergyEfficiency[Description])
        *INDIRECT("G.30.assumptions.SpecificProcessCO2EmissionsAfterEnergyEfficiency["&amp;L$2398&amp;"]"))
*(1-SUM((G.30.assumptions.SpecificProcessCO2EmissionsAfterCCS[[#This Row],[.]]=G.30.assumptions.CCS[Description])
        *INDIRECT("G.30.assumptions.CCS["&amp;L$2398&amp;"]")))</f>
        <v>5.4695757979322329E-2</v>
      </c>
      <c r="M2413" s="319">
        <f t="array" aca="1" ref="M2413" ca="1">SUM((G.30.assumptions.SpecificProcessCO2EmissionsAfterCCS[[#This Row],[Description]]=G.30.assumptions.SpecificProcessCO2EmissionsAfterEnergyEfficiency[Description])
        *INDIRECT("G.30.assumptions.SpecificProcessCO2EmissionsAfterEnergyEfficiency["&amp;M$2398&amp;"]"))
*(1-SUM((G.30.assumptions.SpecificProcessCO2EmissionsAfterCCS[[#This Row],[.]]=G.30.assumptions.CCS[Description])
        *INDIRECT("G.30.assumptions.CCS["&amp;M$2398&amp;"]")))</f>
        <v>5.3756928153314225E-2</v>
      </c>
      <c r="N2413" s="319">
        <f t="array" aca="1" ref="N2413" ca="1">SUM((G.30.assumptions.SpecificProcessCO2EmissionsAfterCCS[[#This Row],[Description]]=G.30.assumptions.SpecificProcessCO2EmissionsAfterEnergyEfficiency[Description])
        *INDIRECT("G.30.assumptions.SpecificProcessCO2EmissionsAfterEnergyEfficiency["&amp;N$2398&amp;"]"))
*(1-SUM((G.30.assumptions.SpecificProcessCO2EmissionsAfterCCS[[#This Row],[.]]=G.30.assumptions.CCS[Description])
        *INDIRECT("G.30.assumptions.CCS["&amp;N$2398&amp;"]")))</f>
        <v>5.2778593253375257E-2</v>
      </c>
      <c r="O2413" s="319">
        <f t="array" aca="1" ref="O2413" ca="1">SUM((G.30.assumptions.SpecificProcessCO2EmissionsAfterCCS[[#This Row],[Description]]=G.30.assumptions.SpecificProcessCO2EmissionsAfterEnergyEfficiency[Description])
        *INDIRECT("G.30.assumptions.SpecificProcessCO2EmissionsAfterEnergyEfficiency["&amp;O$2398&amp;"]"))
*(1-SUM((G.30.assumptions.SpecificProcessCO2EmissionsAfterCCS[[#This Row],[.]]=G.30.assumptions.CCS[Description])
        *INDIRECT("G.30.assumptions.CCS["&amp;O$2398&amp;"]")))</f>
        <v>5.1760753279505453E-2</v>
      </c>
      <c r="P2413" s="319">
        <f t="array" aca="1" ref="P2413" ca="1">SUM((G.30.assumptions.SpecificProcessCO2EmissionsAfterCCS[[#This Row],[Description]]=G.30.assumptions.SpecificProcessCO2EmissionsAfterEnergyEfficiency[Description])
        *INDIRECT("G.30.assumptions.SpecificProcessCO2EmissionsAfterEnergyEfficiency["&amp;P$2398&amp;"]"))
*(1-SUM((G.30.assumptions.SpecificProcessCO2EmissionsAfterCCS[[#This Row],[.]]=G.30.assumptions.CCS[Description])
        *INDIRECT("G.30.assumptions.CCS["&amp;P$2398&amp;"]")))</f>
        <v>5.0703408231704786E-2</v>
      </c>
      <c r="Q2413" s="319">
        <f t="array" aca="1" ref="Q2413" ca="1">SUM((G.30.assumptions.SpecificProcessCO2EmissionsAfterCCS[[#This Row],[Description]]=G.30.assumptions.SpecificProcessCO2EmissionsAfterEnergyEfficiency[Description])
        *INDIRECT("G.30.assumptions.SpecificProcessCO2EmissionsAfterEnergyEfficiency["&amp;Q$2398&amp;"]"))
*(1-SUM((G.30.assumptions.SpecificProcessCO2EmissionsAfterCCS[[#This Row],[.]]=G.30.assumptions.CCS[Description])
        *INDIRECT("G.30.assumptions.CCS["&amp;Q$2398&amp;"]")))</f>
        <v>4.9606558109973255E-2</v>
      </c>
      <c r="R2413" s="121"/>
      <c r="S2413" s="179"/>
      <c r="T2413" s="179"/>
      <c r="V2413" s="179"/>
      <c r="W2413" s="179"/>
    </row>
    <row r="2414" spans="1:24" s="65" customFormat="1" ht="15" customHeight="1" outlineLevel="2">
      <c r="A2414" s="219"/>
      <c r="B2414" s="242"/>
      <c r="C2414" s="251"/>
      <c r="D2414" s="121"/>
      <c r="E2414" s="242"/>
      <c r="F2414" s="121"/>
      <c r="G2414" s="251"/>
      <c r="H2414" s="242"/>
      <c r="I2414" s="316"/>
      <c r="J2414" s="316"/>
      <c r="K2414" s="316"/>
      <c r="L2414" s="316"/>
      <c r="M2414" s="316"/>
      <c r="N2414" s="316"/>
      <c r="O2414" s="316"/>
      <c r="P2414" s="316"/>
      <c r="Q2414" s="316"/>
      <c r="R2414" s="121"/>
      <c r="S2414" s="179"/>
      <c r="T2414" s="179"/>
      <c r="V2414" s="179"/>
      <c r="W2414" s="179"/>
    </row>
    <row r="2415" spans="1:24" s="65" customFormat="1" ht="15" customHeight="1" outlineLevel="2">
      <c r="A2415" s="219"/>
      <c r="B2415" s="242"/>
      <c r="C2415" s="313" t="s">
        <v>243</v>
      </c>
      <c r="D2415" s="242"/>
      <c r="E2415" s="242"/>
      <c r="F2415" s="121"/>
      <c r="G2415" s="242"/>
      <c r="H2415" s="242"/>
      <c r="I2415" s="239"/>
      <c r="J2415" s="239"/>
      <c r="K2415" s="239"/>
      <c r="L2415" s="239"/>
      <c r="M2415" s="239"/>
      <c r="N2415" s="239"/>
      <c r="O2415" s="239"/>
      <c r="P2415" s="239"/>
      <c r="Q2415" s="239"/>
      <c r="R2415" s="121"/>
      <c r="S2415" s="179"/>
      <c r="T2415" s="179"/>
      <c r="V2415" s="179"/>
      <c r="W2415" s="179"/>
    </row>
    <row r="2416" spans="1:24" s="65" customFormat="1" ht="15" customHeight="1" outlineLevel="2">
      <c r="A2416" s="219"/>
      <c r="B2416" s="242"/>
      <c r="C2416" s="301"/>
      <c r="D2416" s="242"/>
      <c r="E2416" s="242"/>
      <c r="F2416" s="121"/>
      <c r="G2416" s="242"/>
      <c r="H2416" s="242"/>
      <c r="I2416" s="239"/>
      <c r="J2416" s="239"/>
      <c r="K2416" s="239"/>
      <c r="L2416" s="239"/>
      <c r="M2416" s="239"/>
      <c r="N2416" s="239"/>
      <c r="O2416" s="239"/>
      <c r="P2416" s="239"/>
      <c r="Q2416" s="239"/>
      <c r="R2416" s="121"/>
      <c r="S2416" s="179"/>
      <c r="T2416" s="179"/>
      <c r="V2416" s="179"/>
      <c r="W2416" s="179"/>
    </row>
    <row r="2417" spans="1:23" s="65" customFormat="1" ht="15" customHeight="1" outlineLevel="2">
      <c r="A2417" s="219"/>
      <c r="B2417" s="242"/>
      <c r="C2417" s="258" t="s">
        <v>454</v>
      </c>
      <c r="D2417" s="258" t="s">
        <v>241</v>
      </c>
      <c r="E2417" s="258" t="s">
        <v>598</v>
      </c>
      <c r="F2417" s="258" t="s">
        <v>274</v>
      </c>
      <c r="G2417" s="258" t="s">
        <v>509</v>
      </c>
      <c r="H2417" s="258" t="s">
        <v>510</v>
      </c>
      <c r="I2417" s="258" t="s">
        <v>1107</v>
      </c>
      <c r="J2417" s="258" t="s">
        <v>210</v>
      </c>
      <c r="K2417" s="258" t="s">
        <v>211</v>
      </c>
      <c r="L2417" s="258" t="s">
        <v>212</v>
      </c>
      <c r="M2417" s="258" t="s">
        <v>213</v>
      </c>
      <c r="N2417" s="258" t="s">
        <v>214</v>
      </c>
      <c r="O2417" s="258" t="s">
        <v>215</v>
      </c>
      <c r="P2417" s="258" t="s">
        <v>216</v>
      </c>
      <c r="Q2417" s="258" t="s">
        <v>217</v>
      </c>
      <c r="R2417" s="121"/>
      <c r="S2417" s="179"/>
      <c r="T2417" s="179"/>
      <c r="V2417" s="179"/>
      <c r="W2417" s="179"/>
    </row>
    <row r="2418" spans="1:23" s="65" customFormat="1" ht="15" customHeight="1" outlineLevel="2">
      <c r="A2418" s="219"/>
      <c r="B2418" s="242"/>
      <c r="C2418" s="251"/>
      <c r="D2418" s="251" t="s">
        <v>1986</v>
      </c>
      <c r="E2418" s="242"/>
      <c r="F2418" s="121"/>
      <c r="G2418" s="251" t="s">
        <v>1613</v>
      </c>
      <c r="H2418" s="242"/>
      <c r="I2418" s="319">
        <f t="array" aca="1" ref="I2418"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6.991054915141226E-2</v>
      </c>
      <c r="J2418" s="319">
        <f t="array" aca="1" ref="J2418"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6.9535974666075223E-2</v>
      </c>
      <c r="K2418" s="319">
        <f t="array" aca="1" ref="K2418"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6.9036587613248573E-2</v>
      </c>
      <c r="L2418" s="319">
        <f t="array" aca="1" ref="L2418"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6.8502568398027111E-2</v>
      </c>
      <c r="M2418" s="319">
        <f t="array" aca="1" ref="M2418"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6.7933917020410822E-2</v>
      </c>
      <c r="N2418" s="319">
        <f t="array" aca="1" ref="N2418"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6.7330633480399707E-2</v>
      </c>
      <c r="O2418" s="319">
        <f t="array" aca="1" ref="O2418"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6.6692717777993779E-2</v>
      </c>
      <c r="P2418" s="319">
        <f t="array" aca="1" ref="P2418"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6.6020169913193025E-2</v>
      </c>
      <c r="Q2418" s="319">
        <f t="array" aca="1" ref="Q2418"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6.531298988599743E-2</v>
      </c>
      <c r="R2418" s="121"/>
      <c r="S2418" s="179"/>
      <c r="T2418" s="179"/>
      <c r="V2418" s="179"/>
      <c r="W2418" s="179"/>
    </row>
    <row r="2419" spans="1:23" s="65" customFormat="1" ht="15" customHeight="1" outlineLevel="2">
      <c r="A2419" s="219"/>
      <c r="B2419" s="242"/>
      <c r="C2419" s="251"/>
      <c r="D2419" s="251" t="s">
        <v>2192</v>
      </c>
      <c r="E2419" s="242"/>
      <c r="F2419" s="121"/>
      <c r="G2419" s="251" t="s">
        <v>2182</v>
      </c>
      <c r="H2419" s="242"/>
      <c r="I2419" s="319">
        <f t="array" aca="1" ref="I2419"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6.991054915141226E-2</v>
      </c>
      <c r="J2419" s="319">
        <f t="array" aca="1" ref="J2419"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6.9535974666075223E-2</v>
      </c>
      <c r="K2419" s="319">
        <f t="array" aca="1" ref="K2419"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6.9036587613248573E-2</v>
      </c>
      <c r="L2419" s="319">
        <f t="array" aca="1" ref="L2419"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6.8502568398027111E-2</v>
      </c>
      <c r="M2419" s="319">
        <f t="array" aca="1" ref="M2419"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6.7933917020410822E-2</v>
      </c>
      <c r="N2419" s="319">
        <f t="array" aca="1" ref="N2419"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6.7330633480399707E-2</v>
      </c>
      <c r="O2419" s="319">
        <f t="array" aca="1" ref="O2419"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6.6692717777993779E-2</v>
      </c>
      <c r="P2419" s="319">
        <f t="array" aca="1" ref="P2419"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6.6020169913193025E-2</v>
      </c>
      <c r="Q2419" s="319">
        <f t="array" aca="1" ref="Q2419"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6.531298988599743E-2</v>
      </c>
      <c r="R2419" s="121"/>
      <c r="S2419" s="179"/>
      <c r="T2419" s="179"/>
      <c r="V2419" s="179"/>
      <c r="W2419" s="179"/>
    </row>
    <row r="2420" spans="1:23" s="65" customFormat="1" ht="15" customHeight="1" outlineLevel="2">
      <c r="A2420" s="219"/>
      <c r="B2420" s="242"/>
      <c r="C2420" s="251"/>
      <c r="D2420" s="251" t="s">
        <v>1987</v>
      </c>
      <c r="E2420" s="242"/>
      <c r="F2420" s="121"/>
      <c r="G2420" s="251" t="s">
        <v>1614</v>
      </c>
      <c r="H2420" s="242"/>
      <c r="I2420" s="319">
        <f t="array" aca="1" ref="I2420"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0.15978180298922864</v>
      </c>
      <c r="J2420" s="319">
        <f t="array" aca="1" ref="J2420"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0.16742498259333888</v>
      </c>
      <c r="K2420" s="319">
        <f t="array" aca="1" ref="K2420"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0.17715040229812856</v>
      </c>
      <c r="L2420" s="319">
        <f t="array" aca="1" ref="L2420"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0.18706631666919826</v>
      </c>
      <c r="M2420" s="319">
        <f t="array" aca="1" ref="M2420"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0.19717272570654787</v>
      </c>
      <c r="N2420" s="319">
        <f t="array" aca="1" ref="N2420"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0.20746962941017746</v>
      </c>
      <c r="O2420" s="319">
        <f t="array" aca="1" ref="O2420"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0.21795702778008699</v>
      </c>
      <c r="P2420" s="319">
        <f t="array" aca="1" ref="P2420"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0.22863492081627643</v>
      </c>
      <c r="Q2420" s="319">
        <f t="array" aca="1" ref="Q2420"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0.23950330851874582</v>
      </c>
      <c r="R2420" s="121"/>
      <c r="S2420" s="179"/>
      <c r="T2420" s="179"/>
      <c r="V2420" s="179"/>
      <c r="W2420" s="179"/>
    </row>
    <row r="2421" spans="1:23" s="65" customFormat="1" ht="15" customHeight="1" outlineLevel="2">
      <c r="A2421" s="219"/>
      <c r="B2421" s="242"/>
      <c r="C2421" s="251"/>
      <c r="D2421" s="251" t="s">
        <v>1988</v>
      </c>
      <c r="E2421" s="242"/>
      <c r="F2421" s="121"/>
      <c r="G2421" s="251" t="s">
        <v>2003</v>
      </c>
      <c r="H2421" s="242"/>
      <c r="I2421" s="319">
        <f t="array" aca="1" ref="I2421"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2.678760405143514E-2</v>
      </c>
      <c r="J2421" s="319">
        <f t="array" aca="1" ref="J2421"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2.776545974260371E-2</v>
      </c>
      <c r="K2421" s="319">
        <f t="array" aca="1" ref="K2421"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2.9007855496501232E-2</v>
      </c>
      <c r="L2421" s="319">
        <f t="array" aca="1" ref="L2421"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3.0272558072550731E-2</v>
      </c>
      <c r="M2421" s="319">
        <f t="array" aca="1" ref="M2421"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3.1559567470752239E-2</v>
      </c>
      <c r="N2421" s="319">
        <f t="array" aca="1" ref="N2421"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3.2868883691105723E-2</v>
      </c>
      <c r="O2421" s="319">
        <f t="array" aca="1" ref="O2421"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3.4200506733611212E-2</v>
      </c>
      <c r="P2421" s="319">
        <f t="array" aca="1" ref="P2421"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3.5554436598268686E-2</v>
      </c>
      <c r="Q2421" s="319">
        <f t="array" aca="1" ref="Q2421"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3.6930673285078153E-2</v>
      </c>
      <c r="R2421" s="121"/>
      <c r="S2421" s="179"/>
      <c r="T2421" s="179"/>
      <c r="V2421" s="179"/>
      <c r="W2421" s="179"/>
    </row>
    <row r="2422" spans="1:23" s="65" customFormat="1" ht="15" customHeight="1" outlineLevel="2">
      <c r="A2422" s="219"/>
      <c r="B2422" s="242"/>
      <c r="C2422" s="251"/>
      <c r="D2422" s="251" t="s">
        <v>1989</v>
      </c>
      <c r="E2422" s="242"/>
      <c r="F2422" s="121"/>
      <c r="G2422" s="251" t="s">
        <v>1925</v>
      </c>
      <c r="H2422" s="242"/>
      <c r="I2422" s="319">
        <f t="array" aca="1" ref="I2422"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6.0696075758509341E-2</v>
      </c>
      <c r="J2422" s="319">
        <f t="array" aca="1" ref="J2422"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6.2911727557680888E-2</v>
      </c>
      <c r="K2422" s="319">
        <f t="array" aca="1" ref="K2422"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6.5726781365995413E-2</v>
      </c>
      <c r="L2422" s="319">
        <f t="array" aca="1" ref="L2422"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6.8592378573587784E-2</v>
      </c>
      <c r="M2422" s="319">
        <f t="array" aca="1" ref="M2422"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7.1508519180458044E-2</v>
      </c>
      <c r="N2422" s="319">
        <f t="array" aca="1" ref="N2422"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7.4475203186606109E-2</v>
      </c>
      <c r="O2422" s="319">
        <f t="array" aca="1" ref="O2422"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7.7492430592032105E-2</v>
      </c>
      <c r="P2422" s="319">
        <f t="array" aca="1" ref="P2422"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8.0560201396735906E-2</v>
      </c>
      <c r="Q2422" s="319">
        <f t="array" aca="1" ref="Q2422"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8.3678515600717568E-2</v>
      </c>
      <c r="R2422" s="121"/>
      <c r="S2422" s="179"/>
      <c r="T2422" s="179"/>
      <c r="V2422" s="179"/>
      <c r="W2422" s="179"/>
    </row>
    <row r="2423" spans="1:23" s="65" customFormat="1" ht="15" customHeight="1" outlineLevel="2">
      <c r="A2423" s="219"/>
      <c r="B2423" s="242"/>
      <c r="C2423" s="251"/>
      <c r="D2423" s="251" t="s">
        <v>1990</v>
      </c>
      <c r="E2423" s="242"/>
      <c r="F2423" s="121"/>
      <c r="G2423" s="251" t="s">
        <v>2004</v>
      </c>
      <c r="H2423" s="242"/>
      <c r="I2423" s="319">
        <f t="array" aca="1" ref="I2423"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5.8607565391460899E-2</v>
      </c>
      <c r="J2423" s="319">
        <f t="array" aca="1" ref="J2423"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5.7795898458165094E-2</v>
      </c>
      <c r="K2423" s="319">
        <f t="array" aca="1" ref="K2423"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5.6740975541822274E-2</v>
      </c>
      <c r="L2423" s="319">
        <f t="array" aca="1" ref="L2423"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5.5641231236898223E-2</v>
      </c>
      <c r="M2423" s="319">
        <f t="array" aca="1" ref="M2423"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5.4496665543392948E-2</v>
      </c>
      <c r="N2423" s="319">
        <f t="array" aca="1" ref="N2423"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5.3307278461306458E-2</v>
      </c>
      <c r="O2423" s="319">
        <f t="array" aca="1" ref="O2423"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5.2073069990638758E-2</v>
      </c>
      <c r="P2423" s="319">
        <f t="array" aca="1" ref="P2423"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5.0794040131389821E-2</v>
      </c>
      <c r="Q2423" s="319">
        <f t="array" aca="1" ref="Q2423"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4.9470188883559675E-2</v>
      </c>
      <c r="R2423" s="121"/>
      <c r="S2423" s="179"/>
      <c r="T2423" s="179"/>
      <c r="V2423" s="179"/>
      <c r="W2423" s="179"/>
    </row>
    <row r="2424" spans="1:23" s="65" customFormat="1" ht="15" customHeight="1" outlineLevel="2">
      <c r="A2424" s="219"/>
      <c r="B2424" s="242"/>
      <c r="C2424" s="251"/>
      <c r="D2424" s="251" t="s">
        <v>1991</v>
      </c>
      <c r="E2424" s="242"/>
      <c r="F2424" s="121"/>
      <c r="G2424" s="251" t="s">
        <v>1821</v>
      </c>
      <c r="H2424" s="242"/>
      <c r="I2424" s="319">
        <f t="array" aca="1" ref="I2424"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4.9054270827539291E-2</v>
      </c>
      <c r="J2424" s="319">
        <f t="array" aca="1" ref="J2424"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4.9557391553975587E-2</v>
      </c>
      <c r="K2424" s="319">
        <f t="array" aca="1" ref="K2424"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5.0186292462020957E-2</v>
      </c>
      <c r="L2424" s="319">
        <f t="array" aca="1" ref="L2424"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5.081519337006634E-2</v>
      </c>
      <c r="M2424" s="319">
        <f t="array" aca="1" ref="M2424"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5.1444094278111717E-2</v>
      </c>
      <c r="N2424" s="319">
        <f t="array" aca="1" ref="N2424"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5.2072995186157094E-2</v>
      </c>
      <c r="O2424" s="319">
        <f t="array" aca="1" ref="O2424"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5.2701896094202477E-2</v>
      </c>
      <c r="P2424" s="319">
        <f t="array" aca="1" ref="P2424"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5.3330797002247847E-2</v>
      </c>
      <c r="Q2424" s="319">
        <f t="array" aca="1" ref="Q2424"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5.3959697910293224E-2</v>
      </c>
      <c r="R2424" s="121"/>
      <c r="S2424" s="179"/>
      <c r="T2424" s="179"/>
      <c r="V2424" s="179"/>
      <c r="W2424" s="179"/>
    </row>
    <row r="2425" spans="1:23" s="65" customFormat="1" ht="15" customHeight="1" outlineLevel="2">
      <c r="A2425" s="219"/>
      <c r="B2425" s="242"/>
      <c r="C2425" s="251"/>
      <c r="D2425" s="251" t="s">
        <v>1992</v>
      </c>
      <c r="E2425" s="242"/>
      <c r="F2425" s="121"/>
      <c r="G2425" s="251" t="s">
        <v>1827</v>
      </c>
      <c r="H2425" s="242"/>
      <c r="I2425" s="319">
        <f t="array" aca="1" ref="I2425"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9.5889912282722256E-2</v>
      </c>
      <c r="J2425" s="319">
        <f t="array" aca="1" ref="J2425"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9.6873398562545038E-2</v>
      </c>
      <c r="K2425" s="319">
        <f t="array" aca="1" ref="K2425"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9.8102756412323522E-2</v>
      </c>
      <c r="L2425" s="319">
        <f t="array" aca="1" ref="L2425"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9.9332114262102034E-2</v>
      </c>
      <c r="M2425" s="319">
        <f t="array" aca="1" ref="M2425"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0.10056147211188052</v>
      </c>
      <c r="N2425" s="319">
        <f t="array" aca="1" ref="N2425"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0.101790829961659</v>
      </c>
      <c r="O2425" s="319">
        <f t="array" aca="1" ref="O2425"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0.10302018781143751</v>
      </c>
      <c r="P2425" s="319">
        <f t="array" aca="1" ref="P2425"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0.104249545661216</v>
      </c>
      <c r="Q2425" s="319">
        <f t="array" aca="1" ref="Q2425"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0.1054789035109945</v>
      </c>
      <c r="R2425" s="121"/>
      <c r="S2425" s="179"/>
      <c r="T2425" s="179"/>
      <c r="V2425" s="179"/>
      <c r="W2425" s="179"/>
    </row>
    <row r="2426" spans="1:23" s="65" customFormat="1" ht="15" customHeight="1" outlineLevel="2">
      <c r="A2426" s="219"/>
      <c r="B2426" s="242"/>
      <c r="C2426" s="251"/>
      <c r="D2426" s="251" t="s">
        <v>1993</v>
      </c>
      <c r="E2426" s="242"/>
      <c r="F2426" s="121"/>
      <c r="G2426" s="251" t="s">
        <v>1928</v>
      </c>
      <c r="H2426" s="242"/>
      <c r="I2426" s="319">
        <f t="array" aca="1" ref="I2426"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0.27131982684484707</v>
      </c>
      <c r="J2426" s="319">
        <f t="array" aca="1" ref="J2426"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0.27410259429966599</v>
      </c>
      <c r="K2426" s="319">
        <f t="array" aca="1" ref="K2426"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0.27758105361818969</v>
      </c>
      <c r="L2426" s="319">
        <f t="array" aca="1" ref="L2426"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0.28105951293671338</v>
      </c>
      <c r="M2426" s="319">
        <f t="array" aca="1" ref="M2426"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0.28453797225523708</v>
      </c>
      <c r="N2426" s="319">
        <f t="array" aca="1" ref="N2426"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0.28801643157376072</v>
      </c>
      <c r="O2426" s="319">
        <f t="array" aca="1" ref="O2426"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0.29149489089228448</v>
      </c>
      <c r="P2426" s="319">
        <f t="array" aca="1" ref="P2426"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0.29497335021080812</v>
      </c>
      <c r="Q2426" s="319">
        <f t="array" aca="1" ref="Q2426"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0.29845180952933181</v>
      </c>
      <c r="R2426" s="121"/>
      <c r="S2426" s="179"/>
      <c r="T2426" s="179"/>
      <c r="V2426" s="179"/>
      <c r="W2426" s="179"/>
    </row>
    <row r="2427" spans="1:23" s="65" customFormat="1" ht="15" customHeight="1" outlineLevel="2">
      <c r="A2427" s="219"/>
      <c r="B2427" s="242"/>
      <c r="C2427" s="251"/>
      <c r="D2427" s="251" t="s">
        <v>1994</v>
      </c>
      <c r="E2427" s="242"/>
      <c r="F2427" s="121"/>
      <c r="G2427" s="251" t="s">
        <v>1929</v>
      </c>
      <c r="H2427" s="242"/>
      <c r="I2427" s="319">
        <f t="array" aca="1" ref="I2427"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0.15720558668698606</v>
      </c>
      <c r="J2427" s="319">
        <f t="array" aca="1" ref="J2427"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0.15881795167864746</v>
      </c>
      <c r="K2427" s="319">
        <f t="array" aca="1" ref="K2427"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0.1608334079182242</v>
      </c>
      <c r="L2427" s="319">
        <f t="array" aca="1" ref="L2427"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0.16284886415780095</v>
      </c>
      <c r="M2427" s="319">
        <f t="array" aca="1" ref="M2427"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0.16486432039737769</v>
      </c>
      <c r="N2427" s="319">
        <f t="array" aca="1" ref="N2427"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0.16687977663695441</v>
      </c>
      <c r="O2427" s="319">
        <f t="array" aca="1" ref="O2427"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0.16889523287653121</v>
      </c>
      <c r="P2427" s="319">
        <f t="array" aca="1" ref="P2427"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0.17091068911610793</v>
      </c>
      <c r="Q2427" s="319">
        <f t="array" aca="1" ref="Q2427"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0.17292614535568468</v>
      </c>
      <c r="R2427" s="121"/>
      <c r="S2427" s="179"/>
      <c r="T2427" s="179"/>
      <c r="V2427" s="179"/>
      <c r="W2427" s="179"/>
    </row>
    <row r="2428" spans="1:23" s="65" customFormat="1" ht="15" customHeight="1" outlineLevel="2">
      <c r="A2428" s="219"/>
      <c r="B2428" s="242"/>
      <c r="C2428" s="251"/>
      <c r="D2428" s="251" t="s">
        <v>1995</v>
      </c>
      <c r="E2428" s="242"/>
      <c r="F2428" s="121"/>
      <c r="G2428" s="251" t="s">
        <v>1930</v>
      </c>
      <c r="H2428" s="242"/>
      <c r="I2428" s="319">
        <f t="array" aca="1" ref="I2428"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2.0903772272782294E-2</v>
      </c>
      <c r="J2428" s="319">
        <f t="array" aca="1" ref="J2428"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2.1118169937118524E-2</v>
      </c>
      <c r="K2428" s="319">
        <f t="array" aca="1" ref="K2428"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2.1386167017538808E-2</v>
      </c>
      <c r="L2428" s="319">
        <f t="array" aca="1" ref="L2428"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2.1654164097959103E-2</v>
      </c>
      <c r="M2428" s="319">
        <f t="array" aca="1" ref="M2428"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2.1922161178379383E-2</v>
      </c>
      <c r="N2428" s="319">
        <f t="array" aca="1" ref="N2428"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2.2190158258799667E-2</v>
      </c>
      <c r="O2428" s="319">
        <f t="array" aca="1" ref="O2428"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2.2458155339219958E-2</v>
      </c>
      <c r="P2428" s="319">
        <f t="array" aca="1" ref="P2428"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2.2726152419640246E-2</v>
      </c>
      <c r="Q2428" s="319">
        <f t="array" aca="1" ref="Q2428"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2.2994149500060526E-2</v>
      </c>
      <c r="R2428" s="121"/>
      <c r="S2428" s="179"/>
      <c r="T2428" s="179"/>
      <c r="V2428" s="179"/>
      <c r="W2428" s="179"/>
    </row>
    <row r="2429" spans="1:23" s="65" customFormat="1" ht="15" customHeight="1" outlineLevel="2">
      <c r="A2429" s="219"/>
      <c r="B2429" s="242"/>
      <c r="C2429" s="251"/>
      <c r="D2429" s="251" t="s">
        <v>1996</v>
      </c>
      <c r="E2429" s="242"/>
      <c r="F2429" s="121"/>
      <c r="G2429" s="251" t="s">
        <v>1931</v>
      </c>
      <c r="H2429" s="242"/>
      <c r="I2429" s="319">
        <f t="array" aca="1" ref="I2429"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9.4970983029639654E-3</v>
      </c>
      <c r="J2429" s="319">
        <f t="array" aca="1" ref="J2429"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9.5945044394046206E-3</v>
      </c>
      <c r="K2429" s="319">
        <f t="array" aca="1" ref="K2429"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9.7162621099554404E-3</v>
      </c>
      <c r="L2429" s="319">
        <f t="array" aca="1" ref="L2429"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9.8380197805062637E-3</v>
      </c>
      <c r="M2429" s="319">
        <f t="array" aca="1" ref="M2429"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9.9597774510570818E-3</v>
      </c>
      <c r="N2429" s="319">
        <f t="array" aca="1" ref="N2429"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1.0081535121607902E-2</v>
      </c>
      <c r="O2429" s="319">
        <f t="array" aca="1" ref="O2429"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1.0203292792158723E-2</v>
      </c>
      <c r="P2429" s="319">
        <f t="array" aca="1" ref="P2429"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1.0325050462709543E-2</v>
      </c>
      <c r="Q2429" s="319">
        <f t="array" aca="1" ref="Q2429"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1.0446808133260361E-2</v>
      </c>
      <c r="R2429" s="121"/>
      <c r="S2429" s="179"/>
      <c r="T2429" s="179"/>
      <c r="V2429" s="179"/>
      <c r="W2429" s="179"/>
    </row>
    <row r="2430" spans="1:23" s="65" customFormat="1" ht="15" customHeight="1" outlineLevel="2">
      <c r="A2430" s="219"/>
      <c r="B2430" s="242"/>
      <c r="C2430" s="251"/>
      <c r="D2430" s="251" t="s">
        <v>1997</v>
      </c>
      <c r="E2430" s="242"/>
      <c r="F2430" s="121"/>
      <c r="G2430" s="251" t="s">
        <v>1932</v>
      </c>
      <c r="H2430" s="242"/>
      <c r="I2430" s="319">
        <f t="array" aca="1" ref="I2430"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1.8757176046928597E-2</v>
      </c>
      <c r="J2430" s="319">
        <f t="array" aca="1" ref="J2430"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1.8949557339717607E-2</v>
      </c>
      <c r="K2430" s="319">
        <f t="array" aca="1" ref="K2430"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1.9190033955703872E-2</v>
      </c>
      <c r="L2430" s="319">
        <f t="array" aca="1" ref="L2430"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1.9430510571690138E-2</v>
      </c>
      <c r="M2430" s="319">
        <f t="array" aca="1" ref="M2430"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1.96709871876764E-2</v>
      </c>
      <c r="N2430" s="319">
        <f t="array" aca="1" ref="N2430"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1.9911463803662665E-2</v>
      </c>
      <c r="O2430" s="319">
        <f t="array" aca="1" ref="O2430"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2.015194041964893E-2</v>
      </c>
      <c r="P2430" s="319">
        <f t="array" aca="1" ref="P2430"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2.0392417035635196E-2</v>
      </c>
      <c r="Q2430" s="319">
        <f t="array" aca="1" ref="Q2430"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2.0632893651621458E-2</v>
      </c>
      <c r="R2430" s="121"/>
      <c r="S2430" s="179"/>
      <c r="T2430" s="179"/>
      <c r="V2430" s="179"/>
      <c r="W2430" s="179"/>
    </row>
    <row r="2431" spans="1:23" s="65" customFormat="1" ht="15" customHeight="1" outlineLevel="2">
      <c r="A2431" s="219"/>
      <c r="B2431" s="242"/>
      <c r="C2431" s="251"/>
      <c r="D2431" s="251" t="s">
        <v>1998</v>
      </c>
      <c r="E2431" s="242"/>
      <c r="F2431" s="121"/>
      <c r="G2431" s="251" t="s">
        <v>2005</v>
      </c>
      <c r="H2431" s="242"/>
      <c r="I2431" s="319">
        <f t="array" aca="1" ref="I2431"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3.0288469124250289E-2</v>
      </c>
      <c r="J2431" s="319">
        <f t="array" aca="1" ref="J2431"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2.9343771573129691E-2</v>
      </c>
      <c r="K2431" s="319">
        <f t="array" aca="1" ref="K2431"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2.8127055292070061E-2</v>
      </c>
      <c r="L2431" s="319">
        <f t="array" aca="1" ref="L2431"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2.6870511964167246E-2</v>
      </c>
      <c r="M2431" s="319">
        <f t="array" aca="1" ref="M2431"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2.5574141589421225E-2</v>
      </c>
      <c r="N2431" s="319">
        <f t="array" aca="1" ref="N2431"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2.423794416783201E-2</v>
      </c>
      <c r="O2431" s="319">
        <f t="array" aca="1" ref="O2431"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2.2861919699399599E-2</v>
      </c>
      <c r="P2431" s="319">
        <f t="array" aca="1" ref="P2431"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2.1446068184123996E-2</v>
      </c>
      <c r="Q2431" s="319">
        <f t="array" aca="1" ref="Q2431"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1.9990389622005191E-2</v>
      </c>
      <c r="R2431" s="121"/>
      <c r="S2431" s="179"/>
      <c r="T2431" s="179"/>
      <c r="V2431" s="179"/>
      <c r="W2431" s="179"/>
    </row>
    <row r="2432" spans="1:23" s="65" customFormat="1" ht="15" customHeight="1" outlineLevel="2">
      <c r="A2432" s="219"/>
      <c r="B2432" s="242"/>
      <c r="C2432" s="251"/>
      <c r="D2432" s="251" t="s">
        <v>1999</v>
      </c>
      <c r="E2432" s="242"/>
      <c r="F2432" s="121"/>
      <c r="G2432" s="251" t="s">
        <v>1933</v>
      </c>
      <c r="H2432" s="242"/>
      <c r="I2432" s="319">
        <f t="array" aca="1" ref="I2432" ca="1">SUM((G.30.assumptions.SpecificProcessCH4EmissionsAfterCCS[[#This Row],[Description]]=G.30.assumptions.SpecificProcessCH4EmissionsAfterEnergyEfficiency[Description])
        *INDIRECT("G.30.assumptions.SpecificProcessCH4EmissionsAfterEnergyEfficiency["&amp;I$2398&amp;"]"))
*(1-SUM((G.30.assumptions.SpecificProcessCH4EmissionsAfterCCS[[#This Row],[.]]=G.30.assumptions.CCS[Description])
        *INDIRECT("G.30.assumptions.CCS["&amp;I$2398&amp;"]")))</f>
        <v>0.1044634283309155</v>
      </c>
      <c r="J2432" s="319">
        <f t="array" aca="1" ref="J2432" ca="1">SUM((G.30.assumptions.SpecificProcessCH4EmissionsAfterCCS[[#This Row],[Description]]=G.30.assumptions.SpecificProcessCH4EmissionsAfterEnergyEfficiency[Description])
        *INDIRECT("G.30.assumptions.SpecificProcessCH4EmissionsAfterEnergyEfficiency["&amp;J$2398&amp;"]"))
*(1-SUM((G.30.assumptions.SpecificProcessCH4EmissionsAfterCCS[[#This Row],[.]]=G.30.assumptions.CCS[Description])
        *INDIRECT("G.30.assumptions.CCS["&amp;J$2398&amp;"]")))</f>
        <v>0.10325734806655079</v>
      </c>
      <c r="K2432" s="319">
        <f t="array" aca="1" ref="K2432" ca="1">SUM((G.30.assumptions.SpecificProcessCH4EmissionsAfterCCS[[#This Row],[Description]]=G.30.assumptions.SpecificProcessCH4EmissionsAfterEnergyEfficiency[Description])
        *INDIRECT("G.30.assumptions.SpecificProcessCH4EmissionsAfterEnergyEfficiency["&amp;K$2398&amp;"]"))
*(1-SUM((G.30.assumptions.SpecificProcessCH4EmissionsAfterCCS[[#This Row],[.]]=G.30.assumptions.CCS[Description])
        *INDIRECT("G.30.assumptions.CCS["&amp;K$2398&amp;"]")))</f>
        <v>0.1016847175952984</v>
      </c>
      <c r="L2432" s="319">
        <f t="array" aca="1" ref="L2432" ca="1">SUM((G.30.assumptions.SpecificProcessCH4EmissionsAfterCCS[[#This Row],[Description]]=G.30.assumptions.SpecificProcessCH4EmissionsAfterEnergyEfficiency[Description])
        *INDIRECT("G.30.assumptions.SpecificProcessCH4EmissionsAfterEnergyEfficiency["&amp;L$2398&amp;"]"))
*(1-SUM((G.30.assumptions.SpecificProcessCH4EmissionsAfterCCS[[#This Row],[.]]=G.30.assumptions.CCS[Description])
        *INDIRECT("G.30.assumptions.CCS["&amp;L$2398&amp;"]")))</f>
        <v>0.10003983141204992</v>
      </c>
      <c r="M2432" s="319">
        <f t="array" aca="1" ref="M2432" ca="1">SUM((G.30.assumptions.SpecificProcessCH4EmissionsAfterCCS[[#This Row],[Description]]=G.30.assumptions.SpecificProcessCH4EmissionsAfterEnergyEfficiency[Description])
        *INDIRECT("G.30.assumptions.SpecificProcessCH4EmissionsAfterEnergyEfficiency["&amp;M$2398&amp;"]"))
*(1-SUM((G.30.assumptions.SpecificProcessCH4EmissionsAfterCCS[[#This Row],[.]]=G.30.assumptions.CCS[Description])
        *INDIRECT("G.30.assumptions.CCS["&amp;M$2398&amp;"]")))</f>
        <v>9.8322689516805298E-2</v>
      </c>
      <c r="N2432" s="319">
        <f t="array" aca="1" ref="N2432" ca="1">SUM((G.30.assumptions.SpecificProcessCH4EmissionsAfterCCS[[#This Row],[Description]]=G.30.assumptions.SpecificProcessCH4EmissionsAfterEnergyEfficiency[Description])
        *INDIRECT("G.30.assumptions.SpecificProcessCH4EmissionsAfterEnergyEfficiency["&amp;N$2398&amp;"]"))
*(1-SUM((G.30.assumptions.SpecificProcessCH4EmissionsAfterCCS[[#This Row],[.]]=G.30.assumptions.CCS[Description])
        *INDIRECT("G.30.assumptions.CCS["&amp;N$2398&amp;"]")))</f>
        <v>9.6533291909564528E-2</v>
      </c>
      <c r="O2432" s="319">
        <f t="array" aca="1" ref="O2432" ca="1">SUM((G.30.assumptions.SpecificProcessCH4EmissionsAfterCCS[[#This Row],[Description]]=G.30.assumptions.SpecificProcessCH4EmissionsAfterEnergyEfficiency[Description])
        *INDIRECT("G.30.assumptions.SpecificProcessCH4EmissionsAfterEnergyEfficiency["&amp;O$2398&amp;"]"))
*(1-SUM((G.30.assumptions.SpecificProcessCH4EmissionsAfterCCS[[#This Row],[.]]=G.30.assumptions.CCS[Description])
        *INDIRECT("G.30.assumptions.CCS["&amp;O$2398&amp;"]")))</f>
        <v>9.4671638590327692E-2</v>
      </c>
      <c r="P2432" s="319">
        <f t="array" aca="1" ref="P2432" ca="1">SUM((G.30.assumptions.SpecificProcessCH4EmissionsAfterCCS[[#This Row],[Description]]=G.30.assumptions.SpecificProcessCH4EmissionsAfterEnergyEfficiency[Description])
        *INDIRECT("G.30.assumptions.SpecificProcessCH4EmissionsAfterEnergyEfficiency["&amp;P$2398&amp;"]"))
*(1-SUM((G.30.assumptions.SpecificProcessCH4EmissionsAfterCCS[[#This Row],[.]]=G.30.assumptions.CCS[Description])
        *INDIRECT("G.30.assumptions.CCS["&amp;P$2398&amp;"]")))</f>
        <v>9.2737729559094706E-2</v>
      </c>
      <c r="Q2432" s="319">
        <f t="array" aca="1" ref="Q2432" ca="1">SUM((G.30.assumptions.SpecificProcessCH4EmissionsAfterCCS[[#This Row],[Description]]=G.30.assumptions.SpecificProcessCH4EmissionsAfterEnergyEfficiency[Description])
        *INDIRECT("G.30.assumptions.SpecificProcessCH4EmissionsAfterEnergyEfficiency["&amp;Q$2398&amp;"]"))
*(1-SUM((G.30.assumptions.SpecificProcessCH4EmissionsAfterCCS[[#This Row],[.]]=G.30.assumptions.CCS[Description])
        *INDIRECT("G.30.assumptions.CCS["&amp;Q$2398&amp;"]")))</f>
        <v>9.0731564815865598E-2</v>
      </c>
      <c r="R2432" s="121"/>
      <c r="S2432" s="179"/>
      <c r="T2432" s="179"/>
      <c r="V2432" s="179"/>
      <c r="W2432" s="179"/>
    </row>
    <row r="2433" spans="1:23" s="65" customFormat="1" ht="15" customHeight="1" outlineLevel="2">
      <c r="A2433" s="219"/>
      <c r="B2433" s="242"/>
      <c r="C2433" s="251"/>
      <c r="D2433" s="121"/>
      <c r="E2433" s="242"/>
      <c r="F2433" s="121"/>
      <c r="G2433" s="251"/>
      <c r="H2433" s="242"/>
      <c r="I2433" s="316"/>
      <c r="J2433" s="316"/>
      <c r="K2433" s="316"/>
      <c r="L2433" s="316"/>
      <c r="M2433" s="316"/>
      <c r="N2433" s="316"/>
      <c r="O2433" s="316"/>
      <c r="P2433" s="316"/>
      <c r="Q2433" s="316"/>
      <c r="R2433" s="121"/>
      <c r="S2433" s="179"/>
      <c r="T2433" s="179"/>
      <c r="V2433" s="179"/>
      <c r="W2433" s="179"/>
    </row>
    <row r="2434" spans="1:23" s="65" customFormat="1" ht="15" customHeight="1" outlineLevel="2">
      <c r="A2434" s="219"/>
      <c r="B2434" s="242"/>
      <c r="C2434" s="313" t="s">
        <v>244</v>
      </c>
      <c r="D2434" s="242"/>
      <c r="E2434" s="242"/>
      <c r="F2434" s="121"/>
      <c r="G2434" s="242"/>
      <c r="H2434" s="242"/>
      <c r="I2434" s="239"/>
      <c r="J2434" s="239"/>
      <c r="K2434" s="239"/>
      <c r="L2434" s="239"/>
      <c r="M2434" s="239"/>
      <c r="N2434" s="239"/>
      <c r="O2434" s="239"/>
      <c r="P2434" s="239"/>
      <c r="Q2434" s="239"/>
      <c r="R2434" s="121"/>
      <c r="S2434" s="179"/>
      <c r="T2434" s="179"/>
      <c r="V2434" s="179"/>
      <c r="W2434" s="179"/>
    </row>
    <row r="2435" spans="1:23" s="65" customFormat="1" ht="15" customHeight="1" outlineLevel="2">
      <c r="A2435" s="219"/>
      <c r="B2435" s="242"/>
      <c r="C2435" s="301"/>
      <c r="D2435" s="242"/>
      <c r="E2435" s="242"/>
      <c r="F2435" s="121"/>
      <c r="G2435" s="242"/>
      <c r="H2435" s="242"/>
      <c r="I2435" s="239"/>
      <c r="J2435" s="239"/>
      <c r="K2435" s="239"/>
      <c r="L2435" s="239"/>
      <c r="M2435" s="239"/>
      <c r="N2435" s="239"/>
      <c r="O2435" s="239"/>
      <c r="P2435" s="239"/>
      <c r="Q2435" s="239"/>
      <c r="R2435" s="121"/>
      <c r="S2435" s="179"/>
      <c r="T2435" s="179"/>
      <c r="V2435" s="179"/>
      <c r="W2435" s="179"/>
    </row>
    <row r="2436" spans="1:23" s="65" customFormat="1" ht="15" customHeight="1" outlineLevel="2">
      <c r="A2436" s="219"/>
      <c r="B2436" s="242"/>
      <c r="C2436" s="258" t="s">
        <v>454</v>
      </c>
      <c r="D2436" s="258" t="s">
        <v>241</v>
      </c>
      <c r="E2436" s="258" t="s">
        <v>598</v>
      </c>
      <c r="F2436" s="258" t="s">
        <v>274</v>
      </c>
      <c r="G2436" s="258" t="s">
        <v>509</v>
      </c>
      <c r="H2436" s="258" t="s">
        <v>510</v>
      </c>
      <c r="I2436" s="258" t="s">
        <v>1107</v>
      </c>
      <c r="J2436" s="258" t="s">
        <v>210</v>
      </c>
      <c r="K2436" s="258" t="s">
        <v>211</v>
      </c>
      <c r="L2436" s="258" t="s">
        <v>212</v>
      </c>
      <c r="M2436" s="258" t="s">
        <v>213</v>
      </c>
      <c r="N2436" s="258" t="s">
        <v>214</v>
      </c>
      <c r="O2436" s="258" t="s">
        <v>215</v>
      </c>
      <c r="P2436" s="258" t="s">
        <v>216</v>
      </c>
      <c r="Q2436" s="258" t="s">
        <v>217</v>
      </c>
      <c r="R2436" s="121"/>
      <c r="S2436" s="179"/>
      <c r="T2436" s="179"/>
      <c r="V2436" s="179"/>
      <c r="W2436" s="179"/>
    </row>
    <row r="2437" spans="1:23" s="65" customFormat="1" ht="15" customHeight="1" outlineLevel="2">
      <c r="A2437" s="219"/>
      <c r="B2437" s="242"/>
      <c r="C2437" s="251"/>
      <c r="D2437" s="251" t="s">
        <v>1986</v>
      </c>
      <c r="E2437" s="242"/>
      <c r="F2437" s="121"/>
      <c r="G2437" s="251" t="s">
        <v>1613</v>
      </c>
      <c r="H2437" s="242"/>
      <c r="I2437" s="319">
        <f t="array" aca="1" ref="I2437"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7.0548600439671469E-2</v>
      </c>
      <c r="J2437" s="319">
        <f t="array" aca="1" ref="J2437"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7.0170607332455198E-2</v>
      </c>
      <c r="K2437" s="319">
        <f t="array" aca="1" ref="K2437"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6.9666662533247437E-2</v>
      </c>
      <c r="L2437" s="319">
        <f t="array" aca="1" ref="L2437"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6.9127769494942579E-2</v>
      </c>
      <c r="M2437" s="319">
        <f t="array" aca="1" ref="M2437"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6.8553928217540597E-2</v>
      </c>
      <c r="N2437" s="319">
        <f t="array" aca="1" ref="N2437"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6.7945138701041505E-2</v>
      </c>
      <c r="O2437" s="319">
        <f t="array" aca="1" ref="O2437"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6.7301400945445303E-2</v>
      </c>
      <c r="P2437" s="319">
        <f t="array" aca="1" ref="P2437"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6.6622714950751977E-2</v>
      </c>
      <c r="Q2437" s="319">
        <f t="array" aca="1" ref="Q2437"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6.5909080716961513E-2</v>
      </c>
      <c r="R2437" s="121"/>
      <c r="S2437" s="179"/>
      <c r="T2437" s="179"/>
      <c r="V2437" s="179"/>
      <c r="W2437" s="179"/>
    </row>
    <row r="2438" spans="1:23" s="65" customFormat="1" ht="15" customHeight="1" outlineLevel="2">
      <c r="A2438" s="219"/>
      <c r="B2438" s="242"/>
      <c r="C2438" s="251"/>
      <c r="D2438" s="251" t="s">
        <v>2192</v>
      </c>
      <c r="E2438" s="242"/>
      <c r="F2438" s="121"/>
      <c r="G2438" s="251" t="s">
        <v>2182</v>
      </c>
      <c r="H2438" s="242"/>
      <c r="I2438" s="319">
        <f t="array" aca="1" ref="I2438"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7.0548600439671469E-2</v>
      </c>
      <c r="J2438" s="319">
        <f t="array" aca="1" ref="J2438"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7.0170607332455198E-2</v>
      </c>
      <c r="K2438" s="319">
        <f t="array" aca="1" ref="K2438"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6.9666662533247437E-2</v>
      </c>
      <c r="L2438" s="319">
        <f t="array" aca="1" ref="L2438"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6.9127769494942579E-2</v>
      </c>
      <c r="M2438" s="319">
        <f t="array" aca="1" ref="M2438"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6.8553928217540597E-2</v>
      </c>
      <c r="N2438" s="319">
        <f t="array" aca="1" ref="N2438"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6.7945138701041505E-2</v>
      </c>
      <c r="O2438" s="319">
        <f t="array" aca="1" ref="O2438"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6.7301400945445303E-2</v>
      </c>
      <c r="P2438" s="319">
        <f t="array" aca="1" ref="P2438"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6.6622714950751977E-2</v>
      </c>
      <c r="Q2438" s="319">
        <f t="array" aca="1" ref="Q2438"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6.5909080716961513E-2</v>
      </c>
      <c r="R2438" s="121"/>
      <c r="S2438" s="179"/>
      <c r="T2438" s="179"/>
      <c r="V2438" s="179"/>
      <c r="W2438" s="179"/>
    </row>
    <row r="2439" spans="1:23" s="65" customFormat="1" ht="15" customHeight="1" outlineLevel="2">
      <c r="A2439" s="219"/>
      <c r="B2439" s="242"/>
      <c r="C2439" s="251"/>
      <c r="D2439" s="251" t="s">
        <v>1987</v>
      </c>
      <c r="E2439" s="242"/>
      <c r="F2439" s="121"/>
      <c r="G2439" s="251" t="s">
        <v>1614</v>
      </c>
      <c r="H2439" s="242"/>
      <c r="I2439" s="319">
        <f t="array" aca="1" ref="I2439"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0.15124463681852324</v>
      </c>
      <c r="J2439" s="319">
        <f t="array" aca="1" ref="J2439"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0.15847944016743978</v>
      </c>
      <c r="K2439" s="319">
        <f t="array" aca="1" ref="K2439"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0.16768522920999918</v>
      </c>
      <c r="L2439" s="319">
        <f t="array" aca="1" ref="L2439"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0.17707133475968506</v>
      </c>
      <c r="M2439" s="319">
        <f t="array" aca="1" ref="M2439"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0.18663775681649725</v>
      </c>
      <c r="N2439" s="319">
        <f t="array" aca="1" ref="N2439"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0.19638449538043593</v>
      </c>
      <c r="O2439" s="319">
        <f t="array" aca="1" ref="O2439"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0.20631155045150096</v>
      </c>
      <c r="P2439" s="319">
        <f t="array" aca="1" ref="P2439"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0.2164189220296924</v>
      </c>
      <c r="Q2439" s="319">
        <f t="array" aca="1" ref="Q2439"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0.22670661011501023</v>
      </c>
      <c r="R2439" s="121"/>
      <c r="S2439" s="179"/>
      <c r="T2439" s="179"/>
      <c r="V2439" s="179"/>
      <c r="W2439" s="179"/>
    </row>
    <row r="2440" spans="1:23" s="65" customFormat="1" ht="15" customHeight="1" outlineLevel="2">
      <c r="A2440" s="219"/>
      <c r="B2440" s="242"/>
      <c r="C2440" s="251"/>
      <c r="D2440" s="251" t="s">
        <v>1988</v>
      </c>
      <c r="E2440" s="242"/>
      <c r="F2440" s="121"/>
      <c r="G2440" s="251" t="s">
        <v>2003</v>
      </c>
      <c r="H2440" s="242"/>
      <c r="I2440" s="319">
        <f t="array" aca="1" ref="I2440"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2.5715808643469208E-2</v>
      </c>
      <c r="J2440" s="319">
        <f t="array" aca="1" ref="J2440"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2.6654539475339595E-2</v>
      </c>
      <c r="K2440" s="319">
        <f t="array" aca="1" ref="K2440"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2.784722589124082E-2</v>
      </c>
      <c r="L2440" s="319">
        <f t="array" aca="1" ref="L2440"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2.906132661387895E-2</v>
      </c>
      <c r="M2440" s="319">
        <f t="array" aca="1" ref="M2440"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3.0296841643254014E-2</v>
      </c>
      <c r="N2440" s="319">
        <f t="array" aca="1" ref="N2440"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3.1553770979365972E-2</v>
      </c>
      <c r="O2440" s="319">
        <f t="array" aca="1" ref="O2440"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3.2832114622214872E-2</v>
      </c>
      <c r="P2440" s="319">
        <f t="array" aca="1" ref="P2440"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3.4131872571800684E-2</v>
      </c>
      <c r="Q2440" s="319">
        <f t="array" aca="1" ref="Q2440"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3.5453044828123406E-2</v>
      </c>
      <c r="R2440" s="121"/>
      <c r="S2440" s="179"/>
      <c r="T2440" s="179"/>
      <c r="V2440" s="179"/>
      <c r="W2440" s="179"/>
    </row>
    <row r="2441" spans="1:23" s="65" customFormat="1" ht="15" customHeight="1" outlineLevel="2">
      <c r="A2441" s="219"/>
      <c r="B2441" s="242"/>
      <c r="C2441" s="251"/>
      <c r="D2441" s="251" t="s">
        <v>1989</v>
      </c>
      <c r="E2441" s="242"/>
      <c r="F2441" s="121"/>
      <c r="G2441" s="251" t="s">
        <v>1925</v>
      </c>
      <c r="H2441" s="242"/>
      <c r="I2441" s="319">
        <f t="array" aca="1" ref="I2441"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5.8120447217857286E-2</v>
      </c>
      <c r="J2441" s="319">
        <f t="array" aca="1" ref="J2441"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6.0242078177315923E-2</v>
      </c>
      <c r="K2441" s="319">
        <f t="array" aca="1" ref="K2441"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6.2937675614826286E-2</v>
      </c>
      <c r="L2441" s="319">
        <f t="array" aca="1" ref="L2441"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6.5681671650322238E-2</v>
      </c>
      <c r="M2441" s="319">
        <f t="array" aca="1" ref="M2441"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6.8474066283803814E-2</v>
      </c>
      <c r="N2441" s="319">
        <f t="array" aca="1" ref="N2441"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7.1314859515270959E-2</v>
      </c>
      <c r="O2441" s="319">
        <f t="array" aca="1" ref="O2441"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7.420405134472377E-2</v>
      </c>
      <c r="P2441" s="319">
        <f t="array" aca="1" ref="P2441"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7.7141641772162137E-2</v>
      </c>
      <c r="Q2441" s="319">
        <f t="array" aca="1" ref="Q2441"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8.0127630797586114E-2</v>
      </c>
      <c r="R2441" s="121"/>
      <c r="S2441" s="179"/>
      <c r="T2441" s="179"/>
      <c r="V2441" s="179"/>
      <c r="W2441" s="179"/>
    </row>
    <row r="2442" spans="1:23" s="65" customFormat="1" ht="15" customHeight="1" outlineLevel="2">
      <c r="A2442" s="219"/>
      <c r="B2442" s="242"/>
      <c r="C2442" s="251"/>
      <c r="D2442" s="251" t="s">
        <v>1990</v>
      </c>
      <c r="E2442" s="242"/>
      <c r="F2442" s="121"/>
      <c r="G2442" s="251" t="s">
        <v>2004</v>
      </c>
      <c r="H2442" s="242"/>
      <c r="I2442" s="319">
        <f t="array" aca="1" ref="I2442"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5.9722931127485113E-2</v>
      </c>
      <c r="J2442" s="319">
        <f t="array" aca="1" ref="J2442"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5.8895817289332998E-2</v>
      </c>
      <c r="K2442" s="319">
        <f t="array" aca="1" ref="K2442"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5.7820818042107355E-2</v>
      </c>
      <c r="L2442" s="319">
        <f t="array" aca="1" ref="L2442"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5.670014440650889E-2</v>
      </c>
      <c r="M2442" s="319">
        <f t="array" aca="1" ref="M2442"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5.5533796382537616E-2</v>
      </c>
      <c r="N2442" s="319">
        <f t="array" aca="1" ref="N2442"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5.4321773970193533E-2</v>
      </c>
      <c r="O2442" s="319">
        <f t="array" aca="1" ref="O2442"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5.3064077169476656E-2</v>
      </c>
      <c r="P2442" s="319">
        <f t="array" aca="1" ref="P2442"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5.1760705980386949E-2</v>
      </c>
      <c r="Q2442" s="319">
        <f t="array" aca="1" ref="Q2442"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5.0411660402924441E-2</v>
      </c>
      <c r="R2442" s="121"/>
      <c r="S2442" s="179"/>
      <c r="T2442" s="179"/>
      <c r="V2442" s="179"/>
      <c r="W2442" s="179"/>
    </row>
    <row r="2443" spans="1:23" s="65" customFormat="1" ht="15" customHeight="1" outlineLevel="2">
      <c r="A2443" s="219"/>
      <c r="B2443" s="242"/>
      <c r="C2443" s="251"/>
      <c r="D2443" s="251" t="s">
        <v>1991</v>
      </c>
      <c r="E2443" s="242"/>
      <c r="F2443" s="121"/>
      <c r="G2443" s="251" t="s">
        <v>1821</v>
      </c>
      <c r="H2443" s="242"/>
      <c r="I2443" s="319">
        <f t="array" aca="1" ref="I2443"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4.8452622785747169E-2</v>
      </c>
      <c r="J2443" s="319">
        <f t="array" aca="1" ref="J2443"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4.8949572763036873E-2</v>
      </c>
      <c r="K2443" s="319">
        <f t="array" aca="1" ref="K2443"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4.9570760234649021E-2</v>
      </c>
      <c r="L2443" s="319">
        <f t="array" aca="1" ref="L2443"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5.0191947706261168E-2</v>
      </c>
      <c r="M2443" s="319">
        <f t="array" aca="1" ref="M2443"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5.0813135177873309E-2</v>
      </c>
      <c r="N2443" s="319">
        <f t="array" aca="1" ref="N2443"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5.1434322649485456E-2</v>
      </c>
      <c r="O2443" s="319">
        <f t="array" aca="1" ref="O2443"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5.2055510121097603E-2</v>
      </c>
      <c r="P2443" s="319">
        <f t="array" aca="1" ref="P2443"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5.2676697592709751E-2</v>
      </c>
      <c r="Q2443" s="319">
        <f t="array" aca="1" ref="Q2443"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5.3297885064321891E-2</v>
      </c>
      <c r="R2443" s="121"/>
      <c r="S2443" s="179"/>
      <c r="T2443" s="179"/>
      <c r="V2443" s="179"/>
      <c r="W2443" s="179"/>
    </row>
    <row r="2444" spans="1:23" s="65" customFormat="1" ht="15" customHeight="1" outlineLevel="2">
      <c r="A2444" s="219"/>
      <c r="B2444" s="242"/>
      <c r="C2444" s="251"/>
      <c r="D2444" s="251" t="s">
        <v>1992</v>
      </c>
      <c r="E2444" s="242"/>
      <c r="F2444" s="121"/>
      <c r="G2444" s="251" t="s">
        <v>1827</v>
      </c>
      <c r="H2444" s="242"/>
      <c r="I2444" s="319">
        <f t="array" aca="1" ref="I2444"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9.4912618920537373E-2</v>
      </c>
      <c r="J2444" s="319">
        <f t="array" aca="1" ref="J2444"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9.5886081678696722E-2</v>
      </c>
      <c r="K2444" s="319">
        <f t="array" aca="1" ref="K2444"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9.7102910126395908E-2</v>
      </c>
      <c r="L2444" s="319">
        <f t="array" aca="1" ref="L2444"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9.8319738574095122E-2</v>
      </c>
      <c r="M2444" s="319">
        <f t="array" aca="1" ref="M2444"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9.9536567021794323E-2</v>
      </c>
      <c r="N2444" s="319">
        <f t="array" aca="1" ref="N2444"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0.10075339546949351</v>
      </c>
      <c r="O2444" s="319">
        <f t="array" aca="1" ref="O2444"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0.10197022391719272</v>
      </c>
      <c r="P2444" s="319">
        <f t="array" aca="1" ref="P2444"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0.10318705236489191</v>
      </c>
      <c r="Q2444" s="319">
        <f t="array" aca="1" ref="Q2444"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0.10440388081259112</v>
      </c>
      <c r="R2444" s="121"/>
      <c r="S2444" s="179"/>
      <c r="T2444" s="179"/>
      <c r="V2444" s="179"/>
      <c r="W2444" s="179"/>
    </row>
    <row r="2445" spans="1:23" s="65" customFormat="1" ht="15" customHeight="1" outlineLevel="2">
      <c r="A2445" s="219"/>
      <c r="B2445" s="242"/>
      <c r="C2445" s="251"/>
      <c r="D2445" s="251" t="s">
        <v>1993</v>
      </c>
      <c r="E2445" s="242"/>
      <c r="F2445" s="121"/>
      <c r="G2445" s="251" t="s">
        <v>1928</v>
      </c>
      <c r="H2445" s="242"/>
      <c r="I2445" s="319">
        <f t="array" aca="1" ref="I2445"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0.26812705990636193</v>
      </c>
      <c r="J2445" s="319">
        <f t="array" aca="1" ref="J2445"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0.27087708103360664</v>
      </c>
      <c r="K2445" s="319">
        <f t="array" aca="1" ref="K2445"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0.27431460744266256</v>
      </c>
      <c r="L2445" s="319">
        <f t="array" aca="1" ref="L2445"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0.27775213385171854</v>
      </c>
      <c r="M2445" s="319">
        <f t="array" aca="1" ref="M2445"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0.28118966026077447</v>
      </c>
      <c r="N2445" s="319">
        <f t="array" aca="1" ref="N2445"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0.28462718666983039</v>
      </c>
      <c r="O2445" s="319">
        <f t="array" aca="1" ref="O2445"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0.28806471307888637</v>
      </c>
      <c r="P2445" s="319">
        <f t="array" aca="1" ref="P2445"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0.29150223948794224</v>
      </c>
      <c r="Q2445" s="319">
        <f t="array" aca="1" ref="Q2445"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0.29493976589699816</v>
      </c>
      <c r="R2445" s="121"/>
      <c r="S2445" s="179"/>
      <c r="T2445" s="179"/>
      <c r="V2445" s="179"/>
      <c r="W2445" s="179"/>
    </row>
    <row r="2446" spans="1:23" s="65" customFormat="1" ht="15" customHeight="1" outlineLevel="2">
      <c r="A2446" s="219"/>
      <c r="B2446" s="242"/>
      <c r="C2446" s="251"/>
      <c r="D2446" s="251" t="s">
        <v>1994</v>
      </c>
      <c r="E2446" s="242"/>
      <c r="F2446" s="121"/>
      <c r="G2446" s="251" t="s">
        <v>1929</v>
      </c>
      <c r="H2446" s="242"/>
      <c r="I2446" s="319">
        <f t="array" aca="1" ref="I2446"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0.15555674848377091</v>
      </c>
      <c r="J2446" s="319">
        <f t="array" aca="1" ref="J2446"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0.15715220231437368</v>
      </c>
      <c r="K2446" s="319">
        <f t="array" aca="1" ref="K2446"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0.15914651960262716</v>
      </c>
      <c r="L2446" s="319">
        <f t="array" aca="1" ref="L2446"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0.16114083689088063</v>
      </c>
      <c r="M2446" s="319">
        <f t="array" aca="1" ref="M2446"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0.1631351541791341</v>
      </c>
      <c r="N2446" s="319">
        <f t="array" aca="1" ref="N2446"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0.16512947146738757</v>
      </c>
      <c r="O2446" s="319">
        <f t="array" aca="1" ref="O2446"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0.16712378875564107</v>
      </c>
      <c r="P2446" s="319">
        <f t="array" aca="1" ref="P2446"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0.16911810604389454</v>
      </c>
      <c r="Q2446" s="319">
        <f t="array" aca="1" ref="Q2446"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0.17111242333214802</v>
      </c>
      <c r="R2446" s="121"/>
      <c r="S2446" s="179"/>
      <c r="T2446" s="179"/>
      <c r="V2446" s="179"/>
      <c r="W2446" s="179"/>
    </row>
    <row r="2447" spans="1:23" s="65" customFormat="1" ht="15" customHeight="1" outlineLevel="2">
      <c r="A2447" s="219"/>
      <c r="B2447" s="242"/>
      <c r="C2447" s="251"/>
      <c r="D2447" s="251" t="s">
        <v>1995</v>
      </c>
      <c r="E2447" s="242"/>
      <c r="F2447" s="121"/>
      <c r="G2447" s="251" t="s">
        <v>1930</v>
      </c>
      <c r="H2447" s="242"/>
      <c r="I2447" s="319">
        <f t="array" aca="1" ref="I2447"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2.0686316931039065E-2</v>
      </c>
      <c r="J2447" s="319">
        <f t="array" aca="1" ref="J2447"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2.0898484284177926E-2</v>
      </c>
      <c r="K2447" s="319">
        <f t="array" aca="1" ref="K2447"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2.1163693475601503E-2</v>
      </c>
      <c r="L2447" s="319">
        <f t="array" aca="1" ref="L2447"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2.1428902667025091E-2</v>
      </c>
      <c r="M2447" s="319">
        <f t="array" aca="1" ref="M2447"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2.1694111858448665E-2</v>
      </c>
      <c r="N2447" s="319">
        <f t="array" aca="1" ref="N2447"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2.1959321049872239E-2</v>
      </c>
      <c r="O2447" s="319">
        <f t="array" aca="1" ref="O2447"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2.2224530241295823E-2</v>
      </c>
      <c r="P2447" s="319">
        <f t="array" aca="1" ref="P2447"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2.24897394327194E-2</v>
      </c>
      <c r="Q2447" s="319">
        <f t="array" aca="1" ref="Q2447"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2.2754948624142974E-2</v>
      </c>
      <c r="R2447" s="121"/>
      <c r="S2447" s="179"/>
      <c r="T2447" s="179"/>
      <c r="V2447" s="179"/>
      <c r="W2447" s="179"/>
    </row>
    <row r="2448" spans="1:23" s="65" customFormat="1" ht="15" customHeight="1" outlineLevel="2">
      <c r="A2448" s="219"/>
      <c r="B2448" s="242"/>
      <c r="C2448" s="251"/>
      <c r="D2448" s="251" t="s">
        <v>1996</v>
      </c>
      <c r="E2448" s="242"/>
      <c r="F2448" s="121"/>
      <c r="G2448" s="251" t="s">
        <v>1931</v>
      </c>
      <c r="H2448" s="242"/>
      <c r="I2448" s="319">
        <f t="array" aca="1" ref="I2448"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9.5505586136603697E-3</v>
      </c>
      <c r="J2448" s="319">
        <f t="array" aca="1" ref="J2448"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9.6485130609799633E-3</v>
      </c>
      <c r="K2448" s="319">
        <f t="array" aca="1" ref="K2448"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9.770956120129454E-3</v>
      </c>
      <c r="L2448" s="319">
        <f t="array" aca="1" ref="L2448"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9.89339917927895E-3</v>
      </c>
      <c r="M2448" s="319">
        <f t="array" aca="1" ref="M2448"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1.0015842238428439E-2</v>
      </c>
      <c r="N2448" s="319">
        <f t="array" aca="1" ref="N2448"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1.0138285297577931E-2</v>
      </c>
      <c r="O2448" s="319">
        <f t="array" aca="1" ref="O2448"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1.0260728356727424E-2</v>
      </c>
      <c r="P2448" s="319">
        <f t="array" aca="1" ref="P2448"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1.0383171415876916E-2</v>
      </c>
      <c r="Q2448" s="319">
        <f t="array" aca="1" ref="Q2448"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1.0505614475026407E-2</v>
      </c>
      <c r="R2448" s="121"/>
      <c r="S2448" s="179"/>
      <c r="T2448" s="179"/>
      <c r="V2448" s="179"/>
      <c r="W2448" s="179"/>
    </row>
    <row r="2449" spans="1:23" s="65" customFormat="1" ht="15" customHeight="1" outlineLevel="2">
      <c r="A2449" s="219"/>
      <c r="B2449" s="242"/>
      <c r="C2449" s="251"/>
      <c r="D2449" s="251" t="s">
        <v>1997</v>
      </c>
      <c r="E2449" s="242"/>
      <c r="F2449" s="121"/>
      <c r="G2449" s="251" t="s">
        <v>1932</v>
      </c>
      <c r="H2449" s="242"/>
      <c r="I2449" s="319">
        <f t="array" aca="1" ref="I2449"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1.8571081133721589E-2</v>
      </c>
      <c r="J2449" s="319">
        <f t="array" aca="1" ref="J2449"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1.8761553760734118E-2</v>
      </c>
      <c r="K2449" s="319">
        <f t="array" aca="1" ref="K2449"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1.8999644544499782E-2</v>
      </c>
      <c r="L2449" s="319">
        <f t="array" aca="1" ref="L2449"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1.9237735328265448E-2</v>
      </c>
      <c r="M2449" s="319">
        <f t="array" aca="1" ref="M2449"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1.9475826112031105E-2</v>
      </c>
      <c r="N2449" s="319">
        <f t="array" aca="1" ref="N2449"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1.9713916895796768E-2</v>
      </c>
      <c r="O2449" s="319">
        <f t="array" aca="1" ref="O2449"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1.9952007679562431E-2</v>
      </c>
      <c r="P2449" s="319">
        <f t="array" aca="1" ref="P2449"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2.0190098463328091E-2</v>
      </c>
      <c r="Q2449" s="319">
        <f t="array" aca="1" ref="Q2449"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2.0428189247093751E-2</v>
      </c>
      <c r="R2449" s="121"/>
      <c r="S2449" s="179"/>
      <c r="T2449" s="179"/>
      <c r="V2449" s="179"/>
      <c r="W2449" s="179"/>
    </row>
    <row r="2450" spans="1:23" s="65" customFormat="1" ht="15" customHeight="1" outlineLevel="2">
      <c r="A2450" s="219"/>
      <c r="B2450" s="242"/>
      <c r="C2450" s="251"/>
      <c r="D2450" s="251" t="s">
        <v>1998</v>
      </c>
      <c r="E2450" s="242"/>
      <c r="F2450" s="121"/>
      <c r="G2450" s="251" t="s">
        <v>2005</v>
      </c>
      <c r="H2450" s="242"/>
      <c r="I2450" s="319">
        <f t="array" aca="1" ref="I2450"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3.1621299966105854E-2</v>
      </c>
      <c r="J2450" s="319">
        <f t="array" aca="1" ref="J2450"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3.063503141226492E-2</v>
      </c>
      <c r="K2450" s="319">
        <f t="array" aca="1" ref="K2450"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2.936477406319913E-2</v>
      </c>
      <c r="L2450" s="319">
        <f t="array" aca="1" ref="L2450"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2.8052937095505985E-2</v>
      </c>
      <c r="M2450" s="319">
        <f t="array" aca="1" ref="M2450"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2.6699520509185479E-2</v>
      </c>
      <c r="N2450" s="319">
        <f t="array" aca="1" ref="N2450"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2.5304524304237613E-2</v>
      </c>
      <c r="O2450" s="319">
        <f t="array" aca="1" ref="O2450"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2.3867948480662388E-2</v>
      </c>
      <c r="P2450" s="319">
        <f t="array" aca="1" ref="P2450"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2.238979303845981E-2</v>
      </c>
      <c r="Q2450" s="319">
        <f t="array" aca="1" ref="Q2450"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2.0870057977629863E-2</v>
      </c>
      <c r="R2450" s="121"/>
      <c r="S2450" s="179"/>
      <c r="T2450" s="179"/>
      <c r="V2450" s="179"/>
      <c r="W2450" s="179"/>
    </row>
    <row r="2451" spans="1:23" s="65" customFormat="1" ht="15" customHeight="1" outlineLevel="2">
      <c r="A2451" s="219"/>
      <c r="B2451" s="242"/>
      <c r="C2451" s="251"/>
      <c r="D2451" s="251" t="s">
        <v>1999</v>
      </c>
      <c r="E2451" s="242"/>
      <c r="F2451" s="121"/>
      <c r="G2451" s="251" t="s">
        <v>1933</v>
      </c>
      <c r="H2451" s="242"/>
      <c r="I2451" s="319">
        <f t="array" aca="1" ref="I2451" ca="1">SUM((G.30.assumptions.SpecificProcessN2OEmissionsAfterCCS[[#This Row],[Description]]=G.30.assumptions.SpecificProcessN2OEmissionsAfterEnergyEfficiency[Description])
        *INDIRECT("G.30.assumptions.SpecificProcessN2OEmissionsAfterEnergyEfficiency["&amp;I$2398&amp;"]"))
*(1-SUM((G.30.assumptions.SpecificProcessN2OEmissionsAfterCCS[[#This Row],[.]]=G.30.assumptions.CCS[Description])
        *INDIRECT("G.30.assumptions.CCS["&amp;I$2398&amp;"]")))</f>
        <v>0.10621451857493569</v>
      </c>
      <c r="J2451" s="319">
        <f t="array" aca="1" ref="J2451" ca="1">SUM((G.30.assumptions.SpecificProcessN2OEmissionsAfterCCS[[#This Row],[Description]]=G.30.assumptions.SpecificProcessN2OEmissionsAfterEnergyEfficiency[Description])
        *INDIRECT("G.30.assumptions.SpecificProcessN2OEmissionsAfterEnergyEfficiency["&amp;J$2398&amp;"]"))
*(1-SUM((G.30.assumptions.SpecificProcessN2OEmissionsAfterCCS[[#This Row],[.]]=G.30.assumptions.CCS[Description])
        *INDIRECT("G.30.assumptions.CCS["&amp;J$2398&amp;"]")))</f>
        <v>0.10498822113583167</v>
      </c>
      <c r="K2451" s="319">
        <f t="array" aca="1" ref="K2451" ca="1">SUM((G.30.assumptions.SpecificProcessN2OEmissionsAfterCCS[[#This Row],[Description]]=G.30.assumptions.SpecificProcessN2OEmissionsAfterEnergyEfficiency[Description])
        *INDIRECT("G.30.assumptions.SpecificProcessN2OEmissionsAfterEnergyEfficiency["&amp;K$2398&amp;"]"))
*(1-SUM((G.30.assumptions.SpecificProcessN2OEmissionsAfterCCS[[#This Row],[.]]=G.30.assumptions.CCS[Description])
        *INDIRECT("G.30.assumptions.CCS["&amp;K$2398&amp;"]")))</f>
        <v>0.1033892291147081</v>
      </c>
      <c r="L2451" s="319">
        <f t="array" aca="1" ref="L2451" ca="1">SUM((G.30.assumptions.SpecificProcessN2OEmissionsAfterCCS[[#This Row],[Description]]=G.30.assumptions.SpecificProcessN2OEmissionsAfterEnergyEfficiency[Description])
        *INDIRECT("G.30.assumptions.SpecificProcessN2OEmissionsAfterEnergyEfficiency["&amp;L$2398&amp;"]"))
*(1-SUM((G.30.assumptions.SpecificProcessN2OEmissionsAfterCCS[[#This Row],[.]]=G.30.assumptions.CCS[Description])
        *INDIRECT("G.30.assumptions.CCS["&amp;L$2398&amp;"]")))</f>
        <v>0.10171677017998064</v>
      </c>
      <c r="M2451" s="319">
        <f t="array" aca="1" ref="M2451" ca="1">SUM((G.30.assumptions.SpecificProcessN2OEmissionsAfterCCS[[#This Row],[Description]]=G.30.assumptions.SpecificProcessN2OEmissionsAfterEnergyEfficiency[Description])
        *INDIRECT("G.30.assumptions.SpecificProcessN2OEmissionsAfterEnergyEfficiency["&amp;M$2398&amp;"]"))
*(1-SUM((G.30.assumptions.SpecificProcessN2OEmissionsAfterCCS[[#This Row],[.]]=G.30.assumptions.CCS[Description])
        *INDIRECT("G.30.assumptions.CCS["&amp;M$2398&amp;"]")))</f>
        <v>9.9970844331649239E-2</v>
      </c>
      <c r="N2451" s="319">
        <f t="array" aca="1" ref="N2451" ca="1">SUM((G.30.assumptions.SpecificProcessN2OEmissionsAfterCCS[[#This Row],[Description]]=G.30.assumptions.SpecificProcessN2OEmissionsAfterEnergyEfficiency[Description])
        *INDIRECT("G.30.assumptions.SpecificProcessN2OEmissionsAfterEnergyEfficiency["&amp;N$2398&amp;"]"))
*(1-SUM((G.30.assumptions.SpecificProcessN2OEmissionsAfterCCS[[#This Row],[.]]=G.30.assumptions.CCS[Description])
        *INDIRECT("G.30.assumptions.CCS["&amp;N$2398&amp;"]")))</f>
        <v>9.8151451569713902E-2</v>
      </c>
      <c r="O2451" s="319">
        <f t="array" aca="1" ref="O2451" ca="1">SUM((G.30.assumptions.SpecificProcessN2OEmissionsAfterCCS[[#This Row],[Description]]=G.30.assumptions.SpecificProcessN2OEmissionsAfterEnergyEfficiency[Description])
        *INDIRECT("G.30.assumptions.SpecificProcessN2OEmissionsAfterEnergyEfficiency["&amp;O$2398&amp;"]"))
*(1-SUM((G.30.assumptions.SpecificProcessN2OEmissionsAfterCCS[[#This Row],[.]]=G.30.assumptions.CCS[Description])
        *INDIRECT("G.30.assumptions.CCS["&amp;O$2398&amp;"]")))</f>
        <v>9.6258591894174669E-2</v>
      </c>
      <c r="P2451" s="319">
        <f t="array" aca="1" ref="P2451" ca="1">SUM((G.30.assumptions.SpecificProcessN2OEmissionsAfterCCS[[#This Row],[Description]]=G.30.assumptions.SpecificProcessN2OEmissionsAfterEnergyEfficiency[Description])
        *INDIRECT("G.30.assumptions.SpecificProcessN2OEmissionsAfterEnergyEfficiency["&amp;P$2398&amp;"]"))
*(1-SUM((G.30.assumptions.SpecificProcessN2OEmissionsAfterCCS[[#This Row],[.]]=G.30.assumptions.CCS[Description])
        *INDIRECT("G.30.assumptions.CCS["&amp;P$2398&amp;"]")))</f>
        <v>9.4292265305031486E-2</v>
      </c>
      <c r="Q2451" s="319">
        <f t="array" aca="1" ref="Q2451" ca="1">SUM((G.30.assumptions.SpecificProcessN2OEmissionsAfterCCS[[#This Row],[Description]]=G.30.assumptions.SpecificProcessN2OEmissionsAfterEnergyEfficiency[Description])
        *INDIRECT("G.30.assumptions.SpecificProcessN2OEmissionsAfterEnergyEfficiency["&amp;Q$2398&amp;"]"))
*(1-SUM((G.30.assumptions.SpecificProcessN2OEmissionsAfterCCS[[#This Row],[.]]=G.30.assumptions.CCS[Description])
        *INDIRECT("G.30.assumptions.CCS["&amp;Q$2398&amp;"]")))</f>
        <v>9.225247180228438E-2</v>
      </c>
      <c r="R2451" s="121"/>
      <c r="S2451" s="179"/>
      <c r="T2451" s="179"/>
      <c r="V2451" s="179"/>
      <c r="W2451" s="179"/>
    </row>
    <row r="2452" spans="1:23" s="65" customFormat="1" ht="15" customHeight="1" outlineLevel="2">
      <c r="A2452" s="219"/>
      <c r="B2452" s="242"/>
      <c r="C2452" s="251"/>
      <c r="D2452" s="121"/>
      <c r="E2452" s="242"/>
      <c r="F2452" s="121"/>
      <c r="G2452" s="251"/>
      <c r="H2452" s="242"/>
      <c r="I2452" s="316"/>
      <c r="J2452" s="316"/>
      <c r="K2452" s="316"/>
      <c r="L2452" s="316"/>
      <c r="M2452" s="316"/>
      <c r="N2452" s="316"/>
      <c r="O2452" s="316"/>
      <c r="P2452" s="316"/>
      <c r="Q2452" s="316"/>
      <c r="R2452" s="121"/>
      <c r="S2452" s="179"/>
      <c r="T2452" s="179"/>
      <c r="V2452" s="179"/>
      <c r="W2452" s="179"/>
    </row>
    <row r="2453" spans="1:23" s="65" customFormat="1" ht="15" customHeight="1" outlineLevel="2">
      <c r="A2453" s="219"/>
      <c r="B2453" s="242"/>
      <c r="C2453" s="248" t="s">
        <v>2007</v>
      </c>
      <c r="D2453" s="121"/>
      <c r="E2453" s="242"/>
      <c r="F2453" s="121"/>
      <c r="G2453" s="242"/>
      <c r="H2453" s="242"/>
      <c r="I2453" s="239"/>
      <c r="J2453" s="239"/>
      <c r="K2453" s="239"/>
      <c r="L2453" s="239"/>
      <c r="M2453" s="239"/>
      <c r="N2453" s="239"/>
      <c r="O2453" s="239"/>
      <c r="P2453" s="239"/>
      <c r="Q2453" s="239"/>
      <c r="R2453" s="121"/>
      <c r="S2453" s="179"/>
      <c r="T2453" s="179"/>
      <c r="V2453" s="179"/>
      <c r="W2453" s="179"/>
    </row>
    <row r="2454" spans="1:23" s="65" customFormat="1" ht="15" customHeight="1" outlineLevel="2">
      <c r="A2454" s="219"/>
      <c r="B2454" s="242"/>
      <c r="C2454" s="313" t="s">
        <v>242</v>
      </c>
      <c r="D2454" s="121"/>
      <c r="E2454" s="242"/>
      <c r="F2454" s="121"/>
      <c r="G2454" s="242"/>
      <c r="H2454" s="242"/>
      <c r="I2454" s="239"/>
      <c r="J2454" s="239"/>
      <c r="K2454" s="239"/>
      <c r="L2454" s="239"/>
      <c r="M2454" s="239"/>
      <c r="N2454" s="239"/>
      <c r="O2454" s="239"/>
      <c r="P2454" s="239"/>
      <c r="Q2454" s="239"/>
      <c r="R2454" s="121"/>
      <c r="S2454" s="179"/>
      <c r="T2454" s="179"/>
      <c r="V2454" s="179"/>
      <c r="W2454" s="179"/>
    </row>
    <row r="2455" spans="1:23" s="65" customFormat="1" ht="15" customHeight="1" outlineLevel="2">
      <c r="A2455" s="219"/>
      <c r="B2455" s="301"/>
      <c r="C2455" s="301"/>
      <c r="D2455" s="121"/>
      <c r="E2455" s="242"/>
      <c r="F2455" s="121"/>
      <c r="G2455" s="242"/>
      <c r="H2455" s="242"/>
      <c r="I2455" s="239"/>
      <c r="J2455" s="239"/>
      <c r="K2455" s="239"/>
      <c r="L2455" s="239"/>
      <c r="M2455" s="239"/>
      <c r="N2455" s="239"/>
      <c r="O2455" s="239"/>
      <c r="P2455" s="239"/>
      <c r="Q2455" s="239"/>
      <c r="R2455" s="121"/>
      <c r="S2455" s="179"/>
      <c r="T2455" s="179"/>
      <c r="V2455" s="179"/>
      <c r="W2455" s="179"/>
    </row>
    <row r="2456" spans="1:23" s="65" customFormat="1" ht="15" customHeight="1" outlineLevel="2">
      <c r="A2456" s="219"/>
      <c r="B2456" s="242"/>
      <c r="C2456" s="258" t="s">
        <v>454</v>
      </c>
      <c r="D2456" s="258" t="s">
        <v>241</v>
      </c>
      <c r="E2456" s="258" t="s">
        <v>598</v>
      </c>
      <c r="F2456" s="258" t="s">
        <v>274</v>
      </c>
      <c r="G2456" s="258" t="s">
        <v>509</v>
      </c>
      <c r="H2456" s="258" t="s">
        <v>510</v>
      </c>
      <c r="I2456" s="258" t="s">
        <v>1107</v>
      </c>
      <c r="J2456" s="258" t="s">
        <v>210</v>
      </c>
      <c r="K2456" s="258" t="s">
        <v>211</v>
      </c>
      <c r="L2456" s="258" t="s">
        <v>212</v>
      </c>
      <c r="M2456" s="258" t="s">
        <v>213</v>
      </c>
      <c r="N2456" s="258" t="s">
        <v>214</v>
      </c>
      <c r="O2456" s="258" t="s">
        <v>215</v>
      </c>
      <c r="P2456" s="258" t="s">
        <v>216</v>
      </c>
      <c r="Q2456" s="258" t="s">
        <v>217</v>
      </c>
      <c r="R2456" s="121"/>
      <c r="S2456" s="179"/>
      <c r="T2456" s="179"/>
      <c r="V2456" s="179"/>
      <c r="W2456" s="179"/>
    </row>
    <row r="2457" spans="1:23" s="65" customFormat="1" ht="15" customHeight="1" outlineLevel="2">
      <c r="A2457" s="219"/>
      <c r="B2457" s="242"/>
      <c r="C2457" s="251" t="s">
        <v>1968</v>
      </c>
      <c r="D2457" s="242" t="s">
        <v>1613</v>
      </c>
      <c r="E2457" s="242"/>
      <c r="F2457" s="121"/>
      <c r="G2457" s="251"/>
      <c r="H2457" s="242"/>
      <c r="I2457" s="362">
        <f t="array" aca="1" ref="I2457"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1.3295458982758634</v>
      </c>
      <c r="J2457" s="362">
        <f t="array" aca="1" ref="J2457"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1.3224223099673234</v>
      </c>
      <c r="K2457" s="362">
        <f t="array" aca="1" ref="K2457"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1.3129250593263686</v>
      </c>
      <c r="L2457" s="362">
        <f t="array" aca="1" ref="L2457"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1.302769180623994</v>
      </c>
      <c r="M2457" s="362">
        <f t="array" aca="1" ref="M2457"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1.2919546738601968</v>
      </c>
      <c r="N2457" s="362">
        <f t="array" aca="1" ref="N2457"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1.2804815390349802</v>
      </c>
      <c r="O2457" s="362">
        <f t="array" aca="1" ref="O2457"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1.2683497761483424</v>
      </c>
      <c r="P2457" s="362">
        <f t="array" aca="1" ref="P2457"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1.2555593852002838</v>
      </c>
      <c r="Q2457" s="362">
        <f t="array" aca="1" ref="Q2457"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1.2421103661908037</v>
      </c>
      <c r="R2457" s="121"/>
      <c r="S2457" s="179"/>
      <c r="T2457" s="179"/>
      <c r="V2457" s="179"/>
      <c r="W2457" s="179"/>
    </row>
    <row r="2458" spans="1:23" s="65" customFormat="1" ht="15" customHeight="1" outlineLevel="2">
      <c r="A2458" s="219"/>
      <c r="B2458" s="242"/>
      <c r="C2458" s="251" t="s">
        <v>2196</v>
      </c>
      <c r="D2458" s="242" t="s">
        <v>2182</v>
      </c>
      <c r="E2458" s="242"/>
      <c r="F2458" s="121"/>
      <c r="G2458" s="251"/>
      <c r="H2458" s="242"/>
      <c r="I2458" s="362">
        <f t="array" aca="1" ref="I2458"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v>
      </c>
      <c r="J2458" s="362">
        <f t="array" aca="1" ref="J2458"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v>
      </c>
      <c r="K2458" s="362">
        <f t="array" aca="1" ref="K2458"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v>
      </c>
      <c r="L2458" s="362">
        <f t="array" aca="1" ref="L2458"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v>
      </c>
      <c r="M2458" s="362">
        <f t="array" aca="1" ref="M2458"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v>
      </c>
      <c r="N2458" s="362">
        <f t="array" aca="1" ref="N2458"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v>
      </c>
      <c r="O2458" s="362">
        <f t="array" aca="1" ref="O2458"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v>
      </c>
      <c r="P2458" s="362">
        <f t="array" aca="1" ref="P2458"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v>
      </c>
      <c r="Q2458" s="362">
        <f t="array" aca="1" ref="Q2458"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v>
      </c>
      <c r="R2458" s="121"/>
      <c r="S2458" s="179"/>
      <c r="T2458" s="179"/>
      <c r="V2458" s="179"/>
      <c r="W2458" s="179"/>
    </row>
    <row r="2459" spans="1:23" s="65" customFormat="1" ht="15" customHeight="1" outlineLevel="2">
      <c r="A2459" s="219"/>
      <c r="B2459" s="242"/>
      <c r="C2459" s="251" t="s">
        <v>1969</v>
      </c>
      <c r="D2459" s="242" t="s">
        <v>1614</v>
      </c>
      <c r="E2459" s="242"/>
      <c r="F2459" s="121"/>
      <c r="G2459" s="315"/>
      <c r="H2459" s="242"/>
      <c r="I2459" s="362">
        <f t="array" aca="1" ref="I2459"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1.0564114528683293</v>
      </c>
      <c r="J2459" s="362">
        <f t="array" aca="1" ref="J2459"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1.1069450074975509</v>
      </c>
      <c r="K2459" s="362">
        <f t="array" aca="1" ref="K2459"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1.1712454758104771</v>
      </c>
      <c r="L2459" s="362">
        <f t="array" aca="1" ref="L2459"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1.2368054163749598</v>
      </c>
      <c r="M2459" s="362">
        <f t="array" aca="1" ref="M2459"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1.3036248291909973</v>
      </c>
      <c r="N2459" s="362">
        <f t="array" aca="1" ref="N2459"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1.3717037142585915</v>
      </c>
      <c r="O2459" s="362">
        <f t="array" aca="1" ref="O2459"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1.4410420715777408</v>
      </c>
      <c r="P2459" s="362">
        <f t="array" aca="1" ref="P2459"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1.5116399011484456</v>
      </c>
      <c r="Q2459" s="362">
        <f t="array" aca="1" ref="Q2459"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1.583497202970706</v>
      </c>
      <c r="R2459" s="121"/>
      <c r="S2459" s="179"/>
      <c r="T2459" s="179"/>
      <c r="V2459" s="179"/>
      <c r="W2459" s="179"/>
    </row>
    <row r="2460" spans="1:23" s="65" customFormat="1" ht="15" customHeight="1" outlineLevel="2">
      <c r="A2460" s="219"/>
      <c r="B2460" s="242"/>
      <c r="C2460" s="251" t="s">
        <v>1970</v>
      </c>
      <c r="D2460" s="242" t="s">
        <v>2003</v>
      </c>
      <c r="E2460" s="242"/>
      <c r="F2460" s="121"/>
      <c r="G2460" s="315"/>
      <c r="H2460" s="242"/>
      <c r="I2460" s="362">
        <f t="array" aca="1" ref="I2460"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0.10209235477363662</v>
      </c>
      <c r="J2460" s="362">
        <f t="array" aca="1" ref="J2460"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0.10581913787631779</v>
      </c>
      <c r="K2460" s="362">
        <f t="array" aca="1" ref="K2460"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0.11055413051816142</v>
      </c>
      <c r="L2460" s="362">
        <f t="array" aca="1" ref="L2460"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0.11537413845277397</v>
      </c>
      <c r="M2460" s="362">
        <f t="array" aca="1" ref="M2460"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0.12027916168015565</v>
      </c>
      <c r="N2460" s="362">
        <f t="array" aca="1" ref="N2460"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0.12526920020030627</v>
      </c>
      <c r="O2460" s="362">
        <f t="array" aca="1" ref="O2460"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0.13034425401322602</v>
      </c>
      <c r="P2460" s="362">
        <f t="array" aca="1" ref="P2460"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0.13550432311891475</v>
      </c>
      <c r="Q2460" s="362">
        <f t="array" aca="1" ref="Q2460"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0.14074940751737253</v>
      </c>
      <c r="R2460" s="121"/>
      <c r="S2460" s="179"/>
      <c r="T2460" s="179"/>
      <c r="V2460" s="179"/>
      <c r="W2460" s="179"/>
    </row>
    <row r="2461" spans="1:23" s="65" customFormat="1" ht="15" customHeight="1" outlineLevel="2">
      <c r="A2461" s="219"/>
      <c r="B2461" s="242"/>
      <c r="C2461" s="251" t="s">
        <v>1971</v>
      </c>
      <c r="D2461" s="242" t="s">
        <v>1925</v>
      </c>
      <c r="E2461" s="242"/>
      <c r="F2461" s="121"/>
      <c r="G2461" s="315"/>
      <c r="H2461" s="242"/>
      <c r="I2461" s="362">
        <f t="array" aca="1" ref="I2461"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2.9449578117468837E-2</v>
      </c>
      <c r="J2461" s="362">
        <f t="array" aca="1" ref="J2461"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3.0524606608609228E-2</v>
      </c>
      <c r="K2461" s="362">
        <f t="array" aca="1" ref="K2461"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3.1890463395836753E-2</v>
      </c>
      <c r="L2461" s="362">
        <f t="array" aca="1" ref="L2461"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3.3280843708955475E-2</v>
      </c>
      <c r="M2461" s="362">
        <f t="array" aca="1" ref="M2461"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3.4695747547965346E-2</v>
      </c>
      <c r="N2461" s="362">
        <f t="array" aca="1" ref="N2461"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3.6135174912866323E-2</v>
      </c>
      <c r="O2461" s="362">
        <f t="array" aca="1" ref="O2461"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3.7599125803658526E-2</v>
      </c>
      <c r="P2461" s="362">
        <f t="array" aca="1" ref="P2461"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3.9087600220341898E-2</v>
      </c>
      <c r="Q2461" s="362">
        <f t="array" aca="1" ref="Q2461"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4.0600598162916383E-2</v>
      </c>
      <c r="R2461" s="121"/>
      <c r="S2461" s="179"/>
      <c r="T2461" s="179"/>
      <c r="V2461" s="179"/>
      <c r="W2461" s="179"/>
    </row>
    <row r="2462" spans="1:23" s="65" customFormat="1" ht="15" customHeight="1" outlineLevel="2">
      <c r="A2462" s="219"/>
      <c r="B2462" s="242"/>
      <c r="C2462" s="251" t="s">
        <v>1972</v>
      </c>
      <c r="D2462" s="242" t="s">
        <v>2004</v>
      </c>
      <c r="E2462" s="242"/>
      <c r="F2462" s="121"/>
      <c r="G2462" s="315"/>
      <c r="H2462" s="242"/>
      <c r="I2462" s="362">
        <f t="array" aca="1" ref="I2462"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1.3613556026419288E-2</v>
      </c>
      <c r="J2462" s="362">
        <f t="array" aca="1" ref="J2462"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1.342501938959758E-2</v>
      </c>
      <c r="K2462" s="362">
        <f t="array" aca="1" ref="K2462"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1.3179978461361394E-2</v>
      </c>
      <c r="L2462" s="362">
        <f t="array" aca="1" ref="L2462"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1.2924526275115139E-2</v>
      </c>
      <c r="M2462" s="362">
        <f t="array" aca="1" ref="M2462"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1.2658662830858815E-2</v>
      </c>
      <c r="N2462" s="362">
        <f t="array" aca="1" ref="N2462"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1.2382388128592426E-2</v>
      </c>
      <c r="O2462" s="362">
        <f t="array" aca="1" ref="O2462"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1.2095702168315972E-2</v>
      </c>
      <c r="P2462" s="362">
        <f t="array" aca="1" ref="P2462"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1.179860495002945E-2</v>
      </c>
      <c r="Q2462" s="362">
        <f t="array" aca="1" ref="Q2462"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1.1491096473732861E-2</v>
      </c>
      <c r="R2462" s="121"/>
      <c r="S2462" s="179"/>
      <c r="T2462" s="179"/>
      <c r="V2462" s="179"/>
      <c r="W2462" s="179"/>
    </row>
    <row r="2463" spans="1:23" s="65" customFormat="1" ht="15" customHeight="1" outlineLevel="2">
      <c r="A2463" s="219"/>
      <c r="B2463" s="242"/>
      <c r="C2463" s="251" t="s">
        <v>1973</v>
      </c>
      <c r="D2463" s="242" t="s">
        <v>1821</v>
      </c>
      <c r="E2463" s="242"/>
      <c r="F2463" s="121"/>
      <c r="G2463" s="315"/>
      <c r="H2463" s="242"/>
      <c r="I2463" s="362">
        <f t="array" aca="1" ref="I2463"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1.3548203001341033</v>
      </c>
      <c r="J2463" s="362">
        <f t="array" aca="1" ref="J2463"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1.3687158929559919</v>
      </c>
      <c r="K2463" s="362">
        <f t="array" aca="1" ref="K2463"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1.386085383983352</v>
      </c>
      <c r="L2463" s="362">
        <f t="array" aca="1" ref="L2463"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1.4034548750107125</v>
      </c>
      <c r="M2463" s="362">
        <f t="array" aca="1" ref="M2463"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1.4208243660380728</v>
      </c>
      <c r="N2463" s="362">
        <f t="array" aca="1" ref="N2463"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1.4381938570654331</v>
      </c>
      <c r="O2463" s="362">
        <f t="array" aca="1" ref="O2463"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1.4555633480927934</v>
      </c>
      <c r="P2463" s="362">
        <f t="array" aca="1" ref="P2463"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1.4729328391201539</v>
      </c>
      <c r="Q2463" s="362">
        <f t="array" aca="1" ref="Q2463"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1.490302330147514</v>
      </c>
      <c r="R2463" s="121"/>
      <c r="S2463" s="179"/>
      <c r="T2463" s="179"/>
      <c r="V2463" s="179"/>
      <c r="W2463" s="179"/>
    </row>
    <row r="2464" spans="1:23" s="65" customFormat="1" ht="15" customHeight="1" outlineLevel="2">
      <c r="A2464" s="219"/>
      <c r="B2464" s="242"/>
      <c r="C2464" s="251" t="s">
        <v>1974</v>
      </c>
      <c r="D2464" s="242" t="s">
        <v>1827</v>
      </c>
      <c r="E2464" s="242"/>
      <c r="F2464" s="121"/>
      <c r="G2464" s="315"/>
      <c r="H2464" s="242"/>
      <c r="I2464" s="362">
        <f t="array" aca="1" ref="I2464"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0.38978252304657679</v>
      </c>
      <c r="J2464" s="362">
        <f t="array" aca="1" ref="J2464"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0.39378029251372104</v>
      </c>
      <c r="K2464" s="362">
        <f t="array" aca="1" ref="K2464"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0.39877750434765147</v>
      </c>
      <c r="L2464" s="362">
        <f t="array" aca="1" ref="L2464"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0.40377471618158212</v>
      </c>
      <c r="M2464" s="362">
        <f t="array" aca="1" ref="M2464"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0.40877192801551254</v>
      </c>
      <c r="N2464" s="362">
        <f t="array" aca="1" ref="N2464"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0.41376913984944297</v>
      </c>
      <c r="O2464" s="362">
        <f t="array" aca="1" ref="O2464"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0.41876635168337351</v>
      </c>
      <c r="P2464" s="362">
        <f t="array" aca="1" ref="P2464"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0.42376356351730393</v>
      </c>
      <c r="Q2464" s="362">
        <f t="array" aca="1" ref="Q2464"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0.42876077535123436</v>
      </c>
      <c r="R2464" s="121"/>
      <c r="S2464" s="179"/>
      <c r="T2464" s="179"/>
      <c r="V2464" s="179"/>
      <c r="W2464" s="179"/>
    </row>
    <row r="2465" spans="1:24" s="65" customFormat="1" ht="15" customHeight="1" outlineLevel="2">
      <c r="A2465" s="219"/>
      <c r="B2465" s="242"/>
      <c r="C2465" s="251" t="s">
        <v>1975</v>
      </c>
      <c r="D2465" s="242" t="s">
        <v>1928</v>
      </c>
      <c r="E2465" s="242"/>
      <c r="F2465" s="121"/>
      <c r="G2465" s="315"/>
      <c r="H2465" s="242"/>
      <c r="I2465" s="362">
        <f t="array" aca="1" ref="I2465"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0.12129165238637846</v>
      </c>
      <c r="J2465" s="362">
        <f t="array" aca="1" ref="J2465"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0.12253566933393105</v>
      </c>
      <c r="K2465" s="362">
        <f t="array" aca="1" ref="K2465"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0.12409069051837179</v>
      </c>
      <c r="L2465" s="362">
        <f t="array" aca="1" ref="L2465"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0.12564571170281258</v>
      </c>
      <c r="M2465" s="362">
        <f t="array" aca="1" ref="M2465"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0.12720073288725334</v>
      </c>
      <c r="N2465" s="362">
        <f t="array" aca="1" ref="N2465"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0.12875575407169407</v>
      </c>
      <c r="O2465" s="362">
        <f t="array" aca="1" ref="O2465"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0.13031077525613483</v>
      </c>
      <c r="P2465" s="362">
        <f t="array" aca="1" ref="P2465"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0.13186579644057558</v>
      </c>
      <c r="Q2465" s="362">
        <f t="array" aca="1" ref="Q2465"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0.13342081762501631</v>
      </c>
      <c r="R2465" s="121"/>
      <c r="S2465" s="179"/>
      <c r="T2465" s="179"/>
      <c r="V2465" s="179"/>
      <c r="W2465" s="179"/>
    </row>
    <row r="2466" spans="1:24" s="65" customFormat="1" ht="15" customHeight="1" outlineLevel="2">
      <c r="A2466" s="219"/>
      <c r="B2466" s="242"/>
      <c r="C2466" s="251" t="s">
        <v>1976</v>
      </c>
      <c r="D2466" s="242" t="s">
        <v>1929</v>
      </c>
      <c r="E2466" s="242"/>
      <c r="F2466" s="121"/>
      <c r="G2466" s="251"/>
      <c r="H2466" s="242"/>
      <c r="I2466" s="362">
        <f t="array" aca="1" ref="I2466"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0.38991159043159113</v>
      </c>
      <c r="J2466" s="362">
        <f t="array" aca="1" ref="J2466"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0.393910683666787</v>
      </c>
      <c r="K2466" s="362">
        <f t="array" aca="1" ref="K2466"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0.39890955021078162</v>
      </c>
      <c r="L2466" s="362">
        <f t="array" aca="1" ref="L2466"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0.40390841675477657</v>
      </c>
      <c r="M2466" s="362">
        <f t="array" aca="1" ref="M2466"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0.40890728329877118</v>
      </c>
      <c r="N2466" s="362">
        <f t="array" aca="1" ref="N2466"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0.41390614984276586</v>
      </c>
      <c r="O2466" s="362">
        <f t="array" aca="1" ref="O2466"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0.41890501638676081</v>
      </c>
      <c r="P2466" s="362">
        <f t="array" aca="1" ref="P2466"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0.42390388293075559</v>
      </c>
      <c r="Q2466" s="362">
        <f t="array" aca="1" ref="Q2466"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0.42890274947475027</v>
      </c>
      <c r="R2466" s="121"/>
      <c r="S2466" s="179"/>
      <c r="T2466" s="179"/>
      <c r="V2466" s="179"/>
      <c r="W2466" s="179"/>
    </row>
    <row r="2467" spans="1:24" s="65" customFormat="1" ht="15" customHeight="1" outlineLevel="2">
      <c r="A2467" s="219"/>
      <c r="B2467" s="242"/>
      <c r="C2467" s="251" t="s">
        <v>1977</v>
      </c>
      <c r="D2467" s="242" t="s">
        <v>1930</v>
      </c>
      <c r="E2467" s="242"/>
      <c r="F2467" s="121"/>
      <c r="G2467" s="315"/>
      <c r="H2467" s="242"/>
      <c r="I2467" s="362">
        <f t="array" aca="1" ref="I2467"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0.20042780348619485</v>
      </c>
      <c r="J2467" s="362">
        <f t="array" aca="1" ref="J2467"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0.20248347326554045</v>
      </c>
      <c r="K2467" s="362">
        <f t="array" aca="1" ref="K2467"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0.20505306048972238</v>
      </c>
      <c r="L2467" s="362">
        <f t="array" aca="1" ref="L2467"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0.20762264771390443</v>
      </c>
      <c r="M2467" s="362">
        <f t="array" aca="1" ref="M2467"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0.21019223493808636</v>
      </c>
      <c r="N2467" s="362">
        <f t="array" aca="1" ref="N2467"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0.21276182216226841</v>
      </c>
      <c r="O2467" s="362">
        <f t="array" aca="1" ref="O2467"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0.2153314093864504</v>
      </c>
      <c r="P2467" s="362">
        <f t="array" aca="1" ref="P2467"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0.21790099661063239</v>
      </c>
      <c r="Q2467" s="362">
        <f t="array" aca="1" ref="Q2467"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0.22047058383481444</v>
      </c>
      <c r="R2467" s="121"/>
      <c r="S2467" s="179"/>
      <c r="T2467" s="179"/>
      <c r="V2467" s="179"/>
      <c r="W2467" s="179"/>
    </row>
    <row r="2468" spans="1:24" s="65" customFormat="1" ht="15" customHeight="1" outlineLevel="2">
      <c r="A2468" s="219"/>
      <c r="B2468" s="242"/>
      <c r="C2468" s="251" t="s">
        <v>1978</v>
      </c>
      <c r="D2468" s="242" t="s">
        <v>1931</v>
      </c>
      <c r="E2468" s="242"/>
      <c r="F2468" s="121"/>
      <c r="G2468" s="251"/>
      <c r="H2468" s="242"/>
      <c r="I2468" s="362">
        <f t="array" aca="1" ref="I2468"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0.17584960915661946</v>
      </c>
      <c r="J2468" s="362">
        <f t="array" aca="1" ref="J2468"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0.17765319489155917</v>
      </c>
      <c r="K2468" s="362">
        <f t="array" aca="1" ref="K2468"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0.17990767706023375</v>
      </c>
      <c r="L2468" s="362">
        <f t="array" aca="1" ref="L2468"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0.18216215922890844</v>
      </c>
      <c r="M2468" s="362">
        <f t="array" aca="1" ref="M2468"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0.18441664139758296</v>
      </c>
      <c r="N2468" s="362">
        <f t="array" aca="1" ref="N2468"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0.18667112356625765</v>
      </c>
      <c r="O2468" s="362">
        <f t="array" aca="1" ref="O2468"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0.18892560573493225</v>
      </c>
      <c r="P2468" s="362">
        <f t="array" aca="1" ref="P2468"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0.19118008790360685</v>
      </c>
      <c r="Q2468" s="362">
        <f t="array" aca="1" ref="Q2468"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0.19343457007228146</v>
      </c>
      <c r="R2468" s="121"/>
      <c r="S2468" s="179"/>
      <c r="T2468" s="179"/>
      <c r="V2468" s="179"/>
      <c r="W2468" s="179"/>
    </row>
    <row r="2469" spans="1:24" s="65" customFormat="1" ht="15" customHeight="1" outlineLevel="2">
      <c r="A2469" s="219"/>
      <c r="B2469" s="242"/>
      <c r="C2469" s="251" t="s">
        <v>1979</v>
      </c>
      <c r="D2469" s="242" t="s">
        <v>1932</v>
      </c>
      <c r="E2469" s="242"/>
      <c r="F2469" s="121"/>
      <c r="G2469" s="251"/>
      <c r="H2469" s="242"/>
      <c r="I2469" s="362">
        <f t="array" aca="1" ref="I2469"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2.3227309646734279E-2</v>
      </c>
      <c r="J2469" s="362">
        <f t="array" aca="1" ref="J2469"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2.3465538463623859E-2</v>
      </c>
      <c r="K2469" s="362">
        <f t="array" aca="1" ref="K2469"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2.3763324484735827E-2</v>
      </c>
      <c r="L2469" s="362">
        <f t="array" aca="1" ref="L2469"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2.4061110505847815E-2</v>
      </c>
      <c r="M2469" s="362">
        <f t="array" aca="1" ref="M2469"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2.4358896526959793E-2</v>
      </c>
      <c r="N2469" s="362">
        <f t="array" aca="1" ref="N2469"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2.4656682548071782E-2</v>
      </c>
      <c r="O2469" s="362">
        <f t="array" aca="1" ref="O2469"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2.4954468569183753E-2</v>
      </c>
      <c r="P2469" s="362">
        <f t="array" aca="1" ref="P2469"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2.5252254590295727E-2</v>
      </c>
      <c r="Q2469" s="362">
        <f t="array" aca="1" ref="Q2469"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2.5550040611407702E-2</v>
      </c>
      <c r="R2469" s="121"/>
      <c r="S2469" s="179"/>
      <c r="T2469" s="179" t="str">
        <f>$T$6</f>
        <v>Source</v>
      </c>
      <c r="U2469" s="179" t="str">
        <f>$U$6</f>
        <v>Link</v>
      </c>
      <c r="V2469" s="179" t="str">
        <f>$V$6</f>
        <v>Risk (Green, Amber/Green, Amber, Red/Amber, Red)</v>
      </c>
      <c r="W2469" s="179" t="s">
        <v>869</v>
      </c>
      <c r="X2469" s="179" t="str">
        <f>$X$6</f>
        <v>Comment author</v>
      </c>
    </row>
    <row r="2470" spans="1:24" s="65" customFormat="1" ht="15" customHeight="1" outlineLevel="2">
      <c r="A2470" s="219"/>
      <c r="B2470" s="242"/>
      <c r="C2470" s="251" t="s">
        <v>1980</v>
      </c>
      <c r="D2470" s="242" t="s">
        <v>2005</v>
      </c>
      <c r="E2470" s="242"/>
      <c r="F2470" s="121"/>
      <c r="G2470" s="251"/>
      <c r="H2470" s="242"/>
      <c r="I2470" s="362">
        <f t="array" aca="1" ref="I2470"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0.81837380235898383</v>
      </c>
      <c r="J2470" s="362">
        <f t="array" aca="1" ref="J2470"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0.79284871808290902</v>
      </c>
      <c r="K2470" s="362">
        <f t="array" aca="1" ref="K2470"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0.75997387303088115</v>
      </c>
      <c r="L2470" s="362">
        <f t="array" aca="1" ref="L2470"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0.72602292830448301</v>
      </c>
      <c r="M2470" s="362">
        <f t="array" aca="1" ref="M2470"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0.69099588390371369</v>
      </c>
      <c r="N2470" s="362">
        <f t="array" aca="1" ref="N2470"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0.6548927398285741</v>
      </c>
      <c r="O2470" s="362">
        <f t="array" aca="1" ref="O2470"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0.61771349607906312</v>
      </c>
      <c r="P2470" s="362">
        <f t="array" aca="1" ref="P2470"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0.57945815265518186</v>
      </c>
      <c r="Q2470" s="362">
        <f t="array" aca="1" ref="Q2470"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0.54012670955692932</v>
      </c>
      <c r="R2470" s="121"/>
      <c r="S2470" s="179"/>
      <c r="T2470" s="179"/>
      <c r="V2470" s="179"/>
      <c r="W2470" s="179"/>
    </row>
    <row r="2471" spans="1:24" s="65" customFormat="1" ht="15" customHeight="1" outlineLevel="2">
      <c r="A2471" s="219"/>
      <c r="B2471" s="242"/>
      <c r="C2471" s="251" t="s">
        <v>1981</v>
      </c>
      <c r="D2471" s="242" t="s">
        <v>1933</v>
      </c>
      <c r="E2471" s="242"/>
      <c r="F2471" s="121"/>
      <c r="G2471" s="251"/>
      <c r="H2471" s="242"/>
      <c r="I2471" s="362">
        <f t="array" aca="1" ref="I2471" ca="1">SUM((G.30.assumptions.CombustionCO2EmissionsAfterCCS[[#This Row],[Technology code]]=G.30.assumptions.CombustionCO2EmissionsAfterEnergyEfficiency[Technology code])
        *INDIRECT("G.30.assumptions.CombustionCO2EmissionsAfterEnergyEfficiency["&amp;I$2456&amp;"]"))
*(1-SUM((G.30.assumptions.CombustionCO2EmissionsAfterCCS[[#This Row],[Description]]=G.30.assumptions.CCS[Description])
          *INDIRECT("G.30.assumptions.CCS["&amp;I$2456&amp;"]")))</f>
        <v>2.4815091111667478</v>
      </c>
      <c r="J2471" s="362">
        <f t="array" aca="1" ref="J2471" ca="1">SUM((G.30.assumptions.CombustionCO2EmissionsAfterCCS[[#This Row],[Technology code]]=G.30.assumptions.CombustionCO2EmissionsAfterEnergyEfficiency[Technology code])
        *INDIRECT("G.30.assumptions.CombustionCO2EmissionsAfterEnergyEfficiency["&amp;J$2456&amp;"]"))
*(1-SUM((G.30.assumptions.CombustionCO2EmissionsAfterCCS[[#This Row],[Description]]=G.30.assumptions.CCS[Description])
          *INDIRECT("G.30.assumptions.CCS["&amp;J$2456&amp;"]")))</f>
        <v>2.4528589011110471</v>
      </c>
      <c r="K2471" s="362">
        <f t="array" aca="1" ref="K2471" ca="1">SUM((G.30.assumptions.CombustionCO2EmissionsAfterCCS[[#This Row],[Technology code]]=G.30.assumptions.CombustionCO2EmissionsAfterEnergyEfficiency[Technology code])
        *INDIRECT("G.30.assumptions.CombustionCO2EmissionsAfterEnergyEfficiency["&amp;K$2456&amp;"]"))
*(1-SUM((G.30.assumptions.CombustionCO2EmissionsAfterCCS[[#This Row],[Description]]=G.30.assumptions.CCS[Description])
          *INDIRECT("G.30.assumptions.CCS["&amp;K$2456&amp;"]")))</f>
        <v>2.4155013597660604</v>
      </c>
      <c r="L2471" s="362">
        <f t="array" aca="1" ref="L2471" ca="1">SUM((G.30.assumptions.CombustionCO2EmissionsAfterCCS[[#This Row],[Technology code]]=G.30.assumptions.CombustionCO2EmissionsAfterEnergyEfficiency[Technology code])
        *INDIRECT("G.30.assumptions.CombustionCO2EmissionsAfterEnergyEfficiency["&amp;L$2456&amp;"]"))
*(1-SUM((G.30.assumptions.CombustionCO2EmissionsAfterCCS[[#This Row],[Description]]=G.30.assumptions.CCS[Description])
          *INDIRECT("G.30.assumptions.CCS["&amp;L$2456&amp;"]")))</f>
        <v>2.3764273975595622</v>
      </c>
      <c r="M2471" s="362">
        <f t="array" aca="1" ref="M2471" ca="1">SUM((G.30.assumptions.CombustionCO2EmissionsAfterCCS[[#This Row],[Technology code]]=G.30.assumptions.CombustionCO2EmissionsAfterEnergyEfficiency[Technology code])
        *INDIRECT("G.30.assumptions.CombustionCO2EmissionsAfterEnergyEfficiency["&amp;M$2456&amp;"]"))
*(1-SUM((G.30.assumptions.CombustionCO2EmissionsAfterCCS[[#This Row],[Description]]=G.30.assumptions.CCS[Description])
          *INDIRECT("G.30.assumptions.CCS["&amp;M$2456&amp;"]")))</f>
        <v>2.3356370144915526</v>
      </c>
      <c r="N2471" s="362">
        <f t="array" aca="1" ref="N2471" ca="1">SUM((G.30.assumptions.CombustionCO2EmissionsAfterCCS[[#This Row],[Technology code]]=G.30.assumptions.CombustionCO2EmissionsAfterEnergyEfficiency[Technology code])
        *INDIRECT("G.30.assumptions.CombustionCO2EmissionsAfterEnergyEfficiency["&amp;N$2456&amp;"]"))
*(1-SUM((G.30.assumptions.CombustionCO2EmissionsAfterCCS[[#This Row],[Description]]=G.30.assumptions.CCS[Description])
          *INDIRECT("G.30.assumptions.CCS["&amp;N$2456&amp;"]")))</f>
        <v>2.2931302105620293</v>
      </c>
      <c r="O2471" s="362">
        <f t="array" aca="1" ref="O2471" ca="1">SUM((G.30.assumptions.CombustionCO2EmissionsAfterCCS[[#This Row],[Technology code]]=G.30.assumptions.CombustionCO2EmissionsAfterEnergyEfficiency[Technology code])
        *INDIRECT("G.30.assumptions.CombustionCO2EmissionsAfterEnergyEfficiency["&amp;O$2456&amp;"]"))
*(1-SUM((G.30.assumptions.CombustionCO2EmissionsAfterCCS[[#This Row],[Description]]=G.30.assumptions.CCS[Description])
          *INDIRECT("G.30.assumptions.CCS["&amp;O$2456&amp;"]")))</f>
        <v>2.2489069857709962</v>
      </c>
      <c r="P2471" s="362">
        <f t="array" aca="1" ref="P2471" ca="1">SUM((G.30.assumptions.CombustionCO2EmissionsAfterCCS[[#This Row],[Technology code]]=G.30.assumptions.CombustionCO2EmissionsAfterEnergyEfficiency[Technology code])
        *INDIRECT("G.30.assumptions.CombustionCO2EmissionsAfterEnergyEfficiency["&amp;P$2456&amp;"]"))
*(1-SUM((G.30.assumptions.CombustionCO2EmissionsAfterCCS[[#This Row],[Description]]=G.30.assumptions.CCS[Description])
          *INDIRECT("G.30.assumptions.CCS["&amp;P$2456&amp;"]")))</f>
        <v>2.2029673401184504</v>
      </c>
      <c r="Q2471" s="362">
        <f t="array" aca="1" ref="Q2471" ca="1">SUM((G.30.assumptions.CombustionCO2EmissionsAfterCCS[[#This Row],[Technology code]]=G.30.assumptions.CombustionCO2EmissionsAfterEnergyEfficiency[Technology code])
        *INDIRECT("G.30.assumptions.CombustionCO2EmissionsAfterEnergyEfficiency["&amp;Q$2456&amp;"]"))
*(1-SUM((G.30.assumptions.CombustionCO2EmissionsAfterCCS[[#This Row],[Description]]=G.30.assumptions.CCS[Description])
          *INDIRECT("G.30.assumptions.CCS["&amp;Q$2456&amp;"]")))</f>
        <v>2.155311273604394</v>
      </c>
      <c r="R2471" s="242"/>
      <c r="S2471" s="179"/>
      <c r="T2471" s="179"/>
      <c r="V2471" s="179"/>
      <c r="W2471" s="179"/>
    </row>
    <row r="2472" spans="1:24" s="65" customFormat="1" ht="15" customHeight="1" outlineLevel="2">
      <c r="A2472" s="219"/>
      <c r="B2472" s="242"/>
      <c r="C2472" s="334" t="s">
        <v>375</v>
      </c>
      <c r="D2472" s="335"/>
      <c r="E2472" s="335"/>
      <c r="F2472" s="336"/>
      <c r="G2472" s="334"/>
      <c r="H2472" s="335"/>
      <c r="I2472" s="337">
        <f ca="1">SUBTOTAL(109,G.30.assumptions.CombustionCO2EmissionsAfterCCS[2011])</f>
        <v>8.4863065418756491</v>
      </c>
      <c r="J2472" s="337">
        <f ca="1">SUBTOTAL(109,G.30.assumptions.CombustionCO2EmissionsAfterCCS[2015])</f>
        <v>8.5073884456245104</v>
      </c>
      <c r="K2472" s="337">
        <f ca="1">SUBTOTAL(109,G.30.assumptions.CombustionCO2EmissionsAfterCCS[2020])</f>
        <v>8.5318575314039951</v>
      </c>
      <c r="L2472" s="337">
        <f ca="1">SUBTOTAL(109,G.30.assumptions.CombustionCO2EmissionsAfterCCS[2025])</f>
        <v>8.5542340683983866</v>
      </c>
      <c r="M2472" s="337">
        <f ca="1">SUBTOTAL(109,G.30.assumptions.CombustionCO2EmissionsAfterCCS[2030])</f>
        <v>8.574518056607678</v>
      </c>
      <c r="N2472" s="337">
        <f ca="1">SUBTOTAL(109,G.30.assumptions.CombustionCO2EmissionsAfterCCS[2035])</f>
        <v>8.5927094960318726</v>
      </c>
      <c r="O2472" s="337">
        <f ca="1">SUBTOTAL(109,G.30.assumptions.CombustionCO2EmissionsAfterCCS[2040])</f>
        <v>8.6088083866709724</v>
      </c>
      <c r="P2472" s="337">
        <f ca="1">SUBTOTAL(109,G.30.assumptions.CombustionCO2EmissionsAfterCCS[2045])</f>
        <v>8.6228147285249719</v>
      </c>
      <c r="Q2472" s="337">
        <f ca="1">SUBTOTAL(109,G.30.assumptions.CombustionCO2EmissionsAfterCCS[2050])</f>
        <v>8.6347285215938729</v>
      </c>
      <c r="R2472" s="242"/>
      <c r="S2472" s="179"/>
      <c r="T2472" s="179"/>
      <c r="V2472" s="179"/>
      <c r="W2472" s="179"/>
    </row>
    <row r="2473" spans="1:24" s="65" customFormat="1" ht="15" customHeight="1" outlineLevel="2">
      <c r="A2473" s="219"/>
      <c r="B2473" s="242"/>
      <c r="C2473" s="251"/>
      <c r="D2473" s="242"/>
      <c r="E2473" s="242"/>
      <c r="F2473" s="121"/>
      <c r="G2473" s="251"/>
      <c r="H2473" s="242"/>
      <c r="I2473" s="314"/>
      <c r="J2473" s="314"/>
      <c r="K2473" s="314"/>
      <c r="L2473" s="314"/>
      <c r="M2473" s="314"/>
      <c r="N2473" s="314"/>
      <c r="O2473" s="314"/>
      <c r="P2473" s="314"/>
      <c r="Q2473" s="314"/>
      <c r="R2473" s="242"/>
      <c r="S2473" s="179"/>
      <c r="T2473" s="179"/>
      <c r="V2473" s="179"/>
      <c r="W2473" s="179"/>
    </row>
    <row r="2474" spans="1:24" s="65" customFormat="1" ht="15" customHeight="1" outlineLevel="2">
      <c r="A2474" s="219"/>
      <c r="B2474" s="242"/>
      <c r="C2474" s="313" t="s">
        <v>243</v>
      </c>
      <c r="D2474" s="121"/>
      <c r="E2474" s="242"/>
      <c r="F2474" s="121"/>
      <c r="G2474" s="242"/>
      <c r="H2474" s="242"/>
      <c r="I2474" s="239"/>
      <c r="J2474" s="239"/>
      <c r="K2474" s="239"/>
      <c r="L2474" s="239"/>
      <c r="M2474" s="239"/>
      <c r="N2474" s="239"/>
      <c r="O2474" s="239"/>
      <c r="P2474" s="239"/>
      <c r="Q2474" s="239"/>
      <c r="R2474" s="242"/>
      <c r="S2474" s="179"/>
      <c r="T2474" s="179"/>
      <c r="V2474" s="179"/>
      <c r="W2474" s="179"/>
    </row>
    <row r="2475" spans="1:24" s="65" customFormat="1" ht="15" customHeight="1" outlineLevel="2">
      <c r="A2475" s="219"/>
      <c r="B2475" s="242"/>
      <c r="C2475" s="301"/>
      <c r="D2475" s="121"/>
      <c r="E2475" s="242"/>
      <c r="F2475" s="121"/>
      <c r="G2475" s="242"/>
      <c r="H2475" s="242"/>
      <c r="I2475" s="239"/>
      <c r="J2475" s="239"/>
      <c r="K2475" s="239"/>
      <c r="L2475" s="239"/>
      <c r="M2475" s="239"/>
      <c r="N2475" s="239"/>
      <c r="O2475" s="239"/>
      <c r="P2475" s="239"/>
      <c r="Q2475" s="239"/>
      <c r="R2475" s="242"/>
      <c r="S2475" s="179"/>
      <c r="T2475" s="179"/>
      <c r="V2475" s="179"/>
      <c r="W2475" s="179"/>
    </row>
    <row r="2476" spans="1:24" s="65" customFormat="1" ht="15" customHeight="1" outlineLevel="2">
      <c r="A2476" s="219"/>
      <c r="B2476" s="242"/>
      <c r="C2476" s="258" t="s">
        <v>454</v>
      </c>
      <c r="D2476" s="258" t="s">
        <v>241</v>
      </c>
      <c r="E2476" s="258" t="s">
        <v>598</v>
      </c>
      <c r="F2476" s="258" t="s">
        <v>274</v>
      </c>
      <c r="G2476" s="258" t="s">
        <v>509</v>
      </c>
      <c r="H2476" s="258" t="s">
        <v>510</v>
      </c>
      <c r="I2476" s="258" t="s">
        <v>1107</v>
      </c>
      <c r="J2476" s="258" t="s">
        <v>210</v>
      </c>
      <c r="K2476" s="258" t="s">
        <v>211</v>
      </c>
      <c r="L2476" s="258" t="s">
        <v>212</v>
      </c>
      <c r="M2476" s="258" t="s">
        <v>213</v>
      </c>
      <c r="N2476" s="258" t="s">
        <v>214</v>
      </c>
      <c r="O2476" s="258" t="s">
        <v>215</v>
      </c>
      <c r="P2476" s="258" t="s">
        <v>216</v>
      </c>
      <c r="Q2476" s="258" t="s">
        <v>217</v>
      </c>
      <c r="R2476" s="242"/>
      <c r="S2476" s="179"/>
      <c r="T2476" s="179"/>
      <c r="V2476" s="179"/>
      <c r="W2476" s="179"/>
    </row>
    <row r="2477" spans="1:24" s="65" customFormat="1" ht="15" customHeight="1" outlineLevel="2">
      <c r="A2477" s="219"/>
      <c r="B2477" s="242"/>
      <c r="C2477" s="251" t="s">
        <v>1968</v>
      </c>
      <c r="D2477" s="242" t="s">
        <v>1613</v>
      </c>
      <c r="E2477" s="242"/>
      <c r="F2477" s="121"/>
      <c r="G2477" s="251"/>
      <c r="H2477" s="242"/>
      <c r="I2477" s="362">
        <f t="array" aca="1" ref="I2477"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1.7998356270965257E-4</v>
      </c>
      <c r="J2477" s="362">
        <f t="array" aca="1" ref="J2477"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1.7901922683775034E-4</v>
      </c>
      <c r="K2477" s="362">
        <f t="array" aca="1" ref="K2477"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1.7773356305696459E-4</v>
      </c>
      <c r="L2477" s="362">
        <f t="array" aca="1" ref="L2477"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1.7635873934183682E-4</v>
      </c>
      <c r="M2477" s="362">
        <f t="array" aca="1" ref="M2477"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1.7489475569236679E-4</v>
      </c>
      <c r="N2477" s="362">
        <f t="array" aca="1" ref="N2477"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1.7334161210855485E-4</v>
      </c>
      <c r="O2477" s="362">
        <f t="array" aca="1" ref="O2477"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1.7169930859040072E-4</v>
      </c>
      <c r="P2477" s="362">
        <f t="array" aca="1" ref="P2477"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1.6996784513790452E-4</v>
      </c>
      <c r="Q2477" s="362">
        <f t="array" aca="1" ref="Q2477"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1.6814722175106613E-4</v>
      </c>
      <c r="R2477" s="242"/>
      <c r="S2477" s="179"/>
      <c r="T2477" s="179"/>
      <c r="V2477" s="179"/>
      <c r="W2477" s="179"/>
    </row>
    <row r="2478" spans="1:24" s="65" customFormat="1" ht="15" customHeight="1" outlineLevel="2">
      <c r="A2478" s="219"/>
      <c r="B2478" s="242"/>
      <c r="C2478" s="251" t="s">
        <v>2196</v>
      </c>
      <c r="D2478" s="242" t="s">
        <v>2182</v>
      </c>
      <c r="E2478" s="242"/>
      <c r="F2478" s="121"/>
      <c r="G2478" s="251"/>
      <c r="H2478" s="242"/>
      <c r="I2478" s="362">
        <f t="array" aca="1" ref="I2478"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1.7998356270965257E-4</v>
      </c>
      <c r="J2478" s="362">
        <f t="array" aca="1" ref="J2478"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1.7901922683775034E-4</v>
      </c>
      <c r="K2478" s="362">
        <f t="array" aca="1" ref="K2478"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1.7773356305696459E-4</v>
      </c>
      <c r="L2478" s="362">
        <f t="array" aca="1" ref="L2478"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1.7635873934183682E-4</v>
      </c>
      <c r="M2478" s="362">
        <f t="array" aca="1" ref="M2478"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1.7489475569236679E-4</v>
      </c>
      <c r="N2478" s="362">
        <f t="array" aca="1" ref="N2478"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1.7334161210855485E-4</v>
      </c>
      <c r="O2478" s="362">
        <f t="array" aca="1" ref="O2478"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1.7169930859040072E-4</v>
      </c>
      <c r="P2478" s="362">
        <f t="array" aca="1" ref="P2478"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1.6996784513790452E-4</v>
      </c>
      <c r="Q2478" s="362">
        <f t="array" aca="1" ref="Q2478"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1.6814722175106613E-4</v>
      </c>
      <c r="R2478" s="242"/>
      <c r="S2478" s="179"/>
      <c r="T2478" s="179"/>
      <c r="V2478" s="179"/>
      <c r="W2478" s="179"/>
    </row>
    <row r="2479" spans="1:24" s="65" customFormat="1" ht="15" customHeight="1" outlineLevel="2">
      <c r="A2479" s="219"/>
      <c r="B2479" s="242"/>
      <c r="C2479" s="251" t="s">
        <v>1969</v>
      </c>
      <c r="D2479" s="242" t="s">
        <v>1614</v>
      </c>
      <c r="E2479" s="242"/>
      <c r="F2479" s="121"/>
      <c r="G2479" s="315"/>
      <c r="H2479" s="242"/>
      <c r="I2479" s="367">
        <f t="array" aca="1" ref="I2479"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1.4465575200546974E-4</v>
      </c>
      <c r="J2479" s="367">
        <f t="array" aca="1" ref="J2479"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1.5157537534593219E-4</v>
      </c>
      <c r="K2479" s="367">
        <f t="array" aca="1" ref="K2479"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1.6038011953235247E-4</v>
      </c>
      <c r="L2479" s="367">
        <f t="array" aca="1" ref="L2479"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1.6935732484193099E-4</v>
      </c>
      <c r="M2479" s="367">
        <f t="array" aca="1" ref="M2479"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1.7850699127466762E-4</v>
      </c>
      <c r="N2479" s="367">
        <f t="array" aca="1" ref="N2479"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1.8782911883056245E-4</v>
      </c>
      <c r="O2479" s="367">
        <f t="array" aca="1" ref="O2479"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1.9732370750961538E-4</v>
      </c>
      <c r="P2479" s="367">
        <f t="array" aca="1" ref="P2479"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2.0699075731182644E-4</v>
      </c>
      <c r="Q2479" s="367">
        <f t="array" aca="1" ref="Q2479"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2.1683026823719566E-4</v>
      </c>
      <c r="R2479" s="242"/>
      <c r="S2479" s="179"/>
      <c r="T2479" s="179"/>
      <c r="V2479" s="179"/>
      <c r="W2479" s="179"/>
    </row>
    <row r="2480" spans="1:24" s="65" customFormat="1" ht="15" customHeight="1" outlineLevel="2">
      <c r="A2480" s="219"/>
      <c r="B2480" s="242"/>
      <c r="C2480" s="251" t="s">
        <v>1970</v>
      </c>
      <c r="D2480" s="242" t="s">
        <v>2003</v>
      </c>
      <c r="E2480" s="242"/>
      <c r="F2480" s="121"/>
      <c r="G2480" s="315"/>
      <c r="H2480" s="242"/>
      <c r="I2480" s="362">
        <f t="array" aca="1" ref="I2480"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1.1439400985854701E-5</v>
      </c>
      <c r="J2480" s="362">
        <f t="array" aca="1" ref="J2480"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1.185698530344051E-5</v>
      </c>
      <c r="K2480" s="362">
        <f t="array" aca="1" ref="K2480"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1.2387539032122926E-5</v>
      </c>
      <c r="L2480" s="362">
        <f t="array" aca="1" ref="L2480"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1.2927618684916598E-5</v>
      </c>
      <c r="M2480" s="362">
        <f t="array" aca="1" ref="M2480"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1.3477224261821556E-5</v>
      </c>
      <c r="N2480" s="362">
        <f t="array" aca="1" ref="N2480"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1.4036355762837781E-5</v>
      </c>
      <c r="O2480" s="362">
        <f t="array" aca="1" ref="O2480"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1.4605013187965285E-5</v>
      </c>
      <c r="P2480" s="362">
        <f t="array" aca="1" ref="P2480"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1.5183196537204053E-5</v>
      </c>
      <c r="Q2480" s="362">
        <f t="array" aca="1" ref="Q2480"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1.5770905810554097E-5</v>
      </c>
      <c r="R2480" s="242"/>
      <c r="S2480" s="179"/>
      <c r="T2480" s="179"/>
      <c r="V2480" s="179"/>
      <c r="W2480" s="179"/>
    </row>
    <row r="2481" spans="1:23" s="65" customFormat="1" ht="15" customHeight="1" outlineLevel="2">
      <c r="A2481" s="219"/>
      <c r="B2481" s="242"/>
      <c r="C2481" s="251" t="s">
        <v>1971</v>
      </c>
      <c r="D2481" s="242" t="s">
        <v>1925</v>
      </c>
      <c r="E2481" s="242"/>
      <c r="F2481" s="121"/>
      <c r="G2481" s="315"/>
      <c r="H2481" s="242"/>
      <c r="I2481" s="362">
        <f t="array" aca="1" ref="I2481"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2.8473453097493702E-6</v>
      </c>
      <c r="J2481" s="362">
        <f t="array" aca="1" ref="J2481"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2.9512849084725117E-6</v>
      </c>
      <c r="K2481" s="362">
        <f t="array" aca="1" ref="K2481"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3.083343367897257E-6</v>
      </c>
      <c r="L2481" s="362">
        <f t="array" aca="1" ref="L2481"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3.2177728951229171E-6</v>
      </c>
      <c r="M2481" s="362">
        <f t="array" aca="1" ref="M2481"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3.3545734901494854E-6</v>
      </c>
      <c r="N2481" s="362">
        <f t="array" aca="1" ref="N2481"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3.4937451529769576E-6</v>
      </c>
      <c r="O2481" s="362">
        <f t="array" aca="1" ref="O2481"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3.635287883605346E-6</v>
      </c>
      <c r="P2481" s="362">
        <f t="array" aca="1" ref="P2481"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3.7792016820346472E-6</v>
      </c>
      <c r="Q2481" s="362">
        <f t="array" aca="1" ref="Q2481"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3.9254865482648526E-6</v>
      </c>
      <c r="R2481" s="242"/>
      <c r="S2481" s="179"/>
      <c r="T2481" s="179"/>
      <c r="V2481" s="179"/>
      <c r="W2481" s="179"/>
    </row>
    <row r="2482" spans="1:23" s="65" customFormat="1" ht="15" customHeight="1" outlineLevel="2">
      <c r="A2482" s="219"/>
      <c r="B2482" s="242"/>
      <c r="C2482" s="251" t="s">
        <v>1972</v>
      </c>
      <c r="D2482" s="242" t="s">
        <v>2004</v>
      </c>
      <c r="E2482" s="242"/>
      <c r="F2482" s="121"/>
      <c r="G2482" s="315"/>
      <c r="H2482" s="242"/>
      <c r="I2482" s="362">
        <f t="array" aca="1" ref="I2482"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1.2989816220623152E-6</v>
      </c>
      <c r="J2482" s="362">
        <f t="array" aca="1" ref="J2482"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1.2809917870888845E-6</v>
      </c>
      <c r="K2482" s="362">
        <f t="array" aca="1" ref="K2482"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1.2576104118027967E-6</v>
      </c>
      <c r="L2482" s="362">
        <f t="array" aca="1" ref="L2482"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1.2332356125508184E-6</v>
      </c>
      <c r="M2482" s="362">
        <f t="array" aca="1" ref="M2482"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1.2078673893329507E-6</v>
      </c>
      <c r="N2482" s="362">
        <f t="array" aca="1" ref="N2482"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1.1815057421491935E-6</v>
      </c>
      <c r="O2482" s="362">
        <f t="array" aca="1" ref="O2482"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1.1541506709995468E-6</v>
      </c>
      <c r="P2482" s="362">
        <f t="array" aca="1" ref="P2482"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1.1258021758840104E-6</v>
      </c>
      <c r="Q2482" s="362">
        <f t="array" aca="1" ref="Q2482"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1.0964602568025843E-6</v>
      </c>
      <c r="R2482" s="242"/>
      <c r="S2482" s="179"/>
      <c r="T2482" s="179"/>
      <c r="V2482" s="179"/>
      <c r="W2482" s="179"/>
    </row>
    <row r="2483" spans="1:23" s="65" customFormat="1" ht="15" customHeight="1" outlineLevel="2">
      <c r="A2483" s="219"/>
      <c r="B2483" s="242"/>
      <c r="C2483" s="251" t="s">
        <v>1973</v>
      </c>
      <c r="D2483" s="242" t="s">
        <v>1821</v>
      </c>
      <c r="E2483" s="242"/>
      <c r="F2483" s="121"/>
      <c r="G2483" s="315"/>
      <c r="H2483" s="242"/>
      <c r="I2483" s="362">
        <f t="array" aca="1" ref="I2483"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8.220741143684501E-5</v>
      </c>
      <c r="J2483" s="362">
        <f t="array" aca="1" ref="J2483"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8.3050564374658836E-5</v>
      </c>
      <c r="K2483" s="362">
        <f t="array" aca="1" ref="K2483"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8.4104505546926038E-5</v>
      </c>
      <c r="L2483" s="362">
        <f t="array" aca="1" ref="L2483"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8.5158446719193321E-5</v>
      </c>
      <c r="M2483" s="362">
        <f t="array" aca="1" ref="M2483"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8.6212387891460563E-5</v>
      </c>
      <c r="N2483" s="362">
        <f t="array" aca="1" ref="N2483"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8.7266329063727819E-5</v>
      </c>
      <c r="O2483" s="362">
        <f t="array" aca="1" ref="O2483"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8.8320270235995048E-5</v>
      </c>
      <c r="P2483" s="362">
        <f t="array" aca="1" ref="P2483"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8.9374211408262317E-5</v>
      </c>
      <c r="Q2483" s="362">
        <f t="array" aca="1" ref="Q2483"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9.0428152580529546E-5</v>
      </c>
      <c r="R2483" s="242"/>
      <c r="S2483" s="179"/>
      <c r="T2483" s="179"/>
      <c r="V2483" s="179"/>
      <c r="W2483" s="179"/>
    </row>
    <row r="2484" spans="1:23" s="65" customFormat="1" ht="15" customHeight="1" outlineLevel="2">
      <c r="A2484" s="219"/>
      <c r="B2484" s="242"/>
      <c r="C2484" s="251" t="s">
        <v>1974</v>
      </c>
      <c r="D2484" s="242" t="s">
        <v>1827</v>
      </c>
      <c r="E2484" s="242"/>
      <c r="F2484" s="121"/>
      <c r="G2484" s="315"/>
      <c r="H2484" s="242"/>
      <c r="I2484" s="362">
        <f t="array" aca="1" ref="I2484"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4.3273399884361874E-5</v>
      </c>
      <c r="J2484" s="362">
        <f t="array" aca="1" ref="J2484"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4.3717229626765575E-5</v>
      </c>
      <c r="K2484" s="362">
        <f t="array" aca="1" ref="K2484"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4.4272016804770214E-5</v>
      </c>
      <c r="L2484" s="362">
        <f t="array" aca="1" ref="L2484"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4.4826803982774867E-5</v>
      </c>
      <c r="M2484" s="362">
        <f t="array" aca="1" ref="M2484"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4.5381591160779513E-5</v>
      </c>
      <c r="N2484" s="362">
        <f t="array" aca="1" ref="N2484"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4.5936378338784145E-5</v>
      </c>
      <c r="O2484" s="362">
        <f t="array" aca="1" ref="O2484"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4.6491165516788791E-5</v>
      </c>
      <c r="P2484" s="362">
        <f t="array" aca="1" ref="P2484"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4.7045952694793424E-5</v>
      </c>
      <c r="Q2484" s="362">
        <f t="array" aca="1" ref="Q2484"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4.7600739872798063E-5</v>
      </c>
      <c r="R2484" s="242"/>
      <c r="S2484" s="179"/>
      <c r="T2484" s="179"/>
      <c r="V2484" s="179"/>
      <c r="W2484" s="179"/>
    </row>
    <row r="2485" spans="1:23" s="65" customFormat="1" ht="15" customHeight="1" outlineLevel="2">
      <c r="A2485" s="219"/>
      <c r="B2485" s="242"/>
      <c r="C2485" s="251" t="s">
        <v>1975</v>
      </c>
      <c r="D2485" s="242" t="s">
        <v>1928</v>
      </c>
      <c r="E2485" s="242"/>
      <c r="F2485" s="121"/>
      <c r="G2485" s="315"/>
      <c r="H2485" s="242"/>
      <c r="I2485" s="362">
        <f t="array" aca="1" ref="I2485"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1.4629422513554707E-5</v>
      </c>
      <c r="J2485" s="362">
        <f t="array" aca="1" ref="J2485"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1.4779467872668085E-5</v>
      </c>
      <c r="K2485" s="362">
        <f t="array" aca="1" ref="K2485"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1.4967024571559815E-5</v>
      </c>
      <c r="L2485" s="362">
        <f t="array" aca="1" ref="L2485"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1.5154581270451542E-5</v>
      </c>
      <c r="M2485" s="362">
        <f t="array" aca="1" ref="M2485"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1.5342137969343273E-5</v>
      </c>
      <c r="N2485" s="362">
        <f t="array" aca="1" ref="N2485"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1.5529694668234997E-5</v>
      </c>
      <c r="O2485" s="362">
        <f t="array" aca="1" ref="O2485"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1.5717251367126724E-5</v>
      </c>
      <c r="P2485" s="362">
        <f t="array" aca="1" ref="P2485"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1.5904808066018452E-5</v>
      </c>
      <c r="Q2485" s="362">
        <f t="array" aca="1" ref="Q2485"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1.6092364764910179E-5</v>
      </c>
      <c r="R2485" s="242"/>
      <c r="S2485" s="179"/>
      <c r="T2485" s="179"/>
      <c r="V2485" s="179"/>
      <c r="W2485" s="179"/>
    </row>
    <row r="2486" spans="1:23" s="65" customFormat="1" ht="15" customHeight="1" outlineLevel="2">
      <c r="A2486" s="219"/>
      <c r="B2486" s="242"/>
      <c r="C2486" s="251" t="s">
        <v>1976</v>
      </c>
      <c r="D2486" s="242" t="s">
        <v>1929</v>
      </c>
      <c r="E2486" s="242"/>
      <c r="F2486" s="121"/>
      <c r="G2486" s="251"/>
      <c r="H2486" s="242"/>
      <c r="I2486" s="362">
        <f t="array" aca="1" ref="I2486"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3.947628670000394E-5</v>
      </c>
      <c r="J2486" s="362">
        <f t="array" aca="1" ref="J2486"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3.9881171691798853E-5</v>
      </c>
      <c r="K2486" s="362">
        <f t="array" aca="1" ref="K2486"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4.0387277931542477E-5</v>
      </c>
      <c r="L2486" s="362">
        <f t="array" aca="1" ref="L2486"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4.0893384171286156E-5</v>
      </c>
      <c r="M2486" s="362">
        <f t="array" aca="1" ref="M2486"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4.1399490411029773E-5</v>
      </c>
      <c r="N2486" s="362">
        <f t="array" aca="1" ref="N2486"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4.190559665077339E-5</v>
      </c>
      <c r="O2486" s="362">
        <f t="array" aca="1" ref="O2486"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4.2411702890517062E-5</v>
      </c>
      <c r="P2486" s="362">
        <f t="array" aca="1" ref="P2486"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4.2917809130260713E-5</v>
      </c>
      <c r="Q2486" s="362">
        <f t="array" aca="1" ref="Q2486"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4.3423915370004338E-5</v>
      </c>
      <c r="R2486" s="242"/>
      <c r="S2486" s="179"/>
      <c r="T2486" s="179"/>
      <c r="V2486" s="179"/>
      <c r="W2486" s="179"/>
    </row>
    <row r="2487" spans="1:23" s="65" customFormat="1" ht="15" customHeight="1" outlineLevel="2">
      <c r="A2487" s="219"/>
      <c r="B2487" s="242"/>
      <c r="C2487" s="251" t="s">
        <v>1977</v>
      </c>
      <c r="D2487" s="242" t="s">
        <v>1930</v>
      </c>
      <c r="E2487" s="242"/>
      <c r="F2487" s="121"/>
      <c r="G2487" s="315"/>
      <c r="H2487" s="242"/>
      <c r="I2487" s="362">
        <f t="array" aca="1" ref="I2487"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2.5805687163577756E-5</v>
      </c>
      <c r="J2487" s="362">
        <f t="array" aca="1" ref="J2487"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2.6070360878075991E-5</v>
      </c>
      <c r="K2487" s="362">
        <f t="array" aca="1" ref="K2487"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2.6401203021198777E-5</v>
      </c>
      <c r="L2487" s="362">
        <f t="array" aca="1" ref="L2487"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2.673204516432157E-5</v>
      </c>
      <c r="M2487" s="362">
        <f t="array" aca="1" ref="M2487"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2.7062887307444363E-5</v>
      </c>
      <c r="N2487" s="362">
        <f t="array" aca="1" ref="N2487"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2.7393729450567156E-5</v>
      </c>
      <c r="O2487" s="362">
        <f t="array" aca="1" ref="O2487"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2.7724571593689949E-5</v>
      </c>
      <c r="P2487" s="362">
        <f t="array" aca="1" ref="P2487"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2.8055413736812742E-5</v>
      </c>
      <c r="Q2487" s="362">
        <f t="array" aca="1" ref="Q2487"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2.8386255879935542E-5</v>
      </c>
      <c r="R2487" s="242"/>
      <c r="S2487" s="179"/>
      <c r="T2487" s="179"/>
      <c r="V2487" s="179"/>
      <c r="W2487" s="179"/>
    </row>
    <row r="2488" spans="1:23" s="65" customFormat="1" ht="15" customHeight="1" outlineLevel="2">
      <c r="A2488" s="219"/>
      <c r="B2488" s="242"/>
      <c r="C2488" s="251" t="s">
        <v>1978</v>
      </c>
      <c r="D2488" s="242" t="s">
        <v>1931</v>
      </c>
      <c r="E2488" s="242"/>
      <c r="F2488" s="121"/>
      <c r="G2488" s="251"/>
      <c r="H2488" s="242"/>
      <c r="I2488" s="362">
        <f t="array" aca="1" ref="I2488"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2.2463995901766407E-5</v>
      </c>
      <c r="J2488" s="362">
        <f t="array" aca="1" ref="J2488"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2.2694395859733244E-5</v>
      </c>
      <c r="K2488" s="362">
        <f t="array" aca="1" ref="K2488"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2.2982395807191782E-5</v>
      </c>
      <c r="L2488" s="362">
        <f t="array" aca="1" ref="L2488"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2.3270395754650336E-5</v>
      </c>
      <c r="M2488" s="362">
        <f t="array" aca="1" ref="M2488"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2.3558395702108864E-5</v>
      </c>
      <c r="N2488" s="362">
        <f t="array" aca="1" ref="N2488"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2.3846395649567418E-5</v>
      </c>
      <c r="O2488" s="362">
        <f t="array" aca="1" ref="O2488"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2.4134395597025966E-5</v>
      </c>
      <c r="P2488" s="362">
        <f t="array" aca="1" ref="P2488"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2.4422395544484506E-5</v>
      </c>
      <c r="Q2488" s="362">
        <f t="array" aca="1" ref="Q2488"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2.4710395491943051E-5</v>
      </c>
      <c r="R2488" s="242"/>
      <c r="S2488" s="179"/>
      <c r="T2488" s="179"/>
      <c r="V2488" s="179"/>
      <c r="W2488" s="179"/>
    </row>
    <row r="2489" spans="1:23" s="65" customFormat="1" ht="15" customHeight="1" outlineLevel="2">
      <c r="A2489" s="219"/>
      <c r="B2489" s="242"/>
      <c r="C2489" s="251" t="s">
        <v>1979</v>
      </c>
      <c r="D2489" s="242" t="s">
        <v>1932</v>
      </c>
      <c r="E2489" s="242"/>
      <c r="F2489" s="121"/>
      <c r="G2489" s="251"/>
      <c r="H2489" s="242"/>
      <c r="I2489" s="362">
        <f t="array" aca="1" ref="I2489"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2.7354848012121755E-6</v>
      </c>
      <c r="J2489" s="362">
        <f t="array" aca="1" ref="J2489"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2.7635410555835818E-6</v>
      </c>
      <c r="K2489" s="362">
        <f t="array" aca="1" ref="K2489"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2.7986113735478391E-6</v>
      </c>
      <c r="L2489" s="362">
        <f t="array" aca="1" ref="L2489"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2.8336816915120986E-6</v>
      </c>
      <c r="M2489" s="362">
        <f t="array" aca="1" ref="M2489"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2.868752009476358E-6</v>
      </c>
      <c r="N2489" s="362">
        <f t="array" aca="1" ref="N2489"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2.9038223274406179E-6</v>
      </c>
      <c r="O2489" s="362">
        <f t="array" aca="1" ref="O2489"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2.9388926454048756E-6</v>
      </c>
      <c r="P2489" s="362">
        <f t="array" aca="1" ref="P2489"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2.9739629633691338E-6</v>
      </c>
      <c r="Q2489" s="362">
        <f t="array" aca="1" ref="Q2489"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3.0090332813333916E-6</v>
      </c>
      <c r="R2489" s="242"/>
      <c r="S2489" s="179"/>
      <c r="T2489" s="179"/>
      <c r="V2489" s="179"/>
      <c r="W2489" s="179"/>
    </row>
    <row r="2490" spans="1:23" s="65" customFormat="1" ht="15" customHeight="1" outlineLevel="2">
      <c r="A2490" s="219"/>
      <c r="B2490" s="242"/>
      <c r="C2490" s="251" t="s">
        <v>1980</v>
      </c>
      <c r="D2490" s="242" t="s">
        <v>2005</v>
      </c>
      <c r="E2490" s="242"/>
      <c r="F2490" s="121"/>
      <c r="G2490" s="251"/>
      <c r="H2490" s="242"/>
      <c r="I2490" s="362">
        <f t="array" aca="1" ref="I2490"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1.0611222235012787E-4</v>
      </c>
      <c r="J2490" s="362">
        <f t="array" aca="1" ref="J2490"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1.0280258143737968E-4</v>
      </c>
      <c r="K2490" s="362">
        <f t="array" aca="1" ref="K2490"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9.8539953701947154E-5</v>
      </c>
      <c r="L2490" s="362">
        <f t="array" aca="1" ref="L2490"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9.4137796417073359E-5</v>
      </c>
      <c r="M2490" s="362">
        <f t="array" aca="1" ref="M2490"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8.9596109582758233E-5</v>
      </c>
      <c r="N2490" s="362">
        <f t="array" aca="1" ref="N2490"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8.4914893199001775E-5</v>
      </c>
      <c r="O2490" s="362">
        <f t="array" aca="1" ref="O2490"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8.0094147265803972E-5</v>
      </c>
      <c r="P2490" s="362">
        <f t="array" aca="1" ref="P2490"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7.5133871783164877E-5</v>
      </c>
      <c r="Q2490" s="362">
        <f t="array" aca="1" ref="Q2490"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7.0034066751084397E-5</v>
      </c>
      <c r="R2490" s="242"/>
      <c r="S2490" s="179"/>
      <c r="T2490" s="179"/>
      <c r="V2490" s="179"/>
      <c r="W2490" s="179"/>
    </row>
    <row r="2491" spans="1:23" s="65" customFormat="1" ht="15" customHeight="1" outlineLevel="2">
      <c r="A2491" s="219"/>
      <c r="B2491" s="242"/>
      <c r="C2491" s="251" t="s">
        <v>1981</v>
      </c>
      <c r="D2491" s="242" t="s">
        <v>1933</v>
      </c>
      <c r="E2491" s="242"/>
      <c r="F2491" s="121"/>
      <c r="G2491" s="251"/>
      <c r="H2491" s="242"/>
      <c r="I2491" s="362">
        <f t="array" aca="1" ref="I2491" ca="1">SUM((G.30.assumptions.CombustionCH4EmissionsAfterCCS[[#This Row],[Technology code]]=G.30.assumptions.CombustionCH4EmissionsAfterEnergyEfficiency[Technology code])
        *INDIRECT("G.30.assumptions.CombustionCH4EmissionsAfterEnergyEfficiency["&amp;I$2456&amp;"]"))
*(1-SUM((G.30.assumptions.CombustionCH4EmissionsAfterCCS[[#This Row],[Description]]=G.30.assumptions.CCS[Description])
          *INDIRECT("G.30.assumptions.CCS["&amp;I$2456&amp;"]")))</f>
        <v>2.6748038011454998E-4</v>
      </c>
      <c r="J2491" s="362">
        <f t="array" aca="1" ref="J2491" ca="1">SUM((G.30.assumptions.CombustionCH4EmissionsAfterCCS[[#This Row],[Technology code]]=G.30.assumptions.CombustionCH4EmissionsAfterEnergyEfficiency[Technology code])
        *INDIRECT("G.30.assumptions.CombustionCH4EmissionsAfterEnergyEfficiency["&amp;J$2456&amp;"]"))
*(1-SUM((G.30.assumptions.CombustionCH4EmissionsAfterCCS[[#This Row],[Description]]=G.30.assumptions.CCS[Description])
          *INDIRECT("G.30.assumptions.CCS["&amp;J$2456&amp;"]")))</f>
        <v>2.6439219114051982E-4</v>
      </c>
      <c r="K2491" s="362">
        <f t="array" aca="1" ref="K2491" ca="1">SUM((G.30.assumptions.CombustionCH4EmissionsAfterCCS[[#This Row],[Technology code]]=G.30.assumptions.CombustionCH4EmissionsAfterEnergyEfficiency[Technology code])
        *INDIRECT("G.30.assumptions.CombustionCH4EmissionsAfterEnergyEfficiency["&amp;K$2456&amp;"]"))
*(1-SUM((G.30.assumptions.CombustionCH4EmissionsAfterCCS[[#This Row],[Description]]=G.30.assumptions.CCS[Description])
          *INDIRECT("G.30.assumptions.CCS["&amp;K$2456&amp;"]")))</f>
        <v>2.6036544414445345E-4</v>
      </c>
      <c r="L2491" s="362">
        <f t="array" aca="1" ref="L2491" ca="1">SUM((G.30.assumptions.CombustionCH4EmissionsAfterCCS[[#This Row],[Technology code]]=G.30.assumptions.CombustionCH4EmissionsAfterEnergyEfficiency[Technology code])
        *INDIRECT("G.30.assumptions.CombustionCH4EmissionsAfterEnergyEfficiency["&amp;L$2456&amp;"]"))
*(1-SUM((G.30.assumptions.CombustionCH4EmissionsAfterCCS[[#This Row],[Description]]=G.30.assumptions.CCS[Description])
          *INDIRECT("G.30.assumptions.CCS["&amp;L$2456&amp;"]")))</f>
        <v>2.5615368517224415E-4</v>
      </c>
      <c r="M2491" s="362">
        <f t="array" aca="1" ref="M2491" ca="1">SUM((G.30.assumptions.CombustionCH4EmissionsAfterCCS[[#This Row],[Technology code]]=G.30.assumptions.CombustionCH4EmissionsAfterEnergyEfficiency[Technology code])
        *INDIRECT("G.30.assumptions.CombustionCH4EmissionsAfterEnergyEfficiency["&amp;M$2456&amp;"]"))
*(1-SUM((G.30.assumptions.CombustionCH4EmissionsAfterCCS[[#This Row],[Description]]=G.30.assumptions.CCS[Description])
          *INDIRECT("G.30.assumptions.CCS["&amp;M$2456&amp;"]")))</f>
        <v>2.5175691422389196E-4</v>
      </c>
      <c r="N2491" s="362">
        <f t="array" aca="1" ref="N2491" ca="1">SUM((G.30.assumptions.CombustionCH4EmissionsAfterCCS[[#This Row],[Technology code]]=G.30.assumptions.CombustionCH4EmissionsAfterEnergyEfficiency[Technology code])
        *INDIRECT("G.30.assumptions.CombustionCH4EmissionsAfterEnergyEfficiency["&amp;N$2456&amp;"]"))
*(1-SUM((G.30.assumptions.CombustionCH4EmissionsAfterCCS[[#This Row],[Description]]=G.30.assumptions.CCS[Description])
          *INDIRECT("G.30.assumptions.CCS["&amp;N$2456&amp;"]")))</f>
        <v>2.4717513129939652E-4</v>
      </c>
      <c r="O2491" s="362">
        <f t="array" aca="1" ref="O2491" ca="1">SUM((G.30.assumptions.CombustionCH4EmissionsAfterCCS[[#This Row],[Technology code]]=G.30.assumptions.CombustionCH4EmissionsAfterEnergyEfficiency[Technology code])
        *INDIRECT("G.30.assumptions.CombustionCH4EmissionsAfterEnergyEfficiency["&amp;O$2456&amp;"]"))
*(1-SUM((G.30.assumptions.CombustionCH4EmissionsAfterCCS[[#This Row],[Description]]=G.30.assumptions.CCS[Description])
          *INDIRECT("G.30.assumptions.CCS["&amp;O$2456&amp;"]")))</f>
        <v>2.4240833639875841E-4</v>
      </c>
      <c r="P2491" s="362">
        <f t="array" aca="1" ref="P2491" ca="1">SUM((G.30.assumptions.CombustionCH4EmissionsAfterCCS[[#This Row],[Technology code]]=G.30.assumptions.CombustionCH4EmissionsAfterEnergyEfficiency[Technology code])
        *INDIRECT("G.30.assumptions.CombustionCH4EmissionsAfterEnergyEfficiency["&amp;P$2456&amp;"]"))
*(1-SUM((G.30.assumptions.CombustionCH4EmissionsAfterCCS[[#This Row],[Description]]=G.30.assumptions.CCS[Description])
          *INDIRECT("G.30.assumptions.CCS["&amp;P$2456&amp;"]")))</f>
        <v>2.3745652952197717E-4</v>
      </c>
      <c r="Q2491" s="362">
        <f t="array" aca="1" ref="Q2491" ca="1">SUM((G.30.assumptions.CombustionCH4EmissionsAfterCCS[[#This Row],[Technology code]]=G.30.assumptions.CombustionCH4EmissionsAfterEnergyEfficiency[Technology code])
        *INDIRECT("G.30.assumptions.CombustionCH4EmissionsAfterEnergyEfficiency["&amp;Q$2456&amp;"]"))
*(1-SUM((G.30.assumptions.CombustionCH4EmissionsAfterCCS[[#This Row],[Description]]=G.30.assumptions.CCS[Description])
          *INDIRECT("G.30.assumptions.CCS["&amp;Q$2456&amp;"]")))</f>
        <v>2.3231971066905313E-4</v>
      </c>
      <c r="R2491" s="242"/>
      <c r="S2491" s="179"/>
      <c r="T2491" s="179"/>
      <c r="V2491" s="179"/>
      <c r="W2491" s="179"/>
    </row>
    <row r="2492" spans="1:23" s="65" customFormat="1" ht="15" customHeight="1" outlineLevel="2">
      <c r="A2492" s="219"/>
      <c r="B2492" s="242"/>
      <c r="C2492" s="334" t="s">
        <v>375</v>
      </c>
      <c r="D2492" s="335"/>
      <c r="E2492" s="335"/>
      <c r="F2492" s="336"/>
      <c r="G2492" s="334"/>
      <c r="H2492" s="335"/>
      <c r="I2492" s="339">
        <f ca="1">SUBTOTAL(109,G.30.assumptions.CombustionCH4EmissionsAfterCCS[2011])</f>
        <v>1.1243928962084411E-3</v>
      </c>
      <c r="J2492" s="339">
        <f ca="1">SUBTOTAL(109,G.30.assumptions.CombustionCH4EmissionsAfterCCS[2015])</f>
        <v>1.1258545949576185E-3</v>
      </c>
      <c r="K2492" s="339">
        <f ca="1">SUBTOTAL(109,G.30.assumptions.CombustionCH4EmissionsAfterCCS[2020])</f>
        <v>1.1273941713612423E-3</v>
      </c>
      <c r="L2492" s="339">
        <f ca="1">SUBTOTAL(109,G.30.assumptions.CombustionCH4EmissionsAfterCCS[2025])</f>
        <v>1.1286142510617022E-3</v>
      </c>
      <c r="M2492" s="339">
        <f ca="1">SUBTOTAL(109,G.30.assumptions.CombustionCH4EmissionsAfterCCS[2030])</f>
        <v>1.1295148340589982E-3</v>
      </c>
      <c r="N2492" s="339">
        <f ca="1">SUBTOTAL(109,G.30.assumptions.CombustionCH4EmissionsAfterCCS[2035])</f>
        <v>1.1300959203531297E-3</v>
      </c>
      <c r="O2492" s="339">
        <f ca="1">SUBTOTAL(109,G.30.assumptions.CombustionCH4EmissionsAfterCCS[2040])</f>
        <v>1.1303575099440976E-3</v>
      </c>
      <c r="P2492" s="339">
        <f ca="1">SUBTOTAL(109,G.30.assumptions.CombustionCH4EmissionsAfterCCS[2045])</f>
        <v>1.1302996028319016E-3</v>
      </c>
      <c r="Q2492" s="339">
        <f ca="1">SUBTOTAL(109,G.30.assumptions.CombustionCH4EmissionsAfterCCS[2050])</f>
        <v>1.1299221990165413E-3</v>
      </c>
      <c r="R2492" s="242"/>
      <c r="S2492" s="179"/>
      <c r="T2492" s="179"/>
      <c r="V2492" s="179"/>
      <c r="W2492" s="179"/>
    </row>
    <row r="2493" spans="1:23" s="65" customFormat="1" ht="15" customHeight="1" outlineLevel="2">
      <c r="A2493" s="219"/>
      <c r="B2493" s="242"/>
      <c r="C2493" s="242"/>
      <c r="D2493" s="242"/>
      <c r="E2493" s="242"/>
      <c r="F2493" s="242"/>
      <c r="G2493" s="242"/>
      <c r="H2493" s="242"/>
      <c r="I2493" s="242"/>
      <c r="J2493" s="242"/>
      <c r="K2493" s="242"/>
      <c r="L2493" s="242"/>
      <c r="M2493" s="242"/>
      <c r="N2493" s="242"/>
      <c r="O2493" s="242"/>
      <c r="P2493" s="242"/>
      <c r="Q2493" s="242"/>
      <c r="R2493" s="242"/>
      <c r="S2493" s="179"/>
      <c r="T2493" s="179"/>
      <c r="V2493" s="179"/>
      <c r="W2493" s="179"/>
    </row>
    <row r="2494" spans="1:23" s="65" customFormat="1" ht="15" customHeight="1" outlineLevel="2">
      <c r="A2494" s="219"/>
      <c r="B2494" s="242"/>
      <c r="C2494" s="242"/>
      <c r="D2494" s="242"/>
      <c r="E2494" s="242"/>
      <c r="F2494" s="242"/>
      <c r="G2494" s="242"/>
      <c r="H2494" s="242"/>
      <c r="I2494" s="242"/>
      <c r="J2494" s="242"/>
      <c r="K2494" s="242"/>
      <c r="L2494" s="242"/>
      <c r="M2494" s="242"/>
      <c r="N2494" s="242"/>
      <c r="O2494" s="242"/>
      <c r="P2494" s="242"/>
      <c r="Q2494" s="242"/>
      <c r="R2494" s="242"/>
      <c r="S2494" s="179"/>
      <c r="T2494" s="179"/>
      <c r="V2494" s="179"/>
      <c r="W2494" s="179"/>
    </row>
    <row r="2495" spans="1:23" s="65" customFormat="1" ht="15" customHeight="1" outlineLevel="2">
      <c r="A2495" s="219"/>
      <c r="B2495" s="242"/>
      <c r="C2495" s="313" t="s">
        <v>244</v>
      </c>
      <c r="D2495" s="121"/>
      <c r="E2495" s="242"/>
      <c r="F2495" s="121"/>
      <c r="G2495" s="242"/>
      <c r="H2495" s="242"/>
      <c r="I2495" s="239"/>
      <c r="J2495" s="239"/>
      <c r="K2495" s="239"/>
      <c r="L2495" s="239"/>
      <c r="M2495" s="239"/>
      <c r="N2495" s="239"/>
      <c r="O2495" s="239"/>
      <c r="P2495" s="239"/>
      <c r="Q2495" s="239"/>
      <c r="R2495" s="242"/>
      <c r="S2495" s="179"/>
      <c r="T2495" s="179"/>
      <c r="V2495" s="179"/>
      <c r="W2495" s="179"/>
    </row>
    <row r="2496" spans="1:23" s="65" customFormat="1" ht="15" customHeight="1" outlineLevel="2">
      <c r="A2496" s="219"/>
      <c r="B2496" s="242"/>
      <c r="C2496" s="301"/>
      <c r="D2496" s="121"/>
      <c r="E2496" s="242"/>
      <c r="F2496" s="121"/>
      <c r="G2496" s="242"/>
      <c r="H2496" s="242"/>
      <c r="I2496" s="239"/>
      <c r="J2496" s="239"/>
      <c r="K2496" s="239"/>
      <c r="L2496" s="239"/>
      <c r="M2496" s="239"/>
      <c r="N2496" s="239"/>
      <c r="O2496" s="239"/>
      <c r="P2496" s="239"/>
      <c r="Q2496" s="239"/>
      <c r="R2496" s="242"/>
      <c r="S2496" s="179"/>
      <c r="T2496" s="179"/>
      <c r="V2496" s="179"/>
      <c r="W2496" s="179"/>
    </row>
    <row r="2497" spans="1:23" s="65" customFormat="1" ht="15" customHeight="1" outlineLevel="2">
      <c r="A2497" s="219"/>
      <c r="B2497" s="242"/>
      <c r="C2497" s="258" t="s">
        <v>454</v>
      </c>
      <c r="D2497" s="258" t="s">
        <v>241</v>
      </c>
      <c r="E2497" s="258" t="s">
        <v>598</v>
      </c>
      <c r="F2497" s="258" t="s">
        <v>274</v>
      </c>
      <c r="G2497" s="258" t="s">
        <v>509</v>
      </c>
      <c r="H2497" s="258" t="s">
        <v>510</v>
      </c>
      <c r="I2497" s="258" t="s">
        <v>1107</v>
      </c>
      <c r="J2497" s="258" t="s">
        <v>210</v>
      </c>
      <c r="K2497" s="258" t="s">
        <v>211</v>
      </c>
      <c r="L2497" s="258" t="s">
        <v>212</v>
      </c>
      <c r="M2497" s="258" t="s">
        <v>213</v>
      </c>
      <c r="N2497" s="258" t="s">
        <v>214</v>
      </c>
      <c r="O2497" s="258" t="s">
        <v>215</v>
      </c>
      <c r="P2497" s="258" t="s">
        <v>216</v>
      </c>
      <c r="Q2497" s="258" t="s">
        <v>217</v>
      </c>
      <c r="R2497" s="242"/>
      <c r="S2497" s="179"/>
      <c r="T2497" s="179"/>
      <c r="V2497" s="179"/>
      <c r="W2497" s="179"/>
    </row>
    <row r="2498" spans="1:23" s="65" customFormat="1" ht="15" customHeight="1" outlineLevel="2">
      <c r="A2498" s="219"/>
      <c r="B2498" s="242"/>
      <c r="C2498" s="251" t="s">
        <v>1968</v>
      </c>
      <c r="D2498" s="242" t="s">
        <v>1613</v>
      </c>
      <c r="E2498" s="242"/>
      <c r="F2498" s="121"/>
      <c r="G2498" s="251"/>
      <c r="H2498" s="242"/>
      <c r="I2498" s="362">
        <f t="array" aca="1" ref="I2498"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3.7953225923356975E-5</v>
      </c>
      <c r="J2498" s="362">
        <f t="array" aca="1" ref="J2498"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3.7749875924827679E-5</v>
      </c>
      <c r="K2498" s="362">
        <f t="array" aca="1" ref="K2498"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3.7478767345805084E-5</v>
      </c>
      <c r="L2498" s="362">
        <f t="array" aca="1" ref="L2498"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3.7188857565825857E-5</v>
      </c>
      <c r="M2498" s="362">
        <f t="array" aca="1" ref="M2498"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3.688014658488995E-5</v>
      </c>
      <c r="N2498" s="362">
        <f t="array" aca="1" ref="N2498"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3.6552634402997418E-5</v>
      </c>
      <c r="O2498" s="362">
        <f t="array" aca="1" ref="O2498"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3.6206321020148241E-5</v>
      </c>
      <c r="P2498" s="362">
        <f t="array" aca="1" ref="P2498"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3.5841206436342424E-5</v>
      </c>
      <c r="Q2498" s="362">
        <f t="array" aca="1" ref="Q2498"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3.5457290651579942E-5</v>
      </c>
      <c r="R2498" s="242"/>
      <c r="S2498" s="179"/>
      <c r="T2498" s="179"/>
      <c r="V2498" s="179"/>
      <c r="W2498" s="179"/>
    </row>
    <row r="2499" spans="1:23" s="65" customFormat="1" ht="15" customHeight="1" outlineLevel="2">
      <c r="A2499" s="219"/>
      <c r="B2499" s="242"/>
      <c r="C2499" s="251" t="s">
        <v>2196</v>
      </c>
      <c r="D2499" s="242" t="s">
        <v>2182</v>
      </c>
      <c r="E2499" s="242"/>
      <c r="F2499" s="121"/>
      <c r="G2499" s="251"/>
      <c r="H2499" s="242"/>
      <c r="I2499" s="362">
        <f t="array" aca="1" ref="I2499"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3.7953225923356975E-5</v>
      </c>
      <c r="J2499" s="362">
        <f t="array" aca="1" ref="J2499"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3.7749875924827679E-5</v>
      </c>
      <c r="K2499" s="362">
        <f t="array" aca="1" ref="K2499"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3.7478767345805084E-5</v>
      </c>
      <c r="L2499" s="362">
        <f t="array" aca="1" ref="L2499"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3.7188857565825857E-5</v>
      </c>
      <c r="M2499" s="362">
        <f t="array" aca="1" ref="M2499"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3.688014658488995E-5</v>
      </c>
      <c r="N2499" s="362">
        <f t="array" aca="1" ref="N2499"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3.6552634402997418E-5</v>
      </c>
      <c r="O2499" s="362">
        <f t="array" aca="1" ref="O2499"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3.6206321020148241E-5</v>
      </c>
      <c r="P2499" s="362">
        <f t="array" aca="1" ref="P2499"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3.5841206436342424E-5</v>
      </c>
      <c r="Q2499" s="362">
        <f t="array" aca="1" ref="Q2499"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3.5457290651579942E-5</v>
      </c>
      <c r="R2499" s="242"/>
      <c r="S2499" s="179"/>
      <c r="T2499" s="179"/>
      <c r="V2499" s="179"/>
      <c r="W2499" s="179"/>
    </row>
    <row r="2500" spans="1:23" s="65" customFormat="1" ht="15" customHeight="1" outlineLevel="2">
      <c r="A2500" s="219"/>
      <c r="B2500" s="242"/>
      <c r="C2500" s="251" t="s">
        <v>1969</v>
      </c>
      <c r="D2500" s="242" t="s">
        <v>1614</v>
      </c>
      <c r="E2500" s="242"/>
      <c r="F2500" s="121"/>
      <c r="G2500" s="315"/>
      <c r="H2500" s="242"/>
      <c r="I2500" s="362">
        <f t="array" aca="1" ref="I2500"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2.8668259152441647E-5</v>
      </c>
      <c r="J2500" s="362">
        <f t="array" aca="1" ref="J2500"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3.0039608389588885E-5</v>
      </c>
      <c r="K2500" s="362">
        <f t="array" aca="1" ref="K2500"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3.1784555856992101E-5</v>
      </c>
      <c r="L2500" s="362">
        <f t="array" aca="1" ref="L2500"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3.3563682125472186E-5</v>
      </c>
      <c r="M2500" s="362">
        <f t="array" aca="1" ref="M2500"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3.5376987195029121E-5</v>
      </c>
      <c r="N2500" s="362">
        <f t="array" aca="1" ref="N2500"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3.7224471065662932E-5</v>
      </c>
      <c r="O2500" s="362">
        <f t="array" aca="1" ref="O2500"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3.9106133737373607E-5</v>
      </c>
      <c r="P2500" s="362">
        <f t="array" aca="1" ref="P2500"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4.1021975210161132E-5</v>
      </c>
      <c r="Q2500" s="362">
        <f t="array" aca="1" ref="Q2500"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4.2971995484025527E-5</v>
      </c>
      <c r="R2500" s="242"/>
      <c r="S2500" s="179"/>
      <c r="T2500" s="179"/>
      <c r="V2500" s="179"/>
      <c r="W2500" s="179"/>
    </row>
    <row r="2501" spans="1:23" s="65" customFormat="1" ht="15" customHeight="1" outlineLevel="2">
      <c r="A2501" s="219"/>
      <c r="B2501" s="242"/>
      <c r="C2501" s="251" t="s">
        <v>1970</v>
      </c>
      <c r="D2501" s="242" t="s">
        <v>2003</v>
      </c>
      <c r="E2501" s="242"/>
      <c r="F2501" s="121"/>
      <c r="G2501" s="315"/>
      <c r="H2501" s="242"/>
      <c r="I2501" s="362">
        <f t="array" aca="1" ref="I2501"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3.2481747566805245E-6</v>
      </c>
      <c r="J2501" s="362">
        <f t="array" aca="1" ref="J2501"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3.3667462483910712E-6</v>
      </c>
      <c r="K2501" s="362">
        <f t="array" aca="1" ref="K2501"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3.5173949782240336E-6</v>
      </c>
      <c r="L2501" s="362">
        <f t="array" aca="1" ref="L2501"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3.6707485582734113E-6</v>
      </c>
      <c r="M2501" s="362">
        <f t="array" aca="1" ref="M2501"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3.82680698853921E-6</v>
      </c>
      <c r="N2501" s="362">
        <f t="array" aca="1" ref="N2501"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3.9855702690214257E-6</v>
      </c>
      <c r="O2501" s="362">
        <f t="array" aca="1" ref="O2501"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4.147038399720063E-6</v>
      </c>
      <c r="P2501" s="362">
        <f t="array" aca="1" ref="P2501"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4.3112113806351168E-6</v>
      </c>
      <c r="Q2501" s="362">
        <f t="array" aca="1" ref="Q2501"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4.4780892117665888E-6</v>
      </c>
      <c r="R2501" s="242"/>
      <c r="S2501" s="179"/>
      <c r="T2501" s="179"/>
      <c r="V2501" s="179"/>
      <c r="W2501" s="179"/>
    </row>
    <row r="2502" spans="1:23" s="65" customFormat="1" ht="15" customHeight="1" outlineLevel="2">
      <c r="A2502" s="219"/>
      <c r="B2502" s="242"/>
      <c r="C2502" s="251" t="s">
        <v>1971</v>
      </c>
      <c r="D2502" s="242" t="s">
        <v>1925</v>
      </c>
      <c r="E2502" s="242"/>
      <c r="F2502" s="121"/>
      <c r="G2502" s="315"/>
      <c r="H2502" s="242"/>
      <c r="I2502" s="362">
        <f t="array" aca="1" ref="I2502"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1.0807538239004136E-6</v>
      </c>
      <c r="J2502" s="362">
        <f t="array" aca="1" ref="J2502"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1.1202057015459099E-6</v>
      </c>
      <c r="K2502" s="362">
        <f t="array" aca="1" ref="K2502"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1.1703305264180483E-6</v>
      </c>
      <c r="L2502" s="362">
        <f t="array" aca="1" ref="L2502"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1.2213553266404852E-6</v>
      </c>
      <c r="M2502" s="362">
        <f t="array" aca="1" ref="M2502"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1.2732801022132204E-6</v>
      </c>
      <c r="N2502" s="362">
        <f t="array" aca="1" ref="N2502"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1.3261048531362514E-6</v>
      </c>
      <c r="O2502" s="362">
        <f t="array" aca="1" ref="O2502"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1.3798295794095821E-6</v>
      </c>
      <c r="P2502" s="362">
        <f t="array" aca="1" ref="P2502"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1.4344542810332112E-6</v>
      </c>
      <c r="Q2502" s="362">
        <f t="array" aca="1" ref="Q2502"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1.4899789580071365E-6</v>
      </c>
      <c r="R2502" s="242"/>
      <c r="S2502" s="179"/>
      <c r="T2502" s="179"/>
      <c r="V2502" s="179"/>
      <c r="W2502" s="179"/>
    </row>
    <row r="2503" spans="1:23" s="65" customFormat="1" ht="15" customHeight="1" outlineLevel="2">
      <c r="A2503" s="219"/>
      <c r="B2503" s="242"/>
      <c r="C2503" s="251" t="s">
        <v>1972</v>
      </c>
      <c r="D2503" s="242" t="s">
        <v>2004</v>
      </c>
      <c r="E2503" s="242"/>
      <c r="F2503" s="121"/>
      <c r="G2503" s="315"/>
      <c r="H2503" s="242"/>
      <c r="I2503" s="362">
        <f t="array" aca="1" ref="I2503"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9.5319969958313822E-8</v>
      </c>
      <c r="J2503" s="362">
        <f t="array" aca="1" ref="J2503"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9.3999866193874127E-8</v>
      </c>
      <c r="K2503" s="362">
        <f t="array" aca="1" ref="K2503"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9.2284128301974176E-8</v>
      </c>
      <c r="L2503" s="362">
        <f t="array" aca="1" ref="L2503"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9.0495492425240426E-8</v>
      </c>
      <c r="M2503" s="362">
        <f t="array" aca="1" ref="M2503"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8.8633958563672863E-8</v>
      </c>
      <c r="N2503" s="362">
        <f t="array" aca="1" ref="N2503"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8.6699526717271513E-8</v>
      </c>
      <c r="O2503" s="362">
        <f t="array" aca="1" ref="O2503"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8.4692196886036404E-8</v>
      </c>
      <c r="P2503" s="362">
        <f t="array" aca="1" ref="P2503"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8.2611969069967495E-8</v>
      </c>
      <c r="Q2503" s="362">
        <f t="array" aca="1" ref="Q2503"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8.0458843269064812E-8</v>
      </c>
      <c r="R2503" s="242"/>
      <c r="S2503" s="179"/>
      <c r="T2503" s="179"/>
      <c r="V2503" s="179"/>
      <c r="W2503" s="179"/>
    </row>
    <row r="2504" spans="1:23" s="65" customFormat="1" ht="15" customHeight="1" outlineLevel="2">
      <c r="A2504" s="219"/>
      <c r="B2504" s="242"/>
      <c r="C2504" s="251" t="s">
        <v>1973</v>
      </c>
      <c r="D2504" s="242" t="s">
        <v>1821</v>
      </c>
      <c r="E2504" s="242"/>
      <c r="F2504" s="121"/>
      <c r="G2504" s="315"/>
      <c r="H2504" s="242"/>
      <c r="I2504" s="362">
        <f t="array" aca="1" ref="I2504"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7.7935540178262409E-5</v>
      </c>
      <c r="J2504" s="362">
        <f t="array" aca="1" ref="J2504"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7.8734879051885613E-5</v>
      </c>
      <c r="K2504" s="362">
        <f t="array" aca="1" ref="K2504"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7.9734052643914611E-5</v>
      </c>
      <c r="L2504" s="362">
        <f t="array" aca="1" ref="L2504"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8.0733226235943622E-5</v>
      </c>
      <c r="M2504" s="362">
        <f t="array" aca="1" ref="M2504"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8.1732399827972647E-5</v>
      </c>
      <c r="N2504" s="362">
        <f t="array" aca="1" ref="N2504"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8.2731573420001631E-5</v>
      </c>
      <c r="O2504" s="362">
        <f t="array" aca="1" ref="O2504"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8.373074701203067E-5</v>
      </c>
      <c r="P2504" s="362">
        <f t="array" aca="1" ref="P2504"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8.4729920604059667E-5</v>
      </c>
      <c r="Q2504" s="362">
        <f t="array" aca="1" ref="Q2504"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8.5729094196088665E-5</v>
      </c>
      <c r="R2504" s="242"/>
      <c r="S2504" s="179"/>
      <c r="T2504" s="179"/>
      <c r="V2504" s="179"/>
      <c r="W2504" s="179"/>
    </row>
    <row r="2505" spans="1:23" s="65" customFormat="1" ht="15" customHeight="1" outlineLevel="2">
      <c r="A2505" s="219"/>
      <c r="B2505" s="242"/>
      <c r="C2505" s="251" t="s">
        <v>1974</v>
      </c>
      <c r="D2505" s="242" t="s">
        <v>1827</v>
      </c>
      <c r="E2505" s="242"/>
      <c r="F2505" s="121"/>
      <c r="G2505" s="315"/>
      <c r="H2505" s="242"/>
      <c r="I2505" s="362">
        <f t="array" aca="1" ref="I2505"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5.6632958007176466E-6</v>
      </c>
      <c r="J2505" s="362">
        <f t="array" aca="1" ref="J2505"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5.7213808858532112E-6</v>
      </c>
      <c r="K2505" s="362">
        <f t="array" aca="1" ref="K2505"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5.7939872422726684E-6</v>
      </c>
      <c r="L2505" s="362">
        <f t="array" aca="1" ref="L2505"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5.8665935986921281E-6</v>
      </c>
      <c r="M2505" s="362">
        <f t="array" aca="1" ref="M2505"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5.9391999551115845E-6</v>
      </c>
      <c r="N2505" s="362">
        <f t="array" aca="1" ref="N2505"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6.0118063115310417E-6</v>
      </c>
      <c r="O2505" s="362">
        <f t="array" aca="1" ref="O2505"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6.0844126679504989E-6</v>
      </c>
      <c r="P2505" s="362">
        <f t="array" aca="1" ref="P2505"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6.1570190243699553E-6</v>
      </c>
      <c r="Q2505" s="362">
        <f t="array" aca="1" ref="Q2505"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6.2296253807894116E-6</v>
      </c>
      <c r="R2505" s="242"/>
      <c r="S2505" s="179"/>
      <c r="T2505" s="179"/>
      <c r="V2505" s="179"/>
      <c r="W2505" s="179"/>
    </row>
    <row r="2506" spans="1:23" s="65" customFormat="1" ht="15" customHeight="1" outlineLevel="2">
      <c r="A2506" s="219"/>
      <c r="B2506" s="242"/>
      <c r="C2506" s="251" t="s">
        <v>1975</v>
      </c>
      <c r="D2506" s="242" t="s">
        <v>1928</v>
      </c>
      <c r="E2506" s="242"/>
      <c r="F2506" s="121"/>
      <c r="G2506" s="315"/>
      <c r="H2506" s="242"/>
      <c r="I2506" s="362">
        <f t="array" aca="1" ref="I2506"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2.3285174936156825E-6</v>
      </c>
      <c r="J2506" s="362">
        <f t="array" aca="1" ref="J2506"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2.352399724319433E-6</v>
      </c>
      <c r="K2506" s="362">
        <f t="array" aca="1" ref="K2506"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2.3822525126991212E-6</v>
      </c>
      <c r="L2506" s="362">
        <f t="array" aca="1" ref="L2506"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2.4121053010788094E-6</v>
      </c>
      <c r="M2506" s="362">
        <f t="array" aca="1" ref="M2506"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2.4419580894584985E-6</v>
      </c>
      <c r="N2506" s="362">
        <f t="array" aca="1" ref="N2506"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2.4718108778381859E-6</v>
      </c>
      <c r="O2506" s="362">
        <f t="array" aca="1" ref="O2506"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2.5016636662178749E-6</v>
      </c>
      <c r="P2506" s="362">
        <f t="array" aca="1" ref="P2506"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2.5315164545975631E-6</v>
      </c>
      <c r="Q2506" s="362">
        <f t="array" aca="1" ref="Q2506"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2.5613692429772513E-6</v>
      </c>
      <c r="R2506" s="242"/>
      <c r="S2506" s="179"/>
      <c r="T2506" s="179"/>
      <c r="V2506" s="179"/>
      <c r="W2506" s="179"/>
    </row>
    <row r="2507" spans="1:23" s="65" customFormat="1" ht="15" customHeight="1" outlineLevel="2">
      <c r="A2507" s="219"/>
      <c r="B2507" s="242"/>
      <c r="C2507" s="251" t="s">
        <v>1976</v>
      </c>
      <c r="D2507" s="242" t="s">
        <v>1929</v>
      </c>
      <c r="E2507" s="242"/>
      <c r="F2507" s="121"/>
      <c r="G2507" s="251"/>
      <c r="H2507" s="242"/>
      <c r="I2507" s="362">
        <f t="array" aca="1" ref="I2507"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3.8106282049764645E-6</v>
      </c>
      <c r="J2507" s="362">
        <f t="array" aca="1" ref="J2507"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3.8497115711813518E-6</v>
      </c>
      <c r="K2507" s="362">
        <f t="array" aca="1" ref="K2507"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3.8985657789374558E-6</v>
      </c>
      <c r="L2507" s="362">
        <f t="array" aca="1" ref="L2507"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3.9474199866935726E-6</v>
      </c>
      <c r="M2507" s="362">
        <f t="array" aca="1" ref="M2507"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3.9962741944496775E-6</v>
      </c>
      <c r="N2507" s="362">
        <f t="array" aca="1" ref="N2507"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4.0451284022057807E-6</v>
      </c>
      <c r="O2507" s="362">
        <f t="array" aca="1" ref="O2507"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4.093982609961894E-6</v>
      </c>
      <c r="P2507" s="362">
        <f t="array" aca="1" ref="P2507"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4.1428368177180074E-6</v>
      </c>
      <c r="Q2507" s="362">
        <f t="array" aca="1" ref="Q2507"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4.1916910254741106E-6</v>
      </c>
      <c r="R2507" s="242"/>
      <c r="S2507" s="179"/>
      <c r="T2507" s="179"/>
      <c r="V2507" s="179"/>
      <c r="W2507" s="179"/>
    </row>
    <row r="2508" spans="1:23" s="65" customFormat="1" ht="15" customHeight="1" outlineLevel="2">
      <c r="A2508" s="219"/>
      <c r="B2508" s="242"/>
      <c r="C2508" s="251" t="s">
        <v>1977</v>
      </c>
      <c r="D2508" s="242" t="s">
        <v>1930</v>
      </c>
      <c r="E2508" s="242"/>
      <c r="F2508" s="121"/>
      <c r="G2508" s="315"/>
      <c r="H2508" s="242"/>
      <c r="I2508" s="362">
        <f t="array" aca="1" ref="I2508"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5.5311139219921046E-6</v>
      </c>
      <c r="J2508" s="362">
        <f t="array" aca="1" ref="J2508"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5.5878432955509985E-6</v>
      </c>
      <c r="K2508" s="362">
        <f t="array" aca="1" ref="K2508"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5.6587550124996137E-6</v>
      </c>
      <c r="L2508" s="362">
        <f t="array" aca="1" ref="L2508"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5.7296667294482332E-6</v>
      </c>
      <c r="M2508" s="362">
        <f t="array" aca="1" ref="M2508"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5.8005784463968484E-6</v>
      </c>
      <c r="N2508" s="362">
        <f t="array" aca="1" ref="N2508"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5.8714901633454662E-6</v>
      </c>
      <c r="O2508" s="362">
        <f t="array" aca="1" ref="O2508"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5.9424018802940832E-6</v>
      </c>
      <c r="P2508" s="362">
        <f t="array" aca="1" ref="P2508"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6.0133135972427001E-6</v>
      </c>
      <c r="Q2508" s="362">
        <f t="array" aca="1" ref="Q2508"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6.0842253141913187E-6</v>
      </c>
      <c r="R2508" s="242"/>
      <c r="S2508" s="179"/>
      <c r="T2508" s="179"/>
      <c r="V2508" s="179"/>
      <c r="W2508" s="179"/>
    </row>
    <row r="2509" spans="1:23" s="65" customFormat="1" ht="15" customHeight="1" outlineLevel="2">
      <c r="A2509" s="219"/>
      <c r="B2509" s="242"/>
      <c r="C2509" s="251" t="s">
        <v>1978</v>
      </c>
      <c r="D2509" s="242" t="s">
        <v>1931</v>
      </c>
      <c r="E2509" s="242"/>
      <c r="F2509" s="121"/>
      <c r="G2509" s="251"/>
      <c r="H2509" s="242"/>
      <c r="I2509" s="362">
        <f t="array" aca="1" ref="I2509"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4.8414290665203519E-6</v>
      </c>
      <c r="J2509" s="362">
        <f t="array" aca="1" ref="J2509"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4.8910847492538949E-6</v>
      </c>
      <c r="K2509" s="362">
        <f t="array" aca="1" ref="K2509"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4.953154352670822E-6</v>
      </c>
      <c r="L2509" s="362">
        <f t="array" aca="1" ref="L2509"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5.0152239560877517E-6</v>
      </c>
      <c r="M2509" s="362">
        <f t="array" aca="1" ref="M2509"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5.0772935595046763E-6</v>
      </c>
      <c r="N2509" s="362">
        <f t="array" aca="1" ref="N2509"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5.139363162921606E-6</v>
      </c>
      <c r="O2509" s="362">
        <f t="array" aca="1" ref="O2509"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5.201432766338534E-6</v>
      </c>
      <c r="P2509" s="362">
        <f t="array" aca="1" ref="P2509"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5.2635023697554603E-6</v>
      </c>
      <c r="Q2509" s="362">
        <f t="array" aca="1" ref="Q2509"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5.3255719731723892E-6</v>
      </c>
      <c r="R2509" s="242"/>
      <c r="S2509" s="179"/>
      <c r="T2509" s="179"/>
      <c r="V2509" s="179"/>
      <c r="W2509" s="179"/>
    </row>
    <row r="2510" spans="1:23" s="65" customFormat="1" ht="15" customHeight="1" outlineLevel="2">
      <c r="A2510" s="219"/>
      <c r="B2510" s="242"/>
      <c r="C2510" s="251" t="s">
        <v>1979</v>
      </c>
      <c r="D2510" s="242" t="s">
        <v>1932</v>
      </c>
      <c r="E2510" s="242"/>
      <c r="F2510" s="121"/>
      <c r="G2510" s="251"/>
      <c r="H2510" s="242"/>
      <c r="I2510" s="362">
        <f t="array" aca="1" ref="I2510"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5.9797383948775313E-7</v>
      </c>
      <c r="J2510" s="362">
        <f t="array" aca="1" ref="J2510"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6.0410690450814027E-7</v>
      </c>
      <c r="K2510" s="362">
        <f t="array" aca="1" ref="K2510"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6.1177323578362397E-7</v>
      </c>
      <c r="L2510" s="362">
        <f t="array" aca="1" ref="L2510"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6.1943956705910819E-7</v>
      </c>
      <c r="M2510" s="362">
        <f t="array" aca="1" ref="M2510"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6.2710589833459221E-7</v>
      </c>
      <c r="N2510" s="362">
        <f t="array" aca="1" ref="N2510"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6.3477222961007654E-7</v>
      </c>
      <c r="O2510" s="362">
        <f t="array" aca="1" ref="O2510"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6.4243856088556034E-7</v>
      </c>
      <c r="P2510" s="362">
        <f t="array" aca="1" ref="P2510"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6.5010489216104435E-7</v>
      </c>
      <c r="Q2510" s="362">
        <f t="array" aca="1" ref="Q2510"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6.5777122343652805E-7</v>
      </c>
      <c r="R2510" s="242"/>
      <c r="S2510" s="179"/>
      <c r="T2510" s="179"/>
      <c r="V2510" s="179"/>
      <c r="W2510" s="179"/>
    </row>
    <row r="2511" spans="1:23" s="65" customFormat="1" ht="15" customHeight="1" outlineLevel="2">
      <c r="A2511" s="219"/>
      <c r="B2511" s="242"/>
      <c r="C2511" s="251" t="s">
        <v>1980</v>
      </c>
      <c r="D2511" s="242" t="s">
        <v>2005</v>
      </c>
      <c r="E2511" s="242"/>
      <c r="F2511" s="121"/>
      <c r="G2511" s="251"/>
      <c r="H2511" s="242"/>
      <c r="I2511" s="362">
        <f t="array" aca="1" ref="I2511"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2.4684803041955774E-5</v>
      </c>
      <c r="J2511" s="362">
        <f t="array" aca="1" ref="J2511"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2.3914883872783932E-5</v>
      </c>
      <c r="K2511" s="362">
        <f t="array" aca="1" ref="K2511"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2.2923272126654073E-5</v>
      </c>
      <c r="L2511" s="362">
        <f t="array" aca="1" ref="L2511"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2.1899201730896417E-5</v>
      </c>
      <c r="M2511" s="362">
        <f t="array" aca="1" ref="M2511"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2.084267268551093E-5</v>
      </c>
      <c r="N2511" s="362">
        <f t="array" aca="1" ref="N2511"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1.9753684990497635E-5</v>
      </c>
      <c r="O2511" s="362">
        <f t="array" aca="1" ref="O2511"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1.8632238645856508E-5</v>
      </c>
      <c r="P2511" s="362">
        <f t="array" aca="1" ref="P2511"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1.7478333651587574E-5</v>
      </c>
      <c r="Q2511" s="362">
        <f t="array" aca="1" ref="Q2511"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1.6291970007690809E-5</v>
      </c>
      <c r="R2511" s="242"/>
      <c r="S2511" s="179"/>
      <c r="T2511" s="179"/>
      <c r="V2511" s="179"/>
      <c r="W2511" s="179"/>
    </row>
    <row r="2512" spans="1:23" s="65" customFormat="1" ht="15" customHeight="1" outlineLevel="2">
      <c r="A2512" s="219"/>
      <c r="B2512" s="242"/>
      <c r="C2512" s="251" t="s">
        <v>1981</v>
      </c>
      <c r="D2512" s="242" t="s">
        <v>1933</v>
      </c>
      <c r="E2512" s="242"/>
      <c r="F2512" s="121"/>
      <c r="G2512" s="251"/>
      <c r="H2512" s="242"/>
      <c r="I2512" s="362">
        <f t="array" aca="1" ref="I2512" ca="1">SUM((G.30.assumptions.CombustionN2OEmissionsAfterCCS[[#This Row],[Technology code]]=G.30.assumptions.CombustionN2OEmissionsAfterEnergyEfficiency[Technology code])
        *INDIRECT("G.30.assumptions.CombustionN2OEmissionsAfterEnergyEfficiency["&amp;I$2456&amp;"]"))
*(1-SUM((G.30.assumptions.CombustionN2OEmissionsAfterCCS[[#This Row],[Description]]=G.30.assumptions.CCS[Description])
          *INDIRECT("G.30.assumptions.CCS["&amp;I$2456&amp;"]")))</f>
        <v>7.4606157504119065E-5</v>
      </c>
      <c r="J2512" s="362">
        <f t="array" aca="1" ref="J2512" ca="1">SUM((G.30.assumptions.CombustionN2OEmissionsAfterCCS[[#This Row],[Technology code]]=G.30.assumptions.CombustionN2OEmissionsAfterEnergyEfficiency[Technology code])
        *INDIRECT("G.30.assumptions.CombustionN2OEmissionsAfterEnergyEfficiency["&amp;J$2456&amp;"]"))
*(1-SUM((G.30.assumptions.CombustionN2OEmissionsAfterCCS[[#This Row],[Description]]=G.30.assumptions.CCS[Description])
          *INDIRECT("G.30.assumptions.CCS["&amp;J$2456&amp;"]")))</f>
        <v>7.374479371773477E-5</v>
      </c>
      <c r="K2512" s="362">
        <f t="array" aca="1" ref="K2512" ca="1">SUM((G.30.assumptions.CombustionN2OEmissionsAfterCCS[[#This Row],[Technology code]]=G.30.assumptions.CombustionN2OEmissionsAfterEnergyEfficiency[Technology code])
        *INDIRECT("G.30.assumptions.CombustionN2OEmissionsAfterEnergyEfficiency["&amp;K$2456&amp;"]"))
*(1-SUM((G.30.assumptions.CombustionN2OEmissionsAfterCCS[[#This Row],[Description]]=G.30.assumptions.CCS[Description])
          *INDIRECT("G.30.assumptions.CCS["&amp;K$2456&amp;"]")))</f>
        <v>7.2621645468546892E-5</v>
      </c>
      <c r="L2512" s="362">
        <f t="array" aca="1" ref="L2512" ca="1">SUM((G.30.assumptions.CombustionN2OEmissionsAfterCCS[[#This Row],[Technology code]]=G.30.assumptions.CombustionN2OEmissionsAfterEnergyEfficiency[Technology code])
        *INDIRECT("G.30.assumptions.CombustionN2OEmissionsAfterEnergyEfficiency["&amp;L$2456&amp;"]"))
*(1-SUM((G.30.assumptions.CombustionN2OEmissionsAfterCCS[[#This Row],[Description]]=G.30.assumptions.CCS[Description])
          *INDIRECT("G.30.assumptions.CCS["&amp;L$2456&amp;"]")))</f>
        <v>7.144689331246177E-5</v>
      </c>
      <c r="M2512" s="362">
        <f t="array" aca="1" ref="M2512" ca="1">SUM((G.30.assumptions.CombustionN2OEmissionsAfterCCS[[#This Row],[Technology code]]=G.30.assumptions.CombustionN2OEmissionsAfterEnergyEfficiency[Technology code])
        *INDIRECT("G.30.assumptions.CombustionN2OEmissionsAfterEnergyEfficiency["&amp;M$2456&amp;"]"))
*(1-SUM((G.30.assumptions.CombustionN2OEmissionsAfterCCS[[#This Row],[Description]]=G.30.assumptions.CCS[Description])
          *INDIRECT("G.30.assumptions.CCS["&amp;M$2456&amp;"]")))</f>
        <v>7.022053724947943E-5</v>
      </c>
      <c r="N2512" s="362">
        <f t="array" aca="1" ref="N2512" ca="1">SUM((G.30.assumptions.CombustionN2OEmissionsAfterCCS[[#This Row],[Technology code]]=G.30.assumptions.CombustionN2OEmissionsAfterEnergyEfficiency[Technology code])
        *INDIRECT("G.30.assumptions.CombustionN2OEmissionsAfterEnergyEfficiency["&amp;N$2456&amp;"]"))
*(1-SUM((G.30.assumptions.CombustionN2OEmissionsAfterCCS[[#This Row],[Description]]=G.30.assumptions.CCS[Description])
          *INDIRECT("G.30.assumptions.CCS["&amp;N$2456&amp;"]")))</f>
        <v>6.8942577279599779E-5</v>
      </c>
      <c r="O2512" s="362">
        <f t="array" aca="1" ref="O2512" ca="1">SUM((G.30.assumptions.CombustionN2OEmissionsAfterCCS[[#This Row],[Technology code]]=G.30.assumptions.CombustionN2OEmissionsAfterEnergyEfficiency[Technology code])
        *INDIRECT("G.30.assumptions.CombustionN2OEmissionsAfterEnergyEfficiency["&amp;O$2456&amp;"]"))
*(1-SUM((G.30.assumptions.CombustionN2OEmissionsAfterCCS[[#This Row],[Description]]=G.30.assumptions.CCS[Description])
          *INDIRECT("G.30.assumptions.CCS["&amp;O$2456&amp;"]")))</f>
        <v>6.7613013402822951E-5</v>
      </c>
      <c r="P2512" s="362">
        <f t="array" aca="1" ref="P2512" ca="1">SUM((G.30.assumptions.CombustionN2OEmissionsAfterCCS[[#This Row],[Technology code]]=G.30.assumptions.CombustionN2OEmissionsAfterEnergyEfficiency[Technology code])
        *INDIRECT("G.30.assumptions.CombustionN2OEmissionsAfterEnergyEfficiency["&amp;P$2456&amp;"]"))
*(1-SUM((G.30.assumptions.CombustionN2OEmissionsAfterCCS[[#This Row],[Description]]=G.30.assumptions.CCS[Description])
          *INDIRECT("G.30.assumptions.CCS["&amp;P$2456&amp;"]")))</f>
        <v>6.6231845619148865E-5</v>
      </c>
      <c r="Q2512" s="362">
        <f t="array" aca="1" ref="Q2512" ca="1">SUM((G.30.assumptions.CombustionN2OEmissionsAfterCCS[[#This Row],[Technology code]]=G.30.assumptions.CombustionN2OEmissionsAfterEnergyEfficiency[Technology code])
        *INDIRECT("G.30.assumptions.CombustionN2OEmissionsAfterEnergyEfficiency["&amp;Q$2456&amp;"]"))
*(1-SUM((G.30.assumptions.CombustionN2OEmissionsAfterCCS[[#This Row],[Description]]=G.30.assumptions.CCS[Description])
          *INDIRECT("G.30.assumptions.CCS["&amp;Q$2456&amp;"]")))</f>
        <v>6.4799073928577548E-5</v>
      </c>
      <c r="R2512" s="242"/>
      <c r="S2512" s="179"/>
      <c r="T2512" s="179"/>
      <c r="V2512" s="179"/>
      <c r="W2512" s="179"/>
    </row>
    <row r="2513" spans="1:23" s="65" customFormat="1" ht="15" customHeight="1" outlineLevel="2">
      <c r="A2513" s="219"/>
      <c r="B2513" s="242"/>
      <c r="C2513" s="334" t="s">
        <v>375</v>
      </c>
      <c r="D2513" s="335"/>
      <c r="E2513" s="335"/>
      <c r="F2513" s="336"/>
      <c r="G2513" s="334"/>
      <c r="H2513" s="335"/>
      <c r="I2513" s="339">
        <f ca="1">SUBTOTAL(109,G.30.assumptions.CombustionN2OEmissionsAfterCCS[2011])</f>
        <v>3.0899841860134206E-4</v>
      </c>
      <c r="J2513" s="339">
        <f ca="1">SUBTOTAL(109,G.30.assumptions.CombustionN2OEmissionsAfterCCS[2015])</f>
        <v>3.095213958284464E-4</v>
      </c>
      <c r="K2513" s="339">
        <f ca="1">SUBTOTAL(109,G.30.assumptions.CombustionN2OEmissionsAfterCCS[2020])</f>
        <v>3.1009955855552517E-4</v>
      </c>
      <c r="L2513" s="339">
        <f ca="1">SUBTOTAL(109,G.30.assumptions.CombustionN2OEmissionsAfterCCS[2025])</f>
        <v>3.1059376705282448E-4</v>
      </c>
      <c r="M2513" s="339">
        <f ca="1">SUBTOTAL(109,G.30.assumptions.CombustionN2OEmissionsAfterCCS[2030])</f>
        <v>3.1100402132034396E-4</v>
      </c>
      <c r="N2513" s="339">
        <f ca="1">SUBTOTAL(109,G.30.assumptions.CombustionN2OEmissionsAfterCCS[2035])</f>
        <v>3.1133032135808393E-4</v>
      </c>
      <c r="O2513" s="339">
        <f ca="1">SUBTOTAL(109,G.30.assumptions.CombustionN2OEmissionsAfterCCS[2040])</f>
        <v>3.1157266716604428E-4</v>
      </c>
      <c r="P2513" s="339">
        <f ca="1">SUBTOTAL(109,G.30.assumptions.CombustionN2OEmissionsAfterCCS[2045])</f>
        <v>3.1173105874422513E-4</v>
      </c>
      <c r="Q2513" s="339">
        <f ca="1">SUBTOTAL(109,G.30.assumptions.CombustionN2OEmissionsAfterCCS[2050])</f>
        <v>3.1180549609262625E-4</v>
      </c>
      <c r="R2513" s="242"/>
      <c r="S2513" s="179"/>
      <c r="T2513" s="179"/>
      <c r="V2513" s="179"/>
      <c r="W2513" s="179"/>
    </row>
    <row r="2514" spans="1:23" s="65" customFormat="1" ht="15" customHeight="1" outlineLevel="2">
      <c r="A2514" s="219"/>
      <c r="B2514" s="242"/>
      <c r="C2514" s="251"/>
      <c r="D2514" s="242"/>
      <c r="E2514" s="242"/>
      <c r="F2514" s="121"/>
      <c r="G2514" s="251"/>
      <c r="H2514" s="242"/>
      <c r="I2514" s="316"/>
      <c r="J2514" s="316"/>
      <c r="K2514" s="316"/>
      <c r="L2514" s="316"/>
      <c r="M2514" s="316"/>
      <c r="N2514" s="316"/>
      <c r="O2514" s="316"/>
      <c r="P2514" s="316"/>
      <c r="Q2514" s="316"/>
      <c r="R2514" s="242"/>
      <c r="S2514" s="179"/>
      <c r="T2514" s="179"/>
      <c r="V2514" s="179"/>
      <c r="W2514" s="179"/>
    </row>
    <row r="2515" spans="1:23" s="65" customFormat="1" ht="15" customHeight="1" outlineLevel="2">
      <c r="A2515" s="219"/>
      <c r="B2515" s="242"/>
      <c r="C2515" s="313" t="s">
        <v>2199</v>
      </c>
      <c r="D2515" s="242"/>
      <c r="E2515" s="242"/>
      <c r="F2515" s="121"/>
      <c r="G2515" s="251"/>
      <c r="H2515" s="242"/>
      <c r="I2515" s="316"/>
      <c r="J2515" s="316"/>
      <c r="K2515" s="316"/>
      <c r="L2515" s="316"/>
      <c r="M2515" s="316"/>
      <c r="N2515" s="316"/>
      <c r="O2515" s="316"/>
      <c r="P2515" s="316"/>
      <c r="Q2515" s="316"/>
      <c r="R2515" s="242"/>
      <c r="S2515" s="179"/>
      <c r="T2515" s="179"/>
      <c r="V2515" s="179"/>
      <c r="W2515" s="179"/>
    </row>
    <row r="2516" spans="1:23" s="65" customFormat="1" ht="15" customHeight="1" outlineLevel="2">
      <c r="A2516" s="219"/>
      <c r="B2516" s="242"/>
      <c r="C2516" s="256" t="s">
        <v>2200</v>
      </c>
      <c r="D2516" s="242"/>
      <c r="E2516" s="242"/>
      <c r="F2516" s="121"/>
      <c r="G2516" s="251"/>
      <c r="H2516" s="242"/>
      <c r="I2516" s="316"/>
      <c r="J2516" s="316"/>
      <c r="K2516" s="316"/>
      <c r="L2516" s="316"/>
      <c r="M2516" s="316"/>
      <c r="N2516" s="316"/>
      <c r="O2516" s="316"/>
      <c r="P2516" s="316"/>
      <c r="Q2516" s="316"/>
      <c r="R2516" s="242"/>
      <c r="S2516" s="179"/>
      <c r="T2516" s="179"/>
      <c r="V2516" s="179"/>
      <c r="W2516" s="179"/>
    </row>
    <row r="2517" spans="1:23" s="65" customFormat="1" ht="15" customHeight="1" outlineLevel="2">
      <c r="A2517" s="219"/>
      <c r="B2517" s="242"/>
      <c r="C2517" s="258" t="s">
        <v>454</v>
      </c>
      <c r="D2517" s="258" t="s">
        <v>241</v>
      </c>
      <c r="E2517" s="258" t="s">
        <v>598</v>
      </c>
      <c r="F2517" s="258" t="s">
        <v>274</v>
      </c>
      <c r="G2517" s="258" t="s">
        <v>509</v>
      </c>
      <c r="H2517" s="258" t="s">
        <v>510</v>
      </c>
      <c r="I2517" s="258" t="s">
        <v>1107</v>
      </c>
      <c r="J2517" s="258" t="s">
        <v>210</v>
      </c>
      <c r="K2517" s="258" t="s">
        <v>211</v>
      </c>
      <c r="L2517" s="258" t="s">
        <v>212</v>
      </c>
      <c r="M2517" s="258" t="s">
        <v>213</v>
      </c>
      <c r="N2517" s="258" t="s">
        <v>214</v>
      </c>
      <c r="O2517" s="258" t="s">
        <v>215</v>
      </c>
      <c r="P2517" s="258" t="s">
        <v>216</v>
      </c>
      <c r="Q2517" s="258" t="s">
        <v>217</v>
      </c>
      <c r="R2517" s="242"/>
      <c r="S2517" s="179"/>
      <c r="T2517" s="179"/>
      <c r="V2517" s="179"/>
      <c r="W2517" s="179"/>
    </row>
    <row r="2518" spans="1:23" s="65" customFormat="1" ht="15" customHeight="1" outlineLevel="2">
      <c r="A2518" s="219"/>
      <c r="B2518" s="242"/>
      <c r="C2518" s="251"/>
      <c r="D2518" s="251" t="s">
        <v>1377</v>
      </c>
      <c r="E2518" s="242"/>
      <c r="F2518" s="364"/>
      <c r="G2518" s="251" t="s">
        <v>1968</v>
      </c>
      <c r="H2518" s="242" t="s">
        <v>1986</v>
      </c>
      <c r="I2518" s="368">
        <f t="array" aca="1" ref="I2518"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2.7245455891389269E-17</v>
      </c>
      <c r="J2518" s="368">
        <f t="array" aca="1" ref="J2518"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3.7472737586530247E-18</v>
      </c>
      <c r="K2518" s="368">
        <f t="array" aca="1" ref="K2518"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1.2221668989342849E-16</v>
      </c>
      <c r="L2518" s="368">
        <f t="array" aca="1" ref="L2518"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-4.7637132953581851E-17</v>
      </c>
      <c r="M2518" s="368">
        <f t="array" aca="1" ref="M2518"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-4.6968924556655942E-17</v>
      </c>
      <c r="N2518" s="368">
        <f t="array" aca="1" ref="N2518"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8.0420696144112291E-17</v>
      </c>
      <c r="O2518" s="368">
        <f t="array" aca="1" ref="O2518"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1.2777174387984989E-16</v>
      </c>
      <c r="P2518" s="368">
        <f t="array" aca="1" ref="P2518"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-4.228065477275799E-17</v>
      </c>
      <c r="Q2518" s="368">
        <f t="array" aca="1" ref="Q2518"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-1.2679240079735422E-16</v>
      </c>
      <c r="R2518" s="242"/>
      <c r="S2518" s="179"/>
      <c r="T2518" s="179"/>
      <c r="V2518" s="179"/>
      <c r="W2518" s="179"/>
    </row>
    <row r="2519" spans="1:23" s="65" customFormat="1" ht="15" customHeight="1" outlineLevel="2">
      <c r="A2519" s="219"/>
      <c r="B2519" s="242"/>
      <c r="C2519" s="251"/>
      <c r="D2519" s="251" t="s">
        <v>2185</v>
      </c>
      <c r="E2519" s="242"/>
      <c r="F2519" s="364"/>
      <c r="G2519" s="251" t="s">
        <v>2196</v>
      </c>
      <c r="H2519" s="242" t="s">
        <v>2192</v>
      </c>
      <c r="I2519" s="368">
        <f t="array" aca="1" ref="I2519"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0</v>
      </c>
      <c r="J2519" s="368">
        <f t="array" aca="1" ref="J2519"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6.7762635780344027E-21</v>
      </c>
      <c r="K2519" s="368">
        <f t="array" aca="1" ref="K2519"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0</v>
      </c>
      <c r="L2519" s="368">
        <f t="array" aca="1" ref="L2519"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1.3552527156068805E-20</v>
      </c>
      <c r="M2519" s="368">
        <f t="array" aca="1" ref="M2519"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-1.3552527156068805E-20</v>
      </c>
      <c r="N2519" s="368">
        <f t="array" aca="1" ref="N2519"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0</v>
      </c>
      <c r="O2519" s="368">
        <f t="array" aca="1" ref="O2519"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-6.7762635780344027E-21</v>
      </c>
      <c r="P2519" s="368">
        <f t="array" aca="1" ref="P2519"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-1.3552527156068805E-20</v>
      </c>
      <c r="Q2519" s="368">
        <f t="array" aca="1" ref="Q2519"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6.7762635780344027E-21</v>
      </c>
      <c r="R2519" s="242"/>
      <c r="S2519" s="179"/>
      <c r="T2519" s="179"/>
      <c r="V2519" s="179"/>
      <c r="W2519" s="179"/>
    </row>
    <row r="2520" spans="1:23" s="65" customFormat="1" ht="15" customHeight="1" outlineLevel="2">
      <c r="A2520" s="219"/>
      <c r="B2520" s="242"/>
      <c r="C2520" s="251"/>
      <c r="D2520" s="315" t="s">
        <v>1380</v>
      </c>
      <c r="E2520" s="242"/>
      <c r="F2520" s="364"/>
      <c r="G2520" s="251" t="s">
        <v>1969</v>
      </c>
      <c r="H2520" s="242" t="s">
        <v>1987</v>
      </c>
      <c r="I2520" s="368">
        <f t="array" aca="1" ref="I2520"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-1.6364557495554542E-17</v>
      </c>
      <c r="J2520" s="368">
        <f t="array" aca="1" ref="J2520"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-2.9538807680817804E-17</v>
      </c>
      <c r="K2520" s="368">
        <f t="array" aca="1" ref="K2520"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1.9961456198224951E-16</v>
      </c>
      <c r="L2520" s="368">
        <f t="array" aca="1" ref="L2520"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-9.5003215364042326E-18</v>
      </c>
      <c r="M2520" s="368">
        <f t="array" aca="1" ref="M2520"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4.8203475311173785E-17</v>
      </c>
      <c r="N2520" s="368">
        <f t="array" aca="1" ref="N2520"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-3.9462981891464393E-17</v>
      </c>
      <c r="O2520" s="368">
        <f t="array" aca="1" ref="O2520"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2.2711677352547043E-16</v>
      </c>
      <c r="P2520" s="368">
        <f t="array" aca="1" ref="P2520"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-1.0671717823682492E-16</v>
      </c>
      <c r="Q2520" s="368">
        <f t="array" aca="1" ref="Q2520"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2.1521413123837263E-17</v>
      </c>
      <c r="R2520" s="242"/>
      <c r="S2520" s="179"/>
      <c r="T2520" s="179"/>
      <c r="V2520" s="179"/>
      <c r="W2520" s="179"/>
    </row>
    <row r="2521" spans="1:23" s="65" customFormat="1" ht="15" customHeight="1" outlineLevel="2">
      <c r="A2521" s="219"/>
      <c r="B2521" s="242"/>
      <c r="C2521" s="251"/>
      <c r="D2521" s="315" t="s">
        <v>1625</v>
      </c>
      <c r="E2521" s="242"/>
      <c r="F2521" s="364"/>
      <c r="G2521" s="251" t="s">
        <v>1970</v>
      </c>
      <c r="H2521" s="242" t="s">
        <v>1988</v>
      </c>
      <c r="I2521" s="368">
        <f t="array" aca="1" ref="I2521"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-9.9229203131233388E-19</v>
      </c>
      <c r="J2521" s="368">
        <f t="array" aca="1" ref="J2521"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-7.4150171829352435E-18</v>
      </c>
      <c r="K2521" s="368">
        <f t="array" aca="1" ref="K2521"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-2.5518356984430153E-18</v>
      </c>
      <c r="L2521" s="368">
        <f t="array" aca="1" ref="L2521"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-7.8605273502699789E-18</v>
      </c>
      <c r="M2521" s="368">
        <f t="array" aca="1" ref="M2521"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-2.0002079758404094E-18</v>
      </c>
      <c r="N2521" s="368">
        <f t="array" aca="1" ref="N2521"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-1.685852240806361E-17</v>
      </c>
      <c r="O2521" s="368">
        <f t="array" aca="1" ref="O2521"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-2.110781052635282E-17</v>
      </c>
      <c r="P2521" s="368">
        <f t="array" aca="1" ref="P2521"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2.0002830839458401E-17</v>
      </c>
      <c r="Q2521" s="368">
        <f t="array" aca="1" ref="Q2521"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2.0184106463599731E-17</v>
      </c>
      <c r="R2521" s="242"/>
      <c r="S2521" s="179"/>
      <c r="T2521" s="179"/>
      <c r="V2521" s="179"/>
      <c r="W2521" s="179"/>
    </row>
    <row r="2522" spans="1:23" s="65" customFormat="1" ht="15" customHeight="1" outlineLevel="2">
      <c r="A2522" s="219"/>
      <c r="B2522" s="242"/>
      <c r="C2522" s="251"/>
      <c r="D2522" s="315" t="s">
        <v>1939</v>
      </c>
      <c r="E2522" s="242"/>
      <c r="F2522" s="364"/>
      <c r="G2522" s="251" t="s">
        <v>1971</v>
      </c>
      <c r="H2522" s="242" t="s">
        <v>1989</v>
      </c>
      <c r="I2522" s="368">
        <f t="array" aca="1" ref="I2522"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-2.4676434747569065E-18</v>
      </c>
      <c r="J2522" s="368">
        <f t="array" aca="1" ref="J2522"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4.9387207639403925E-18</v>
      </c>
      <c r="K2522" s="368">
        <f t="array" aca="1" ref="K2522"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4.7165758884207088E-18</v>
      </c>
      <c r="L2522" s="368">
        <f t="array" aca="1" ref="L2522"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-1.1942343833444699E-18</v>
      </c>
      <c r="M2522" s="368">
        <f t="array" aca="1" ref="M2522"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3.0322060533161709E-18</v>
      </c>
      <c r="N2522" s="368">
        <f t="array" aca="1" ref="N2522"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-6.6925754582117511E-18</v>
      </c>
      <c r="O2522" s="368">
        <f t="array" aca="1" ref="O2522"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1.4415814150648253E-18</v>
      </c>
      <c r="P2522" s="368">
        <f t="array" aca="1" ref="P2522"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-3.9370572498182285E-18</v>
      </c>
      <c r="Q2522" s="368">
        <f t="array" aca="1" ref="Q2522"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-3.1441980182235097E-18</v>
      </c>
      <c r="R2522" s="242"/>
      <c r="S2522" s="179"/>
      <c r="T2522" s="179"/>
      <c r="V2522" s="179"/>
      <c r="W2522" s="179"/>
    </row>
    <row r="2523" spans="1:23" s="65" customFormat="1" ht="15" customHeight="1" outlineLevel="2">
      <c r="A2523" s="219"/>
      <c r="B2523" s="242"/>
      <c r="C2523" s="251"/>
      <c r="D2523" s="315" t="s">
        <v>1940</v>
      </c>
      <c r="E2523" s="242"/>
      <c r="F2523" s="364"/>
      <c r="G2523" s="251" t="s">
        <v>1972</v>
      </c>
      <c r="H2523" s="242" t="s">
        <v>1990</v>
      </c>
      <c r="I2523" s="368">
        <f t="array" aca="1" ref="I2523"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-4.6151480699817455E-19</v>
      </c>
      <c r="J2523" s="368">
        <f t="array" aca="1" ref="J2523"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3.8461759894624282E-18</v>
      </c>
      <c r="K2523" s="368">
        <f t="array" aca="1" ref="K2523"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-1.7613208119574054E-18</v>
      </c>
      <c r="L2523" s="368">
        <f t="array" aca="1" ref="L2523"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-1.8067477094123291E-18</v>
      </c>
      <c r="M2523" s="368">
        <f t="array" aca="1" ref="M2523"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8.1374113874298494E-19</v>
      </c>
      <c r="N2523" s="368">
        <f t="array" aca="1" ref="N2523"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7.3478366658757349E-19</v>
      </c>
      <c r="O2523" s="368">
        <f t="array" aca="1" ref="O2523"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1.9908956459709465E-18</v>
      </c>
      <c r="P2523" s="368">
        <f t="array" aca="1" ref="P2523"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-2.2083776382476775E-18</v>
      </c>
      <c r="Q2523" s="368">
        <f t="array" aca="1" ref="Q2523"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-1.4180446833406362E-19</v>
      </c>
      <c r="R2523" s="242"/>
      <c r="S2523" s="179"/>
      <c r="T2523" s="179"/>
      <c r="V2523" s="179"/>
      <c r="W2523" s="179"/>
    </row>
    <row r="2524" spans="1:23" s="65" customFormat="1" ht="15" customHeight="1" outlineLevel="2">
      <c r="A2524" s="219"/>
      <c r="B2524" s="242"/>
      <c r="C2524" s="251"/>
      <c r="D2524" s="315" t="s">
        <v>1961</v>
      </c>
      <c r="E2524" s="242"/>
      <c r="F2524" s="364"/>
      <c r="G2524" s="251" t="s">
        <v>1973</v>
      </c>
      <c r="H2524" s="242" t="s">
        <v>1991</v>
      </c>
      <c r="I2524" s="368">
        <f t="array" aca="1" ref="I2524"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7.7855176346723902E-17</v>
      </c>
      <c r="J2524" s="368">
        <f t="array" aca="1" ref="J2524"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4.9689415456813259E-17</v>
      </c>
      <c r="K2524" s="368">
        <f t="array" aca="1" ref="K2524"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-3.0684164637292284E-17</v>
      </c>
      <c r="L2524" s="368">
        <f t="array" aca="1" ref="L2524"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1.0669622313493265E-16</v>
      </c>
      <c r="M2524" s="368">
        <f t="array" aca="1" ref="M2524"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-1.2182507755535092E-16</v>
      </c>
      <c r="N2524" s="368">
        <f t="array" aca="1" ref="N2524"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-2.0527527843260065E-16</v>
      </c>
      <c r="O2524" s="368">
        <f t="array" aca="1" ref="O2524"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-6.8749010879958305E-17</v>
      </c>
      <c r="P2524" s="368">
        <f t="array" aca="1" ref="P2524"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7.2882677936925674E-17</v>
      </c>
      <c r="Q2524" s="368">
        <f t="array" aca="1" ref="Q2524"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-7.3039947519779525E-17</v>
      </c>
      <c r="R2524" s="242"/>
      <c r="S2524" s="179"/>
      <c r="T2524" s="179"/>
      <c r="V2524" s="179"/>
      <c r="W2524" s="179"/>
    </row>
    <row r="2525" spans="1:23" s="65" customFormat="1" ht="15" customHeight="1" outlineLevel="2">
      <c r="A2525" s="219"/>
      <c r="B2525" s="242"/>
      <c r="C2525" s="251"/>
      <c r="D2525" s="315" t="s">
        <v>1962</v>
      </c>
      <c r="E2525" s="242"/>
      <c r="F2525" s="364"/>
      <c r="G2525" s="251" t="s">
        <v>1974</v>
      </c>
      <c r="H2525" s="242" t="s">
        <v>1992</v>
      </c>
      <c r="I2525" s="368">
        <f t="array" aca="1" ref="I2525"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-1.4985706902823082E-17</v>
      </c>
      <c r="J2525" s="368">
        <f t="array" aca="1" ref="J2525"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-1.6510559086751822E-17</v>
      </c>
      <c r="K2525" s="368">
        <f t="array" aca="1" ref="K2525"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8.2097697909798247E-18</v>
      </c>
      <c r="L2525" s="368">
        <f t="array" aca="1" ref="L2525"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-1.3407224468577029E-17</v>
      </c>
      <c r="M2525" s="368">
        <f t="array" aca="1" ref="M2525"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1.8112148939438606E-17</v>
      </c>
      <c r="N2525" s="368">
        <f t="array" aca="1" ref="N2525"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6.1452839347277845E-18</v>
      </c>
      <c r="O2525" s="368">
        <f t="array" aca="1" ref="O2525"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4.0136225797909158E-17</v>
      </c>
      <c r="P2525" s="368">
        <f t="array" aca="1" ref="P2525"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-3.68807352413218E-17</v>
      </c>
      <c r="Q2525" s="368">
        <f t="array" aca="1" ref="Q2525"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-1.0386884075014719E-17</v>
      </c>
      <c r="R2525" s="242"/>
      <c r="S2525" s="179"/>
      <c r="T2525" s="179"/>
      <c r="V2525" s="179"/>
      <c r="W2525" s="179"/>
    </row>
    <row r="2526" spans="1:23" s="65" customFormat="1" ht="15" customHeight="1" outlineLevel="2">
      <c r="A2526" s="219"/>
      <c r="B2526" s="242"/>
      <c r="C2526" s="251"/>
      <c r="D2526" s="315" t="s">
        <v>1963</v>
      </c>
      <c r="E2526" s="242"/>
      <c r="F2526" s="364"/>
      <c r="G2526" s="251" t="s">
        <v>1975</v>
      </c>
      <c r="H2526" s="242" t="s">
        <v>1993</v>
      </c>
      <c r="I2526" s="368">
        <f t="array" aca="1" ref="I2526"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-1.5944949930371558E-17</v>
      </c>
      <c r="J2526" s="368">
        <f t="array" aca="1" ref="J2526"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-1.0096407796827525E-17</v>
      </c>
      <c r="K2526" s="368">
        <f t="array" aca="1" ref="K2526"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-2.3848897676306385E-17</v>
      </c>
      <c r="L2526" s="368">
        <f t="array" aca="1" ref="L2526"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-1.8451837242795198E-18</v>
      </c>
      <c r="M2526" s="368">
        <f t="array" aca="1" ref="M2526"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-1.5806671847248341E-17</v>
      </c>
      <c r="N2526" s="368">
        <f t="array" aca="1" ref="N2526"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-2.6753673614666919E-17</v>
      </c>
      <c r="O2526" s="368">
        <f t="array" aca="1" ref="O2526"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6.9467936647422293E-18</v>
      </c>
      <c r="P2526" s="368">
        <f t="array" aca="1" ref="P2526"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-6.2680438096818225E-19</v>
      </c>
      <c r="Q2526" s="368">
        <f t="array" aca="1" ref="Q2526"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4.1151113430025546E-17</v>
      </c>
      <c r="R2526" s="242"/>
      <c r="S2526" s="179"/>
      <c r="T2526" s="179"/>
      <c r="V2526" s="179"/>
      <c r="W2526" s="179"/>
    </row>
    <row r="2527" spans="1:23" s="65" customFormat="1" ht="15" customHeight="1" outlineLevel="2">
      <c r="A2527" s="219"/>
      <c r="B2527" s="242"/>
      <c r="C2527" s="251"/>
      <c r="D2527" s="251" t="s">
        <v>1964</v>
      </c>
      <c r="E2527" s="242"/>
      <c r="F2527" s="364"/>
      <c r="G2527" s="251" t="s">
        <v>1976</v>
      </c>
      <c r="H2527" s="242" t="s">
        <v>1994</v>
      </c>
      <c r="I2527" s="368">
        <f t="array" aca="1" ref="I2527"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-2.5117576204700119E-17</v>
      </c>
      <c r="J2527" s="368">
        <f t="array" aca="1" ref="J2527"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-3.4565859511832015E-18</v>
      </c>
      <c r="K2527" s="368">
        <f t="array" aca="1" ref="K2527"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-1.231247092128851E-17</v>
      </c>
      <c r="L2527" s="368">
        <f t="array" aca="1" ref="L2527"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3.4418216022239273E-17</v>
      </c>
      <c r="M2527" s="368">
        <f t="array" aca="1" ref="M2527"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1.4209824723138142E-17</v>
      </c>
      <c r="N2527" s="368">
        <f t="array" aca="1" ref="N2527"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-3.1928476914639168E-18</v>
      </c>
      <c r="O2527" s="368">
        <f t="array" aca="1" ref="O2527"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3.4780088478596348E-17</v>
      </c>
      <c r="P2527" s="368">
        <f t="array" aca="1" ref="P2527"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-2.6250000180060748E-17</v>
      </c>
      <c r="Q2527" s="368">
        <f t="array" aca="1" ref="Q2527"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8.727420912693629E-18</v>
      </c>
      <c r="R2527" s="242"/>
      <c r="S2527" s="179"/>
      <c r="T2527" s="179"/>
      <c r="V2527" s="179"/>
      <c r="W2527" s="179"/>
    </row>
    <row r="2528" spans="1:23" s="65" customFormat="1" ht="15" customHeight="1" outlineLevel="2">
      <c r="A2528" s="219"/>
      <c r="B2528" s="242"/>
      <c r="C2528" s="251"/>
      <c r="D2528" s="315" t="s">
        <v>1954</v>
      </c>
      <c r="E2528" s="242"/>
      <c r="F2528" s="364"/>
      <c r="G2528" s="251" t="s">
        <v>1977</v>
      </c>
      <c r="H2528" s="242" t="s">
        <v>1995</v>
      </c>
      <c r="I2528" s="368">
        <f t="array" aca="1" ref="I2528"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-1.7936769691057064E-17</v>
      </c>
      <c r="J2528" s="368">
        <f t="array" aca="1" ref="J2528"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-1.3909154149509915E-17</v>
      </c>
      <c r="K2528" s="368">
        <f t="array" aca="1" ref="K2528"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-1.926689537702695E-17</v>
      </c>
      <c r="L2528" s="368">
        <f t="array" aca="1" ref="L2528"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7.0815446991766499E-18</v>
      </c>
      <c r="M2528" s="368">
        <f t="array" aca="1" ref="M2528"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2.9932528563197624E-18</v>
      </c>
      <c r="N2528" s="368">
        <f t="array" aca="1" ref="N2528"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9.3308103720843083E-19</v>
      </c>
      <c r="O2528" s="368">
        <f t="array" aca="1" ref="O2528"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9.7919622020812832E-19</v>
      </c>
      <c r="P2528" s="368">
        <f t="array" aca="1" ref="P2528"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-2.4311330607705891E-18</v>
      </c>
      <c r="Q2528" s="368">
        <f t="array" aca="1" ref="Q2528"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2.117613375225008E-17</v>
      </c>
      <c r="R2528" s="242"/>
      <c r="S2528" s="179"/>
      <c r="T2528" s="179"/>
      <c r="V2528" s="179"/>
      <c r="W2528" s="179"/>
    </row>
    <row r="2529" spans="1:24" s="65" customFormat="1" ht="15" customHeight="1" outlineLevel="2">
      <c r="A2529" s="219"/>
      <c r="B2529" s="242"/>
      <c r="C2529" s="251"/>
      <c r="D2529" s="251" t="s">
        <v>1955</v>
      </c>
      <c r="E2529" s="242"/>
      <c r="F2529" s="364"/>
      <c r="G2529" s="251" t="s">
        <v>1978</v>
      </c>
      <c r="H2529" s="242" t="s">
        <v>1996</v>
      </c>
      <c r="I2529" s="368">
        <f t="array" aca="1" ref="I2529"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-3.509319914437454E-17</v>
      </c>
      <c r="J2529" s="368">
        <f t="array" aca="1" ref="J2529"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-1.6265456060338969E-17</v>
      </c>
      <c r="K2529" s="368">
        <f t="array" aca="1" ref="K2529"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-7.3198069029640728E-17</v>
      </c>
      <c r="L2529" s="368">
        <f t="array" aca="1" ref="L2529"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2.1795964283657759E-17</v>
      </c>
      <c r="M2529" s="368">
        <f t="array" aca="1" ref="M2529"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3.0473063417258152E-17</v>
      </c>
      <c r="N2529" s="368">
        <f t="array" aca="1" ref="N2529"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3.7106228496679274E-17</v>
      </c>
      <c r="O2529" s="368">
        <f t="array" aca="1" ref="O2529"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4.3157966670351545E-17</v>
      </c>
      <c r="P2529" s="368">
        <f t="array" aca="1" ref="P2529"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-4.7187887268400497E-17</v>
      </c>
      <c r="Q2529" s="368">
        <f t="array" aca="1" ref="Q2529"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-3.9677691415340033E-17</v>
      </c>
      <c r="R2529" s="242"/>
      <c r="S2529" s="179"/>
      <c r="T2529" s="179"/>
      <c r="V2529" s="179"/>
      <c r="W2529" s="179"/>
    </row>
    <row r="2530" spans="1:24" s="65" customFormat="1" ht="15" customHeight="1" outlineLevel="2">
      <c r="A2530" s="219"/>
      <c r="B2530" s="242"/>
      <c r="C2530" s="251"/>
      <c r="D2530" s="251" t="s">
        <v>1956</v>
      </c>
      <c r="E2530" s="242"/>
      <c r="F2530" s="364"/>
      <c r="G2530" s="251" t="s">
        <v>1979</v>
      </c>
      <c r="H2530" s="242" t="s">
        <v>1997</v>
      </c>
      <c r="I2530" s="368">
        <f t="array" aca="1" ref="I2530"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-4.7269958772439863E-18</v>
      </c>
      <c r="J2530" s="368">
        <f t="array" aca="1" ref="J2530"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5.8615775678879357E-18</v>
      </c>
      <c r="K2530" s="368">
        <f t="array" aca="1" ref="K2530"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-6.6064485825104934E-19</v>
      </c>
      <c r="L2530" s="368">
        <f t="array" aca="1" ref="L2530"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-1.08688939744256E-18</v>
      </c>
      <c r="M2530" s="368">
        <f t="array" aca="1" ref="M2530"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5.2092466895097528E-19</v>
      </c>
      <c r="N2530" s="368">
        <f t="array" aca="1" ref="N2530"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-2.7201084649098564E-18</v>
      </c>
      <c r="O2530" s="368">
        <f t="array" aca="1" ref="O2530"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1.5288944697940121E-19</v>
      </c>
      <c r="P2530" s="368">
        <f t="array" aca="1" ref="P2530"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-2.412436102143049E-18</v>
      </c>
      <c r="Q2530" s="368">
        <f t="array" aca="1" ref="Q2530"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2.0949354453329676E-18</v>
      </c>
      <c r="R2530" s="242"/>
      <c r="S2530" s="179"/>
      <c r="T2530" s="179"/>
      <c r="V2530" s="179"/>
      <c r="W2530" s="179"/>
    </row>
    <row r="2531" spans="1:24" s="65" customFormat="1" ht="15" customHeight="1" outlineLevel="2">
      <c r="A2531" s="219"/>
      <c r="B2531" s="242"/>
      <c r="C2531" s="251"/>
      <c r="D2531" s="251" t="s">
        <v>1426</v>
      </c>
      <c r="E2531" s="242"/>
      <c r="F2531" s="364"/>
      <c r="G2531" s="251" t="s">
        <v>1980</v>
      </c>
      <c r="H2531" s="242" t="s">
        <v>1998</v>
      </c>
      <c r="I2531" s="368">
        <f t="array" aca="1" ref="I2531"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-9.1259133975854512E-17</v>
      </c>
      <c r="J2531" s="368">
        <f t="array" aca="1" ref="J2531"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-9.0246876723836533E-17</v>
      </c>
      <c r="K2531" s="368">
        <f t="array" aca="1" ref="K2531"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-6.6954844354724326E-17</v>
      </c>
      <c r="L2531" s="368">
        <f t="array" aca="1" ref="L2531"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2.6055711159978959E-18</v>
      </c>
      <c r="M2531" s="368">
        <f t="array" aca="1" ref="M2531"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1.6760407482026934E-16</v>
      </c>
      <c r="N2531" s="368">
        <f t="array" aca="1" ref="N2531"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1.0234991608309458E-16</v>
      </c>
      <c r="O2531" s="368">
        <f t="array" aca="1" ref="O2531"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-1.3586219204991605E-17</v>
      </c>
      <c r="P2531" s="368">
        <f t="array" aca="1" ref="P2531"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1.1787075761809277E-16</v>
      </c>
      <c r="Q2531" s="368">
        <f t="array" aca="1" ref="Q2531"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7.675658487057042E-17</v>
      </c>
      <c r="R2531" s="242"/>
      <c r="S2531" s="179"/>
      <c r="T2531" s="179"/>
      <c r="V2531" s="179"/>
      <c r="W2531" s="179"/>
    </row>
    <row r="2532" spans="1:24" s="65" customFormat="1" ht="15" customHeight="1" outlineLevel="2">
      <c r="A2532" s="219"/>
      <c r="B2532" s="242"/>
      <c r="C2532" s="251"/>
      <c r="D2532" s="251" t="s">
        <v>1457</v>
      </c>
      <c r="E2532" s="242"/>
      <c r="F2532" s="364"/>
      <c r="G2532" s="251" t="s">
        <v>1981</v>
      </c>
      <c r="H2532" s="242" t="s">
        <v>1999</v>
      </c>
      <c r="I2532" s="368">
        <f t="array" aca="1" ref="I2532" ca="1">SUM(   (G.30.assumptions.TotalCCSimpact[[#This Row],[.]]=G.30.assumptions.CombustionCO2EmissionsAfterCCS[Technology code])
*INDIRECT("G.30.assumptions.CombustionCO2EmissionsAfterCCS["&amp;I$2517&amp;"]")   )
+SUM(   (G.30.assumptions.TotalCCSimpact[[#This Row],[.]]=G.30.assumptions.CombustionCH4EmissionsAfterCCS[Technology code])
*INDIRECT("G.30.assumptions.CombustionCH4EmissionsAfterCCS["&amp;I$2517&amp;"]")   )
+SUM(   (G.30.assumptions.TotalCCSimpact[[#This Row],[.]]=G.30.assumptions.CombustionN2OEmissionsAfterCCS[Technology code])
*INDIRECT("G.30.assumptions.CombustionN2OEmissionsAfterCCS["&amp;I$2517&amp;"]")   )
-SUM(   (G.30.assumptions.TotalCCSimpact[[#This Row],[.]]=G.30.assumptions.CombustionCO2EmissionsAfterEnergyEfficiency[Technology code])
*INDIRECT("G.30.assumptions.CombustionCO2EmissionsAfterEnergyEfficiency["&amp;I$2517&amp;"]")   )
-SUM(   (G.30.assumptions.TotalCCSimpact[[#This Row],[.]]=G.30.assumptions.CombustionCH4EmissionsAfterEnergyEfficiency[Technology code])
*INDIRECT("G.30.assumptions.CombustionCH4EmissionsAfterEnergyEfficiency["&amp;I$2517&amp;"]")   )
-SUM(   (G.30.assumptions.TotalCCSimpact[[#This Row],[.]]=G.30.assumptions.CombustionN2OEmissionsAfterEnergyEfficiency[Technology code])
*INDIRECT("G.30.assumptions.CombustionN2OEmissionsAfterEnergyEfficiency["&amp;I$2517&amp;"]")   )
+SUM((G.30.assumptions.TotalCCSimpact[[#This Row],[Description]]=G.30.assumptions.MaterialDemandAfterProcessImprovements[Description])
        *INDIRECT("G.30.assumptions.MaterialDemandAfterProcessImprovements["&amp;I$2517&amp;"]"))
*(SUM((G.30.assumptions.TotalCCSimpact[[#This Row],[..]]=G.30.assumptions.SpecificProcessCO2EmissionsAfterCCS[Description])
        *INDIRECT("G.30.assumptions.SpecificProcessCO2EmissionsAfterCCS["&amp;I$2517&amp;"]"))
+SUM((G.30.assumptions.TotalCCSimpact[[#This Row],[..]]=G.30.assumptions.SpecificProcessCH4EmissionsAfterCCS[Description])
        *INDIRECT("G.30.assumptions.SpecificProcessCH4EmissionsAfterCCS["&amp;I$2517&amp;"]"))
+SUM((G.30.assumptions.TotalCCSimpact[[#This Row],[..]]=G.30.assumptions.SpecificProcessN2OEmissionsAfterCCS[Description])
        *INDIRECT("G.30.assumptions.SpecificProcessN2OEmissionsAfterCCS["&amp;I$2517&amp;"]"))
-SUM((G.30.assumptions.TotalCCSimpact[[#This Row],[..]]=G.30.assumptions.SpecificProcessCO2EmissionsAfterEnergyEfficiency[Description])
        *INDIRECT("G.30.assumptions.SpecificProcessCO2EmissionsAfterEnergyEfficiency["&amp;I$2517&amp;"]"))
-SUM((G.30.assumptions.TotalCCSimpact[[#This Row],[..]]=G.30.assumptions.SpecificProcessCH4EmissionsAfterEnergyEfficiency[Description])
        *INDIRECT("G.30.assumptions.SpecificProcessCH4EmissionsAfterEnergyEfficiency["&amp;I$2517&amp;"]"))
-SUM((G.30.assumptions.TotalCCSimpact[[#This Row],[..]]=G.30.assumptions.SpecificProcessN2OEmissionsAfterEnergyEfficiency[Description])
        *INDIRECT("G.30.assumptions.SpecificProcessN2OEmissionsAfterEnergyEfficiency["&amp;I$2517&amp;"]"))
)</f>
        <v>8.0908587121730768E-18</v>
      </c>
      <c r="J2532" s="368">
        <f t="array" aca="1" ref="J2532" ca="1">SUM(   (G.30.assumptions.TotalCCSimpact[[#This Row],[.]]=G.30.assumptions.CombustionCO2EmissionsAfterCCS[Technology code])
*INDIRECT("G.30.assumptions.CombustionCO2EmissionsAfterCCS["&amp;J$2517&amp;"]")   )
+SUM(   (G.30.assumptions.TotalCCSimpact[[#This Row],[.]]=G.30.assumptions.CombustionCH4EmissionsAfterCCS[Technology code])
*INDIRECT("G.30.assumptions.CombustionCH4EmissionsAfterCCS["&amp;J$2517&amp;"]")   )
+SUM(   (G.30.assumptions.TotalCCSimpact[[#This Row],[.]]=G.30.assumptions.CombustionN2OEmissionsAfterCCS[Technology code])
*INDIRECT("G.30.assumptions.CombustionN2OEmissionsAfterCCS["&amp;J$2517&amp;"]")   )
-SUM(   (G.30.assumptions.TotalCCSimpact[[#This Row],[.]]=G.30.assumptions.CombustionCO2EmissionsAfterEnergyEfficiency[Technology code])
*INDIRECT("G.30.assumptions.CombustionCO2EmissionsAfterEnergyEfficiency["&amp;J$2517&amp;"]")   )
-SUM(   (G.30.assumptions.TotalCCSimpact[[#This Row],[.]]=G.30.assumptions.CombustionCH4EmissionsAfterEnergyEfficiency[Technology code])
*INDIRECT("G.30.assumptions.CombustionCH4EmissionsAfterEnergyEfficiency["&amp;J$2517&amp;"]")   )
-SUM(   (G.30.assumptions.TotalCCSimpact[[#This Row],[.]]=G.30.assumptions.CombustionN2OEmissionsAfterEnergyEfficiency[Technology code])
*INDIRECT("G.30.assumptions.CombustionN2OEmissionsAfterEnergyEfficiency["&amp;J$2517&amp;"]")   )
+SUM((G.30.assumptions.TotalCCSimpact[[#This Row],[Description]]=G.30.assumptions.MaterialDemandAfterProcessImprovements[Description])
        *INDIRECT("G.30.assumptions.MaterialDemandAfterProcessImprovements["&amp;J$2517&amp;"]"))
*(SUM((G.30.assumptions.TotalCCSimpact[[#This Row],[..]]=G.30.assumptions.SpecificProcessCO2EmissionsAfterCCS[Description])
        *INDIRECT("G.30.assumptions.SpecificProcessCO2EmissionsAfterCCS["&amp;J$2517&amp;"]"))
+SUM((G.30.assumptions.TotalCCSimpact[[#This Row],[..]]=G.30.assumptions.SpecificProcessCH4EmissionsAfterCCS[Description])
        *INDIRECT("G.30.assumptions.SpecificProcessCH4EmissionsAfterCCS["&amp;J$2517&amp;"]"))
+SUM((G.30.assumptions.TotalCCSimpact[[#This Row],[..]]=G.30.assumptions.SpecificProcessN2OEmissionsAfterCCS[Description])
        *INDIRECT("G.30.assumptions.SpecificProcessN2OEmissionsAfterCCS["&amp;J$2517&amp;"]"))
-SUM((G.30.assumptions.TotalCCSimpact[[#This Row],[..]]=G.30.assumptions.SpecificProcessCO2EmissionsAfterEnergyEfficiency[Description])
        *INDIRECT("G.30.assumptions.SpecificProcessCO2EmissionsAfterEnergyEfficiency["&amp;J$2517&amp;"]"))
-SUM((G.30.assumptions.TotalCCSimpact[[#This Row],[..]]=G.30.assumptions.SpecificProcessCH4EmissionsAfterEnergyEfficiency[Description])
        *INDIRECT("G.30.assumptions.SpecificProcessCH4EmissionsAfterEnergyEfficiency["&amp;J$2517&amp;"]"))
-SUM((G.30.assumptions.TotalCCSimpact[[#This Row],[..]]=G.30.assumptions.SpecificProcessN2OEmissionsAfterEnergyEfficiency[Description])
        *INDIRECT("G.30.assumptions.SpecificProcessN2OEmissionsAfterEnergyEfficiency["&amp;J$2517&amp;"]"))
)</f>
        <v>6.7753892503797804E-17</v>
      </c>
      <c r="K2532" s="368">
        <f t="array" aca="1" ref="K2532" ca="1">SUM(   (G.30.assumptions.TotalCCSimpact[[#This Row],[.]]=G.30.assumptions.CombustionCO2EmissionsAfterCCS[Technology code])
*INDIRECT("G.30.assumptions.CombustionCO2EmissionsAfterCCS["&amp;K$2517&amp;"]")   )
+SUM(   (G.30.assumptions.TotalCCSimpact[[#This Row],[.]]=G.30.assumptions.CombustionCH4EmissionsAfterCCS[Technology code])
*INDIRECT("G.30.assumptions.CombustionCH4EmissionsAfterCCS["&amp;K$2517&amp;"]")   )
+SUM(   (G.30.assumptions.TotalCCSimpact[[#This Row],[.]]=G.30.assumptions.CombustionN2OEmissionsAfterCCS[Technology code])
*INDIRECT("G.30.assumptions.CombustionN2OEmissionsAfterCCS["&amp;K$2517&amp;"]")   )
-SUM(   (G.30.assumptions.TotalCCSimpact[[#This Row],[.]]=G.30.assumptions.CombustionCO2EmissionsAfterEnergyEfficiency[Technology code])
*INDIRECT("G.30.assumptions.CombustionCO2EmissionsAfterEnergyEfficiency["&amp;K$2517&amp;"]")   )
-SUM(   (G.30.assumptions.TotalCCSimpact[[#This Row],[.]]=G.30.assumptions.CombustionCH4EmissionsAfterEnergyEfficiency[Technology code])
*INDIRECT("G.30.assumptions.CombustionCH4EmissionsAfterEnergyEfficiency["&amp;K$2517&amp;"]")   )
-SUM(   (G.30.assumptions.TotalCCSimpact[[#This Row],[.]]=G.30.assumptions.CombustionN2OEmissionsAfterEnergyEfficiency[Technology code])
*INDIRECT("G.30.assumptions.CombustionN2OEmissionsAfterEnergyEfficiency["&amp;K$2517&amp;"]")   )
+SUM((G.30.assumptions.TotalCCSimpact[[#This Row],[Description]]=G.30.assumptions.MaterialDemandAfterProcessImprovements[Description])
        *INDIRECT("G.30.assumptions.MaterialDemandAfterProcessImprovements["&amp;K$2517&amp;"]"))
*(SUM((G.30.assumptions.TotalCCSimpact[[#This Row],[..]]=G.30.assumptions.SpecificProcessCO2EmissionsAfterCCS[Description])
        *INDIRECT("G.30.assumptions.SpecificProcessCO2EmissionsAfterCCS["&amp;K$2517&amp;"]"))
+SUM((G.30.assumptions.TotalCCSimpact[[#This Row],[..]]=G.30.assumptions.SpecificProcessCH4EmissionsAfterCCS[Description])
        *INDIRECT("G.30.assumptions.SpecificProcessCH4EmissionsAfterCCS["&amp;K$2517&amp;"]"))
+SUM((G.30.assumptions.TotalCCSimpact[[#This Row],[..]]=G.30.assumptions.SpecificProcessN2OEmissionsAfterCCS[Description])
        *INDIRECT("G.30.assumptions.SpecificProcessN2OEmissionsAfterCCS["&amp;K$2517&amp;"]"))
-SUM((G.30.assumptions.TotalCCSimpact[[#This Row],[..]]=G.30.assumptions.SpecificProcessCO2EmissionsAfterEnergyEfficiency[Description])
        *INDIRECT("G.30.assumptions.SpecificProcessCO2EmissionsAfterEnergyEfficiency["&amp;K$2517&amp;"]"))
-SUM((G.30.assumptions.TotalCCSimpact[[#This Row],[..]]=G.30.assumptions.SpecificProcessCH4EmissionsAfterEnergyEfficiency[Description])
        *INDIRECT("G.30.assumptions.SpecificProcessCH4EmissionsAfterEnergyEfficiency["&amp;K$2517&amp;"]"))
-SUM((G.30.assumptions.TotalCCSimpact[[#This Row],[..]]=G.30.assumptions.SpecificProcessN2OEmissionsAfterEnergyEfficiency[Description])
        *INDIRECT("G.30.assumptions.SpecificProcessN2OEmissionsAfterEnergyEfficiency["&amp;K$2517&amp;"]"))
)</f>
        <v>3.7873892390349884E-16</v>
      </c>
      <c r="L2532" s="368">
        <f t="array" aca="1" ref="L2532" ca="1">SUM(   (G.30.assumptions.TotalCCSimpact[[#This Row],[.]]=G.30.assumptions.CombustionCO2EmissionsAfterCCS[Technology code])
*INDIRECT("G.30.assumptions.CombustionCO2EmissionsAfterCCS["&amp;L$2517&amp;"]")   )
+SUM(   (G.30.assumptions.TotalCCSimpact[[#This Row],[.]]=G.30.assumptions.CombustionCH4EmissionsAfterCCS[Technology code])
*INDIRECT("G.30.assumptions.CombustionCH4EmissionsAfterCCS["&amp;L$2517&amp;"]")   )
+SUM(   (G.30.assumptions.TotalCCSimpact[[#This Row],[.]]=G.30.assumptions.CombustionN2OEmissionsAfterCCS[Technology code])
*INDIRECT("G.30.assumptions.CombustionN2OEmissionsAfterCCS["&amp;L$2517&amp;"]")   )
-SUM(   (G.30.assumptions.TotalCCSimpact[[#This Row],[.]]=G.30.assumptions.CombustionCO2EmissionsAfterEnergyEfficiency[Technology code])
*INDIRECT("G.30.assumptions.CombustionCO2EmissionsAfterEnergyEfficiency["&amp;L$2517&amp;"]")   )
-SUM(   (G.30.assumptions.TotalCCSimpact[[#This Row],[.]]=G.30.assumptions.CombustionCH4EmissionsAfterEnergyEfficiency[Technology code])
*INDIRECT("G.30.assumptions.CombustionCH4EmissionsAfterEnergyEfficiency["&amp;L$2517&amp;"]")   )
-SUM(   (G.30.assumptions.TotalCCSimpact[[#This Row],[.]]=G.30.assumptions.CombustionN2OEmissionsAfterEnergyEfficiency[Technology code])
*INDIRECT("G.30.assumptions.CombustionN2OEmissionsAfterEnergyEfficiency["&amp;L$2517&amp;"]")   )
+SUM((G.30.assumptions.TotalCCSimpact[[#This Row],[Description]]=G.30.assumptions.MaterialDemandAfterProcessImprovements[Description])
        *INDIRECT("G.30.assumptions.MaterialDemandAfterProcessImprovements["&amp;L$2517&amp;"]"))
*(SUM((G.30.assumptions.TotalCCSimpact[[#This Row],[..]]=G.30.assumptions.SpecificProcessCO2EmissionsAfterCCS[Description])
        *INDIRECT("G.30.assumptions.SpecificProcessCO2EmissionsAfterCCS["&amp;L$2517&amp;"]"))
+SUM((G.30.assumptions.TotalCCSimpact[[#This Row],[..]]=G.30.assumptions.SpecificProcessCH4EmissionsAfterCCS[Description])
        *INDIRECT("G.30.assumptions.SpecificProcessCH4EmissionsAfterCCS["&amp;L$2517&amp;"]"))
+SUM((G.30.assumptions.TotalCCSimpact[[#This Row],[..]]=G.30.assumptions.SpecificProcessN2OEmissionsAfterCCS[Description])
        *INDIRECT("G.30.assumptions.SpecificProcessN2OEmissionsAfterCCS["&amp;L$2517&amp;"]"))
-SUM((G.30.assumptions.TotalCCSimpact[[#This Row],[..]]=G.30.assumptions.SpecificProcessCO2EmissionsAfterEnergyEfficiency[Description])
        *INDIRECT("G.30.assumptions.SpecificProcessCO2EmissionsAfterEnergyEfficiency["&amp;L$2517&amp;"]"))
-SUM((G.30.assumptions.TotalCCSimpact[[#This Row],[..]]=G.30.assumptions.SpecificProcessCH4EmissionsAfterEnergyEfficiency[Description])
        *INDIRECT("G.30.assumptions.SpecificProcessCH4EmissionsAfterEnergyEfficiency["&amp;L$2517&amp;"]"))
-SUM((G.30.assumptions.TotalCCSimpact[[#This Row],[..]]=G.30.assumptions.SpecificProcessN2OEmissionsAfterEnergyEfficiency[Description])
        *INDIRECT("G.30.assumptions.SpecificProcessN2OEmissionsAfterEnergyEfficiency["&amp;L$2517&amp;"]"))
)</f>
        <v>-3.116590384091969E-17</v>
      </c>
      <c r="M2532" s="368">
        <f t="array" aca="1" ref="M2532" ca="1">SUM(   (G.30.assumptions.TotalCCSimpact[[#This Row],[.]]=G.30.assumptions.CombustionCO2EmissionsAfterCCS[Technology code])
*INDIRECT("G.30.assumptions.CombustionCO2EmissionsAfterCCS["&amp;M$2517&amp;"]")   )
+SUM(   (G.30.assumptions.TotalCCSimpact[[#This Row],[.]]=G.30.assumptions.CombustionCH4EmissionsAfterCCS[Technology code])
*INDIRECT("G.30.assumptions.CombustionCH4EmissionsAfterCCS["&amp;M$2517&amp;"]")   )
+SUM(   (G.30.assumptions.TotalCCSimpact[[#This Row],[.]]=G.30.assumptions.CombustionN2OEmissionsAfterCCS[Technology code])
*INDIRECT("G.30.assumptions.CombustionN2OEmissionsAfterCCS["&amp;M$2517&amp;"]")   )
-SUM(   (G.30.assumptions.TotalCCSimpact[[#This Row],[.]]=G.30.assumptions.CombustionCO2EmissionsAfterEnergyEfficiency[Technology code])
*INDIRECT("G.30.assumptions.CombustionCO2EmissionsAfterEnergyEfficiency["&amp;M$2517&amp;"]")   )
-SUM(   (G.30.assumptions.TotalCCSimpact[[#This Row],[.]]=G.30.assumptions.CombustionCH4EmissionsAfterEnergyEfficiency[Technology code])
*INDIRECT("G.30.assumptions.CombustionCH4EmissionsAfterEnergyEfficiency["&amp;M$2517&amp;"]")   )
-SUM(   (G.30.assumptions.TotalCCSimpact[[#This Row],[.]]=G.30.assumptions.CombustionN2OEmissionsAfterEnergyEfficiency[Technology code])
*INDIRECT("G.30.assumptions.CombustionN2OEmissionsAfterEnergyEfficiency["&amp;M$2517&amp;"]")   )
+SUM((G.30.assumptions.TotalCCSimpact[[#This Row],[Description]]=G.30.assumptions.MaterialDemandAfterProcessImprovements[Description])
        *INDIRECT("G.30.assumptions.MaterialDemandAfterProcessImprovements["&amp;M$2517&amp;"]"))
*(SUM((G.30.assumptions.TotalCCSimpact[[#This Row],[..]]=G.30.assumptions.SpecificProcessCO2EmissionsAfterCCS[Description])
        *INDIRECT("G.30.assumptions.SpecificProcessCO2EmissionsAfterCCS["&amp;M$2517&amp;"]"))
+SUM((G.30.assumptions.TotalCCSimpact[[#This Row],[..]]=G.30.assumptions.SpecificProcessCH4EmissionsAfterCCS[Description])
        *INDIRECT("G.30.assumptions.SpecificProcessCH4EmissionsAfterCCS["&amp;M$2517&amp;"]"))
+SUM((G.30.assumptions.TotalCCSimpact[[#This Row],[..]]=G.30.assumptions.SpecificProcessN2OEmissionsAfterCCS[Description])
        *INDIRECT("G.30.assumptions.SpecificProcessN2OEmissionsAfterCCS["&amp;M$2517&amp;"]"))
-SUM((G.30.assumptions.TotalCCSimpact[[#This Row],[..]]=G.30.assumptions.SpecificProcessCO2EmissionsAfterEnergyEfficiency[Description])
        *INDIRECT("G.30.assumptions.SpecificProcessCO2EmissionsAfterEnergyEfficiency["&amp;M$2517&amp;"]"))
-SUM((G.30.assumptions.TotalCCSimpact[[#This Row],[..]]=G.30.assumptions.SpecificProcessCH4EmissionsAfterEnergyEfficiency[Description])
        *INDIRECT("G.30.assumptions.SpecificProcessCH4EmissionsAfterEnergyEfficiency["&amp;M$2517&amp;"]"))
-SUM((G.30.assumptions.TotalCCSimpact[[#This Row],[..]]=G.30.assumptions.SpecificProcessN2OEmissionsAfterEnergyEfficiency[Description])
        *INDIRECT("G.30.assumptions.SpecificProcessN2OEmissionsAfterEnergyEfficiency["&amp;M$2517&amp;"]"))
)</f>
        <v>-3.0061425231401524E-16</v>
      </c>
      <c r="N2532" s="368">
        <f t="array" aca="1" ref="N2532" ca="1">SUM(   (G.30.assumptions.TotalCCSimpact[[#This Row],[.]]=G.30.assumptions.CombustionCO2EmissionsAfterCCS[Technology code])
*INDIRECT("G.30.assumptions.CombustionCO2EmissionsAfterCCS["&amp;N$2517&amp;"]")   )
+SUM(   (G.30.assumptions.TotalCCSimpact[[#This Row],[.]]=G.30.assumptions.CombustionCH4EmissionsAfterCCS[Technology code])
*INDIRECT("G.30.assumptions.CombustionCH4EmissionsAfterCCS["&amp;N$2517&amp;"]")   )
+SUM(   (G.30.assumptions.TotalCCSimpact[[#This Row],[.]]=G.30.assumptions.CombustionN2OEmissionsAfterCCS[Technology code])
*INDIRECT("G.30.assumptions.CombustionN2OEmissionsAfterCCS["&amp;N$2517&amp;"]")   )
-SUM(   (G.30.assumptions.TotalCCSimpact[[#This Row],[.]]=G.30.assumptions.CombustionCO2EmissionsAfterEnergyEfficiency[Technology code])
*INDIRECT("G.30.assumptions.CombustionCO2EmissionsAfterEnergyEfficiency["&amp;N$2517&amp;"]")   )
-SUM(   (G.30.assumptions.TotalCCSimpact[[#This Row],[.]]=G.30.assumptions.CombustionCH4EmissionsAfterEnergyEfficiency[Technology code])
*INDIRECT("G.30.assumptions.CombustionCH4EmissionsAfterEnergyEfficiency["&amp;N$2517&amp;"]")   )
-SUM(   (G.30.assumptions.TotalCCSimpact[[#This Row],[.]]=G.30.assumptions.CombustionN2OEmissionsAfterEnergyEfficiency[Technology code])
*INDIRECT("G.30.assumptions.CombustionN2OEmissionsAfterEnergyEfficiency["&amp;N$2517&amp;"]")   )
+SUM((G.30.assumptions.TotalCCSimpact[[#This Row],[Description]]=G.30.assumptions.MaterialDemandAfterProcessImprovements[Description])
        *INDIRECT("G.30.assumptions.MaterialDemandAfterProcessImprovements["&amp;N$2517&amp;"]"))
*(SUM((G.30.assumptions.TotalCCSimpact[[#This Row],[..]]=G.30.assumptions.SpecificProcessCO2EmissionsAfterCCS[Description])
        *INDIRECT("G.30.assumptions.SpecificProcessCO2EmissionsAfterCCS["&amp;N$2517&amp;"]"))
+SUM((G.30.assumptions.TotalCCSimpact[[#This Row],[..]]=G.30.assumptions.SpecificProcessCH4EmissionsAfterCCS[Description])
        *INDIRECT("G.30.assumptions.SpecificProcessCH4EmissionsAfterCCS["&amp;N$2517&amp;"]"))
+SUM((G.30.assumptions.TotalCCSimpact[[#This Row],[..]]=G.30.assumptions.SpecificProcessN2OEmissionsAfterCCS[Description])
        *INDIRECT("G.30.assumptions.SpecificProcessN2OEmissionsAfterCCS["&amp;N$2517&amp;"]"))
-SUM((G.30.assumptions.TotalCCSimpact[[#This Row],[..]]=G.30.assumptions.SpecificProcessCO2EmissionsAfterEnergyEfficiency[Description])
        *INDIRECT("G.30.assumptions.SpecificProcessCO2EmissionsAfterEnergyEfficiency["&amp;N$2517&amp;"]"))
-SUM((G.30.assumptions.TotalCCSimpact[[#This Row],[..]]=G.30.assumptions.SpecificProcessCH4EmissionsAfterEnergyEfficiency[Description])
        *INDIRECT("G.30.assumptions.SpecificProcessCH4EmissionsAfterEnergyEfficiency["&amp;N$2517&amp;"]"))
-SUM((G.30.assumptions.TotalCCSimpact[[#This Row],[..]]=G.30.assumptions.SpecificProcessN2OEmissionsAfterEnergyEfficiency[Description])
        *INDIRECT("G.30.assumptions.SpecificProcessN2OEmissionsAfterEnergyEfficiency["&amp;N$2517&amp;"]"))
)</f>
        <v>1.0546935838468132E-16</v>
      </c>
      <c r="O2532" s="368">
        <f t="array" aca="1" ref="O2532" ca="1">SUM(   (G.30.assumptions.TotalCCSimpact[[#This Row],[.]]=G.30.assumptions.CombustionCO2EmissionsAfterCCS[Technology code])
*INDIRECT("G.30.assumptions.CombustionCO2EmissionsAfterCCS["&amp;O$2517&amp;"]")   )
+SUM(   (G.30.assumptions.TotalCCSimpact[[#This Row],[.]]=G.30.assumptions.CombustionCH4EmissionsAfterCCS[Technology code])
*INDIRECT("G.30.assumptions.CombustionCH4EmissionsAfterCCS["&amp;O$2517&amp;"]")   )
+SUM(   (G.30.assumptions.TotalCCSimpact[[#This Row],[.]]=G.30.assumptions.CombustionN2OEmissionsAfterCCS[Technology code])
*INDIRECT("G.30.assumptions.CombustionN2OEmissionsAfterCCS["&amp;O$2517&amp;"]")   )
-SUM(   (G.30.assumptions.TotalCCSimpact[[#This Row],[.]]=G.30.assumptions.CombustionCO2EmissionsAfterEnergyEfficiency[Technology code])
*INDIRECT("G.30.assumptions.CombustionCO2EmissionsAfterEnergyEfficiency["&amp;O$2517&amp;"]")   )
-SUM(   (G.30.assumptions.TotalCCSimpact[[#This Row],[.]]=G.30.assumptions.CombustionCH4EmissionsAfterEnergyEfficiency[Technology code])
*INDIRECT("G.30.assumptions.CombustionCH4EmissionsAfterEnergyEfficiency["&amp;O$2517&amp;"]")   )
-SUM(   (G.30.assumptions.TotalCCSimpact[[#This Row],[.]]=G.30.assumptions.CombustionN2OEmissionsAfterEnergyEfficiency[Technology code])
*INDIRECT("G.30.assumptions.CombustionN2OEmissionsAfterEnergyEfficiency["&amp;O$2517&amp;"]")   )
+SUM((G.30.assumptions.TotalCCSimpact[[#This Row],[Description]]=G.30.assumptions.MaterialDemandAfterProcessImprovements[Description])
        *INDIRECT("G.30.assumptions.MaterialDemandAfterProcessImprovements["&amp;O$2517&amp;"]"))
*(SUM((G.30.assumptions.TotalCCSimpact[[#This Row],[..]]=G.30.assumptions.SpecificProcessCO2EmissionsAfterCCS[Description])
        *INDIRECT("G.30.assumptions.SpecificProcessCO2EmissionsAfterCCS["&amp;O$2517&amp;"]"))
+SUM((G.30.assumptions.TotalCCSimpact[[#This Row],[..]]=G.30.assumptions.SpecificProcessCH4EmissionsAfterCCS[Description])
        *INDIRECT("G.30.assumptions.SpecificProcessCH4EmissionsAfterCCS["&amp;O$2517&amp;"]"))
+SUM((G.30.assumptions.TotalCCSimpact[[#This Row],[..]]=G.30.assumptions.SpecificProcessN2OEmissionsAfterCCS[Description])
        *INDIRECT("G.30.assumptions.SpecificProcessN2OEmissionsAfterCCS["&amp;O$2517&amp;"]"))
-SUM((G.30.assumptions.TotalCCSimpact[[#This Row],[..]]=G.30.assumptions.SpecificProcessCO2EmissionsAfterEnergyEfficiency[Description])
        *INDIRECT("G.30.assumptions.SpecificProcessCO2EmissionsAfterEnergyEfficiency["&amp;O$2517&amp;"]"))
-SUM((G.30.assumptions.TotalCCSimpact[[#This Row],[..]]=G.30.assumptions.SpecificProcessCH4EmissionsAfterEnergyEfficiency[Description])
        *INDIRECT("G.30.assumptions.SpecificProcessCH4EmissionsAfterEnergyEfficiency["&amp;O$2517&amp;"]"))
-SUM((G.30.assumptions.TotalCCSimpact[[#This Row],[..]]=G.30.assumptions.SpecificProcessN2OEmissionsAfterEnergyEfficiency[Description])
        *INDIRECT("G.30.assumptions.SpecificProcessN2OEmissionsAfterEnergyEfficiency["&amp;O$2517&amp;"]"))
)</f>
        <v>-2.8865527589710949E-16</v>
      </c>
      <c r="P2532" s="368">
        <f t="array" aca="1" ref="P2532" ca="1">SUM(   (G.30.assumptions.TotalCCSimpact[[#This Row],[.]]=G.30.assumptions.CombustionCO2EmissionsAfterCCS[Technology code])
*INDIRECT("G.30.assumptions.CombustionCO2EmissionsAfterCCS["&amp;P$2517&amp;"]")   )
+SUM(   (G.30.assumptions.TotalCCSimpact[[#This Row],[.]]=G.30.assumptions.CombustionCH4EmissionsAfterCCS[Technology code])
*INDIRECT("G.30.assumptions.CombustionCH4EmissionsAfterCCS["&amp;P$2517&amp;"]")   )
+SUM(   (G.30.assumptions.TotalCCSimpact[[#This Row],[.]]=G.30.assumptions.CombustionN2OEmissionsAfterCCS[Technology code])
*INDIRECT("G.30.assumptions.CombustionN2OEmissionsAfterCCS["&amp;P$2517&amp;"]")   )
-SUM(   (G.30.assumptions.TotalCCSimpact[[#This Row],[.]]=G.30.assumptions.CombustionCO2EmissionsAfterEnergyEfficiency[Technology code])
*INDIRECT("G.30.assumptions.CombustionCO2EmissionsAfterEnergyEfficiency["&amp;P$2517&amp;"]")   )
-SUM(   (G.30.assumptions.TotalCCSimpact[[#This Row],[.]]=G.30.assumptions.CombustionCH4EmissionsAfterEnergyEfficiency[Technology code])
*INDIRECT("G.30.assumptions.CombustionCH4EmissionsAfterEnergyEfficiency["&amp;P$2517&amp;"]")   )
-SUM(   (G.30.assumptions.TotalCCSimpact[[#This Row],[.]]=G.30.assumptions.CombustionN2OEmissionsAfterEnergyEfficiency[Technology code])
*INDIRECT("G.30.assumptions.CombustionN2OEmissionsAfterEnergyEfficiency["&amp;P$2517&amp;"]")   )
+SUM((G.30.assumptions.TotalCCSimpact[[#This Row],[Description]]=G.30.assumptions.MaterialDemandAfterProcessImprovements[Description])
        *INDIRECT("G.30.assumptions.MaterialDemandAfterProcessImprovements["&amp;P$2517&amp;"]"))
*(SUM((G.30.assumptions.TotalCCSimpact[[#This Row],[..]]=G.30.assumptions.SpecificProcessCO2EmissionsAfterCCS[Description])
        *INDIRECT("G.30.assumptions.SpecificProcessCO2EmissionsAfterCCS["&amp;P$2517&amp;"]"))
+SUM((G.30.assumptions.TotalCCSimpact[[#This Row],[..]]=G.30.assumptions.SpecificProcessCH4EmissionsAfterCCS[Description])
        *INDIRECT("G.30.assumptions.SpecificProcessCH4EmissionsAfterCCS["&amp;P$2517&amp;"]"))
+SUM((G.30.assumptions.TotalCCSimpact[[#This Row],[..]]=G.30.assumptions.SpecificProcessN2OEmissionsAfterCCS[Description])
        *INDIRECT("G.30.assumptions.SpecificProcessN2OEmissionsAfterCCS["&amp;P$2517&amp;"]"))
-SUM((G.30.assumptions.TotalCCSimpact[[#This Row],[..]]=G.30.assumptions.SpecificProcessCO2EmissionsAfterEnergyEfficiency[Description])
        *INDIRECT("G.30.assumptions.SpecificProcessCO2EmissionsAfterEnergyEfficiency["&amp;P$2517&amp;"]"))
-SUM((G.30.assumptions.TotalCCSimpact[[#This Row],[..]]=G.30.assumptions.SpecificProcessCH4EmissionsAfterEnergyEfficiency[Description])
        *INDIRECT("G.30.assumptions.SpecificProcessCH4EmissionsAfterEnergyEfficiency["&amp;P$2517&amp;"]"))
-SUM((G.30.assumptions.TotalCCSimpact[[#This Row],[..]]=G.30.assumptions.SpecificProcessN2OEmissionsAfterEnergyEfficiency[Description])
        *INDIRECT("G.30.assumptions.SpecificProcessN2OEmissionsAfterEnergyEfficiency["&amp;P$2517&amp;"]"))
)</f>
        <v>-7.2519572812124178E-17</v>
      </c>
      <c r="Q2532" s="368">
        <f t="array" aca="1" ref="Q2532" ca="1">SUM(   (G.30.assumptions.TotalCCSimpact[[#This Row],[.]]=G.30.assumptions.CombustionCO2EmissionsAfterCCS[Technology code])
*INDIRECT("G.30.assumptions.CombustionCO2EmissionsAfterCCS["&amp;Q$2517&amp;"]")   )
+SUM(   (G.30.assumptions.TotalCCSimpact[[#This Row],[.]]=G.30.assumptions.CombustionCH4EmissionsAfterCCS[Technology code])
*INDIRECT("G.30.assumptions.CombustionCH4EmissionsAfterCCS["&amp;Q$2517&amp;"]")   )
+SUM(   (G.30.assumptions.TotalCCSimpact[[#This Row],[.]]=G.30.assumptions.CombustionN2OEmissionsAfterCCS[Technology code])
*INDIRECT("G.30.assumptions.CombustionN2OEmissionsAfterCCS["&amp;Q$2517&amp;"]")   )
-SUM(   (G.30.assumptions.TotalCCSimpact[[#This Row],[.]]=G.30.assumptions.CombustionCO2EmissionsAfterEnergyEfficiency[Technology code])
*INDIRECT("G.30.assumptions.CombustionCO2EmissionsAfterEnergyEfficiency["&amp;Q$2517&amp;"]")   )
-SUM(   (G.30.assumptions.TotalCCSimpact[[#This Row],[.]]=G.30.assumptions.CombustionCH4EmissionsAfterEnergyEfficiency[Technology code])
*INDIRECT("G.30.assumptions.CombustionCH4EmissionsAfterEnergyEfficiency["&amp;Q$2517&amp;"]")   )
-SUM(   (G.30.assumptions.TotalCCSimpact[[#This Row],[.]]=G.30.assumptions.CombustionN2OEmissionsAfterEnergyEfficiency[Technology code])
*INDIRECT("G.30.assumptions.CombustionN2OEmissionsAfterEnergyEfficiency["&amp;Q$2517&amp;"]")   )
+SUM((G.30.assumptions.TotalCCSimpact[[#This Row],[Description]]=G.30.assumptions.MaterialDemandAfterProcessImprovements[Description])
        *INDIRECT("G.30.assumptions.MaterialDemandAfterProcessImprovements["&amp;Q$2517&amp;"]"))
*(SUM((G.30.assumptions.TotalCCSimpact[[#This Row],[..]]=G.30.assumptions.SpecificProcessCO2EmissionsAfterCCS[Description])
        *INDIRECT("G.30.assumptions.SpecificProcessCO2EmissionsAfterCCS["&amp;Q$2517&amp;"]"))
+SUM((G.30.assumptions.TotalCCSimpact[[#This Row],[..]]=G.30.assumptions.SpecificProcessCH4EmissionsAfterCCS[Description])
        *INDIRECT("G.30.assumptions.SpecificProcessCH4EmissionsAfterCCS["&amp;Q$2517&amp;"]"))
+SUM((G.30.assumptions.TotalCCSimpact[[#This Row],[..]]=G.30.assumptions.SpecificProcessN2OEmissionsAfterCCS[Description])
        *INDIRECT("G.30.assumptions.SpecificProcessN2OEmissionsAfterCCS["&amp;Q$2517&amp;"]"))
-SUM((G.30.assumptions.TotalCCSimpact[[#This Row],[..]]=G.30.assumptions.SpecificProcessCO2EmissionsAfterEnergyEfficiency[Description])
        *INDIRECT("G.30.assumptions.SpecificProcessCO2EmissionsAfterEnergyEfficiency["&amp;Q$2517&amp;"]"))
-SUM((G.30.assumptions.TotalCCSimpact[[#This Row],[..]]=G.30.assumptions.SpecificProcessCH4EmissionsAfterEnergyEfficiency[Description])
        *INDIRECT("G.30.assumptions.SpecificProcessCH4EmissionsAfterEnergyEfficiency["&amp;Q$2517&amp;"]"))
-SUM((G.30.assumptions.TotalCCSimpact[[#This Row],[..]]=G.30.assumptions.SpecificProcessN2OEmissionsAfterEnergyEfficiency[Description])
        *INDIRECT("G.30.assumptions.SpecificProcessN2OEmissionsAfterEnergyEfficiency["&amp;Q$2517&amp;"]"))
)</f>
        <v>-1.354250672892414E-16</v>
      </c>
      <c r="R2532" s="242"/>
      <c r="S2532" s="179"/>
      <c r="T2532" s="179"/>
      <c r="V2532" s="179"/>
      <c r="W2532" s="179"/>
    </row>
    <row r="2533" spans="1:24" s="65" customFormat="1" ht="15" customHeight="1" outlineLevel="2">
      <c r="A2533" s="219"/>
      <c r="B2533" s="242"/>
      <c r="C2533" s="423" t="s">
        <v>375</v>
      </c>
      <c r="D2533" s="423"/>
      <c r="E2533" s="424"/>
      <c r="F2533" s="425"/>
      <c r="G2533" s="423"/>
      <c r="H2533" s="424"/>
      <c r="I2533" s="426">
        <f ca="1">SUBTOTAL(109,G.30.assumptions.TotalCCSimpact[2011])</f>
        <v>-1.1215884858476055E-16</v>
      </c>
      <c r="J2533" s="426">
        <f ca="1">SUBTOTAL(109,G.30.assumptions.TotalCCSimpact[2015])</f>
        <v>-5.1595032328068133E-17</v>
      </c>
      <c r="K2533" s="426">
        <f ca="1">SUBTOTAL(109,G.30.assumptions.TotalCCSimpact[2020])</f>
        <v>4.8225737809364677E-16</v>
      </c>
      <c r="L2533" s="426">
        <f ca="1">SUBTOTAL(109,G.30.assumptions.TotalCCSimpact[2025])</f>
        <v>5.7106906418928617E-17</v>
      </c>
      <c r="M2533" s="426">
        <f ca="1">SUBTOTAL(109,G.30.assumptions.TotalCCSimpact[2030])</f>
        <v>-2.0126597484765903E-16</v>
      </c>
      <c r="N2533" s="426">
        <f ca="1">SUBTOTAL(109,G.30.assumptions.TotalCCSimpact[2035])</f>
        <v>3.2203359785710135E-17</v>
      </c>
      <c r="O2533" s="426">
        <f ca="1">SUBTOTAL(109,G.30.assumptions.TotalCCSimpact[2040])</f>
        <v>9.2369061973152669E-17</v>
      </c>
      <c r="P2533" s="426">
        <f ca="1">SUBTOTAL(109,G.30.assumptions.TotalCCSimpact[2045])</f>
        <v>-1.3270912307611705E-16</v>
      </c>
      <c r="Q2533" s="426">
        <f ca="1">SUBTOTAL(109,G.30.assumptions.TotalCCSimpact[2050])</f>
        <v>-1.9698950932139982E-16</v>
      </c>
      <c r="R2533" s="242"/>
      <c r="S2533" s="179"/>
      <c r="T2533" s="179"/>
      <c r="V2533" s="179"/>
      <c r="W2533" s="179"/>
    </row>
    <row r="2534" spans="1:24" s="65" customFormat="1" ht="15" customHeight="1" outlineLevel="2">
      <c r="A2534" s="219"/>
      <c r="B2534" s="242"/>
      <c r="C2534" s="242"/>
      <c r="D2534" s="242"/>
      <c r="E2534" s="242"/>
      <c r="F2534" s="242"/>
      <c r="G2534" s="242"/>
      <c r="H2534" s="242"/>
      <c r="I2534" s="242"/>
      <c r="J2534" s="242"/>
      <c r="K2534" s="242"/>
      <c r="L2534" s="242"/>
      <c r="M2534" s="242"/>
      <c r="N2534" s="242"/>
      <c r="O2534" s="242"/>
      <c r="P2534" s="242"/>
      <c r="Q2534" s="242"/>
      <c r="R2534" s="242"/>
      <c r="S2534" s="179"/>
      <c r="T2534" s="179"/>
      <c r="V2534" s="179"/>
      <c r="W2534" s="179"/>
    </row>
    <row r="2535" spans="1:24" s="65" customFormat="1" ht="15" customHeight="1" outlineLevel="2">
      <c r="A2535" s="219"/>
      <c r="B2535" s="242"/>
      <c r="C2535" s="242"/>
      <c r="D2535" s="242"/>
      <c r="E2535" s="242"/>
      <c r="F2535" s="242"/>
      <c r="G2535" s="242"/>
      <c r="H2535" s="242"/>
      <c r="I2535" s="242"/>
      <c r="J2535" s="242"/>
      <c r="K2535" s="242"/>
      <c r="L2535" s="242"/>
      <c r="M2535" s="242"/>
      <c r="N2535" s="242"/>
      <c r="O2535" s="242"/>
      <c r="P2535" s="242"/>
      <c r="Q2535" s="242"/>
      <c r="R2535" s="242"/>
      <c r="S2535" s="179"/>
      <c r="T2535" s="179"/>
      <c r="V2535" s="179"/>
      <c r="W2535" s="179"/>
    </row>
    <row r="2536" spans="1:24" s="65" customFormat="1" ht="15" customHeight="1" outlineLevel="2">
      <c r="A2536" s="219"/>
      <c r="B2536" s="242"/>
      <c r="C2536" s="242"/>
      <c r="D2536" s="242"/>
      <c r="E2536" s="242"/>
      <c r="F2536" s="242"/>
      <c r="G2536" s="242"/>
      <c r="H2536" s="242"/>
      <c r="I2536" s="242"/>
      <c r="J2536" s="242"/>
      <c r="K2536" s="242"/>
      <c r="L2536" s="242"/>
      <c r="M2536" s="242"/>
      <c r="N2536" s="242"/>
      <c r="O2536" s="242"/>
      <c r="P2536" s="242"/>
      <c r="Q2536" s="242"/>
      <c r="R2536" s="242"/>
      <c r="S2536" s="179"/>
      <c r="T2536" s="179"/>
      <c r="V2536" s="179"/>
      <c r="W2536" s="179"/>
    </row>
    <row r="2537" spans="1:24" s="65" customFormat="1" ht="15" customHeight="1" outlineLevel="2">
      <c r="A2537" s="219"/>
      <c r="B2537" s="242"/>
      <c r="C2537" s="242"/>
      <c r="D2537" s="242"/>
      <c r="E2537" s="242"/>
      <c r="F2537" s="242"/>
      <c r="G2537" s="242"/>
      <c r="H2537" s="242"/>
      <c r="I2537" s="242"/>
      <c r="J2537" s="242"/>
      <c r="K2537" s="242"/>
      <c r="L2537" s="242"/>
      <c r="M2537" s="242"/>
      <c r="N2537" s="242"/>
      <c r="O2537" s="242"/>
      <c r="P2537" s="242"/>
      <c r="Q2537" s="242"/>
      <c r="R2537" s="242"/>
      <c r="S2537" s="179"/>
      <c r="T2537" s="179"/>
      <c r="V2537" s="179"/>
      <c r="W2537" s="179"/>
    </row>
    <row r="2538" spans="1:24" ht="15" customHeight="1">
      <c r="B2538" s="41" t="s">
        <v>596</v>
      </c>
      <c r="C2538" s="41"/>
      <c r="D2538" s="41"/>
      <c r="E2538" s="41"/>
      <c r="F2538" s="41"/>
      <c r="G2538" s="41"/>
      <c r="H2538" s="41"/>
      <c r="I2538" s="41"/>
      <c r="J2538" s="41"/>
      <c r="K2538" s="41"/>
      <c r="L2538" s="41"/>
      <c r="M2538" s="41"/>
      <c r="N2538" s="41"/>
      <c r="O2538" s="41"/>
      <c r="P2538" s="41"/>
      <c r="Q2538" s="41"/>
      <c r="R2538" s="41"/>
      <c r="S2538" s="179"/>
      <c r="T2538" s="179"/>
      <c r="U2538" s="179"/>
      <c r="V2538" s="20"/>
      <c r="W2538" s="179"/>
      <c r="X2538" s="179"/>
    </row>
    <row r="2539" spans="1:24" s="65" customFormat="1" ht="15" customHeight="1" outlineLevel="1">
      <c r="A2539" s="219"/>
      <c r="B2539" s="242"/>
      <c r="C2539" s="243"/>
      <c r="D2539" s="242"/>
      <c r="E2539" s="242"/>
      <c r="F2539" s="242" t="s">
        <v>1392</v>
      </c>
      <c r="G2539" s="242" t="s">
        <v>1393</v>
      </c>
      <c r="H2539" s="242" t="s">
        <v>1394</v>
      </c>
      <c r="I2539" s="242" t="s">
        <v>1395</v>
      </c>
      <c r="J2539" s="242"/>
      <c r="K2539" s="242"/>
      <c r="L2539" s="242"/>
      <c r="M2539" s="242"/>
      <c r="N2539" s="242"/>
      <c r="O2539" s="242"/>
      <c r="P2539" s="242"/>
      <c r="Q2539" s="242"/>
      <c r="R2539" s="242"/>
      <c r="S2539" s="179"/>
      <c r="T2539" s="179"/>
      <c r="U2539" s="179"/>
      <c r="W2539" s="179"/>
      <c r="X2539" s="179"/>
    </row>
    <row r="2540" spans="1:24" s="65" customFormat="1" ht="15" customHeight="1" outlineLevel="1">
      <c r="A2540" s="219"/>
      <c r="B2540" s="242"/>
      <c r="C2540" s="242" t="s">
        <v>1396</v>
      </c>
      <c r="D2540" s="242" t="s">
        <v>454</v>
      </c>
      <c r="E2540" s="242" t="s">
        <v>241</v>
      </c>
      <c r="F2540" s="242" t="s">
        <v>1397</v>
      </c>
      <c r="G2540" s="242"/>
      <c r="H2540" s="242"/>
      <c r="I2540" s="242"/>
      <c r="J2540" s="242"/>
      <c r="K2540" s="242"/>
      <c r="L2540" s="242"/>
      <c r="M2540" s="242"/>
      <c r="N2540" s="242"/>
      <c r="O2540" s="242"/>
      <c r="P2540" s="242"/>
      <c r="Q2540" s="242"/>
      <c r="R2540" s="242"/>
      <c r="S2540" s="179"/>
      <c r="T2540" s="179"/>
      <c r="U2540" s="179"/>
      <c r="W2540" s="179"/>
      <c r="X2540" s="179"/>
    </row>
    <row r="2541" spans="1:24" s="65" customFormat="1" ht="15" customHeight="1" outlineLevel="1">
      <c r="A2541" s="219"/>
      <c r="B2541" s="242"/>
      <c r="C2541" s="242"/>
      <c r="D2541" s="242" t="s">
        <v>1398</v>
      </c>
      <c r="E2541" s="242" t="s">
        <v>1399</v>
      </c>
      <c r="F2541" s="242">
        <v>60</v>
      </c>
      <c r="G2541" s="242"/>
      <c r="H2541" s="242" t="s">
        <v>1400</v>
      </c>
      <c r="I2541" s="242" t="s">
        <v>1401</v>
      </c>
      <c r="J2541" s="242"/>
      <c r="K2541" s="242"/>
      <c r="L2541" s="242"/>
      <c r="M2541" s="242"/>
      <c r="N2541" s="242"/>
      <c r="O2541" s="242"/>
      <c r="P2541" s="242"/>
      <c r="Q2541" s="242"/>
      <c r="R2541" s="242"/>
      <c r="S2541" s="179"/>
      <c r="T2541" s="179"/>
      <c r="U2541" s="179"/>
      <c r="W2541" s="179"/>
      <c r="X2541" s="179"/>
    </row>
    <row r="2542" spans="1:24" s="65" customFormat="1" ht="15" customHeight="1" outlineLevel="1">
      <c r="A2542" s="219"/>
      <c r="B2542" s="242"/>
      <c r="C2542" s="242"/>
      <c r="D2542" s="242"/>
      <c r="E2542" s="242" t="s">
        <v>1402</v>
      </c>
      <c r="F2542" s="242"/>
      <c r="G2542" s="242"/>
      <c r="H2542" s="242" t="s">
        <v>1400</v>
      </c>
      <c r="I2542" s="242" t="s">
        <v>1403</v>
      </c>
      <c r="J2542" s="242"/>
      <c r="K2542" s="242"/>
      <c r="L2542" s="242"/>
      <c r="M2542" s="242"/>
      <c r="N2542" s="242"/>
      <c r="O2542" s="242"/>
      <c r="P2542" s="242"/>
      <c r="Q2542" s="242"/>
      <c r="R2542" s="242"/>
      <c r="S2542" s="179"/>
      <c r="T2542" s="179"/>
      <c r="U2542" s="179"/>
      <c r="W2542" s="179"/>
      <c r="X2542" s="179"/>
    </row>
    <row r="2543" spans="1:24" s="65" customFormat="1" ht="15" customHeight="1" outlineLevel="1">
      <c r="A2543" s="219"/>
      <c r="B2543" s="242"/>
      <c r="C2543" s="242"/>
      <c r="D2543" s="242"/>
      <c r="E2543" s="242" t="s">
        <v>1404</v>
      </c>
      <c r="F2543" s="242">
        <v>40</v>
      </c>
      <c r="G2543" s="242"/>
      <c r="H2543" s="242"/>
      <c r="I2543" s="242"/>
      <c r="J2543" s="242"/>
      <c r="K2543" s="242"/>
      <c r="L2543" s="242"/>
      <c r="M2543" s="242"/>
      <c r="N2543" s="242"/>
      <c r="O2543" s="242"/>
      <c r="P2543" s="242"/>
      <c r="Q2543" s="242"/>
      <c r="R2543" s="242"/>
      <c r="S2543" s="179"/>
      <c r="T2543" s="179"/>
      <c r="U2543" s="179"/>
      <c r="W2543" s="179"/>
      <c r="X2543" s="179"/>
    </row>
    <row r="2544" spans="1:24" s="65" customFormat="1" ht="15" customHeight="1" outlineLevel="1">
      <c r="A2544" s="219"/>
      <c r="B2544" s="242"/>
      <c r="C2544" s="242"/>
      <c r="D2544" s="242"/>
      <c r="E2544" s="242" t="s">
        <v>1405</v>
      </c>
      <c r="F2544" s="242"/>
      <c r="G2544" s="242"/>
      <c r="H2544" s="242" t="s">
        <v>1400</v>
      </c>
      <c r="I2544" s="242"/>
      <c r="J2544" s="242"/>
      <c r="K2544" s="242"/>
      <c r="L2544" s="242"/>
      <c r="M2544" s="242"/>
      <c r="N2544" s="242"/>
      <c r="O2544" s="242"/>
      <c r="P2544" s="242"/>
      <c r="Q2544" s="242"/>
      <c r="R2544" s="242"/>
      <c r="S2544" s="179"/>
      <c r="T2544" s="179"/>
      <c r="U2544" s="179"/>
      <c r="W2544" s="179"/>
      <c r="X2544" s="179"/>
    </row>
    <row r="2545" spans="1:24" s="65" customFormat="1" ht="15" customHeight="1" outlineLevel="1">
      <c r="A2545" s="219"/>
      <c r="B2545" s="242"/>
      <c r="C2545" s="242"/>
      <c r="D2545" s="242"/>
      <c r="E2545" s="242" t="s">
        <v>1406</v>
      </c>
      <c r="F2545" s="242">
        <v>600</v>
      </c>
      <c r="G2545" s="242"/>
      <c r="H2545" s="242" t="s">
        <v>1400</v>
      </c>
      <c r="I2545" s="242"/>
      <c r="J2545" s="242"/>
      <c r="K2545" s="242"/>
      <c r="L2545" s="242"/>
      <c r="M2545" s="242"/>
      <c r="N2545" s="242"/>
      <c r="O2545" s="242"/>
      <c r="P2545" s="242"/>
      <c r="Q2545" s="242"/>
      <c r="R2545" s="242"/>
      <c r="S2545" s="179"/>
      <c r="T2545" s="179"/>
      <c r="U2545" s="179"/>
      <c r="W2545" s="179"/>
      <c r="X2545" s="179"/>
    </row>
    <row r="2546" spans="1:24" s="65" customFormat="1" ht="15" customHeight="1" outlineLevel="1">
      <c r="A2546" s="219"/>
      <c r="B2546" s="242"/>
      <c r="C2546" s="242"/>
      <c r="D2546" s="242"/>
      <c r="E2546" s="242" t="s">
        <v>1407</v>
      </c>
      <c r="F2546" s="242"/>
      <c r="G2546" s="242"/>
      <c r="H2546" s="242"/>
      <c r="I2546" s="242"/>
      <c r="J2546" s="242"/>
      <c r="K2546" s="242"/>
      <c r="L2546" s="242"/>
      <c r="M2546" s="242"/>
      <c r="N2546" s="242"/>
      <c r="O2546" s="242"/>
      <c r="P2546" s="242"/>
      <c r="Q2546" s="242"/>
      <c r="R2546" s="242"/>
      <c r="S2546" s="179"/>
      <c r="T2546" s="179"/>
      <c r="U2546" s="179"/>
      <c r="W2546" s="179"/>
      <c r="X2546" s="179"/>
    </row>
    <row r="2547" spans="1:24" s="65" customFormat="1" ht="15" customHeight="1" outlineLevel="1">
      <c r="A2547" s="219"/>
      <c r="B2547" s="242"/>
      <c r="C2547" s="242"/>
      <c r="D2547" s="242"/>
      <c r="E2547" s="242" t="s">
        <v>1408</v>
      </c>
      <c r="F2547" s="242"/>
      <c r="G2547" s="242"/>
      <c r="H2547" s="242" t="s">
        <v>1400</v>
      </c>
      <c r="I2547" s="242" t="s">
        <v>1409</v>
      </c>
      <c r="J2547" s="242"/>
      <c r="K2547" s="242"/>
      <c r="L2547" s="242"/>
      <c r="M2547" s="242"/>
      <c r="N2547" s="242"/>
      <c r="O2547" s="242"/>
      <c r="P2547" s="242"/>
      <c r="Q2547" s="242"/>
      <c r="R2547" s="242"/>
      <c r="S2547" s="179"/>
      <c r="T2547" s="179"/>
      <c r="U2547" s="179"/>
      <c r="W2547" s="179"/>
      <c r="X2547" s="179"/>
    </row>
    <row r="2548" spans="1:24" s="65" customFormat="1" ht="15" customHeight="1" outlineLevel="1">
      <c r="A2548" s="219"/>
      <c r="B2548" s="242"/>
      <c r="C2548" s="242"/>
      <c r="D2548" s="242"/>
      <c r="E2548" s="242" t="s">
        <v>1410</v>
      </c>
      <c r="F2548" s="242">
        <f>0.33/1000000*1000000*Unit.TWh</f>
        <v>1.188E-3</v>
      </c>
      <c r="G2548" s="242"/>
      <c r="H2548" s="242" t="str">
        <f>"TWh"&amp;"/MMtCO2e"</f>
        <v>TWh/MMtCO2e</v>
      </c>
      <c r="I2548" s="242"/>
      <c r="J2548" s="242"/>
      <c r="K2548" s="242"/>
      <c r="L2548" s="242"/>
      <c r="M2548" s="242"/>
      <c r="N2548" s="242"/>
      <c r="O2548" s="242"/>
      <c r="P2548" s="242"/>
      <c r="Q2548" s="242"/>
      <c r="R2548" s="242"/>
      <c r="S2548" s="179"/>
      <c r="T2548" s="179"/>
      <c r="U2548" s="179"/>
      <c r="W2548" s="179"/>
      <c r="X2548" s="179"/>
    </row>
    <row r="2549" spans="1:24" s="65" customFormat="1" ht="15" customHeight="1" outlineLevel="1">
      <c r="A2549" s="219"/>
      <c r="B2549" s="242"/>
      <c r="C2549" s="242"/>
      <c r="D2549" s="242"/>
      <c r="E2549" s="242" t="s">
        <v>1411</v>
      </c>
      <c r="F2549" s="242">
        <v>49.751243780000003</v>
      </c>
      <c r="G2549" s="242"/>
      <c r="H2549" s="242" t="s">
        <v>1400</v>
      </c>
      <c r="I2549" s="242" t="s">
        <v>1412</v>
      </c>
      <c r="J2549" s="242"/>
      <c r="K2549" s="242"/>
      <c r="L2549" s="242"/>
      <c r="M2549" s="242"/>
      <c r="N2549" s="242"/>
      <c r="O2549" s="242"/>
      <c r="P2549" s="242"/>
      <c r="Q2549" s="242"/>
      <c r="R2549" s="242"/>
      <c r="S2549" s="179"/>
      <c r="T2549" s="179"/>
      <c r="U2549" s="179"/>
      <c r="W2549" s="179"/>
      <c r="X2549" s="179"/>
    </row>
    <row r="2550" spans="1:24" s="65" customFormat="1" ht="15" customHeight="1" outlineLevel="1">
      <c r="A2550" s="219"/>
      <c r="B2550" s="242"/>
      <c r="C2550" s="242"/>
      <c r="D2550" s="242"/>
      <c r="E2550" s="242" t="s">
        <v>1413</v>
      </c>
      <c r="F2550" s="242">
        <v>200</v>
      </c>
      <c r="G2550" s="242"/>
      <c r="H2550" s="242" t="s">
        <v>1400</v>
      </c>
      <c r="I2550" s="242" t="s">
        <v>1414</v>
      </c>
      <c r="J2550" s="242"/>
      <c r="K2550" s="242"/>
      <c r="L2550" s="242"/>
      <c r="M2550" s="242"/>
      <c r="N2550" s="242"/>
      <c r="O2550" s="242"/>
      <c r="P2550" s="242"/>
      <c r="Q2550" s="242"/>
      <c r="R2550" s="242"/>
      <c r="S2550" s="179"/>
      <c r="T2550" s="179"/>
      <c r="U2550" s="179"/>
      <c r="W2550" s="179"/>
      <c r="X2550" s="179"/>
    </row>
    <row r="2551" spans="1:24" s="65" customFormat="1" ht="15" customHeight="1" outlineLevel="1">
      <c r="A2551" s="219"/>
      <c r="B2551" s="242"/>
      <c r="C2551" s="242" t="s">
        <v>1415</v>
      </c>
      <c r="D2551" s="242"/>
      <c r="E2551" s="242" t="s">
        <v>1416</v>
      </c>
      <c r="F2551" s="242">
        <f>100/1000000*1000</f>
        <v>0.1</v>
      </c>
      <c r="G2551" s="242"/>
      <c r="H2551" s="242" t="s">
        <v>1417</v>
      </c>
      <c r="I2551" s="242"/>
      <c r="J2551" s="242"/>
      <c r="K2551" s="242"/>
      <c r="L2551" s="242"/>
      <c r="M2551" s="242"/>
      <c r="N2551" s="242"/>
      <c r="O2551" s="242"/>
      <c r="P2551" s="242"/>
      <c r="Q2551" s="242"/>
      <c r="R2551" s="242"/>
      <c r="S2551" s="179"/>
      <c r="T2551" s="179"/>
      <c r="U2551" s="179"/>
      <c r="W2551" s="179"/>
      <c r="X2551" s="179"/>
    </row>
    <row r="2552" spans="1:24" s="65" customFormat="1" ht="15" customHeight="1" outlineLevel="1">
      <c r="A2552" s="219"/>
      <c r="B2552" s="242"/>
      <c r="C2552" s="242"/>
      <c r="D2552" s="242"/>
      <c r="E2552" s="242"/>
      <c r="F2552" s="242"/>
      <c r="G2552" s="242"/>
      <c r="H2552" s="242"/>
      <c r="I2552" s="242"/>
      <c r="J2552" s="242"/>
      <c r="K2552" s="242"/>
      <c r="L2552" s="242"/>
      <c r="M2552" s="242"/>
      <c r="N2552" s="242"/>
      <c r="O2552" s="242"/>
      <c r="P2552" s="242"/>
      <c r="Q2552" s="242"/>
      <c r="R2552" s="242"/>
      <c r="S2552" s="179"/>
      <c r="T2552" s="179"/>
      <c r="U2552" s="179"/>
      <c r="W2552" s="179"/>
      <c r="X2552" s="179"/>
    </row>
    <row r="2553" spans="1:24" s="65" customFormat="1" ht="15" customHeight="1" outlineLevel="1">
      <c r="A2553" s="219"/>
      <c r="B2553" s="242"/>
      <c r="C2553" s="242" t="s">
        <v>1418</v>
      </c>
      <c r="D2553" s="242"/>
      <c r="E2553" s="242" t="s">
        <v>1419</v>
      </c>
      <c r="F2553" s="242">
        <v>60</v>
      </c>
      <c r="G2553" s="242"/>
      <c r="H2553" s="242" t="s">
        <v>1400</v>
      </c>
      <c r="I2553" s="242" t="s">
        <v>1414</v>
      </c>
      <c r="J2553" s="242"/>
      <c r="K2553" s="242"/>
      <c r="L2553" s="242"/>
      <c r="M2553" s="242"/>
      <c r="N2553" s="242"/>
      <c r="O2553" s="242"/>
      <c r="P2553" s="242"/>
      <c r="Q2553" s="242"/>
      <c r="R2553" s="242"/>
      <c r="S2553" s="179"/>
      <c r="T2553" s="179"/>
      <c r="U2553" s="179"/>
      <c r="W2553" s="179"/>
      <c r="X2553" s="179"/>
    </row>
    <row r="2554" spans="1:24" s="65" customFormat="1" ht="15" customHeight="1" outlineLevel="1">
      <c r="A2554" s="219"/>
      <c r="B2554" s="242"/>
      <c r="C2554" s="242"/>
      <c r="D2554" s="242"/>
      <c r="E2554" s="242" t="s">
        <v>1420</v>
      </c>
      <c r="F2554" s="242">
        <v>30</v>
      </c>
      <c r="G2554" s="242"/>
      <c r="H2554" s="242" t="s">
        <v>1400</v>
      </c>
      <c r="I2554" s="242" t="s">
        <v>1414</v>
      </c>
      <c r="J2554" s="242"/>
      <c r="K2554" s="242"/>
      <c r="L2554" s="242"/>
      <c r="M2554" s="242"/>
      <c r="N2554" s="242"/>
      <c r="O2554" s="242"/>
      <c r="P2554" s="242"/>
      <c r="Q2554" s="242"/>
      <c r="R2554" s="242"/>
      <c r="S2554" s="179"/>
      <c r="T2554" s="179"/>
      <c r="U2554" s="179"/>
      <c r="W2554" s="179"/>
      <c r="X2554" s="179"/>
    </row>
    <row r="2555" spans="1:24" s="65" customFormat="1" ht="15" customHeight="1" outlineLevel="1">
      <c r="A2555" s="219"/>
      <c r="B2555" s="242"/>
      <c r="C2555" s="242"/>
      <c r="D2555" s="242"/>
      <c r="E2555" s="242" t="s">
        <v>1421</v>
      </c>
      <c r="F2555" s="242"/>
      <c r="G2555" s="242"/>
      <c r="H2555" s="242"/>
      <c r="I2555" s="242"/>
      <c r="J2555" s="242"/>
      <c r="K2555" s="242"/>
      <c r="L2555" s="242"/>
      <c r="M2555" s="242"/>
      <c r="N2555" s="242"/>
      <c r="O2555" s="242"/>
      <c r="P2555" s="242"/>
      <c r="Q2555" s="242"/>
      <c r="R2555" s="242"/>
      <c r="S2555" s="179"/>
      <c r="T2555" s="179"/>
      <c r="U2555" s="179"/>
      <c r="W2555" s="179"/>
      <c r="X2555" s="179"/>
    </row>
    <row r="2556" spans="1:24" s="65" customFormat="1" ht="15" customHeight="1" outlineLevel="1">
      <c r="A2556" s="219"/>
      <c r="B2556" s="242"/>
      <c r="C2556" s="242"/>
      <c r="D2556" s="242"/>
      <c r="E2556" s="242" t="s">
        <v>1422</v>
      </c>
      <c r="F2556" s="242">
        <v>500</v>
      </c>
      <c r="G2556" s="242"/>
      <c r="H2556" s="242" t="s">
        <v>1400</v>
      </c>
      <c r="I2556" s="242" t="s">
        <v>1414</v>
      </c>
      <c r="J2556" s="242"/>
      <c r="K2556" s="242"/>
      <c r="L2556" s="242"/>
      <c r="M2556" s="242"/>
      <c r="N2556" s="242"/>
      <c r="O2556" s="242"/>
      <c r="P2556" s="242"/>
      <c r="Q2556" s="242"/>
      <c r="R2556" s="242"/>
      <c r="S2556" s="179"/>
      <c r="T2556" s="179"/>
      <c r="U2556" s="179"/>
      <c r="W2556" s="179"/>
      <c r="X2556" s="179"/>
    </row>
    <row r="2557" spans="1:24" s="65" customFormat="1" ht="15" customHeight="1" outlineLevel="1">
      <c r="A2557" s="219"/>
      <c r="B2557" s="242"/>
      <c r="C2557" s="242"/>
      <c r="D2557" s="242"/>
      <c r="E2557" s="242" t="s">
        <v>1423</v>
      </c>
      <c r="F2557" s="242"/>
      <c r="G2557" s="242"/>
      <c r="H2557" s="242"/>
      <c r="I2557" s="242"/>
      <c r="J2557" s="242"/>
      <c r="K2557" s="242"/>
      <c r="L2557" s="242"/>
      <c r="M2557" s="242"/>
      <c r="N2557" s="242"/>
      <c r="O2557" s="242"/>
      <c r="P2557" s="242"/>
      <c r="Q2557" s="242"/>
      <c r="R2557" s="242"/>
      <c r="S2557" s="179"/>
      <c r="T2557" s="179"/>
      <c r="U2557" s="179"/>
      <c r="W2557" s="179"/>
      <c r="X2557" s="179"/>
    </row>
    <row r="2558" spans="1:24" s="65" customFormat="1" ht="15" customHeight="1" outlineLevel="1">
      <c r="A2558" s="219"/>
      <c r="B2558" s="242"/>
      <c r="C2558" s="242"/>
      <c r="D2558" s="242"/>
      <c r="E2558" s="242" t="s">
        <v>1424</v>
      </c>
      <c r="F2558" s="242"/>
      <c r="G2558" s="242"/>
      <c r="H2558" s="242"/>
      <c r="I2558" s="242"/>
      <c r="J2558" s="242"/>
      <c r="K2558" s="242"/>
      <c r="L2558" s="242"/>
      <c r="M2558" s="242"/>
      <c r="N2558" s="242"/>
      <c r="O2558" s="242"/>
      <c r="P2558" s="242"/>
      <c r="Q2558" s="242"/>
      <c r="R2558" s="242"/>
      <c r="S2558" s="179"/>
      <c r="T2558" s="179"/>
      <c r="U2558" s="179"/>
      <c r="W2558" s="179"/>
      <c r="X2558" s="179"/>
    </row>
    <row r="2559" spans="1:24" s="65" customFormat="1" ht="15" customHeight="1" outlineLevel="1">
      <c r="A2559" s="219"/>
      <c r="B2559" s="242"/>
      <c r="C2559" s="242"/>
      <c r="D2559" s="242"/>
      <c r="E2559" s="242" t="s">
        <v>1425</v>
      </c>
      <c r="F2559" s="242">
        <f>0.33/1000000*1000000*Unit.TWh</f>
        <v>1.188E-3</v>
      </c>
      <c r="G2559" s="242"/>
      <c r="H2559" s="242" t="str">
        <f>"TWh"&amp;"/MMtCO2e"</f>
        <v>TWh/MMtCO2e</v>
      </c>
      <c r="I2559" s="242" t="s">
        <v>1414</v>
      </c>
      <c r="J2559" s="242"/>
      <c r="K2559" s="242"/>
      <c r="L2559" s="242"/>
      <c r="M2559" s="242"/>
      <c r="N2559" s="242"/>
      <c r="O2559" s="242"/>
      <c r="P2559" s="242"/>
      <c r="Q2559" s="242"/>
      <c r="R2559" s="242"/>
      <c r="S2559" s="179"/>
      <c r="T2559" s="179"/>
      <c r="U2559" s="179"/>
      <c r="W2559" s="179"/>
      <c r="X2559" s="179"/>
    </row>
    <row r="2560" spans="1:24" s="65" customFormat="1" ht="15" customHeight="1" outlineLevel="1">
      <c r="A2560" s="219"/>
      <c r="B2560" s="242"/>
      <c r="C2560" s="242"/>
      <c r="D2560" s="242"/>
      <c r="E2560" s="242" t="s">
        <v>1425</v>
      </c>
      <c r="F2560" s="242">
        <v>200</v>
      </c>
      <c r="G2560" s="242"/>
      <c r="H2560" s="242" t="s">
        <v>1400</v>
      </c>
      <c r="I2560" s="242" t="s">
        <v>1414</v>
      </c>
      <c r="J2560" s="242"/>
      <c r="K2560" s="242"/>
      <c r="L2560" s="242"/>
      <c r="M2560" s="242"/>
      <c r="N2560" s="242"/>
      <c r="O2560" s="242"/>
      <c r="P2560" s="242"/>
      <c r="Q2560" s="242"/>
      <c r="R2560" s="242"/>
      <c r="S2560" s="179"/>
      <c r="T2560" s="179"/>
      <c r="U2560" s="179"/>
      <c r="W2560" s="179"/>
      <c r="X2560" s="179"/>
    </row>
    <row r="2561" spans="1:24" s="65" customFormat="1" ht="15" customHeight="1" outlineLevel="1">
      <c r="A2561" s="219"/>
      <c r="B2561" s="242"/>
      <c r="C2561" s="242"/>
      <c r="D2561" s="242"/>
      <c r="E2561" s="242"/>
      <c r="F2561" s="242"/>
      <c r="G2561" s="242"/>
      <c r="H2561" s="242"/>
      <c r="I2561" s="242"/>
      <c r="J2561" s="242"/>
      <c r="K2561" s="242"/>
      <c r="L2561" s="242"/>
      <c r="M2561" s="242"/>
      <c r="N2561" s="242"/>
      <c r="O2561" s="242"/>
      <c r="P2561" s="242"/>
      <c r="Q2561" s="242"/>
      <c r="R2561" s="242"/>
      <c r="S2561" s="179"/>
      <c r="T2561" s="179"/>
      <c r="U2561" s="179"/>
      <c r="W2561" s="179"/>
      <c r="X2561" s="179"/>
    </row>
    <row r="2562" spans="1:24" s="65" customFormat="1" ht="15" customHeight="1" outlineLevel="1">
      <c r="A2562" s="219"/>
      <c r="B2562" s="242"/>
      <c r="C2562" s="242" t="s">
        <v>1426</v>
      </c>
      <c r="D2562" s="242"/>
      <c r="E2562" s="242" t="s">
        <v>1427</v>
      </c>
      <c r="F2562" s="242">
        <v>2.0457725026265401E-6</v>
      </c>
      <c r="G2562" s="242"/>
      <c r="H2562" s="242" t="s">
        <v>1428</v>
      </c>
      <c r="I2562" s="242" t="s">
        <v>1429</v>
      </c>
      <c r="J2562" s="242"/>
      <c r="K2562" s="242"/>
      <c r="L2562" s="242"/>
      <c r="M2562" s="242"/>
      <c r="N2562" s="242"/>
      <c r="O2562" s="242"/>
      <c r="P2562" s="242"/>
      <c r="Q2562" s="242"/>
      <c r="R2562" s="242"/>
      <c r="S2562" s="179"/>
      <c r="T2562" s="179"/>
      <c r="U2562" s="179"/>
      <c r="W2562" s="179"/>
      <c r="X2562" s="179"/>
    </row>
    <row r="2563" spans="1:24" s="65" customFormat="1" ht="15" customHeight="1" outlineLevel="1">
      <c r="A2563" s="219"/>
      <c r="B2563" s="242"/>
      <c r="C2563" s="242"/>
      <c r="D2563" s="242"/>
      <c r="E2563" s="242" t="s">
        <v>1430</v>
      </c>
      <c r="F2563" s="242">
        <v>5.1144312565663504E-4</v>
      </c>
      <c r="G2563" s="242"/>
      <c r="H2563" s="242" t="s">
        <v>1428</v>
      </c>
      <c r="I2563" s="242"/>
      <c r="J2563" s="242"/>
      <c r="K2563" s="242"/>
      <c r="L2563" s="242"/>
      <c r="M2563" s="242"/>
      <c r="N2563" s="242"/>
      <c r="O2563" s="242"/>
      <c r="P2563" s="242"/>
      <c r="Q2563" s="242"/>
      <c r="R2563" s="242"/>
      <c r="S2563" s="179"/>
      <c r="T2563" s="179"/>
      <c r="U2563" s="179"/>
      <c r="W2563" s="179"/>
      <c r="X2563" s="179"/>
    </row>
    <row r="2564" spans="1:24" s="65" customFormat="1" ht="15" customHeight="1" outlineLevel="1">
      <c r="A2564" s="219"/>
      <c r="B2564" s="242"/>
      <c r="C2564" s="242"/>
      <c r="D2564" s="242"/>
      <c r="E2564" s="242" t="s">
        <v>1431</v>
      </c>
      <c r="F2564" s="242"/>
      <c r="G2564" s="242"/>
      <c r="H2564" s="242"/>
      <c r="I2564" s="242"/>
      <c r="J2564" s="242"/>
      <c r="K2564" s="242"/>
      <c r="L2564" s="242"/>
      <c r="M2564" s="242"/>
      <c r="N2564" s="242"/>
      <c r="O2564" s="242"/>
      <c r="P2564" s="242"/>
      <c r="Q2564" s="242"/>
      <c r="R2564" s="242"/>
      <c r="S2564" s="179"/>
      <c r="T2564" s="179"/>
      <c r="U2564" s="179"/>
      <c r="W2564" s="179"/>
      <c r="X2564" s="179"/>
    </row>
    <row r="2565" spans="1:24" s="65" customFormat="1" ht="15" customHeight="1" outlineLevel="1">
      <c r="A2565" s="219"/>
      <c r="B2565" s="242"/>
      <c r="C2565" s="242"/>
      <c r="D2565" s="242"/>
      <c r="E2565" s="242" t="s">
        <v>1432</v>
      </c>
      <c r="F2565" s="242">
        <v>1.48318506440424E-5</v>
      </c>
      <c r="G2565" s="242"/>
      <c r="H2565" s="242" t="s">
        <v>1428</v>
      </c>
      <c r="I2565" s="242" t="s">
        <v>1433</v>
      </c>
      <c r="J2565" s="242"/>
      <c r="K2565" s="242"/>
      <c r="L2565" s="242"/>
      <c r="M2565" s="242"/>
      <c r="N2565" s="242"/>
      <c r="O2565" s="242"/>
      <c r="P2565" s="242"/>
      <c r="Q2565" s="242"/>
      <c r="R2565" s="242"/>
      <c r="S2565" s="179"/>
      <c r="T2565" s="179"/>
      <c r="U2565" s="179"/>
      <c r="W2565" s="179"/>
      <c r="X2565" s="179"/>
    </row>
    <row r="2566" spans="1:24" s="65" customFormat="1" ht="15" customHeight="1" outlineLevel="1">
      <c r="A2566" s="219"/>
      <c r="B2566" s="242"/>
      <c r="C2566" s="242"/>
      <c r="D2566" s="242"/>
      <c r="E2566" s="242" t="s">
        <v>1434</v>
      </c>
      <c r="F2566" s="242">
        <f>0.33/1000000*1000000*Unit.TWh</f>
        <v>1.188E-3</v>
      </c>
      <c r="G2566" s="242"/>
      <c r="H2566" s="242"/>
      <c r="I2566" s="242" t="s">
        <v>1414</v>
      </c>
      <c r="J2566" s="242"/>
      <c r="K2566" s="242"/>
      <c r="L2566" s="242"/>
      <c r="M2566" s="242"/>
      <c r="N2566" s="242"/>
      <c r="O2566" s="242"/>
      <c r="P2566" s="242"/>
      <c r="Q2566" s="242"/>
      <c r="R2566" s="242"/>
      <c r="S2566" s="179"/>
      <c r="T2566" s="179"/>
      <c r="U2566" s="179"/>
      <c r="W2566" s="179"/>
      <c r="X2566" s="179"/>
    </row>
    <row r="2567" spans="1:24" s="65" customFormat="1" ht="15" customHeight="1" outlineLevel="1">
      <c r="A2567" s="219"/>
      <c r="B2567" s="242"/>
      <c r="C2567" s="242"/>
      <c r="D2567" s="242"/>
      <c r="E2567" s="242" t="s">
        <v>1434</v>
      </c>
      <c r="F2567" s="242">
        <v>57</v>
      </c>
      <c r="G2567" s="242"/>
      <c r="H2567" s="242"/>
      <c r="I2567" s="242" t="s">
        <v>1414</v>
      </c>
      <c r="J2567" s="242"/>
      <c r="K2567" s="242"/>
      <c r="L2567" s="242"/>
      <c r="M2567" s="242"/>
      <c r="N2567" s="242"/>
      <c r="O2567" s="242"/>
      <c r="P2567" s="242"/>
      <c r="Q2567" s="242"/>
      <c r="R2567" s="242"/>
      <c r="S2567" s="179"/>
      <c r="T2567" s="179"/>
      <c r="U2567" s="179"/>
      <c r="W2567" s="179"/>
      <c r="X2567" s="179"/>
    </row>
    <row r="2568" spans="1:24" s="65" customFormat="1" ht="15" customHeight="1" outlineLevel="1">
      <c r="A2568" s="219"/>
      <c r="B2568" s="242"/>
      <c r="C2568" s="242"/>
      <c r="D2568" s="242"/>
      <c r="E2568" s="242"/>
      <c r="F2568" s="242"/>
      <c r="G2568" s="242"/>
      <c r="H2568" s="242"/>
      <c r="I2568" s="242"/>
      <c r="J2568" s="242"/>
      <c r="K2568" s="242"/>
      <c r="L2568" s="242"/>
      <c r="M2568" s="242"/>
      <c r="N2568" s="242"/>
      <c r="O2568" s="242"/>
      <c r="P2568" s="242"/>
      <c r="Q2568" s="242"/>
      <c r="R2568" s="242"/>
      <c r="S2568" s="179"/>
      <c r="T2568" s="179"/>
      <c r="U2568" s="179"/>
      <c r="W2568" s="179"/>
      <c r="X2568" s="179"/>
    </row>
    <row r="2569" spans="1:24" s="65" customFormat="1" ht="15" customHeight="1" outlineLevel="1">
      <c r="A2569" s="219"/>
      <c r="B2569" s="242"/>
      <c r="C2569" s="242" t="s">
        <v>1435</v>
      </c>
      <c r="D2569" s="242"/>
      <c r="E2569" s="242" t="s">
        <v>1436</v>
      </c>
      <c r="F2569" s="242"/>
      <c r="G2569" s="242"/>
      <c r="H2569" s="242"/>
      <c r="I2569" s="242"/>
      <c r="J2569" s="242"/>
      <c r="K2569" s="242"/>
      <c r="L2569" s="242"/>
      <c r="M2569" s="242"/>
      <c r="N2569" s="242"/>
      <c r="O2569" s="242"/>
      <c r="P2569" s="242"/>
      <c r="Q2569" s="242"/>
      <c r="R2569" s="242"/>
      <c r="S2569" s="179"/>
      <c r="T2569" s="179"/>
      <c r="U2569" s="179"/>
      <c r="W2569" s="179"/>
      <c r="X2569" s="179"/>
    </row>
    <row r="2570" spans="1:24" s="65" customFormat="1" ht="15" customHeight="1" outlineLevel="1">
      <c r="A2570" s="219"/>
      <c r="B2570" s="242"/>
      <c r="C2570" s="242"/>
      <c r="D2570" s="242"/>
      <c r="E2570" s="242" t="s">
        <v>1437</v>
      </c>
      <c r="F2570" s="242">
        <v>-40</v>
      </c>
      <c r="G2570" s="242"/>
      <c r="H2570" s="242" t="s">
        <v>1400</v>
      </c>
      <c r="I2570" s="242"/>
      <c r="J2570" s="242"/>
      <c r="K2570" s="242"/>
      <c r="L2570" s="242"/>
      <c r="M2570" s="242"/>
      <c r="N2570" s="242"/>
      <c r="O2570" s="242"/>
      <c r="P2570" s="242"/>
      <c r="Q2570" s="242"/>
      <c r="R2570" s="242"/>
      <c r="S2570" s="179"/>
      <c r="T2570" s="179"/>
      <c r="U2570" s="179"/>
      <c r="W2570" s="179"/>
      <c r="X2570" s="179"/>
    </row>
    <row r="2571" spans="1:24" s="65" customFormat="1" ht="15" customHeight="1" outlineLevel="1">
      <c r="A2571" s="219"/>
      <c r="B2571" s="242"/>
      <c r="C2571" s="242"/>
      <c r="D2571" s="242"/>
      <c r="E2571" s="242" t="s">
        <v>1438</v>
      </c>
      <c r="F2571" s="242">
        <v>-15</v>
      </c>
      <c r="G2571" s="242"/>
      <c r="H2571" s="242" t="s">
        <v>1400</v>
      </c>
      <c r="I2571" s="242"/>
      <c r="J2571" s="242"/>
      <c r="K2571" s="242"/>
      <c r="L2571" s="242"/>
      <c r="M2571" s="242"/>
      <c r="N2571" s="242"/>
      <c r="O2571" s="242"/>
      <c r="P2571" s="242"/>
      <c r="Q2571" s="242"/>
      <c r="R2571" s="242"/>
      <c r="S2571" s="179"/>
      <c r="T2571" s="179"/>
      <c r="U2571" s="179"/>
      <c r="W2571" s="179"/>
      <c r="X2571" s="179"/>
    </row>
    <row r="2572" spans="1:24" s="65" customFormat="1" ht="15" customHeight="1" outlineLevel="1">
      <c r="A2572" s="219"/>
      <c r="B2572" s="242"/>
      <c r="C2572" s="242"/>
      <c r="D2572" s="242"/>
      <c r="E2572" s="242" t="s">
        <v>1439</v>
      </c>
      <c r="F2572" s="242">
        <v>10</v>
      </c>
      <c r="G2572" s="242" t="s">
        <v>1440</v>
      </c>
      <c r="H2572" s="242" t="s">
        <v>1400</v>
      </c>
      <c r="I2572" s="242"/>
      <c r="J2572" s="242"/>
      <c r="K2572" s="242"/>
      <c r="L2572" s="242"/>
      <c r="M2572" s="242"/>
      <c r="N2572" s="242"/>
      <c r="O2572" s="242"/>
      <c r="P2572" s="242"/>
      <c r="Q2572" s="242"/>
      <c r="R2572" s="242"/>
      <c r="S2572" s="179"/>
      <c r="T2572" s="179"/>
      <c r="U2572" s="179"/>
      <c r="W2572" s="179"/>
      <c r="X2572" s="179"/>
    </row>
    <row r="2573" spans="1:24" s="65" customFormat="1" ht="15" customHeight="1" outlineLevel="1">
      <c r="A2573" s="219"/>
      <c r="B2573" s="242"/>
      <c r="C2573" s="242"/>
      <c r="D2573" s="242"/>
      <c r="E2573" s="242" t="s">
        <v>1441</v>
      </c>
      <c r="F2573" s="242">
        <v>7.5</v>
      </c>
      <c r="G2573" s="242" t="s">
        <v>1440</v>
      </c>
      <c r="H2573" s="242" t="s">
        <v>1400</v>
      </c>
      <c r="I2573" s="242"/>
      <c r="J2573" s="242"/>
      <c r="K2573" s="242"/>
      <c r="L2573" s="242"/>
      <c r="M2573" s="242"/>
      <c r="N2573" s="242"/>
      <c r="O2573" s="242"/>
      <c r="P2573" s="242"/>
      <c r="Q2573" s="242"/>
      <c r="R2573" s="242"/>
      <c r="S2573" s="179"/>
      <c r="T2573" s="179"/>
      <c r="U2573" s="179"/>
      <c r="W2573" s="179"/>
      <c r="X2573" s="179"/>
    </row>
    <row r="2574" spans="1:24" s="65" customFormat="1" ht="15" customHeight="1" outlineLevel="1">
      <c r="A2574" s="219"/>
      <c r="B2574" s="242"/>
      <c r="C2574" s="242"/>
      <c r="D2574" s="242"/>
      <c r="E2574" s="242" t="s">
        <v>1441</v>
      </c>
      <c r="F2574" s="242">
        <f>0.1*Unit.TWh</f>
        <v>3.6000000000000002E-4</v>
      </c>
      <c r="G2574" s="242" t="s">
        <v>1442</v>
      </c>
      <c r="H2574" s="242" t="s">
        <v>1443</v>
      </c>
      <c r="I2574" s="242"/>
      <c r="J2574" s="242"/>
      <c r="K2574" s="242"/>
      <c r="L2574" s="242"/>
      <c r="M2574" s="242"/>
      <c r="N2574" s="242"/>
      <c r="O2574" s="242"/>
      <c r="P2574" s="242"/>
      <c r="Q2574" s="242"/>
      <c r="R2574" s="242"/>
      <c r="S2574" s="179"/>
      <c r="T2574" s="179"/>
      <c r="U2574" s="179"/>
    </row>
    <row r="2575" spans="1:24" s="65" customFormat="1" ht="15" customHeight="1" outlineLevel="1">
      <c r="A2575" s="219"/>
      <c r="B2575" s="242"/>
      <c r="C2575" s="242"/>
      <c r="D2575" s="242"/>
      <c r="E2575" s="242" t="s">
        <v>1444</v>
      </c>
      <c r="F2575" s="242">
        <f>10</f>
        <v>10</v>
      </c>
      <c r="G2575" s="242"/>
      <c r="H2575" s="242" t="s">
        <v>1445</v>
      </c>
      <c r="I2575" s="242"/>
      <c r="J2575" s="242"/>
      <c r="K2575" s="242"/>
      <c r="L2575" s="242"/>
      <c r="M2575" s="242"/>
      <c r="N2575" s="242"/>
      <c r="O2575" s="242"/>
      <c r="P2575" s="242"/>
      <c r="Q2575" s="242"/>
      <c r="R2575" s="242"/>
      <c r="S2575" s="179"/>
      <c r="T2575" s="179"/>
      <c r="U2575" s="179"/>
    </row>
    <row r="2576" spans="1:24" s="65" customFormat="1" ht="15" customHeight="1" outlineLevel="1">
      <c r="A2576" s="219"/>
      <c r="B2576" s="242"/>
      <c r="C2576" s="242"/>
      <c r="D2576" s="242"/>
      <c r="E2576" s="242" t="s">
        <v>1446</v>
      </c>
      <c r="F2576" s="242">
        <f>21</f>
        <v>21</v>
      </c>
      <c r="G2576" s="242"/>
      <c r="H2576" s="242" t="s">
        <v>1400</v>
      </c>
      <c r="I2576" s="242"/>
      <c r="J2576" s="242"/>
      <c r="K2576" s="242"/>
      <c r="L2576" s="242"/>
      <c r="M2576" s="242"/>
      <c r="N2576" s="242"/>
      <c r="O2576" s="242"/>
      <c r="P2576" s="242"/>
      <c r="Q2576" s="242"/>
      <c r="R2576" s="242"/>
      <c r="S2576" s="179"/>
      <c r="T2576" s="179"/>
      <c r="U2576" s="179"/>
    </row>
    <row r="2577" spans="1:21" s="65" customFormat="1" ht="15" customHeight="1" outlineLevel="1">
      <c r="A2577" s="219"/>
      <c r="B2577" s="242"/>
      <c r="C2577" s="242"/>
      <c r="D2577" s="242"/>
      <c r="E2577" s="242" t="s">
        <v>1446</v>
      </c>
      <c r="F2577" s="242">
        <f>0.33*Unit.TWh</f>
        <v>1.188E-3</v>
      </c>
      <c r="G2577" s="242"/>
      <c r="H2577" s="242" t="str">
        <f>"TWh"&amp;"/MMtCO2e"</f>
        <v>TWh/MMtCO2e</v>
      </c>
      <c r="I2577" s="242"/>
      <c r="J2577" s="242"/>
      <c r="K2577" s="242"/>
      <c r="L2577" s="242"/>
      <c r="M2577" s="242"/>
      <c r="N2577" s="242"/>
      <c r="O2577" s="242"/>
      <c r="P2577" s="242"/>
      <c r="Q2577" s="242"/>
      <c r="R2577" s="242"/>
      <c r="S2577" s="179"/>
      <c r="T2577" s="179"/>
      <c r="U2577" s="179"/>
    </row>
    <row r="2578" spans="1:21" s="65" customFormat="1" ht="15" customHeight="1" outlineLevel="1">
      <c r="A2578" s="219"/>
      <c r="B2578" s="242"/>
      <c r="C2578" s="242"/>
      <c r="D2578" s="242"/>
      <c r="E2578" s="242"/>
      <c r="F2578" s="242"/>
      <c r="G2578" s="242"/>
      <c r="H2578" s="242"/>
      <c r="I2578" s="242"/>
      <c r="J2578" s="242"/>
      <c r="K2578" s="242"/>
      <c r="L2578" s="242"/>
      <c r="M2578" s="242"/>
      <c r="N2578" s="242"/>
      <c r="O2578" s="242"/>
      <c r="P2578" s="242"/>
      <c r="Q2578" s="242"/>
      <c r="R2578" s="242"/>
      <c r="S2578" s="179"/>
      <c r="T2578" s="179"/>
      <c r="U2578" s="179"/>
    </row>
    <row r="2579" spans="1:21" s="65" customFormat="1" ht="15" customHeight="1" outlineLevel="1">
      <c r="A2579" s="219"/>
      <c r="B2579" s="242"/>
      <c r="C2579" s="242" t="s">
        <v>1447</v>
      </c>
      <c r="D2579" s="242"/>
      <c r="E2579" s="242" t="s">
        <v>1430</v>
      </c>
      <c r="F2579" s="242">
        <v>0</v>
      </c>
      <c r="G2579" s="242"/>
      <c r="H2579" s="242" t="s">
        <v>1448</v>
      </c>
      <c r="I2579" s="242" t="s">
        <v>1449</v>
      </c>
      <c r="J2579" s="242"/>
      <c r="K2579" s="242"/>
      <c r="L2579" s="242"/>
      <c r="M2579" s="242"/>
      <c r="N2579" s="242"/>
      <c r="O2579" s="242"/>
      <c r="P2579" s="242"/>
      <c r="Q2579" s="242"/>
      <c r="R2579" s="242"/>
      <c r="S2579" s="179"/>
      <c r="T2579" s="179"/>
      <c r="U2579" s="179"/>
    </row>
    <row r="2580" spans="1:21" s="65" customFormat="1" ht="15" customHeight="1" outlineLevel="1">
      <c r="A2580" s="219"/>
      <c r="B2580" s="121"/>
      <c r="C2580" s="242"/>
      <c r="D2580" s="242"/>
      <c r="E2580" s="242" t="s">
        <v>1450</v>
      </c>
      <c r="F2580" s="242"/>
      <c r="G2580" s="242"/>
      <c r="H2580" s="242"/>
      <c r="I2580" s="242"/>
      <c r="J2580" s="242"/>
      <c r="K2580" s="242"/>
      <c r="L2580" s="242"/>
      <c r="M2580" s="242"/>
      <c r="N2580" s="242"/>
      <c r="O2580" s="242"/>
      <c r="P2580" s="242"/>
      <c r="Q2580" s="242"/>
      <c r="R2580" s="121"/>
      <c r="S2580" s="179"/>
      <c r="T2580" s="179"/>
      <c r="U2580" s="179"/>
    </row>
    <row r="2581" spans="1:21" s="65" customFormat="1" ht="15" customHeight="1" outlineLevel="1">
      <c r="A2581" s="219"/>
      <c r="B2581" s="121"/>
      <c r="C2581" s="242"/>
      <c r="D2581" s="242"/>
      <c r="E2581" s="242" t="s">
        <v>1451</v>
      </c>
      <c r="F2581" s="242"/>
      <c r="G2581" s="242"/>
      <c r="H2581" s="242"/>
      <c r="I2581" s="242"/>
      <c r="J2581" s="242"/>
      <c r="K2581" s="242"/>
      <c r="L2581" s="242"/>
      <c r="M2581" s="242"/>
      <c r="N2581" s="242"/>
      <c r="O2581" s="242"/>
      <c r="P2581" s="242"/>
      <c r="Q2581" s="242"/>
      <c r="R2581" s="121"/>
      <c r="S2581" s="179"/>
      <c r="T2581" s="179"/>
      <c r="U2581" s="179"/>
    </row>
    <row r="2582" spans="1:21" s="65" customFormat="1" ht="15" customHeight="1" outlineLevel="1">
      <c r="A2582" s="219"/>
      <c r="B2582" s="121"/>
      <c r="C2582" s="242"/>
      <c r="D2582" s="242"/>
      <c r="E2582" s="242" t="s">
        <v>1452</v>
      </c>
      <c r="F2582" s="242">
        <v>45</v>
      </c>
      <c r="G2582" s="242"/>
      <c r="H2582" s="242"/>
      <c r="I2582" s="242" t="s">
        <v>1448</v>
      </c>
      <c r="J2582" s="242"/>
      <c r="K2582" s="242"/>
      <c r="L2582" s="242"/>
      <c r="M2582" s="242"/>
      <c r="N2582" s="242"/>
      <c r="O2582" s="242"/>
      <c r="P2582" s="242"/>
      <c r="Q2582" s="242"/>
      <c r="R2582" s="219"/>
      <c r="S2582" s="179"/>
      <c r="T2582" s="179"/>
      <c r="U2582" s="179"/>
    </row>
    <row r="2583" spans="1:21" s="65" customFormat="1" ht="15" customHeight="1" outlineLevel="1">
      <c r="A2583" s="219"/>
      <c r="B2583" s="121"/>
      <c r="C2583" s="242"/>
      <c r="D2583" s="242"/>
      <c r="E2583" s="242" t="s">
        <v>1452</v>
      </c>
      <c r="F2583" s="242">
        <f>0.33/1000000*1000000</f>
        <v>0.33</v>
      </c>
      <c r="G2583" s="242"/>
      <c r="H2583" s="242"/>
      <c r="I2583" s="242" t="s">
        <v>1443</v>
      </c>
      <c r="J2583" s="242"/>
      <c r="K2583" s="242"/>
      <c r="L2583" s="242"/>
      <c r="M2583" s="242"/>
      <c r="N2583" s="242"/>
      <c r="O2583" s="242"/>
      <c r="P2583" s="242"/>
      <c r="Q2583" s="242"/>
      <c r="R2583" s="219"/>
      <c r="S2583" s="179"/>
      <c r="T2583" s="179"/>
      <c r="U2583" s="179"/>
    </row>
    <row r="2584" spans="1:21" s="65" customFormat="1" ht="15" customHeight="1" outlineLevel="1">
      <c r="A2584" s="219"/>
      <c r="B2584" s="121"/>
      <c r="C2584" s="242"/>
      <c r="D2584" s="242"/>
      <c r="E2584" s="242" t="s">
        <v>1453</v>
      </c>
      <c r="F2584" s="242">
        <v>4.25</v>
      </c>
      <c r="G2584" s="242"/>
      <c r="H2584" s="242"/>
      <c r="I2584" s="242" t="s">
        <v>1454</v>
      </c>
      <c r="J2584" s="242"/>
      <c r="K2584" s="242"/>
      <c r="L2584" s="242"/>
      <c r="M2584" s="242"/>
      <c r="N2584" s="242"/>
      <c r="O2584" s="242"/>
      <c r="P2584" s="242"/>
      <c r="Q2584" s="242"/>
      <c r="R2584" s="219"/>
      <c r="S2584" s="179"/>
      <c r="T2584" s="179"/>
      <c r="U2584" s="179"/>
    </row>
    <row r="2585" spans="1:21" s="65" customFormat="1" ht="15" customHeight="1" outlineLevel="1">
      <c r="A2585" s="219"/>
      <c r="B2585" s="121"/>
      <c r="C2585" s="242"/>
      <c r="D2585" s="242"/>
      <c r="E2585" s="242" t="s">
        <v>1455</v>
      </c>
      <c r="F2585" s="242">
        <v>1.4</v>
      </c>
      <c r="G2585" s="242"/>
      <c r="H2585" s="242"/>
      <c r="I2585" s="242" t="s">
        <v>1456</v>
      </c>
      <c r="J2585" s="242"/>
      <c r="K2585" s="242"/>
      <c r="L2585" s="242"/>
      <c r="M2585" s="242"/>
      <c r="N2585" s="242"/>
      <c r="O2585" s="242"/>
      <c r="P2585" s="242"/>
      <c r="Q2585" s="242"/>
      <c r="R2585" s="219"/>
      <c r="S2585" s="179"/>
      <c r="T2585" s="179"/>
      <c r="U2585" s="179"/>
    </row>
    <row r="2586" spans="1:21" s="65" customFormat="1" ht="15" customHeight="1" outlineLevel="1">
      <c r="A2586" s="219"/>
      <c r="B2586" s="121"/>
      <c r="C2586" s="242"/>
      <c r="D2586" s="242"/>
      <c r="E2586" s="242"/>
      <c r="F2586" s="242"/>
      <c r="G2586" s="242"/>
      <c r="H2586" s="242"/>
      <c r="I2586" s="242"/>
      <c r="J2586" s="242"/>
      <c r="K2586" s="242"/>
      <c r="L2586" s="242"/>
      <c r="M2586" s="242"/>
      <c r="N2586" s="242"/>
      <c r="O2586" s="242"/>
      <c r="P2586" s="242"/>
      <c r="Q2586" s="242"/>
      <c r="R2586" s="219"/>
      <c r="S2586" s="179"/>
      <c r="T2586" s="179"/>
      <c r="U2586" s="179"/>
    </row>
    <row r="2587" spans="1:21" s="65" customFormat="1" ht="15" customHeight="1" outlineLevel="1">
      <c r="A2587" s="219"/>
      <c r="B2587" s="121"/>
      <c r="C2587" s="242" t="s">
        <v>1457</v>
      </c>
      <c r="D2587" s="242"/>
      <c r="E2587" s="242"/>
      <c r="F2587" s="242"/>
      <c r="G2587" s="242"/>
      <c r="H2587" s="242"/>
      <c r="I2587" s="242"/>
      <c r="J2587" s="242"/>
      <c r="K2587" s="242"/>
      <c r="L2587" s="242"/>
      <c r="M2587" s="242"/>
      <c r="N2587" s="242"/>
      <c r="O2587" s="242"/>
      <c r="P2587" s="242"/>
      <c r="Q2587" s="242"/>
      <c r="R2587" s="219"/>
      <c r="S2587" s="179"/>
      <c r="T2587" s="179"/>
      <c r="U2587" s="179"/>
    </row>
  </sheetData>
  <phoneticPr fontId="79" type="noConversion"/>
  <hyperlinks>
    <hyperlink ref="E2" location="Contents!A1" display="Click here to go to the &quot;contents&quot; page"/>
  </hyperlinks>
  <pageMargins left="0.7" right="0.7" top="0.75" bottom="0.75" header="0.3" footer="0.3"/>
  <pageSetup paperSize="9" orientation="portrait"/>
  <drawing r:id="rId1"/>
  <legacyDrawing r:id="rId2"/>
  <tableParts count="48">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2060"/>
  </sheetPr>
  <dimension ref="A1:AH416"/>
  <sheetViews>
    <sheetView showGridLines="0" topLeftCell="B92" zoomScale="85" zoomScaleNormal="85" zoomScalePageLayoutView="85" workbookViewId="0">
      <selection activeCell="I102" sqref="I102"/>
    </sheetView>
  </sheetViews>
  <sheetFormatPr baseColWidth="10" defaultColWidth="9.1640625" defaultRowHeight="14.5" customHeight="1" x14ac:dyDescent="0"/>
  <cols>
    <col min="1" max="1" width="4.1640625" style="119" customWidth="1"/>
    <col min="2" max="2" width="4.33203125" style="219" customWidth="1"/>
    <col min="3" max="3" width="65.33203125" style="219" customWidth="1"/>
    <col min="4" max="4" width="37.83203125" style="219" customWidth="1"/>
    <col min="5" max="5" width="17.1640625" style="219" customWidth="1"/>
    <col min="6" max="6" width="27.5" style="219" customWidth="1"/>
    <col min="7" max="7" width="17.33203125" style="219" customWidth="1"/>
    <col min="8" max="8" width="19.33203125" style="219" customWidth="1"/>
    <col min="9" max="17" width="13.83203125" style="219" customWidth="1"/>
    <col min="18" max="31" width="7.5" style="219" customWidth="1"/>
    <col min="32" max="16384" width="9.1640625" style="219"/>
  </cols>
  <sheetData>
    <row r="1" spans="1:34" ht="10.5" customHeight="1"/>
    <row r="2" spans="1:34" ht="20">
      <c r="B2" s="9" t="s">
        <v>360</v>
      </c>
      <c r="C2" s="9" t="str">
        <f>INDEX(Region.codes[Description],MATCH(B2,Region.codes[Code],0))</f>
        <v>Global</v>
      </c>
      <c r="E2" s="99" t="s">
        <v>350</v>
      </c>
    </row>
    <row r="3" spans="1:34" ht="20">
      <c r="B3" s="9">
        <v>30</v>
      </c>
      <c r="C3" s="9" t="str">
        <f>INDEX(Sector.codes[[Description ]],MATCH(B3,Sector.codes[Code],0))</f>
        <v>Materials</v>
      </c>
      <c r="D3" s="9"/>
      <c r="J3" s="57"/>
      <c r="AA3" s="219" t="s">
        <v>500</v>
      </c>
    </row>
    <row r="4" spans="1:34" ht="20">
      <c r="B4" s="9"/>
    </row>
    <row r="5" spans="1:34" ht="15">
      <c r="A5" s="118"/>
      <c r="B5" s="45" t="s">
        <v>881</v>
      </c>
      <c r="C5" s="45"/>
      <c r="D5" s="45"/>
      <c r="E5" s="45"/>
      <c r="F5" s="45"/>
      <c r="G5" s="45"/>
      <c r="H5" s="45"/>
      <c r="I5" s="45"/>
      <c r="J5" s="45"/>
      <c r="K5" s="45"/>
      <c r="L5" s="45"/>
      <c r="M5" s="45"/>
      <c r="N5" s="45"/>
      <c r="O5" s="45"/>
      <c r="P5" s="45"/>
      <c r="Q5" s="45"/>
      <c r="R5" s="146"/>
      <c r="S5" s="178" t="s">
        <v>880</v>
      </c>
      <c r="T5" s="178"/>
      <c r="U5" s="178"/>
      <c r="V5" s="178"/>
      <c r="W5" s="178"/>
      <c r="X5" s="178"/>
      <c r="Y5" s="178"/>
      <c r="Z5" s="178"/>
      <c r="AA5" s="178"/>
      <c r="AB5" s="178"/>
      <c r="AC5" s="178"/>
      <c r="AD5" s="178"/>
      <c r="AE5" s="178"/>
      <c r="AF5" s="178"/>
      <c r="AG5" s="178"/>
      <c r="AH5" s="178"/>
    </row>
    <row r="7" spans="1:34" ht="14">
      <c r="A7" s="257"/>
      <c r="I7" s="255"/>
    </row>
    <row r="8" spans="1:34" ht="14">
      <c r="B8" s="166"/>
    </row>
    <row r="9" spans="1:34" ht="14">
      <c r="C9" s="220" t="s">
        <v>279</v>
      </c>
      <c r="D9" s="220" t="s">
        <v>634</v>
      </c>
      <c r="E9" s="220" t="s">
        <v>274</v>
      </c>
      <c r="F9" s="220" t="s">
        <v>589</v>
      </c>
      <c r="G9" s="220" t="s">
        <v>635</v>
      </c>
      <c r="H9" s="220" t="s">
        <v>69</v>
      </c>
      <c r="I9" s="220" t="s">
        <v>1107</v>
      </c>
      <c r="J9" s="220" t="s">
        <v>2534</v>
      </c>
      <c r="K9" s="220" t="s">
        <v>2535</v>
      </c>
      <c r="L9" s="220" t="s">
        <v>2536</v>
      </c>
      <c r="M9" s="220" t="s">
        <v>210</v>
      </c>
      <c r="N9" s="220" t="s">
        <v>2537</v>
      </c>
      <c r="O9" s="220" t="s">
        <v>2538</v>
      </c>
      <c r="P9" s="220" t="s">
        <v>2539</v>
      </c>
      <c r="Q9" s="220" t="s">
        <v>2540</v>
      </c>
    </row>
    <row r="10" spans="1:34" ht="14">
      <c r="C10" s="219" t="s">
        <v>1376</v>
      </c>
      <c r="D10" s="219" t="str">
        <f>INDEX(Regional.Technologies[Description],MATCH($B$2&amp;"."&amp;G.30.energy[[#This Row],[Code]],Regional.Technologies[Code],0))</f>
        <v>Global Electricity use in the Oxygen steel technology</v>
      </c>
      <c r="E10" s="196"/>
      <c r="F10" s="196" t="s">
        <v>2465</v>
      </c>
      <c r="G10" s="219" t="str">
        <f>INDEX(Regional.energy[Description],MATCH(G.30.energy[[#This Row],[Energy vector]],Regional.energy[Regional energy code],0))</f>
        <v>Global Materials</v>
      </c>
      <c r="H10" s="196" t="str">
        <f t="shared" ref="H10:H41" si="0">Preferences.energy</f>
        <v>EJ</v>
      </c>
      <c r="I10" s="435">
        <f ca="1">-I101</f>
        <v>2.3089557437005142</v>
      </c>
      <c r="J10" s="435"/>
      <c r="K10" s="435"/>
      <c r="L10" s="435"/>
      <c r="M10" s="435"/>
      <c r="N10" s="435"/>
      <c r="O10" s="435"/>
      <c r="P10" s="435"/>
      <c r="Q10" s="435"/>
    </row>
    <row r="11" spans="1:34" ht="14">
      <c r="C11" s="219" t="s">
        <v>1798</v>
      </c>
      <c r="D11" s="219" t="str">
        <f>INDEX(Regional.Technologies[Description],MATCH($B$2&amp;"."&amp;G.30.energy[[#This Row],[Code]],Regional.Technologies[Code],0))</f>
        <v>Global Coal use in the Oxygen steel technology</v>
      </c>
      <c r="E11" s="196"/>
      <c r="F11" s="196" t="s">
        <v>2465</v>
      </c>
      <c r="G11" s="219" t="str">
        <f>INDEX(Regional.energy[Description],MATCH(G.30.energy[[#This Row],[Energy vector]],Regional.energy[Regional energy code],0))</f>
        <v>Global Materials</v>
      </c>
      <c r="H11" s="196" t="str">
        <f t="shared" si="0"/>
        <v>EJ</v>
      </c>
      <c r="I11" s="435">
        <f t="shared" ref="I11:Q74" ca="1" si="1">-I102</f>
        <v>12.811296723305107</v>
      </c>
      <c r="J11" s="435"/>
      <c r="K11" s="435"/>
      <c r="L11" s="435"/>
      <c r="M11" s="435"/>
      <c r="N11" s="435"/>
      <c r="O11" s="435"/>
      <c r="P11" s="435"/>
      <c r="Q11" s="435"/>
    </row>
    <row r="12" spans="1:34" ht="14">
      <c r="C12" s="219" t="s">
        <v>1799</v>
      </c>
      <c r="D12" s="219" t="str">
        <f>INDEX(Regional.Technologies[Description],MATCH($B$2&amp;"."&amp;G.30.energy[[#This Row],[Code]],Regional.Technologies[Code],0))</f>
        <v>Global Oil use in the Oxygen steel technology</v>
      </c>
      <c r="E12" s="196"/>
      <c r="F12" s="196" t="s">
        <v>2465</v>
      </c>
      <c r="G12" s="219" t="str">
        <f>INDEX(Regional.energy[Description],MATCH(G.30.energy[[#This Row],[Energy vector]],Regional.energy[Regional energy code],0))</f>
        <v>Global Materials</v>
      </c>
      <c r="H12" s="196" t="str">
        <f t="shared" si="0"/>
        <v>EJ</v>
      </c>
      <c r="I12" s="435">
        <f t="shared" ca="1" si="1"/>
        <v>0.6053795859240001</v>
      </c>
      <c r="J12" s="435"/>
      <c r="K12" s="435"/>
      <c r="L12" s="435"/>
      <c r="M12" s="435"/>
      <c r="N12" s="435"/>
      <c r="O12" s="435"/>
      <c r="P12" s="435"/>
      <c r="Q12" s="435"/>
    </row>
    <row r="13" spans="1:34" ht="14">
      <c r="C13" s="219" t="s">
        <v>1800</v>
      </c>
      <c r="D13" s="219" t="str">
        <f>INDEX(Regional.Technologies[Description],MATCH($B$2&amp;"."&amp;G.30.energy[[#This Row],[Code]],Regional.Technologies[Code],0))</f>
        <v>Global Natural Gas use in the Oxygen steel technology</v>
      </c>
      <c r="E13" s="196"/>
      <c r="F13" s="196" t="s">
        <v>2465</v>
      </c>
      <c r="G13" s="219" t="str">
        <f>INDEX(Regional.energy[Description],MATCH(G.30.energy[[#This Row],[Energy vector]],Regional.energy[Regional energy code],0))</f>
        <v>Global Materials</v>
      </c>
      <c r="H13" s="196" t="str">
        <f t="shared" si="0"/>
        <v>EJ</v>
      </c>
      <c r="I13" s="435">
        <f t="shared" ca="1" si="1"/>
        <v>1.0517591114635856</v>
      </c>
      <c r="J13" s="435"/>
      <c r="K13" s="435"/>
      <c r="L13" s="435"/>
      <c r="M13" s="435"/>
      <c r="N13" s="435"/>
      <c r="O13" s="435"/>
      <c r="P13" s="435"/>
      <c r="Q13" s="435"/>
    </row>
    <row r="14" spans="1:34" ht="14">
      <c r="C14" s="219" t="s">
        <v>1802</v>
      </c>
      <c r="D14" s="219" t="str">
        <f>INDEX(Regional.Technologies[Description],MATCH($B$2&amp;"."&amp;G.30.energy[[#This Row],[Code]],Regional.Technologies[Code],0))</f>
        <v>Global Solid Hydrocarbons use in the Oxygen steel technology</v>
      </c>
      <c r="E14" s="196"/>
      <c r="F14" s="196" t="s">
        <v>2465</v>
      </c>
      <c r="G14" s="219" t="str">
        <f>INDEX(Regional.energy[Description],MATCH(G.30.energy[[#This Row],[Energy vector]],Regional.energy[Regional energy code],0))</f>
        <v>Global Materials</v>
      </c>
      <c r="H14" s="196" t="str">
        <f t="shared" si="0"/>
        <v>EJ</v>
      </c>
      <c r="I14" s="435">
        <f t="shared" ca="1" si="1"/>
        <v>0.17590630860000006</v>
      </c>
      <c r="J14" s="435"/>
      <c r="K14" s="435"/>
      <c r="L14" s="435"/>
      <c r="M14" s="435"/>
      <c r="N14" s="435"/>
      <c r="O14" s="435"/>
      <c r="P14" s="435"/>
      <c r="Q14" s="435"/>
    </row>
    <row r="15" spans="1:34" ht="14">
      <c r="C15" s="219" t="s">
        <v>1635</v>
      </c>
      <c r="D15" s="219" t="str">
        <f>INDEX(Regional.Technologies[Description],MATCH($B$2&amp;"."&amp;G.30.energy[[#This Row],[Code]],Regional.Technologies[Code],0))</f>
        <v>Global Heat use in the Oxygen steel technology</v>
      </c>
      <c r="E15" s="196"/>
      <c r="F15" s="196" t="s">
        <v>2465</v>
      </c>
      <c r="G15" s="219" t="str">
        <f>INDEX(Regional.energy[Description],MATCH(G.30.energy[[#This Row],[Energy vector]],Regional.energy[Regional energy code],0))</f>
        <v>Global Materials</v>
      </c>
      <c r="H15" s="196" t="str">
        <f t="shared" si="0"/>
        <v>EJ</v>
      </c>
      <c r="I15" s="435">
        <f t="shared" ca="1" si="1"/>
        <v>0.80340865264799999</v>
      </c>
      <c r="J15" s="435"/>
      <c r="K15" s="435"/>
      <c r="L15" s="435"/>
      <c r="M15" s="435"/>
      <c r="N15" s="435"/>
      <c r="O15" s="435"/>
      <c r="P15" s="435"/>
      <c r="Q15" s="435"/>
    </row>
    <row r="16" spans="1:34" ht="14">
      <c r="C16" s="219" t="s">
        <v>2053</v>
      </c>
      <c r="D16" s="219" t="str">
        <f>INDEX(Regional.Technologies[Description],MATCH($B$2&amp;"."&amp;G.30.energy[[#This Row],[Code]],Regional.Technologies[Code],0))</f>
        <v>Global Electricity use in the Hisarna Oxygen steel technology</v>
      </c>
      <c r="E16" s="196"/>
      <c r="F16" s="196" t="s">
        <v>2465</v>
      </c>
      <c r="G16" s="219" t="str">
        <f>INDEX(Regional.energy[Description],MATCH(G.30.energy[[#This Row],[Energy vector]],Regional.energy[Regional energy code],0))</f>
        <v>Global Materials</v>
      </c>
      <c r="H16" s="196" t="str">
        <f t="shared" si="0"/>
        <v>EJ</v>
      </c>
      <c r="I16" s="435">
        <f t="shared" ca="1" si="1"/>
        <v>0</v>
      </c>
      <c r="J16" s="435"/>
      <c r="K16" s="435"/>
      <c r="L16" s="435"/>
      <c r="M16" s="435"/>
      <c r="N16" s="435"/>
      <c r="O16" s="435"/>
      <c r="P16" s="435"/>
      <c r="Q16" s="435"/>
    </row>
    <row r="17" spans="3:23" ht="14">
      <c r="C17" s="219" t="s">
        <v>2054</v>
      </c>
      <c r="D17" s="219" t="str">
        <f>INDEX(Regional.Technologies[Description],MATCH($B$2&amp;"."&amp;G.30.energy[[#This Row],[Code]],Regional.Technologies[Code],0))</f>
        <v>Global Coal use in the Hisarna Oxygen steel technology</v>
      </c>
      <c r="E17" s="196"/>
      <c r="F17" s="196" t="s">
        <v>2465</v>
      </c>
      <c r="G17" s="219" t="str">
        <f>INDEX(Regional.energy[Description],MATCH(G.30.energy[[#This Row],[Energy vector]],Regional.energy[Regional energy code],0))</f>
        <v>Global Materials</v>
      </c>
      <c r="H17" s="196" t="str">
        <f t="shared" si="0"/>
        <v>EJ</v>
      </c>
      <c r="I17" s="435">
        <f t="shared" ca="1" si="1"/>
        <v>0</v>
      </c>
      <c r="J17" s="435"/>
      <c r="K17" s="435"/>
      <c r="L17" s="435"/>
      <c r="M17" s="435"/>
      <c r="N17" s="435"/>
      <c r="O17" s="435"/>
      <c r="P17" s="435"/>
      <c r="Q17" s="435"/>
    </row>
    <row r="18" spans="3:23" ht="14">
      <c r="C18" s="219" t="s">
        <v>2055</v>
      </c>
      <c r="D18" s="219" t="str">
        <f>INDEX(Regional.Technologies[Description],MATCH($B$2&amp;"."&amp;G.30.energy[[#This Row],[Code]],Regional.Technologies[Code],0))</f>
        <v>Global Oil use in the Hisarna Oxygen steel technology</v>
      </c>
      <c r="E18" s="196"/>
      <c r="F18" s="196" t="s">
        <v>2465</v>
      </c>
      <c r="G18" s="219" t="str">
        <f>INDEX(Regional.energy[Description],MATCH(G.30.energy[[#This Row],[Energy vector]],Regional.energy[Regional energy code],0))</f>
        <v>Global Materials</v>
      </c>
      <c r="H18" s="196" t="str">
        <f t="shared" si="0"/>
        <v>EJ</v>
      </c>
      <c r="I18" s="435">
        <f t="shared" ca="1" si="1"/>
        <v>0</v>
      </c>
      <c r="J18" s="435"/>
      <c r="K18" s="435"/>
      <c r="L18" s="435"/>
      <c r="M18" s="435"/>
      <c r="N18" s="435"/>
      <c r="O18" s="435"/>
      <c r="P18" s="435"/>
      <c r="Q18" s="435"/>
    </row>
    <row r="19" spans="3:23" ht="14">
      <c r="C19" s="219" t="s">
        <v>2056</v>
      </c>
      <c r="D19" s="219" t="str">
        <f>INDEX(Regional.Technologies[Description],MATCH($B$2&amp;"."&amp;G.30.energy[[#This Row],[Code]],Regional.Technologies[Code],0))</f>
        <v>Global Natural Gas use in the Hisarna Oxygen steel technology</v>
      </c>
      <c r="E19" s="196"/>
      <c r="F19" s="196" t="s">
        <v>2465</v>
      </c>
      <c r="G19" s="219" t="str">
        <f>INDEX(Regional.energy[Description],MATCH(G.30.energy[[#This Row],[Energy vector]],Regional.energy[Regional energy code],0))</f>
        <v>Global Materials</v>
      </c>
      <c r="H19" s="196" t="str">
        <f t="shared" si="0"/>
        <v>EJ</v>
      </c>
      <c r="I19" s="435">
        <f t="shared" ca="1" si="1"/>
        <v>0</v>
      </c>
      <c r="J19" s="435"/>
      <c r="K19" s="435"/>
      <c r="L19" s="435"/>
      <c r="M19" s="435"/>
      <c r="N19" s="435"/>
      <c r="O19" s="435"/>
      <c r="P19" s="435"/>
      <c r="Q19" s="435"/>
    </row>
    <row r="20" spans="3:23" ht="14">
      <c r="C20" s="219" t="s">
        <v>2057</v>
      </c>
      <c r="D20" s="219" t="str">
        <f>INDEX(Regional.Technologies[Description],MATCH($B$2&amp;"."&amp;G.30.energy[[#This Row],[Code]],Regional.Technologies[Code],0))</f>
        <v>Global Solid Hydrocarbons use in the Hisarna Oxygen steel technology</v>
      </c>
      <c r="E20" s="196"/>
      <c r="F20" s="196" t="s">
        <v>2465</v>
      </c>
      <c r="G20" s="219" t="str">
        <f>INDEX(Regional.energy[Description],MATCH(G.30.energy[[#This Row],[Energy vector]],Regional.energy[Regional energy code],0))</f>
        <v>Global Materials</v>
      </c>
      <c r="H20" s="196" t="str">
        <f t="shared" si="0"/>
        <v>EJ</v>
      </c>
      <c r="I20" s="435">
        <f t="shared" ca="1" si="1"/>
        <v>0</v>
      </c>
      <c r="J20" s="435"/>
      <c r="K20" s="435"/>
      <c r="L20" s="435"/>
      <c r="M20" s="435"/>
      <c r="N20" s="435"/>
      <c r="O20" s="435"/>
      <c r="P20" s="435"/>
      <c r="Q20" s="435"/>
    </row>
    <row r="21" spans="3:23" ht="14">
      <c r="C21" s="219" t="s">
        <v>2058</v>
      </c>
      <c r="D21" s="219" t="str">
        <f>INDEX(Regional.Technologies[Description],MATCH($B$2&amp;"."&amp;G.30.energy[[#This Row],[Code]],Regional.Technologies[Code],0))</f>
        <v>Global Heat use in the Hisarna Oxygen steel technology</v>
      </c>
      <c r="E21" s="196"/>
      <c r="F21" s="196" t="s">
        <v>2465</v>
      </c>
      <c r="G21" s="219" t="str">
        <f>INDEX(Regional.energy[Description],MATCH(G.30.energy[[#This Row],[Energy vector]],Regional.energy[Regional energy code],0))</f>
        <v>Global Materials</v>
      </c>
      <c r="H21" s="196" t="str">
        <f t="shared" si="0"/>
        <v>EJ</v>
      </c>
      <c r="I21" s="435">
        <f t="shared" ca="1" si="1"/>
        <v>0</v>
      </c>
      <c r="J21" s="435"/>
      <c r="K21" s="435"/>
      <c r="L21" s="435"/>
      <c r="M21" s="435"/>
      <c r="N21" s="435"/>
      <c r="O21" s="435"/>
      <c r="P21" s="435"/>
      <c r="Q21" s="435"/>
    </row>
    <row r="22" spans="3:23" ht="14">
      <c r="C22" s="219" t="s">
        <v>1379</v>
      </c>
      <c r="D22" s="219" t="str">
        <f>INDEX(Regional.Technologies[Description],MATCH($B$2&amp;"."&amp;G.30.energy[[#This Row],[Code]],Regional.Technologies[Code],0))</f>
        <v>Global Electricity use in the Electric steel technology</v>
      </c>
      <c r="E22" s="196"/>
      <c r="F22" s="196" t="s">
        <v>2465</v>
      </c>
      <c r="G22" s="219" t="str">
        <f>INDEX(Regional.energy[Description],MATCH(G.30.energy[[#This Row],[Energy vector]],Regional.energy[Regional energy code],0))</f>
        <v>Global Materials</v>
      </c>
      <c r="H22" s="196" t="str">
        <f t="shared" si="0"/>
        <v>EJ</v>
      </c>
      <c r="I22" s="435">
        <f t="shared" ca="1" si="1"/>
        <v>1.6352704427314861</v>
      </c>
      <c r="J22" s="435"/>
      <c r="K22" s="435"/>
      <c r="L22" s="435"/>
      <c r="M22" s="435"/>
      <c r="N22" s="435"/>
      <c r="O22" s="435"/>
      <c r="P22" s="435"/>
      <c r="Q22" s="435"/>
    </row>
    <row r="23" spans="3:23" ht="14">
      <c r="C23" s="219" t="s">
        <v>1803</v>
      </c>
      <c r="D23" s="219" t="str">
        <f>INDEX(Regional.Technologies[Description],MATCH($B$2&amp;"."&amp;G.30.energy[[#This Row],[Code]],Regional.Technologies[Code],0))</f>
        <v>Global Coal use in the Electric steel technology</v>
      </c>
      <c r="E23" s="196"/>
      <c r="F23" s="196" t="s">
        <v>2465</v>
      </c>
      <c r="G23" s="219" t="str">
        <f>INDEX(Regional.energy[Description],MATCH(G.30.energy[[#This Row],[Energy vector]],Regional.energy[Regional energy code],0))</f>
        <v>Global Materials</v>
      </c>
      <c r="H23" s="196" t="str">
        <f t="shared" si="0"/>
        <v>EJ</v>
      </c>
      <c r="I23" s="435">
        <f t="shared" ca="1" si="1"/>
        <v>10.424196405786889</v>
      </c>
      <c r="J23" s="435"/>
      <c r="K23" s="435"/>
      <c r="L23" s="435"/>
      <c r="M23" s="435"/>
      <c r="N23" s="435"/>
      <c r="O23" s="435"/>
      <c r="P23" s="435"/>
      <c r="Q23" s="435"/>
    </row>
    <row r="24" spans="3:23" ht="14">
      <c r="C24" s="219" t="s">
        <v>1804</v>
      </c>
      <c r="D24" s="219" t="str">
        <f>INDEX(Regional.Technologies[Description],MATCH($B$2&amp;"."&amp;G.30.energy[[#This Row],[Code]],Regional.Technologies[Code],0))</f>
        <v>Global Oil use in the Electric steel technology</v>
      </c>
      <c r="E24" s="196"/>
      <c r="F24" s="196" t="s">
        <v>2465</v>
      </c>
      <c r="G24" s="219" t="str">
        <f>INDEX(Regional.energy[Description],MATCH(G.30.energy[[#This Row],[Energy vector]],Regional.energy[Regional energy code],0))</f>
        <v>Global Materials</v>
      </c>
      <c r="H24" s="196" t="str">
        <f t="shared" si="0"/>
        <v>EJ</v>
      </c>
      <c r="I24" s="435">
        <f t="shared" ca="1" si="1"/>
        <v>0</v>
      </c>
      <c r="J24" s="435"/>
      <c r="K24" s="435"/>
      <c r="L24" s="435"/>
      <c r="M24" s="435"/>
      <c r="N24" s="435"/>
      <c r="O24" s="435"/>
      <c r="P24" s="435"/>
      <c r="Q24" s="435"/>
    </row>
    <row r="25" spans="3:23" ht="14">
      <c r="C25" s="219" t="s">
        <v>1805</v>
      </c>
      <c r="D25" s="219" t="str">
        <f>INDEX(Regional.Technologies[Description],MATCH($B$2&amp;"."&amp;G.30.energy[[#This Row],[Code]],Regional.Technologies[Code],0))</f>
        <v>Global Natural Gas use in the Electric steel technology</v>
      </c>
      <c r="E25" s="196"/>
      <c r="F25" s="196" t="s">
        <v>2465</v>
      </c>
      <c r="G25" s="219" t="str">
        <f>INDEX(Regional.energy[Description],MATCH(G.30.energy[[#This Row],[Energy vector]],Regional.energy[Regional energy code],0))</f>
        <v>Global Materials</v>
      </c>
      <c r="H25" s="196" t="str">
        <f t="shared" si="0"/>
        <v>EJ</v>
      </c>
      <c r="I25" s="435">
        <f t="shared" ca="1" si="1"/>
        <v>1.2528070032244134</v>
      </c>
      <c r="J25" s="435"/>
      <c r="K25" s="435"/>
      <c r="L25" s="435"/>
      <c r="M25" s="435"/>
      <c r="N25" s="435"/>
      <c r="O25" s="435"/>
      <c r="P25" s="435"/>
      <c r="Q25" s="435"/>
    </row>
    <row r="26" spans="3:23" ht="14">
      <c r="C26" s="219" t="s">
        <v>1806</v>
      </c>
      <c r="D26" s="219" t="str">
        <f>INDEX(Regional.Technologies[Description],MATCH($B$2&amp;"."&amp;G.30.energy[[#This Row],[Code]],Regional.Technologies[Code],0))</f>
        <v>Global Solid Hydrocarbons use in the Electric steel technology</v>
      </c>
      <c r="E26" s="196"/>
      <c r="F26" s="196" t="s">
        <v>2465</v>
      </c>
      <c r="G26" s="219" t="str">
        <f>INDEX(Regional.energy[Description],MATCH(G.30.energy[[#This Row],[Energy vector]],Regional.energy[Regional energy code],0))</f>
        <v>Global Materials</v>
      </c>
      <c r="H26" s="196" t="str">
        <f t="shared" si="0"/>
        <v>EJ</v>
      </c>
      <c r="I26" s="435">
        <f t="shared" ca="1" si="1"/>
        <v>0</v>
      </c>
      <c r="J26" s="435"/>
      <c r="K26" s="435"/>
      <c r="L26" s="435"/>
      <c r="M26" s="435"/>
      <c r="N26" s="435"/>
      <c r="O26" s="435"/>
      <c r="P26" s="435"/>
      <c r="Q26" s="435"/>
    </row>
    <row r="27" spans="3:23" ht="14">
      <c r="C27" s="219" t="s">
        <v>1636</v>
      </c>
      <c r="D27" s="219" t="str">
        <f>INDEX(Regional.Technologies[Description],MATCH($B$2&amp;"."&amp;G.30.energy[[#This Row],[Code]],Regional.Technologies[Code],0))</f>
        <v>Global Heat use in the Electric steel technology</v>
      </c>
      <c r="E27" s="196"/>
      <c r="F27" s="196" t="s">
        <v>2465</v>
      </c>
      <c r="G27" s="219" t="str">
        <f>INDEX(Regional.energy[Description],MATCH(G.30.energy[[#This Row],[Energy vector]],Regional.energy[Regional energy code],0))</f>
        <v>Global Materials</v>
      </c>
      <c r="H27" s="196" t="str">
        <f t="shared" si="0"/>
        <v>EJ</v>
      </c>
      <c r="I27" s="435">
        <f t="shared" ca="1" si="1"/>
        <v>0</v>
      </c>
      <c r="J27" s="435"/>
      <c r="K27" s="435"/>
      <c r="L27" s="435"/>
      <c r="M27" s="435"/>
      <c r="N27" s="435"/>
      <c r="O27" s="435"/>
      <c r="P27" s="435"/>
      <c r="Q27" s="435"/>
      <c r="U27" s="219" t="s">
        <v>441</v>
      </c>
      <c r="V27" s="219" t="s">
        <v>2517</v>
      </c>
    </row>
    <row r="28" spans="3:23" ht="14">
      <c r="C28" s="219" t="s">
        <v>1807</v>
      </c>
      <c r="D28" s="219" t="str">
        <f>INDEX(Regional.Technologies[Description],MATCH($B$2&amp;"."&amp;G.30.energy[[#This Row],[Code]],Regional.Technologies[Code],0))</f>
        <v>Global Electricity use in the Alumina Aluminium technology</v>
      </c>
      <c r="E28" s="196"/>
      <c r="F28" s="196" t="s">
        <v>2465</v>
      </c>
      <c r="G28" s="219" t="str">
        <f>INDEX(Regional.energy[Description],MATCH(G.30.energy[[#This Row],[Energy vector]],Regional.energy[Regional energy code],0))</f>
        <v>Global Materials</v>
      </c>
      <c r="H28" s="196" t="str">
        <f t="shared" si="0"/>
        <v>EJ</v>
      </c>
      <c r="I28" s="435">
        <f t="shared" ca="1" si="1"/>
        <v>5.7780487765234236E-2</v>
      </c>
      <c r="J28" s="435"/>
      <c r="K28" s="435"/>
      <c r="L28" s="435"/>
      <c r="M28" s="435"/>
      <c r="N28" s="435"/>
      <c r="O28" s="435"/>
      <c r="P28" s="435"/>
      <c r="Q28" s="435"/>
      <c r="U28" s="219">
        <v>16.050135490342843</v>
      </c>
      <c r="V28" s="219">
        <v>16.050135490342843</v>
      </c>
      <c r="W28" s="219">
        <f>U28-V28</f>
        <v>0</v>
      </c>
    </row>
    <row r="29" spans="3:23" ht="14">
      <c r="C29" s="219" t="s">
        <v>1808</v>
      </c>
      <c r="D29" s="219" t="str">
        <f>INDEX(Regional.Technologies[Description],MATCH($B$2&amp;"."&amp;G.30.energy[[#This Row],[Code]],Regional.Technologies[Code],0))</f>
        <v>Global Coal use in the Alumina Aluminium technology</v>
      </c>
      <c r="E29" s="196"/>
      <c r="F29" s="196" t="s">
        <v>2465</v>
      </c>
      <c r="G29" s="219" t="str">
        <f>INDEX(Regional.energy[Description],MATCH(G.30.energy[[#This Row],[Energy vector]],Regional.energy[Regional energy code],0))</f>
        <v>Global Materials</v>
      </c>
      <c r="H29" s="196" t="str">
        <f t="shared" si="0"/>
        <v>EJ</v>
      </c>
      <c r="I29" s="435">
        <f t="shared" ca="1" si="1"/>
        <v>0.61777191351520933</v>
      </c>
      <c r="J29" s="435"/>
      <c r="K29" s="435"/>
      <c r="L29" s="435"/>
      <c r="M29" s="435"/>
      <c r="N29" s="435"/>
      <c r="O29" s="435"/>
      <c r="P29" s="435"/>
      <c r="Q29" s="435"/>
      <c r="U29" s="219">
        <v>171.60330930978034</v>
      </c>
      <c r="V29" s="219">
        <v>171.60330930978034</v>
      </c>
    </row>
    <row r="30" spans="3:23" ht="14">
      <c r="C30" s="219" t="s">
        <v>1809</v>
      </c>
      <c r="D30" s="219" t="str">
        <f>INDEX(Regional.Technologies[Description],MATCH($B$2&amp;"."&amp;G.30.energy[[#This Row],[Code]],Regional.Technologies[Code],0))</f>
        <v>Global Oil use in the Alumina Aluminium technology</v>
      </c>
      <c r="E30" s="196"/>
      <c r="F30" s="196" t="s">
        <v>2465</v>
      </c>
      <c r="G30" s="219" t="str">
        <f>INDEX(Regional.energy[Description],MATCH(G.30.energy[[#This Row],[Energy vector]],Regional.energy[Regional energy code],0))</f>
        <v>Global Materials</v>
      </c>
      <c r="H30" s="196" t="str">
        <f t="shared" si="0"/>
        <v>EJ</v>
      </c>
      <c r="I30" s="435">
        <f t="shared" ca="1" si="1"/>
        <v>0.36003980562967391</v>
      </c>
      <c r="J30" s="435"/>
      <c r="K30" s="435"/>
      <c r="L30" s="435"/>
      <c r="M30" s="435"/>
      <c r="N30" s="435"/>
      <c r="O30" s="435"/>
      <c r="P30" s="435"/>
      <c r="Q30" s="435"/>
      <c r="U30" s="219">
        <v>100.01105711935386</v>
      </c>
      <c r="V30" s="219">
        <v>100.01105711935386</v>
      </c>
    </row>
    <row r="31" spans="3:23" ht="14">
      <c r="C31" s="219" t="s">
        <v>1810</v>
      </c>
      <c r="D31" s="219" t="str">
        <f>INDEX(Regional.Technologies[Description],MATCH($B$2&amp;"."&amp;G.30.energy[[#This Row],[Code]],Regional.Technologies[Code],0))</f>
        <v>Global Natural Gas use in the Alumina Aluminium technology</v>
      </c>
      <c r="E31" s="196"/>
      <c r="F31" s="196" t="s">
        <v>2465</v>
      </c>
      <c r="G31" s="219" t="str">
        <f>INDEX(Regional.energy[Description],MATCH(G.30.energy[[#This Row],[Energy vector]],Regional.energy[Regional energy code],0))</f>
        <v>Global Materials</v>
      </c>
      <c r="H31" s="196" t="str">
        <f t="shared" si="0"/>
        <v>EJ</v>
      </c>
      <c r="I31" s="435">
        <f t="shared" ca="1" si="1"/>
        <v>0.33333998618469551</v>
      </c>
      <c r="J31" s="435"/>
      <c r="K31" s="435"/>
      <c r="L31" s="435"/>
      <c r="M31" s="435"/>
      <c r="N31" s="435"/>
      <c r="O31" s="435"/>
      <c r="P31" s="435"/>
      <c r="Q31" s="435"/>
      <c r="U31" s="219">
        <v>92.594440606859848</v>
      </c>
      <c r="V31" s="219">
        <v>92.594440606859848</v>
      </c>
    </row>
    <row r="32" spans="3:23" ht="14">
      <c r="C32" s="219" t="s">
        <v>1811</v>
      </c>
      <c r="D32" s="219" t="str">
        <f>INDEX(Regional.Technologies[Description],MATCH($B$2&amp;"."&amp;G.30.energy[[#This Row],[Code]],Regional.Technologies[Code],0))</f>
        <v>Global Solid Hydrocarbons use in the Alumina Aluminium technology</v>
      </c>
      <c r="E32" s="196"/>
      <c r="F32" s="196" t="s">
        <v>2465</v>
      </c>
      <c r="G32" s="219" t="str">
        <f>INDEX(Regional.energy[Description],MATCH(G.30.energy[[#This Row],[Energy vector]],Regional.energy[Regional energy code],0))</f>
        <v>Global Materials</v>
      </c>
      <c r="H32" s="196" t="str">
        <f t="shared" si="0"/>
        <v>EJ</v>
      </c>
      <c r="I32" s="435">
        <f t="shared" ca="1" si="1"/>
        <v>0</v>
      </c>
      <c r="J32" s="435"/>
      <c r="K32" s="435"/>
      <c r="L32" s="435"/>
      <c r="M32" s="435"/>
      <c r="N32" s="435"/>
      <c r="O32" s="435"/>
      <c r="P32" s="435"/>
      <c r="Q32" s="435"/>
      <c r="U32" s="219">
        <v>0</v>
      </c>
      <c r="V32" s="219">
        <v>0</v>
      </c>
    </row>
    <row r="33" spans="3:22" ht="14">
      <c r="C33" s="219" t="s">
        <v>1812</v>
      </c>
      <c r="D33" s="219" t="str">
        <f>INDEX(Regional.Technologies[Description],MATCH($B$2&amp;"."&amp;G.30.energy[[#This Row],[Code]],Regional.Technologies[Code],0))</f>
        <v>Global Heat use in the Alumina Aluminium technology</v>
      </c>
      <c r="E33" s="196"/>
      <c r="F33" s="196" t="s">
        <v>2465</v>
      </c>
      <c r="G33" s="219" t="str">
        <f>INDEX(Regional.energy[Description],MATCH(G.30.energy[[#This Row],[Energy vector]],Regional.energy[Regional energy code],0))</f>
        <v>Global Materials</v>
      </c>
      <c r="H33" s="196" t="str">
        <f t="shared" si="0"/>
        <v>EJ</v>
      </c>
      <c r="I33" s="435">
        <f t="shared" ca="1" si="1"/>
        <v>0</v>
      </c>
      <c r="J33" s="435"/>
      <c r="K33" s="435"/>
      <c r="L33" s="435"/>
      <c r="M33" s="435"/>
      <c r="N33" s="435"/>
      <c r="O33" s="435"/>
      <c r="P33" s="435"/>
      <c r="Q33" s="435"/>
      <c r="U33" s="219">
        <v>0</v>
      </c>
      <c r="V33" s="219">
        <v>0</v>
      </c>
    </row>
    <row r="34" spans="3:22" ht="14">
      <c r="C34" s="219" t="s">
        <v>1639</v>
      </c>
      <c r="D34" s="219" t="str">
        <f>INDEX(Regional.Technologies[Description],MATCH($B$2&amp;"."&amp;G.30.energy[[#This Row],[Code]],Regional.Technologies[Code],0))</f>
        <v>Global Electricity use in the Primary Aluminium technology</v>
      </c>
      <c r="E34" s="196"/>
      <c r="F34" s="196" t="s">
        <v>2465</v>
      </c>
      <c r="G34" s="219" t="str">
        <f>INDEX(Regional.energy[Description],MATCH(G.30.energy[[#This Row],[Energy vector]],Regional.energy[Regional energy code],0))</f>
        <v>Global Materials</v>
      </c>
      <c r="H34" s="196" t="str">
        <f t="shared" si="0"/>
        <v>EJ</v>
      </c>
      <c r="I34" s="435">
        <f t="shared" ca="1" si="1"/>
        <v>2.3556733001938612</v>
      </c>
      <c r="J34" s="435"/>
      <c r="K34" s="435"/>
      <c r="L34" s="435"/>
      <c r="M34" s="435"/>
      <c r="N34" s="435"/>
      <c r="O34" s="435"/>
      <c r="P34" s="435"/>
      <c r="Q34" s="435"/>
      <c r="U34" s="219">
        <v>654.35369449829477</v>
      </c>
      <c r="V34" s="219">
        <v>16.050135490342843</v>
      </c>
    </row>
    <row r="35" spans="3:22" ht="14">
      <c r="C35" s="219" t="s">
        <v>1813</v>
      </c>
      <c r="D35" s="219" t="str">
        <f>INDEX(Regional.Technologies[Description],MATCH($B$2&amp;"."&amp;G.30.energy[[#This Row],[Code]],Regional.Technologies[Code],0))</f>
        <v>Global Coal use in the Primary Aluminium technology</v>
      </c>
      <c r="E35" s="196"/>
      <c r="F35" s="196" t="s">
        <v>2465</v>
      </c>
      <c r="G35" s="219" t="str">
        <f>INDEX(Regional.energy[Description],MATCH(G.30.energy[[#This Row],[Energy vector]],Regional.energy[Regional energy code],0))</f>
        <v>Global Materials</v>
      </c>
      <c r="H35" s="196" t="str">
        <f t="shared" si="0"/>
        <v>EJ</v>
      </c>
      <c r="I35" s="435">
        <f t="shared" ca="1" si="1"/>
        <v>0.11615556705932617</v>
      </c>
      <c r="J35" s="435"/>
      <c r="K35" s="435"/>
      <c r="L35" s="435"/>
      <c r="M35" s="435"/>
      <c r="N35" s="435"/>
      <c r="O35" s="435"/>
      <c r="P35" s="435"/>
      <c r="Q35" s="435"/>
      <c r="U35" s="219">
        <v>32.265435294257259</v>
      </c>
      <c r="V35" s="219">
        <v>171.60330930978034</v>
      </c>
    </row>
    <row r="36" spans="3:22" ht="14">
      <c r="C36" s="219" t="s">
        <v>1814</v>
      </c>
      <c r="D36" s="219" t="str">
        <f>INDEX(Regional.Technologies[Description],MATCH($B$2&amp;"."&amp;G.30.energy[[#This Row],[Code]],Regional.Technologies[Code],0))</f>
        <v>Global Oil use in the Primary Aluminium technology</v>
      </c>
      <c r="E36" s="196"/>
      <c r="F36" s="196" t="s">
        <v>2465</v>
      </c>
      <c r="G36" s="219" t="str">
        <f>INDEX(Regional.energy[Description],MATCH(G.30.energy[[#This Row],[Energy vector]],Regional.energy[Regional energy code],0))</f>
        <v>Global Materials</v>
      </c>
      <c r="H36" s="196" t="str">
        <f t="shared" si="0"/>
        <v>EJ</v>
      </c>
      <c r="I36" s="435">
        <f t="shared" ca="1" si="1"/>
        <v>0.18032133468483588</v>
      </c>
      <c r="J36" s="435"/>
      <c r="K36" s="435"/>
      <c r="L36" s="435"/>
      <c r="M36" s="435"/>
      <c r="N36" s="435"/>
      <c r="O36" s="435"/>
      <c r="P36" s="435"/>
      <c r="Q36" s="435"/>
      <c r="U36" s="219">
        <v>50.08925963467663</v>
      </c>
      <c r="V36" s="219">
        <v>100.01105711935386</v>
      </c>
    </row>
    <row r="37" spans="3:22" ht="14">
      <c r="C37" s="219" t="s">
        <v>1815</v>
      </c>
      <c r="D37" s="219" t="str">
        <f>INDEX(Regional.Technologies[Description],MATCH($B$2&amp;"."&amp;G.30.energy[[#This Row],[Code]],Regional.Technologies[Code],0))</f>
        <v>Global Natural Gas use in the Primary Aluminium technology</v>
      </c>
      <c r="E37" s="196"/>
      <c r="F37" s="196" t="s">
        <v>2465</v>
      </c>
      <c r="G37" s="219" t="str">
        <f>INDEX(Regional.energy[Description],MATCH(G.30.energy[[#This Row],[Energy vector]],Regional.energy[Regional energy code],0))</f>
        <v>Global Materials</v>
      </c>
      <c r="H37" s="196" t="str">
        <f t="shared" si="0"/>
        <v>EJ</v>
      </c>
      <c r="I37" s="435">
        <f t="shared" ca="1" si="1"/>
        <v>0.10632786060601518</v>
      </c>
      <c r="J37" s="435"/>
      <c r="K37" s="435"/>
      <c r="L37" s="435"/>
      <c r="M37" s="435"/>
      <c r="N37" s="435"/>
      <c r="O37" s="435"/>
      <c r="P37" s="435"/>
      <c r="Q37" s="435"/>
      <c r="U37" s="219">
        <v>29.535516835004273</v>
      </c>
      <c r="V37" s="219">
        <v>92.594440606859848</v>
      </c>
    </row>
    <row r="38" spans="3:22" ht="14">
      <c r="C38" s="219" t="s">
        <v>1816</v>
      </c>
      <c r="D38" s="219" t="str">
        <f>INDEX(Regional.Technologies[Description],MATCH($B$2&amp;"."&amp;G.30.energy[[#This Row],[Code]],Regional.Technologies[Code],0))</f>
        <v>Global Solid Hydrocarbons use in the Primary Aluminium technology</v>
      </c>
      <c r="E38" s="196"/>
      <c r="F38" s="196" t="s">
        <v>2465</v>
      </c>
      <c r="G38" s="219" t="str">
        <f>INDEX(Regional.energy[Description],MATCH(G.30.energy[[#This Row],[Energy vector]],Regional.energy[Regional energy code],0))</f>
        <v>Global Materials</v>
      </c>
      <c r="H38" s="196" t="str">
        <f t="shared" si="0"/>
        <v>EJ</v>
      </c>
      <c r="I38" s="435">
        <f t="shared" ca="1" si="1"/>
        <v>0</v>
      </c>
      <c r="J38" s="435"/>
      <c r="K38" s="435"/>
      <c r="L38" s="435"/>
      <c r="M38" s="435"/>
      <c r="N38" s="435"/>
      <c r="O38" s="435"/>
      <c r="P38" s="435"/>
      <c r="Q38" s="435"/>
      <c r="U38" s="219">
        <v>0</v>
      </c>
      <c r="V38" s="219">
        <v>0</v>
      </c>
    </row>
    <row r="39" spans="3:22" ht="14">
      <c r="C39" s="219" t="s">
        <v>1640</v>
      </c>
      <c r="D39" s="219" t="str">
        <f>INDEX(Regional.Technologies[Description],MATCH($B$2&amp;"."&amp;G.30.energy[[#This Row],[Code]],Regional.Technologies[Code],0))</f>
        <v>Global Heat use in the Primary Aluminium technology</v>
      </c>
      <c r="E39" s="196"/>
      <c r="F39" s="196" t="s">
        <v>2465</v>
      </c>
      <c r="G39" s="219" t="str">
        <f>INDEX(Regional.energy[Description],MATCH(G.30.energy[[#This Row],[Energy vector]],Regional.energy[Regional energy code],0))</f>
        <v>Global Materials</v>
      </c>
      <c r="H39" s="196" t="str">
        <f t="shared" si="0"/>
        <v>EJ</v>
      </c>
      <c r="I39" s="435">
        <f t="shared" ca="1" si="1"/>
        <v>0</v>
      </c>
      <c r="J39" s="435"/>
      <c r="K39" s="435"/>
      <c r="L39" s="435"/>
      <c r="M39" s="435"/>
      <c r="N39" s="435"/>
      <c r="O39" s="435"/>
      <c r="P39" s="435"/>
      <c r="Q39" s="435"/>
      <c r="U39" s="219">
        <v>0</v>
      </c>
      <c r="V39" s="219">
        <v>0</v>
      </c>
    </row>
    <row r="40" spans="3:22" ht="14">
      <c r="C40" s="219" t="s">
        <v>1641</v>
      </c>
      <c r="D40" s="219" t="str">
        <f>INDEX(Regional.Technologies[Description],MATCH($B$2&amp;"."&amp;G.30.energy[[#This Row],[Code]],Regional.Technologies[Code],0))</f>
        <v>Global Electricity use in the Secondary Aluminium technology</v>
      </c>
      <c r="E40" s="196"/>
      <c r="F40" s="196" t="s">
        <v>2465</v>
      </c>
      <c r="G40" s="219" t="str">
        <f>INDEX(Regional.energy[Description],MATCH(G.30.energy[[#This Row],[Energy vector]],Regional.energy[Regional energy code],0))</f>
        <v>Global Materials</v>
      </c>
      <c r="H40" s="196" t="str">
        <f t="shared" si="0"/>
        <v>EJ</v>
      </c>
      <c r="I40" s="435">
        <f t="shared" ca="1" si="1"/>
        <v>2.0996808027856011E-2</v>
      </c>
      <c r="J40" s="435"/>
      <c r="K40" s="435"/>
      <c r="L40" s="435"/>
      <c r="M40" s="435"/>
      <c r="N40" s="435"/>
      <c r="O40" s="435"/>
      <c r="P40" s="435"/>
      <c r="Q40" s="435"/>
      <c r="U40" s="219">
        <v>5.832446674404447</v>
      </c>
      <c r="V40" s="219">
        <v>5.832446674404447</v>
      </c>
    </row>
    <row r="41" spans="3:22" ht="14">
      <c r="C41" s="219" t="s">
        <v>1817</v>
      </c>
      <c r="D41" s="219" t="str">
        <f>INDEX(Regional.Technologies[Description],MATCH($B$2&amp;"."&amp;G.30.energy[[#This Row],[Code]],Regional.Technologies[Code],0))</f>
        <v>Global Coal use in the Secondary Aluminium technology</v>
      </c>
      <c r="E41" s="196"/>
      <c r="F41" s="196" t="s">
        <v>2465</v>
      </c>
      <c r="G41" s="219" t="str">
        <f>INDEX(Regional.energy[Description],MATCH(G.30.energy[[#This Row],[Energy vector]],Regional.energy[Regional energy code],0))</f>
        <v>Global Materials</v>
      </c>
      <c r="H41" s="196" t="str">
        <f t="shared" si="0"/>
        <v>EJ</v>
      </c>
      <c r="I41" s="435">
        <f t="shared" ca="1" si="1"/>
        <v>0</v>
      </c>
      <c r="J41" s="435"/>
      <c r="K41" s="435"/>
      <c r="L41" s="435"/>
      <c r="M41" s="435"/>
      <c r="N41" s="435"/>
      <c r="O41" s="435"/>
      <c r="P41" s="435"/>
      <c r="Q41" s="435"/>
      <c r="U41" s="219">
        <v>0</v>
      </c>
      <c r="V41" s="219">
        <v>0</v>
      </c>
    </row>
    <row r="42" spans="3:22" ht="14">
      <c r="C42" s="219" t="s">
        <v>1818</v>
      </c>
      <c r="D42" s="219" t="str">
        <f>INDEX(Regional.Technologies[Description],MATCH($B$2&amp;"."&amp;G.30.energy[[#This Row],[Code]],Regional.Technologies[Code],0))</f>
        <v>Global Oil use in the Secondary Aluminium technology</v>
      </c>
      <c r="E42" s="196"/>
      <c r="F42" s="196" t="s">
        <v>2465</v>
      </c>
      <c r="G42" s="219" t="str">
        <f>INDEX(Regional.energy[Description],MATCH(G.30.energy[[#This Row],[Energy vector]],Regional.energy[Regional energy code],0))</f>
        <v>Global Materials</v>
      </c>
      <c r="H42" s="196" t="str">
        <f t="shared" ref="H42:H73" si="2">Preferences.energy</f>
        <v>EJ</v>
      </c>
      <c r="I42" s="435">
        <f t="shared" ca="1" si="1"/>
        <v>1.8172055149596165E-4</v>
      </c>
      <c r="J42" s="435"/>
      <c r="K42" s="435"/>
      <c r="L42" s="435"/>
      <c r="M42" s="435"/>
      <c r="N42" s="435"/>
      <c r="O42" s="435"/>
      <c r="P42" s="435"/>
      <c r="Q42" s="435"/>
      <c r="U42" s="219">
        <v>5.0477930971100461E-2</v>
      </c>
      <c r="V42" s="219">
        <v>5.0477930971100461E-2</v>
      </c>
    </row>
    <row r="43" spans="3:22" ht="14">
      <c r="C43" s="219" t="s">
        <v>1819</v>
      </c>
      <c r="D43" s="219" t="str">
        <f>INDEX(Regional.Technologies[Description],MATCH($B$2&amp;"."&amp;G.30.energy[[#This Row],[Code]],Regional.Technologies[Code],0))</f>
        <v>Global Natural Gas use in the Secondary Aluminium technology</v>
      </c>
      <c r="E43" s="196"/>
      <c r="F43" s="196" t="s">
        <v>2465</v>
      </c>
      <c r="G43" s="219" t="str">
        <f>INDEX(Regional.energy[Description],MATCH(G.30.energy[[#This Row],[Energy vector]],Regional.energy[Regional energy code],0))</f>
        <v>Global Materials</v>
      </c>
      <c r="H43" s="196" t="str">
        <f t="shared" si="2"/>
        <v>EJ</v>
      </c>
      <c r="I43" s="435">
        <f t="shared" ca="1" si="1"/>
        <v>0.24244140449555462</v>
      </c>
      <c r="J43" s="435"/>
      <c r="K43" s="435"/>
      <c r="L43" s="435"/>
      <c r="M43" s="435"/>
      <c r="N43" s="435"/>
      <c r="O43" s="435"/>
      <c r="P43" s="435"/>
      <c r="Q43" s="435"/>
      <c r="U43" s="219">
        <v>67.344834582098528</v>
      </c>
      <c r="V43" s="219">
        <v>67.344834582098528</v>
      </c>
    </row>
    <row r="44" spans="3:22" ht="14">
      <c r="C44" s="219" t="s">
        <v>1820</v>
      </c>
      <c r="D44" s="219" t="str">
        <f>INDEX(Regional.Technologies[Description],MATCH($B$2&amp;"."&amp;G.30.energy[[#This Row],[Code]],Regional.Technologies[Code],0))</f>
        <v>Global Solid Hydrocarbons use in the Secondary Aluminium technology</v>
      </c>
      <c r="E44" s="196"/>
      <c r="F44" s="196" t="s">
        <v>2465</v>
      </c>
      <c r="G44" s="219" t="str">
        <f>INDEX(Regional.energy[Description],MATCH(G.30.energy[[#This Row],[Energy vector]],Regional.energy[Regional energy code],0))</f>
        <v>Global Materials</v>
      </c>
      <c r="H44" s="196" t="str">
        <f t="shared" si="2"/>
        <v>EJ</v>
      </c>
      <c r="I44" s="435">
        <f t="shared" ca="1" si="1"/>
        <v>0</v>
      </c>
      <c r="J44" s="435"/>
      <c r="K44" s="435"/>
      <c r="L44" s="435"/>
      <c r="M44" s="435"/>
      <c r="N44" s="435"/>
      <c r="O44" s="435"/>
      <c r="P44" s="435"/>
      <c r="Q44" s="435"/>
      <c r="U44" s="219">
        <v>0</v>
      </c>
      <c r="V44" s="219">
        <v>0</v>
      </c>
    </row>
    <row r="45" spans="3:22" ht="14">
      <c r="C45" s="219" t="s">
        <v>1642</v>
      </c>
      <c r="D45" s="219" t="str">
        <f>INDEX(Regional.Technologies[Description],MATCH($B$2&amp;"."&amp;G.30.energy[[#This Row],[Code]],Regional.Technologies[Code],0))</f>
        <v>Global Heat use in the Secondary Aluminium technology</v>
      </c>
      <c r="E45" s="196"/>
      <c r="F45" s="196" t="s">
        <v>2465</v>
      </c>
      <c r="G45" s="219" t="str">
        <f>INDEX(Regional.energy[Description],MATCH(G.30.energy[[#This Row],[Energy vector]],Regional.energy[Regional energy code],0))</f>
        <v>Global Materials</v>
      </c>
      <c r="H45" s="196" t="str">
        <f t="shared" si="2"/>
        <v>EJ</v>
      </c>
      <c r="I45" s="435">
        <f t="shared" ca="1" si="1"/>
        <v>0</v>
      </c>
      <c r="J45" s="435"/>
      <c r="K45" s="435"/>
      <c r="L45" s="435"/>
      <c r="M45" s="435"/>
      <c r="N45" s="435"/>
      <c r="O45" s="435"/>
      <c r="P45" s="435"/>
      <c r="Q45" s="435"/>
      <c r="U45" s="219">
        <v>0</v>
      </c>
      <c r="V45" s="219">
        <v>0</v>
      </c>
    </row>
    <row r="46" spans="3:22" ht="14">
      <c r="C46" s="219" t="s">
        <v>1821</v>
      </c>
      <c r="D46" s="219" t="str">
        <f>INDEX(Regional.Technologies[Description],MATCH($B$2&amp;"."&amp;G.30.energy[[#This Row],[Code]],Regional.Technologies[Code],0))</f>
        <v>Global Electricity use in the Chemicals: High Value Chemicals  technology</v>
      </c>
      <c r="E46" s="196"/>
      <c r="F46" s="196" t="s">
        <v>2465</v>
      </c>
      <c r="G46" s="219" t="str">
        <f>INDEX(Regional.energy[Description],MATCH(G.30.energy[[#This Row],[Energy vector]],Regional.energy[Regional energy code],0))</f>
        <v>Global Materials</v>
      </c>
      <c r="H46" s="196" t="str">
        <f t="shared" si="2"/>
        <v>EJ</v>
      </c>
      <c r="I46" s="435">
        <f t="shared" ca="1" si="1"/>
        <v>-9.2491949499908004E-20</v>
      </c>
      <c r="J46" s="435"/>
      <c r="K46" s="435"/>
      <c r="L46" s="435"/>
      <c r="M46" s="435"/>
      <c r="N46" s="435"/>
      <c r="O46" s="435"/>
      <c r="P46" s="435"/>
      <c r="Q46" s="435"/>
    </row>
    <row r="47" spans="3:22" ht="14">
      <c r="C47" s="219" t="s">
        <v>1822</v>
      </c>
      <c r="D47" s="219" t="str">
        <f>INDEX(Regional.Technologies[Description],MATCH($B$2&amp;"."&amp;G.30.energy[[#This Row],[Code]],Regional.Technologies[Code],0))</f>
        <v>Global Coal use in the Chemicals: High Value Chemicals  technology</v>
      </c>
      <c r="E47" s="196"/>
      <c r="F47" s="196" t="s">
        <v>2465</v>
      </c>
      <c r="G47" s="219" t="str">
        <f>INDEX(Regional.energy[Description],MATCH(G.30.energy[[#This Row],[Energy vector]],Regional.energy[Regional energy code],0))</f>
        <v>Global Materials</v>
      </c>
      <c r="H47" s="196" t="str">
        <f t="shared" si="2"/>
        <v>EJ</v>
      </c>
      <c r="I47" s="435">
        <f t="shared" ca="1" si="1"/>
        <v>0.24646345986547047</v>
      </c>
      <c r="J47" s="435"/>
      <c r="K47" s="435"/>
      <c r="L47" s="435"/>
      <c r="M47" s="435"/>
      <c r="N47" s="435"/>
      <c r="O47" s="435"/>
      <c r="P47" s="435"/>
      <c r="Q47" s="435"/>
    </row>
    <row r="48" spans="3:22" ht="14">
      <c r="C48" s="219" t="s">
        <v>1823</v>
      </c>
      <c r="D48" s="219" t="str">
        <f>INDEX(Regional.Technologies[Description],MATCH($B$2&amp;"."&amp;G.30.energy[[#This Row],[Code]],Regional.Technologies[Code],0))</f>
        <v>Global Oil use in the Chemicals: High Value Chemicals  technology</v>
      </c>
      <c r="E48" s="196"/>
      <c r="F48" s="196" t="s">
        <v>2465</v>
      </c>
      <c r="G48" s="219" t="str">
        <f>INDEX(Regional.energy[Description],MATCH(G.30.energy[[#This Row],[Energy vector]],Regional.energy[Regional energy code],0))</f>
        <v>Global Materials</v>
      </c>
      <c r="H48" s="196" t="str">
        <f t="shared" si="2"/>
        <v>EJ</v>
      </c>
      <c r="I48" s="435">
        <f t="shared" ca="1" si="1"/>
        <v>19.210879294175736</v>
      </c>
      <c r="J48" s="435"/>
      <c r="K48" s="435"/>
      <c r="L48" s="435"/>
      <c r="M48" s="435"/>
      <c r="N48" s="435"/>
      <c r="O48" s="435"/>
      <c r="P48" s="435"/>
      <c r="Q48" s="435"/>
    </row>
    <row r="49" spans="3:17" ht="14">
      <c r="C49" s="219" t="s">
        <v>1824</v>
      </c>
      <c r="D49" s="219" t="str">
        <f>INDEX(Regional.Technologies[Description],MATCH($B$2&amp;"."&amp;G.30.energy[[#This Row],[Code]],Regional.Technologies[Code],0))</f>
        <v>Global Natural Gas use in the Chemicals: High Value Chemicals  technology</v>
      </c>
      <c r="E49" s="196"/>
      <c r="F49" s="196" t="s">
        <v>2465</v>
      </c>
      <c r="G49" s="219" t="str">
        <f>INDEX(Regional.energy[Description],MATCH(G.30.energy[[#This Row],[Energy vector]],Regional.energy[Regional energy code],0))</f>
        <v>Global Materials</v>
      </c>
      <c r="H49" s="196" t="str">
        <f t="shared" si="2"/>
        <v>EJ</v>
      </c>
      <c r="I49" s="435">
        <f t="shared" ca="1" si="1"/>
        <v>3.4032396515364383E-3</v>
      </c>
      <c r="J49" s="435"/>
      <c r="K49" s="435"/>
      <c r="L49" s="435"/>
      <c r="M49" s="435"/>
      <c r="N49" s="435"/>
      <c r="O49" s="435"/>
      <c r="P49" s="435"/>
      <c r="Q49" s="435"/>
    </row>
    <row r="50" spans="3:17" ht="14">
      <c r="C50" s="219" t="s">
        <v>1825</v>
      </c>
      <c r="D50" s="219" t="str">
        <f>INDEX(Regional.Technologies[Description],MATCH($B$2&amp;"."&amp;G.30.energy[[#This Row],[Code]],Regional.Technologies[Code],0))</f>
        <v>Global Solid Hydrocarbons use in the Chemicals: High Value Chemicals  technology</v>
      </c>
      <c r="E50" s="196"/>
      <c r="F50" s="196" t="s">
        <v>2465</v>
      </c>
      <c r="G50" s="219" t="str">
        <f>INDEX(Regional.energy[Description],MATCH(G.30.energy[[#This Row],[Energy vector]],Regional.energy[Regional energy code],0))</f>
        <v>Global Materials</v>
      </c>
      <c r="H50" s="196" t="str">
        <f t="shared" si="2"/>
        <v>EJ</v>
      </c>
      <c r="I50" s="435">
        <f t="shared" ca="1" si="1"/>
        <v>0</v>
      </c>
      <c r="J50" s="435"/>
      <c r="K50" s="435"/>
      <c r="L50" s="435"/>
      <c r="M50" s="435"/>
      <c r="N50" s="435"/>
      <c r="O50" s="435"/>
      <c r="P50" s="435"/>
      <c r="Q50" s="435"/>
    </row>
    <row r="51" spans="3:17" ht="14">
      <c r="C51" s="219" t="s">
        <v>1826</v>
      </c>
      <c r="D51" s="219" t="str">
        <f>INDEX(Regional.Technologies[Description],MATCH($B$2&amp;"."&amp;G.30.energy[[#This Row],[Code]],Regional.Technologies[Code],0))</f>
        <v>Global Heat use in the Chemicals: High Value Chemicals  technology</v>
      </c>
      <c r="E51" s="196"/>
      <c r="F51" s="196" t="s">
        <v>2465</v>
      </c>
      <c r="G51" s="219" t="str">
        <f>INDEX(Regional.energy[Description],MATCH(G.30.energy[[#This Row],[Energy vector]],Regional.energy[Regional energy code],0))</f>
        <v>Global Materials</v>
      </c>
      <c r="H51" s="196" t="str">
        <f t="shared" si="2"/>
        <v>EJ</v>
      </c>
      <c r="I51" s="435">
        <f t="shared" ca="1" si="1"/>
        <v>0</v>
      </c>
      <c r="J51" s="435"/>
      <c r="K51" s="435"/>
      <c r="L51" s="435"/>
      <c r="M51" s="435"/>
      <c r="N51" s="435"/>
      <c r="O51" s="435"/>
      <c r="P51" s="435"/>
      <c r="Q51" s="435"/>
    </row>
    <row r="52" spans="3:17" ht="14">
      <c r="C52" s="219" t="s">
        <v>1827</v>
      </c>
      <c r="D52" s="219" t="str">
        <f>INDEX(Regional.Technologies[Description],MATCH($B$2&amp;"."&amp;G.30.energy[[#This Row],[Code]],Regional.Technologies[Code],0))</f>
        <v>Global Electricity use in the Chemicals: Ammonia technology</v>
      </c>
      <c r="E52" s="196"/>
      <c r="F52" s="196" t="s">
        <v>2465</v>
      </c>
      <c r="G52" s="219" t="str">
        <f>INDEX(Regional.energy[Description],MATCH(G.30.energy[[#This Row],[Energy vector]],Regional.energy[Regional energy code],0))</f>
        <v>Global Materials</v>
      </c>
      <c r="H52" s="196" t="str">
        <f t="shared" si="2"/>
        <v>EJ</v>
      </c>
      <c r="I52" s="435">
        <f t="shared" ca="1" si="1"/>
        <v>1.7803019800553821E-20</v>
      </c>
      <c r="J52" s="435"/>
      <c r="K52" s="435"/>
      <c r="L52" s="435"/>
      <c r="M52" s="435"/>
      <c r="N52" s="435"/>
      <c r="O52" s="435"/>
      <c r="P52" s="435"/>
      <c r="Q52" s="435"/>
    </row>
    <row r="53" spans="3:17" ht="14">
      <c r="C53" s="219" t="s">
        <v>1828</v>
      </c>
      <c r="D53" s="219" t="str">
        <f>INDEX(Regional.Technologies[Description],MATCH($B$2&amp;"."&amp;G.30.energy[[#This Row],[Code]],Regional.Technologies[Code],0))</f>
        <v>Global Coal use in the Chemicals: Ammonia technology</v>
      </c>
      <c r="E53" s="196"/>
      <c r="F53" s="196" t="s">
        <v>2465</v>
      </c>
      <c r="G53" s="219" t="str">
        <f>INDEX(Regional.energy[Description],MATCH(G.30.energy[[#This Row],[Energy vector]],Regional.energy[Regional energy code],0))</f>
        <v>Global Materials</v>
      </c>
      <c r="H53" s="196" t="str">
        <f t="shared" si="2"/>
        <v>EJ</v>
      </c>
      <c r="I53" s="435">
        <f t="shared" ca="1" si="1"/>
        <v>1.4435125863870013</v>
      </c>
      <c r="J53" s="435"/>
      <c r="K53" s="435"/>
      <c r="L53" s="435"/>
      <c r="M53" s="435"/>
      <c r="N53" s="435"/>
      <c r="O53" s="435"/>
      <c r="P53" s="435"/>
      <c r="Q53" s="435"/>
    </row>
    <row r="54" spans="3:17" ht="14">
      <c r="C54" s="219" t="s">
        <v>1829</v>
      </c>
      <c r="D54" s="219" t="str">
        <f>INDEX(Regional.Technologies[Description],MATCH($B$2&amp;"."&amp;G.30.energy[[#This Row],[Code]],Regional.Technologies[Code],0))</f>
        <v>Global Oil use in the Chemicals: Ammonia technology</v>
      </c>
      <c r="E54" s="196"/>
      <c r="F54" s="196" t="s">
        <v>2465</v>
      </c>
      <c r="G54" s="219" t="str">
        <f>INDEX(Regional.energy[Description],MATCH(G.30.energy[[#This Row],[Energy vector]],Regional.energy[Regional energy code],0))</f>
        <v>Global Materials</v>
      </c>
      <c r="H54" s="196" t="str">
        <f t="shared" si="2"/>
        <v>EJ</v>
      </c>
      <c r="I54" s="435">
        <f t="shared" ca="1" si="1"/>
        <v>0</v>
      </c>
      <c r="J54" s="435"/>
      <c r="K54" s="435"/>
      <c r="L54" s="435"/>
      <c r="M54" s="435"/>
      <c r="N54" s="435"/>
      <c r="O54" s="435"/>
      <c r="P54" s="435"/>
      <c r="Q54" s="435"/>
    </row>
    <row r="55" spans="3:17" ht="14">
      <c r="C55" s="219" t="s">
        <v>1830</v>
      </c>
      <c r="D55" s="219" t="str">
        <f>INDEX(Regional.Technologies[Description],MATCH($B$2&amp;"."&amp;G.30.energy[[#This Row],[Code]],Regional.Technologies[Code],0))</f>
        <v>Global Natural Gas use in the Chemicals: Ammonia technology</v>
      </c>
      <c r="E55" s="196"/>
      <c r="F55" s="196" t="s">
        <v>2465</v>
      </c>
      <c r="G55" s="219" t="str">
        <f>INDEX(Regional.energy[Description],MATCH(G.30.energy[[#This Row],[Energy vector]],Regional.energy[Regional energy code],0))</f>
        <v>Global Materials</v>
      </c>
      <c r="H55" s="196" t="str">
        <f t="shared" si="2"/>
        <v>EJ</v>
      </c>
      <c r="I55" s="435">
        <f t="shared" ca="1" si="1"/>
        <v>4.5138365842133039</v>
      </c>
      <c r="J55" s="435"/>
      <c r="K55" s="435"/>
      <c r="L55" s="435"/>
      <c r="M55" s="435"/>
      <c r="N55" s="435"/>
      <c r="O55" s="435"/>
      <c r="P55" s="435"/>
      <c r="Q55" s="435"/>
    </row>
    <row r="56" spans="3:17" ht="14">
      <c r="C56" s="219" t="s">
        <v>1831</v>
      </c>
      <c r="D56" s="219" t="str">
        <f>INDEX(Regional.Technologies[Description],MATCH($B$2&amp;"."&amp;G.30.energy[[#This Row],[Code]],Regional.Technologies[Code],0))</f>
        <v>Global Solid Hydrocarbons use in the Chemicals: Ammonia technology</v>
      </c>
      <c r="E56" s="196"/>
      <c r="F56" s="196" t="s">
        <v>2465</v>
      </c>
      <c r="G56" s="219" t="str">
        <f>INDEX(Regional.energy[Description],MATCH(G.30.energy[[#This Row],[Energy vector]],Regional.energy[Regional energy code],0))</f>
        <v>Global Materials</v>
      </c>
      <c r="H56" s="196" t="str">
        <f t="shared" si="2"/>
        <v>EJ</v>
      </c>
      <c r="I56" s="435">
        <f t="shared" ca="1" si="1"/>
        <v>0</v>
      </c>
      <c r="J56" s="435"/>
      <c r="K56" s="435"/>
      <c r="L56" s="435"/>
      <c r="M56" s="435"/>
      <c r="N56" s="435"/>
      <c r="O56" s="435"/>
      <c r="P56" s="435"/>
      <c r="Q56" s="435"/>
    </row>
    <row r="57" spans="3:17" ht="14">
      <c r="C57" s="219" t="s">
        <v>1832</v>
      </c>
      <c r="D57" s="219" t="str">
        <f>INDEX(Regional.Technologies[Description],MATCH($B$2&amp;"."&amp;G.30.energy[[#This Row],[Code]],Regional.Technologies[Code],0))</f>
        <v>Global Heat use in the Chemicals: Ammonia technology</v>
      </c>
      <c r="E57" s="196"/>
      <c r="F57" s="196" t="s">
        <v>2465</v>
      </c>
      <c r="G57" s="219" t="str">
        <f>INDEX(Regional.energy[Description],MATCH(G.30.energy[[#This Row],[Energy vector]],Regional.energy[Regional energy code],0))</f>
        <v>Global Materials</v>
      </c>
      <c r="H57" s="196" t="str">
        <f t="shared" si="2"/>
        <v>EJ</v>
      </c>
      <c r="I57" s="435">
        <f t="shared" ca="1" si="1"/>
        <v>0</v>
      </c>
      <c r="J57" s="435"/>
      <c r="K57" s="435"/>
      <c r="L57" s="435"/>
      <c r="M57" s="435"/>
      <c r="N57" s="435"/>
      <c r="O57" s="435"/>
      <c r="P57" s="435"/>
      <c r="Q57" s="435"/>
    </row>
    <row r="58" spans="3:17" ht="14">
      <c r="C58" s="219" t="s">
        <v>1833</v>
      </c>
      <c r="D58" s="219" t="str">
        <f>INDEX(Regional.Technologies[Description],MATCH($B$2&amp;"."&amp;G.30.energy[[#This Row],[Code]],Regional.Technologies[Code],0))</f>
        <v>Global Electricity use in the Chemicals: Methanol technology</v>
      </c>
      <c r="E58" s="196"/>
      <c r="F58" s="196" t="s">
        <v>2465</v>
      </c>
      <c r="G58" s="219" t="str">
        <f>INDEX(Regional.energy[Description],MATCH(G.30.energy[[#This Row],[Energy vector]],Regional.energy[Regional energy code],0))</f>
        <v>Global Materials</v>
      </c>
      <c r="H58" s="196" t="str">
        <f t="shared" si="2"/>
        <v>EJ</v>
      </c>
      <c r="I58" s="435">
        <f t="shared" ca="1" si="1"/>
        <v>0</v>
      </c>
      <c r="J58" s="435"/>
      <c r="K58" s="435"/>
      <c r="L58" s="435"/>
      <c r="M58" s="435"/>
      <c r="N58" s="435"/>
      <c r="O58" s="435"/>
      <c r="P58" s="435"/>
      <c r="Q58" s="435"/>
    </row>
    <row r="59" spans="3:17" ht="14">
      <c r="C59" s="219" t="s">
        <v>1834</v>
      </c>
      <c r="D59" s="219" t="str">
        <f>INDEX(Regional.Technologies[Description],MATCH($B$2&amp;"."&amp;G.30.energy[[#This Row],[Code]],Regional.Technologies[Code],0))</f>
        <v>Global Coal use in the Chemicals: Methanol technology</v>
      </c>
      <c r="E59" s="196"/>
      <c r="F59" s="196" t="s">
        <v>2465</v>
      </c>
      <c r="G59" s="219" t="str">
        <f>INDEX(Regional.energy[Description],MATCH(G.30.energy[[#This Row],[Energy vector]],Regional.energy[Regional energy code],0))</f>
        <v>Global Materials</v>
      </c>
      <c r="H59" s="196" t="str">
        <f t="shared" si="2"/>
        <v>EJ</v>
      </c>
      <c r="I59" s="435">
        <f t="shared" ca="1" si="1"/>
        <v>0.726021750603001</v>
      </c>
      <c r="J59" s="435"/>
      <c r="K59" s="435"/>
      <c r="L59" s="435"/>
      <c r="M59" s="435"/>
      <c r="N59" s="435"/>
      <c r="O59" s="435"/>
      <c r="P59" s="435"/>
      <c r="Q59" s="435"/>
    </row>
    <row r="60" spans="3:17" ht="14">
      <c r="C60" s="219" t="s">
        <v>1835</v>
      </c>
      <c r="D60" s="219" t="str">
        <f>INDEX(Regional.Technologies[Description],MATCH($B$2&amp;"."&amp;G.30.energy[[#This Row],[Code]],Regional.Technologies[Code],0))</f>
        <v>Global Oil use in the Chemicals: Methanol technology</v>
      </c>
      <c r="E60" s="196"/>
      <c r="F60" s="196" t="s">
        <v>2465</v>
      </c>
      <c r="G60" s="219" t="str">
        <f>INDEX(Regional.energy[Description],MATCH(G.30.energy[[#This Row],[Energy vector]],Regional.energy[Regional energy code],0))</f>
        <v>Global Materials</v>
      </c>
      <c r="H60" s="196" t="str">
        <f t="shared" si="2"/>
        <v>EJ</v>
      </c>
      <c r="I60" s="435">
        <f t="shared" ca="1" si="1"/>
        <v>0</v>
      </c>
      <c r="J60" s="435"/>
      <c r="K60" s="435"/>
      <c r="L60" s="435"/>
      <c r="M60" s="435"/>
      <c r="N60" s="435"/>
      <c r="O60" s="435"/>
      <c r="P60" s="435"/>
      <c r="Q60" s="435"/>
    </row>
    <row r="61" spans="3:17" ht="14">
      <c r="C61" s="219" t="s">
        <v>1836</v>
      </c>
      <c r="D61" s="219" t="str">
        <f>INDEX(Regional.Technologies[Description],MATCH($B$2&amp;"."&amp;G.30.energy[[#This Row],[Code]],Regional.Technologies[Code],0))</f>
        <v>Global Natural Gas use in the Chemicals: Methanol technology</v>
      </c>
      <c r="E61" s="196"/>
      <c r="F61" s="196" t="s">
        <v>2465</v>
      </c>
      <c r="G61" s="219" t="str">
        <f>INDEX(Regional.energy[Description],MATCH(G.30.energy[[#This Row],[Energy vector]],Regional.energy[Regional energy code],0))</f>
        <v>Global Materials</v>
      </c>
      <c r="H61" s="196" t="str">
        <f t="shared" si="2"/>
        <v>EJ</v>
      </c>
      <c r="I61" s="435">
        <f t="shared" ca="1" si="1"/>
        <v>0.937789568259083</v>
      </c>
      <c r="J61" s="435"/>
      <c r="K61" s="435"/>
      <c r="L61" s="435"/>
      <c r="M61" s="435"/>
      <c r="N61" s="435"/>
      <c r="O61" s="435"/>
      <c r="P61" s="435"/>
      <c r="Q61" s="435"/>
    </row>
    <row r="62" spans="3:17" ht="14">
      <c r="C62" s="219" t="s">
        <v>1837</v>
      </c>
      <c r="D62" s="219" t="str">
        <f>INDEX(Regional.Technologies[Description],MATCH($B$2&amp;"."&amp;G.30.energy[[#This Row],[Code]],Regional.Technologies[Code],0))</f>
        <v>Global Solid Hydrocarbons use in the Chemicals: Methanol technology</v>
      </c>
      <c r="E62" s="196"/>
      <c r="F62" s="196" t="s">
        <v>2465</v>
      </c>
      <c r="G62" s="219" t="str">
        <f>INDEX(Regional.energy[Description],MATCH(G.30.energy[[#This Row],[Energy vector]],Regional.energy[Regional energy code],0))</f>
        <v>Global Materials</v>
      </c>
      <c r="H62" s="196" t="str">
        <f t="shared" si="2"/>
        <v>EJ</v>
      </c>
      <c r="I62" s="435">
        <f t="shared" ca="1" si="1"/>
        <v>0</v>
      </c>
      <c r="J62" s="435"/>
      <c r="K62" s="435"/>
      <c r="L62" s="435"/>
      <c r="M62" s="435"/>
      <c r="N62" s="435"/>
      <c r="O62" s="435"/>
      <c r="P62" s="435"/>
      <c r="Q62" s="435"/>
    </row>
    <row r="63" spans="3:17" ht="14">
      <c r="C63" s="219" t="s">
        <v>1838</v>
      </c>
      <c r="D63" s="219" t="str">
        <f>INDEX(Regional.Technologies[Description],MATCH($B$2&amp;"."&amp;G.30.energy[[#This Row],[Code]],Regional.Technologies[Code],0))</f>
        <v>Global Heat use in the Chemicals: Methanol technology</v>
      </c>
      <c r="E63" s="196"/>
      <c r="F63" s="196" t="s">
        <v>2465</v>
      </c>
      <c r="G63" s="219" t="str">
        <f>INDEX(Regional.energy[Description],MATCH(G.30.energy[[#This Row],[Energy vector]],Regional.energy[Regional energy code],0))</f>
        <v>Global Materials</v>
      </c>
      <c r="H63" s="196" t="str">
        <f t="shared" si="2"/>
        <v>EJ</v>
      </c>
      <c r="I63" s="435">
        <f t="shared" ca="1" si="1"/>
        <v>0</v>
      </c>
      <c r="J63" s="435"/>
      <c r="K63" s="435"/>
      <c r="L63" s="435"/>
      <c r="M63" s="435"/>
      <c r="N63" s="435"/>
      <c r="O63" s="435"/>
      <c r="P63" s="435"/>
      <c r="Q63" s="435"/>
    </row>
    <row r="64" spans="3:17" ht="14">
      <c r="C64" s="219" t="s">
        <v>1839</v>
      </c>
      <c r="D64" s="219" t="str">
        <f>INDEX(Regional.Technologies[Description],MATCH($B$2&amp;"."&amp;G.30.energy[[#This Row],[Code]],Regional.Technologies[Code],0))</f>
        <v>Global Electricity use in the Chemicals: Others technology</v>
      </c>
      <c r="E64" s="196"/>
      <c r="F64" s="196" t="s">
        <v>2465</v>
      </c>
      <c r="G64" s="219" t="str">
        <f>INDEX(Regional.energy[Description],MATCH(G.30.energy[[#This Row],[Energy vector]],Regional.energy[Regional energy code],0))</f>
        <v>Global Materials</v>
      </c>
      <c r="H64" s="196" t="str">
        <f t="shared" si="2"/>
        <v>EJ</v>
      </c>
      <c r="I64" s="435">
        <f t="shared" ca="1" si="1"/>
        <v>4.1752925085634338</v>
      </c>
      <c r="J64" s="435"/>
      <c r="K64" s="435"/>
      <c r="L64" s="435"/>
      <c r="M64" s="435"/>
      <c r="N64" s="435"/>
      <c r="O64" s="435"/>
      <c r="P64" s="435"/>
      <c r="Q64" s="435"/>
    </row>
    <row r="65" spans="3:17" ht="14">
      <c r="C65" s="219" t="s">
        <v>1840</v>
      </c>
      <c r="D65" s="219" t="str">
        <f>INDEX(Regional.Technologies[Description],MATCH($B$2&amp;"."&amp;G.30.energy[[#This Row],[Code]],Regional.Technologies[Code],0))</f>
        <v>Global Coal use in the Chemicals: Others technology</v>
      </c>
      <c r="E65" s="196"/>
      <c r="F65" s="196" t="s">
        <v>2465</v>
      </c>
      <c r="G65" s="219" t="str">
        <f>INDEX(Regional.energy[Description],MATCH(G.30.energy[[#This Row],[Energy vector]],Regional.energy[Regional energy code],0))</f>
        <v>Global Materials</v>
      </c>
      <c r="H65" s="196" t="str">
        <f t="shared" si="2"/>
        <v>EJ</v>
      </c>
      <c r="I65" s="435">
        <f t="shared" ca="1" si="1"/>
        <v>0.37414965620854623</v>
      </c>
      <c r="J65" s="435"/>
      <c r="K65" s="435"/>
      <c r="L65" s="435"/>
      <c r="M65" s="435"/>
      <c r="N65" s="435"/>
      <c r="O65" s="435"/>
      <c r="P65" s="435"/>
      <c r="Q65" s="435"/>
    </row>
    <row r="66" spans="3:17" ht="14">
      <c r="C66" s="219" t="s">
        <v>1841</v>
      </c>
      <c r="D66" s="219" t="str">
        <f>INDEX(Regional.Technologies[Description],MATCH($B$2&amp;"."&amp;G.30.energy[[#This Row],[Code]],Regional.Technologies[Code],0))</f>
        <v>Global Oil use in the Chemicals: Others technology</v>
      </c>
      <c r="E66" s="196"/>
      <c r="F66" s="196" t="s">
        <v>2465</v>
      </c>
      <c r="G66" s="219" t="str">
        <f>INDEX(Regional.energy[Description],MATCH(G.30.energy[[#This Row],[Energy vector]],Regional.energy[Regional energy code],0))</f>
        <v>Global Materials</v>
      </c>
      <c r="H66" s="196" t="str">
        <f t="shared" si="2"/>
        <v>EJ</v>
      </c>
      <c r="I66" s="435">
        <f t="shared" ca="1" si="1"/>
        <v>-2.3799202608643097E-15</v>
      </c>
      <c r="J66" s="435"/>
      <c r="K66" s="435"/>
      <c r="L66" s="435"/>
      <c r="M66" s="435"/>
      <c r="N66" s="435"/>
      <c r="O66" s="435"/>
      <c r="P66" s="435"/>
      <c r="Q66" s="435"/>
    </row>
    <row r="67" spans="3:17" ht="14">
      <c r="C67" s="219" t="s">
        <v>1842</v>
      </c>
      <c r="D67" s="219" t="str">
        <f>INDEX(Regional.Technologies[Description],MATCH($B$2&amp;"."&amp;G.30.energy[[#This Row],[Code]],Regional.Technologies[Code],0))</f>
        <v>Global Natural Gas use in the Chemicals: Others technology</v>
      </c>
      <c r="E67" s="196"/>
      <c r="F67" s="196" t="s">
        <v>2465</v>
      </c>
      <c r="G67" s="219" t="str">
        <f>INDEX(Regional.energy[Description],MATCH(G.30.energy[[#This Row],[Energy vector]],Regional.energy[Regional energy code],0))</f>
        <v>Global Materials</v>
      </c>
      <c r="H67" s="196" t="str">
        <f t="shared" si="2"/>
        <v>EJ</v>
      </c>
      <c r="I67" s="435">
        <f t="shared" ca="1" si="1"/>
        <v>6.0442800620537298</v>
      </c>
      <c r="J67" s="435"/>
      <c r="K67" s="435"/>
      <c r="L67" s="435"/>
      <c r="M67" s="435"/>
      <c r="N67" s="435"/>
      <c r="O67" s="435"/>
      <c r="P67" s="435"/>
      <c r="Q67" s="435"/>
    </row>
    <row r="68" spans="3:17" ht="14">
      <c r="C68" s="219" t="s">
        <v>1843</v>
      </c>
      <c r="D68" s="219" t="str">
        <f>INDEX(Regional.Technologies[Description],MATCH($B$2&amp;"."&amp;G.30.energy[[#This Row],[Code]],Regional.Technologies[Code],0))</f>
        <v>Global Solid Hydrocarbons use in the Chemicals: Others technology</v>
      </c>
      <c r="E68" s="196"/>
      <c r="F68" s="196" t="s">
        <v>2465</v>
      </c>
      <c r="G68" s="219" t="str">
        <f>INDEX(Regional.energy[Description],MATCH(G.30.energy[[#This Row],[Energy vector]],Regional.energy[Regional energy code],0))</f>
        <v>Global Materials</v>
      </c>
      <c r="H68" s="196" t="str">
        <f t="shared" si="2"/>
        <v>EJ</v>
      </c>
      <c r="I68" s="435">
        <f t="shared" ca="1" si="1"/>
        <v>0.16313870478909601</v>
      </c>
      <c r="J68" s="435"/>
      <c r="K68" s="435"/>
      <c r="L68" s="435"/>
      <c r="M68" s="435"/>
      <c r="N68" s="435"/>
      <c r="O68" s="435"/>
      <c r="P68" s="435"/>
      <c r="Q68" s="435"/>
    </row>
    <row r="69" spans="3:17" ht="14">
      <c r="C69" s="219" t="s">
        <v>1844</v>
      </c>
      <c r="D69" s="219" t="str">
        <f>INDEX(Regional.Technologies[Description],MATCH($B$2&amp;"."&amp;G.30.energy[[#This Row],[Code]],Regional.Technologies[Code],0))</f>
        <v>Global Heat use in the Chemicals: Others technology</v>
      </c>
      <c r="E69" s="196"/>
      <c r="F69" s="196" t="s">
        <v>2465</v>
      </c>
      <c r="G69" s="219" t="str">
        <f>INDEX(Regional.energy[Description],MATCH(G.30.energy[[#This Row],[Energy vector]],Regional.energy[Regional energy code],0))</f>
        <v>Global Materials</v>
      </c>
      <c r="H69" s="196" t="str">
        <f t="shared" si="2"/>
        <v>EJ</v>
      </c>
      <c r="I69" s="435">
        <f t="shared" ca="1" si="1"/>
        <v>1.9701384317850921</v>
      </c>
      <c r="J69" s="435"/>
      <c r="K69" s="435"/>
      <c r="L69" s="435"/>
      <c r="M69" s="435"/>
      <c r="N69" s="435"/>
      <c r="O69" s="435"/>
      <c r="P69" s="435"/>
      <c r="Q69" s="435"/>
    </row>
    <row r="70" spans="3:17" ht="14">
      <c r="C70" s="219" t="s">
        <v>1845</v>
      </c>
      <c r="D70" s="219" t="str">
        <f>INDEX(Regional.Technologies[Description],MATCH($B$2&amp;"."&amp;G.30.energy[[#This Row],[Code]],Regional.Technologies[Code],0))</f>
        <v>Global Electricity use in the Pulp &amp; paper: Pulp technology</v>
      </c>
      <c r="E70" s="196"/>
      <c r="F70" s="196" t="s">
        <v>2465</v>
      </c>
      <c r="G70" s="219" t="str">
        <f>INDEX(Regional.energy[Description],MATCH(G.30.energy[[#This Row],[Energy vector]],Regional.energy[Regional energy code],0))</f>
        <v>Global Materials</v>
      </c>
      <c r="H70" s="196" t="str">
        <f t="shared" si="2"/>
        <v>EJ</v>
      </c>
      <c r="I70" s="435">
        <f t="shared" ca="1" si="1"/>
        <v>0.65799398015612487</v>
      </c>
      <c r="J70" s="435"/>
      <c r="K70" s="435"/>
      <c r="L70" s="435"/>
      <c r="M70" s="435"/>
      <c r="N70" s="435"/>
      <c r="O70" s="435"/>
      <c r="P70" s="435"/>
      <c r="Q70" s="435"/>
    </row>
    <row r="71" spans="3:17" ht="14">
      <c r="C71" s="219" t="s">
        <v>1846</v>
      </c>
      <c r="D71" s="219" t="str">
        <f>INDEX(Regional.Technologies[Description],MATCH($B$2&amp;"."&amp;G.30.energy[[#This Row],[Code]],Regional.Technologies[Code],0))</f>
        <v>Global Coal use in the Pulp &amp; paper: Pulp technology</v>
      </c>
      <c r="E71" s="196"/>
      <c r="F71" s="196" t="s">
        <v>2465</v>
      </c>
      <c r="G71" s="219" t="str">
        <f>INDEX(Regional.energy[Description],MATCH(G.30.energy[[#This Row],[Energy vector]],Regional.energy[Regional energy code],0))</f>
        <v>Global Materials</v>
      </c>
      <c r="H71" s="196" t="str">
        <f t="shared" si="2"/>
        <v>EJ</v>
      </c>
      <c r="I71" s="435">
        <f t="shared" ca="1" si="1"/>
        <v>0.59772552046925531</v>
      </c>
      <c r="J71" s="435"/>
      <c r="K71" s="435"/>
      <c r="L71" s="435"/>
      <c r="M71" s="435"/>
      <c r="N71" s="435"/>
      <c r="O71" s="435"/>
      <c r="P71" s="435"/>
      <c r="Q71" s="435"/>
    </row>
    <row r="72" spans="3:17" ht="14">
      <c r="C72" s="219" t="s">
        <v>1847</v>
      </c>
      <c r="D72" s="219" t="str">
        <f>INDEX(Regional.Technologies[Description],MATCH($B$2&amp;"."&amp;G.30.energy[[#This Row],[Code]],Regional.Technologies[Code],0))</f>
        <v>Global Oil use in the Pulp &amp; paper: Pulp technology</v>
      </c>
      <c r="E72" s="196"/>
      <c r="F72" s="196" t="s">
        <v>2465</v>
      </c>
      <c r="G72" s="219" t="str">
        <f>INDEX(Regional.energy[Description],MATCH(G.30.energy[[#This Row],[Energy vector]],Regional.energy[Regional energy code],0))</f>
        <v>Global Materials</v>
      </c>
      <c r="H72" s="196" t="str">
        <f t="shared" si="2"/>
        <v>EJ</v>
      </c>
      <c r="I72" s="435">
        <f t="shared" ca="1" si="1"/>
        <v>0.18690202814673121</v>
      </c>
      <c r="J72" s="435"/>
      <c r="K72" s="435"/>
      <c r="L72" s="435"/>
      <c r="M72" s="435"/>
      <c r="N72" s="435"/>
      <c r="O72" s="435"/>
      <c r="P72" s="435"/>
      <c r="Q72" s="435"/>
    </row>
    <row r="73" spans="3:17" ht="14">
      <c r="C73" s="219" t="s">
        <v>1848</v>
      </c>
      <c r="D73" s="219" t="str">
        <f>INDEX(Regional.Technologies[Description],MATCH($B$2&amp;"."&amp;G.30.energy[[#This Row],[Code]],Regional.Technologies[Code],0))</f>
        <v>Global Natural Gas use in the Pulp &amp; paper: Pulp technology</v>
      </c>
      <c r="E73" s="196"/>
      <c r="F73" s="196" t="s">
        <v>2465</v>
      </c>
      <c r="G73" s="219" t="str">
        <f>INDEX(Regional.energy[Description],MATCH(G.30.energy[[#This Row],[Energy vector]],Regional.energy[Regional energy code],0))</f>
        <v>Global Materials</v>
      </c>
      <c r="H73" s="196" t="str">
        <f t="shared" si="2"/>
        <v>EJ</v>
      </c>
      <c r="I73" s="435">
        <f t="shared" ca="1" si="1"/>
        <v>0.47643652328594177</v>
      </c>
      <c r="J73" s="435"/>
      <c r="K73" s="435"/>
      <c r="L73" s="435"/>
      <c r="M73" s="435"/>
      <c r="N73" s="435"/>
      <c r="O73" s="435"/>
      <c r="P73" s="435"/>
      <c r="Q73" s="435"/>
    </row>
    <row r="74" spans="3:17" ht="14">
      <c r="C74" s="219" t="s">
        <v>1849</v>
      </c>
      <c r="D74" s="219" t="str">
        <f>INDEX(Regional.Technologies[Description],MATCH($B$2&amp;"."&amp;G.30.energy[[#This Row],[Code]],Regional.Technologies[Code],0))</f>
        <v>Global Solid Hydrocarbons use in the Pulp &amp; paper: Pulp technology</v>
      </c>
      <c r="E74" s="196"/>
      <c r="F74" s="196" t="s">
        <v>2465</v>
      </c>
      <c r="G74" s="219" t="str">
        <f>INDEX(Regional.energy[Description],MATCH(G.30.energy[[#This Row],[Energy vector]],Regional.energy[Regional energy code],0))</f>
        <v>Global Materials</v>
      </c>
      <c r="H74" s="196" t="str">
        <f t="shared" ref="H74:H100" si="3">Preferences.energy</f>
        <v>EJ</v>
      </c>
      <c r="I74" s="435">
        <f t="shared" ca="1" si="1"/>
        <v>1.1015070797346034</v>
      </c>
      <c r="J74" s="435"/>
      <c r="K74" s="435"/>
      <c r="L74" s="435"/>
      <c r="M74" s="435"/>
      <c r="N74" s="435"/>
      <c r="O74" s="435"/>
      <c r="P74" s="435"/>
      <c r="Q74" s="435"/>
    </row>
    <row r="75" spans="3:17" ht="14">
      <c r="C75" s="219" t="s">
        <v>1850</v>
      </c>
      <c r="D75" s="219" t="str">
        <f>INDEX(Regional.Technologies[Description],MATCH($B$2&amp;"."&amp;G.30.energy[[#This Row],[Code]],Regional.Technologies[Code],0))</f>
        <v>Global Heat use in the Pulp &amp; paper: Pulp technology</v>
      </c>
      <c r="E75" s="196"/>
      <c r="F75" s="196" t="s">
        <v>2465</v>
      </c>
      <c r="G75" s="219" t="str">
        <f>INDEX(Regional.energy[Description],MATCH(G.30.energy[[#This Row],[Energy vector]],Regional.energy[Regional energy code],0))</f>
        <v>Global Materials</v>
      </c>
      <c r="H75" s="196" t="str">
        <f t="shared" si="3"/>
        <v>EJ</v>
      </c>
      <c r="I75" s="435">
        <f t="shared" ref="I75:Q99" ca="1" si="4">-I166</f>
        <v>0</v>
      </c>
      <c r="J75" s="435"/>
      <c r="K75" s="435"/>
      <c r="L75" s="435"/>
      <c r="M75" s="435"/>
      <c r="N75" s="435"/>
      <c r="O75" s="435"/>
      <c r="P75" s="435"/>
      <c r="Q75" s="435"/>
    </row>
    <row r="76" spans="3:17" ht="14">
      <c r="C76" s="219" t="s">
        <v>1631</v>
      </c>
      <c r="D76" s="219" t="str">
        <f>INDEX(Regional.Technologies[Description],MATCH($B$2&amp;"."&amp;G.30.energy[[#This Row],[Code]],Regional.Technologies[Code],0))</f>
        <v>Global Electricity use in the Pulp &amp; paper: Virgin technology</v>
      </c>
      <c r="E76" s="196"/>
      <c r="F76" s="196" t="s">
        <v>2465</v>
      </c>
      <c r="G76" s="219" t="str">
        <f>INDEX(Regional.energy[Description],MATCH(G.30.energy[[#This Row],[Energy vector]],Regional.energy[Regional energy code],0))</f>
        <v>Global Materials</v>
      </c>
      <c r="H76" s="196" t="str">
        <f t="shared" si="3"/>
        <v>EJ</v>
      </c>
      <c r="I76" s="435">
        <f t="shared" ca="1" si="4"/>
        <v>0.96830205621334242</v>
      </c>
      <c r="J76" s="435"/>
      <c r="K76" s="435"/>
      <c r="L76" s="435"/>
      <c r="M76" s="435"/>
      <c r="N76" s="435"/>
      <c r="O76" s="435"/>
      <c r="P76" s="435"/>
      <c r="Q76" s="435"/>
    </row>
    <row r="77" spans="3:17" ht="14">
      <c r="C77" s="219" t="s">
        <v>1851</v>
      </c>
      <c r="D77" s="219" t="str">
        <f>INDEX(Regional.Technologies[Description],MATCH($B$2&amp;"."&amp;G.30.energy[[#This Row],[Code]],Regional.Technologies[Code],0))</f>
        <v>Global Coal use in the Pulp &amp; paper: Virgin technology</v>
      </c>
      <c r="E77" s="196"/>
      <c r="F77" s="196" t="s">
        <v>2465</v>
      </c>
      <c r="G77" s="219" t="str">
        <f>INDEX(Regional.energy[Description],MATCH(G.30.energy[[#This Row],[Energy vector]],Regional.energy[Regional energy code],0))</f>
        <v>Global Materials</v>
      </c>
      <c r="H77" s="196" t="str">
        <f t="shared" si="3"/>
        <v>EJ</v>
      </c>
      <c r="I77" s="435">
        <f t="shared" ca="1" si="4"/>
        <v>0.77413991162387541</v>
      </c>
      <c r="J77" s="435"/>
      <c r="K77" s="435"/>
      <c r="L77" s="435"/>
      <c r="M77" s="435"/>
      <c r="N77" s="435"/>
      <c r="O77" s="435"/>
      <c r="P77" s="435"/>
      <c r="Q77" s="435"/>
    </row>
    <row r="78" spans="3:17" ht="14">
      <c r="C78" s="219" t="s">
        <v>1852</v>
      </c>
      <c r="D78" s="219" t="str">
        <f>INDEX(Regional.Technologies[Description],MATCH($B$2&amp;"."&amp;G.30.energy[[#This Row],[Code]],Regional.Technologies[Code],0))</f>
        <v>Global Oil use in the Pulp &amp; paper: Virgin technology</v>
      </c>
      <c r="E78" s="196"/>
      <c r="F78" s="196" t="s">
        <v>2465</v>
      </c>
      <c r="G78" s="219" t="str">
        <f>INDEX(Regional.energy[Description],MATCH(G.30.energy[[#This Row],[Energy vector]],Regional.energy[Regional energy code],0))</f>
        <v>Global Materials</v>
      </c>
      <c r="H78" s="196" t="str">
        <f t="shared" si="3"/>
        <v>EJ</v>
      </c>
      <c r="I78" s="435">
        <f t="shared" ca="1" si="4"/>
        <v>0.17969717966158166</v>
      </c>
      <c r="J78" s="435"/>
      <c r="K78" s="435"/>
      <c r="L78" s="435"/>
      <c r="M78" s="435"/>
      <c r="N78" s="435"/>
      <c r="O78" s="435"/>
      <c r="P78" s="435"/>
      <c r="Q78" s="435"/>
    </row>
    <row r="79" spans="3:17" ht="14">
      <c r="C79" s="219" t="s">
        <v>1853</v>
      </c>
      <c r="D79" s="219" t="str">
        <f>INDEX(Regional.Technologies[Description],MATCH($B$2&amp;"."&amp;G.30.energy[[#This Row],[Code]],Regional.Technologies[Code],0))</f>
        <v>Global Natural Gas use in the Pulp &amp; paper: Virgin technology</v>
      </c>
      <c r="E79" s="196"/>
      <c r="F79" s="196" t="s">
        <v>2465</v>
      </c>
      <c r="G79" s="219" t="str">
        <f>INDEX(Regional.energy[Description],MATCH(G.30.energy[[#This Row],[Energy vector]],Regional.energy[Regional energy code],0))</f>
        <v>Global Materials</v>
      </c>
      <c r="H79" s="196" t="str">
        <f t="shared" si="3"/>
        <v>EJ</v>
      </c>
      <c r="I79" s="435">
        <f t="shared" ca="1" si="4"/>
        <v>0.45387282618987923</v>
      </c>
      <c r="J79" s="435"/>
      <c r="K79" s="435"/>
      <c r="L79" s="435"/>
      <c r="M79" s="435"/>
      <c r="N79" s="435"/>
      <c r="O79" s="435"/>
      <c r="P79" s="435"/>
      <c r="Q79" s="435"/>
    </row>
    <row r="80" spans="3:17" ht="14">
      <c r="C80" s="219" t="s">
        <v>1854</v>
      </c>
      <c r="D80" s="219" t="str">
        <f>INDEX(Regional.Technologies[Description],MATCH($B$2&amp;"."&amp;G.30.energy[[#This Row],[Code]],Regional.Technologies[Code],0))</f>
        <v>Global Solid Hydrocarbons use in the Pulp &amp; paper: Virgin technology</v>
      </c>
      <c r="E80" s="196"/>
      <c r="F80" s="196" t="s">
        <v>2465</v>
      </c>
      <c r="G80" s="219" t="str">
        <f>INDEX(Regional.energy[Description],MATCH(G.30.energy[[#This Row],[Energy vector]],Regional.energy[Regional energy code],0))</f>
        <v>Global Materials</v>
      </c>
      <c r="H80" s="196" t="str">
        <f t="shared" si="3"/>
        <v>EJ</v>
      </c>
      <c r="I80" s="435">
        <f t="shared" ca="1" si="4"/>
        <v>0.68393967671459854</v>
      </c>
      <c r="J80" s="435"/>
      <c r="K80" s="435"/>
      <c r="L80" s="435"/>
      <c r="M80" s="435"/>
      <c r="N80" s="435"/>
      <c r="O80" s="435"/>
      <c r="P80" s="435"/>
      <c r="Q80" s="435"/>
    </row>
    <row r="81" spans="3:17" ht="14">
      <c r="C81" s="219" t="s">
        <v>1855</v>
      </c>
      <c r="D81" s="219" t="str">
        <f>INDEX(Regional.Technologies[Description],MATCH($B$2&amp;"."&amp;G.30.energy[[#This Row],[Code]],Regional.Technologies[Code],0))</f>
        <v>Global Heat use in the Pulp &amp; paper: Virgin technology</v>
      </c>
      <c r="E81" s="196"/>
      <c r="F81" s="196" t="s">
        <v>2465</v>
      </c>
      <c r="G81" s="219" t="str">
        <f>INDEX(Regional.energy[Description],MATCH(G.30.energy[[#This Row],[Energy vector]],Regional.energy[Regional energy code],0))</f>
        <v>Global Materials</v>
      </c>
      <c r="H81" s="196" t="str">
        <f t="shared" si="3"/>
        <v>EJ</v>
      </c>
      <c r="I81" s="435">
        <f t="shared" ca="1" si="4"/>
        <v>0</v>
      </c>
      <c r="J81" s="435"/>
      <c r="K81" s="435"/>
      <c r="L81" s="435"/>
      <c r="M81" s="435"/>
      <c r="N81" s="435"/>
      <c r="O81" s="435"/>
      <c r="P81" s="435"/>
      <c r="Q81" s="435"/>
    </row>
    <row r="82" spans="3:17" ht="14">
      <c r="C82" s="219" t="s">
        <v>1632</v>
      </c>
      <c r="D82" s="219" t="str">
        <f>INDEX(Regional.Technologies[Description],MATCH($B$2&amp;"."&amp;G.30.energy[[#This Row],[Code]],Regional.Technologies[Code],0))</f>
        <v>Global Electricity use in the Pulp &amp; paper: Recycled technology</v>
      </c>
      <c r="E82" s="196"/>
      <c r="F82" s="196" t="s">
        <v>2465</v>
      </c>
      <c r="G82" s="219" t="str">
        <f>INDEX(Regional.energy[Description],MATCH(G.30.energy[[#This Row],[Energy vector]],Regional.energy[Regional energy code],0))</f>
        <v>Global Materials</v>
      </c>
      <c r="H82" s="196" t="str">
        <f t="shared" si="3"/>
        <v>EJ</v>
      </c>
      <c r="I82" s="435">
        <f t="shared" ca="1" si="4"/>
        <v>0.22638860872541189</v>
      </c>
      <c r="J82" s="435"/>
      <c r="K82" s="435"/>
      <c r="L82" s="435"/>
      <c r="M82" s="435"/>
      <c r="N82" s="435"/>
      <c r="O82" s="435"/>
      <c r="P82" s="435"/>
      <c r="Q82" s="435"/>
    </row>
    <row r="83" spans="3:17" ht="14">
      <c r="C83" s="219" t="s">
        <v>1856</v>
      </c>
      <c r="D83" s="219" t="str">
        <f>INDEX(Regional.Technologies[Description],MATCH($B$2&amp;"."&amp;G.30.energy[[#This Row],[Code]],Regional.Technologies[Code],0))</f>
        <v>Global Coal use in the Pulp &amp; paper: Recycled technology</v>
      </c>
      <c r="E83" s="196"/>
      <c r="F83" s="196" t="s">
        <v>2465</v>
      </c>
      <c r="G83" s="219" t="str">
        <f>INDEX(Regional.energy[Description],MATCH(G.30.energy[[#This Row],[Energy vector]],Regional.energy[Regional energy code],0))</f>
        <v>Global Materials</v>
      </c>
      <c r="H83" s="196" t="str">
        <f t="shared" si="3"/>
        <v>EJ</v>
      </c>
      <c r="I83" s="435">
        <f t="shared" ca="1" si="4"/>
        <v>0.14639565534575039</v>
      </c>
      <c r="J83" s="435"/>
      <c r="K83" s="435"/>
      <c r="L83" s="435"/>
      <c r="M83" s="435"/>
      <c r="N83" s="435"/>
      <c r="O83" s="435"/>
      <c r="P83" s="435"/>
      <c r="Q83" s="435"/>
    </row>
    <row r="84" spans="3:17" ht="14">
      <c r="C84" s="219" t="s">
        <v>1857</v>
      </c>
      <c r="D84" s="219" t="str">
        <f>INDEX(Regional.Technologies[Description],MATCH($B$2&amp;"."&amp;G.30.energy[[#This Row],[Code]],Regional.Technologies[Code],0))</f>
        <v>Global Oil use in the Pulp &amp; paper: Recycled technology</v>
      </c>
      <c r="E84" s="196"/>
      <c r="F84" s="196" t="s">
        <v>2465</v>
      </c>
      <c r="G84" s="219" t="str">
        <f>INDEX(Regional.energy[Description],MATCH(G.30.energy[[#This Row],[Energy vector]],Regional.energy[Regional energy code],0))</f>
        <v>Global Materials</v>
      </c>
      <c r="H84" s="196" t="str">
        <f t="shared" si="3"/>
        <v>EJ</v>
      </c>
      <c r="I84" s="435">
        <f t="shared" ca="1" si="4"/>
        <v>3.8700157409069846E-2</v>
      </c>
      <c r="J84" s="435"/>
      <c r="K84" s="435"/>
      <c r="L84" s="435"/>
      <c r="M84" s="435"/>
      <c r="N84" s="435"/>
      <c r="O84" s="435"/>
      <c r="P84" s="435"/>
      <c r="Q84" s="435"/>
    </row>
    <row r="85" spans="3:17" ht="14">
      <c r="C85" s="219" t="s">
        <v>1858</v>
      </c>
      <c r="D85" s="219" t="str">
        <f>INDEX(Regional.Technologies[Description],MATCH($B$2&amp;"."&amp;G.30.energy[[#This Row],[Code]],Regional.Technologies[Code],0))</f>
        <v>Global Natural Gas use in the Pulp &amp; paper: Recycled technology</v>
      </c>
      <c r="E85" s="196"/>
      <c r="F85" s="196" t="s">
        <v>2465</v>
      </c>
      <c r="G85" s="219" t="str">
        <f>INDEX(Regional.energy[Description],MATCH(G.30.energy[[#This Row],[Energy vector]],Regional.energy[Regional energy code],0))</f>
        <v>Global Materials</v>
      </c>
      <c r="H85" s="196" t="str">
        <f t="shared" si="3"/>
        <v>EJ</v>
      </c>
      <c r="I85" s="435">
        <f t="shared" ca="1" si="4"/>
        <v>0.11936470129372101</v>
      </c>
      <c r="J85" s="435"/>
      <c r="K85" s="435"/>
      <c r="L85" s="435"/>
      <c r="M85" s="435"/>
      <c r="N85" s="435"/>
      <c r="O85" s="435"/>
      <c r="P85" s="435"/>
      <c r="Q85" s="435"/>
    </row>
    <row r="86" spans="3:17" ht="14">
      <c r="C86" s="219" t="s">
        <v>1859</v>
      </c>
      <c r="D86" s="219" t="str">
        <f>INDEX(Regional.Technologies[Description],MATCH($B$2&amp;"."&amp;G.30.energy[[#This Row],[Code]],Regional.Technologies[Code],0))</f>
        <v>Global Solid Hydrocarbons use in the Pulp &amp; paper: Recycled technology</v>
      </c>
      <c r="E86" s="196"/>
      <c r="F86" s="196" t="s">
        <v>2465</v>
      </c>
      <c r="G86" s="219" t="str">
        <f>INDEX(Regional.energy[Description],MATCH(G.30.energy[[#This Row],[Energy vector]],Regional.energy[Regional energy code],0))</f>
        <v>Global Materials</v>
      </c>
      <c r="H86" s="196" t="str">
        <f t="shared" si="3"/>
        <v>EJ</v>
      </c>
      <c r="I86" s="435">
        <f t="shared" ca="1" si="4"/>
        <v>0</v>
      </c>
      <c r="J86" s="435"/>
      <c r="K86" s="435"/>
      <c r="L86" s="435"/>
      <c r="M86" s="435"/>
      <c r="N86" s="435"/>
      <c r="O86" s="435"/>
      <c r="P86" s="435"/>
      <c r="Q86" s="435"/>
    </row>
    <row r="87" spans="3:17" ht="14">
      <c r="C87" s="219" t="s">
        <v>1860</v>
      </c>
      <c r="D87" s="219" t="str">
        <f>INDEX(Regional.Technologies[Description],MATCH($B$2&amp;"."&amp;G.30.energy[[#This Row],[Code]],Regional.Technologies[Code],0))</f>
        <v>Global Heat use in the Pulp &amp; paper: Recycled technology</v>
      </c>
      <c r="E87" s="196"/>
      <c r="F87" s="196" t="s">
        <v>2465</v>
      </c>
      <c r="G87" s="219" t="str">
        <f>INDEX(Regional.energy[Description],MATCH(G.30.energy[[#This Row],[Energy vector]],Regional.energy[Regional energy code],0))</f>
        <v>Global Materials</v>
      </c>
      <c r="H87" s="196" t="str">
        <f t="shared" si="3"/>
        <v>EJ</v>
      </c>
      <c r="I87" s="435">
        <f t="shared" ca="1" si="4"/>
        <v>0</v>
      </c>
      <c r="J87" s="435"/>
      <c r="K87" s="435"/>
      <c r="L87" s="435"/>
      <c r="M87" s="435"/>
      <c r="N87" s="435"/>
      <c r="O87" s="435"/>
      <c r="P87" s="435"/>
      <c r="Q87" s="435"/>
    </row>
    <row r="88" spans="3:17" ht="14">
      <c r="C88" s="219" t="s">
        <v>1633</v>
      </c>
      <c r="D88" s="219" t="str">
        <f>INDEX(Regional.Technologies[Description],MATCH($B$2&amp;"."&amp;G.30.energy[[#This Row],[Code]],Regional.Technologies[Code],0))</f>
        <v>Global Electricity use in the Cement technology</v>
      </c>
      <c r="E88" s="196"/>
      <c r="F88" s="196" t="s">
        <v>2465</v>
      </c>
      <c r="G88" s="219" t="str">
        <f>INDEX(Regional.energy[Description],MATCH(G.30.energy[[#This Row],[Energy vector]],Regional.energy[Regional energy code],0))</f>
        <v>Global Materials</v>
      </c>
      <c r="H88" s="196" t="str">
        <f t="shared" si="3"/>
        <v>EJ</v>
      </c>
      <c r="I88" s="435">
        <f t="shared" ca="1" si="4"/>
        <v>1.2878995795200781</v>
      </c>
      <c r="J88" s="435"/>
      <c r="K88" s="435"/>
      <c r="L88" s="435"/>
      <c r="M88" s="435"/>
      <c r="N88" s="435"/>
      <c r="O88" s="435"/>
      <c r="P88" s="435"/>
      <c r="Q88" s="435"/>
    </row>
    <row r="89" spans="3:17" ht="14">
      <c r="C89" s="219" t="s">
        <v>1861</v>
      </c>
      <c r="D89" s="219" t="str">
        <f>INDEX(Regional.Technologies[Description],MATCH($B$2&amp;"."&amp;G.30.energy[[#This Row],[Code]],Regional.Technologies[Code],0))</f>
        <v>Global Coal use in the Cement technology</v>
      </c>
      <c r="E89" s="196"/>
      <c r="F89" s="196" t="s">
        <v>2465</v>
      </c>
      <c r="G89" s="219" t="str">
        <f>INDEX(Regional.energy[Description],MATCH(G.30.energy[[#This Row],[Energy vector]],Regional.energy[Regional energy code],0))</f>
        <v>Global Materials</v>
      </c>
      <c r="H89" s="196" t="str">
        <f t="shared" si="3"/>
        <v>EJ</v>
      </c>
      <c r="I89" s="435">
        <f t="shared" ca="1" si="4"/>
        <v>6.8409905230434269</v>
      </c>
      <c r="J89" s="435"/>
      <c r="K89" s="435"/>
      <c r="L89" s="435"/>
      <c r="M89" s="435"/>
      <c r="N89" s="435"/>
      <c r="O89" s="435"/>
      <c r="P89" s="435"/>
      <c r="Q89" s="435"/>
    </row>
    <row r="90" spans="3:17" ht="14">
      <c r="C90" s="219" t="s">
        <v>1862</v>
      </c>
      <c r="D90" s="219" t="str">
        <f>INDEX(Regional.Technologies[Description],MATCH($B$2&amp;"."&amp;G.30.energy[[#This Row],[Code]],Regional.Technologies[Code],0))</f>
        <v>Global Oil use in the Cement technology</v>
      </c>
      <c r="E90" s="196"/>
      <c r="F90" s="196" t="s">
        <v>2465</v>
      </c>
      <c r="G90" s="219" t="str">
        <f>INDEX(Regional.energy[Description],MATCH(G.30.energy[[#This Row],[Energy vector]],Regional.energy[Regional energy code],0))</f>
        <v>Global Materials</v>
      </c>
      <c r="H90" s="196" t="str">
        <f t="shared" si="3"/>
        <v>EJ</v>
      </c>
      <c r="I90" s="435">
        <f t="shared" ca="1" si="4"/>
        <v>1.1283944201925584</v>
      </c>
      <c r="J90" s="435"/>
      <c r="K90" s="435"/>
      <c r="L90" s="435"/>
      <c r="M90" s="435"/>
      <c r="N90" s="435"/>
      <c r="O90" s="435"/>
      <c r="P90" s="435"/>
      <c r="Q90" s="435"/>
    </row>
    <row r="91" spans="3:17" ht="14">
      <c r="C91" s="219" t="s">
        <v>1863</v>
      </c>
      <c r="D91" s="219" t="str">
        <f>INDEX(Regional.Technologies[Description],MATCH($B$2&amp;"."&amp;G.30.energy[[#This Row],[Code]],Regional.Technologies[Code],0))</f>
        <v>Global Natural Gas use in the Cement technology</v>
      </c>
      <c r="E91" s="196"/>
      <c r="F91" s="196" t="s">
        <v>2465</v>
      </c>
      <c r="G91" s="219" t="str">
        <f>INDEX(Regional.energy[Description],MATCH(G.30.energy[[#This Row],[Energy vector]],Regional.energy[Regional energy code],0))</f>
        <v>Global Materials</v>
      </c>
      <c r="H91" s="196" t="str">
        <f t="shared" si="3"/>
        <v>EJ</v>
      </c>
      <c r="I91" s="435">
        <f t="shared" ca="1" si="4"/>
        <v>0.82844526016904574</v>
      </c>
      <c r="J91" s="435"/>
      <c r="K91" s="435"/>
      <c r="L91" s="435"/>
      <c r="M91" s="435"/>
      <c r="N91" s="435"/>
      <c r="O91" s="435"/>
      <c r="P91" s="435"/>
      <c r="Q91" s="435"/>
    </row>
    <row r="92" spans="3:17" ht="14">
      <c r="C92" s="219" t="s">
        <v>1864</v>
      </c>
      <c r="D92" s="219" t="str">
        <f>INDEX(Regional.Technologies[Description],MATCH($B$2&amp;"."&amp;G.30.energy[[#This Row],[Code]],Regional.Technologies[Code],0))</f>
        <v>Global Solid Hydrocarbons use in the Cement technology</v>
      </c>
      <c r="E92" s="196"/>
      <c r="F92" s="196" t="s">
        <v>2465</v>
      </c>
      <c r="G92" s="219" t="str">
        <f>INDEX(Regional.energy[Description],MATCH(G.30.energy[[#This Row],[Energy vector]],Regional.energy[Regional energy code],0))</f>
        <v>Global Materials</v>
      </c>
      <c r="H92" s="196" t="str">
        <f t="shared" si="3"/>
        <v>EJ</v>
      </c>
      <c r="I92" s="435">
        <f t="shared" ca="1" si="4"/>
        <v>0.49199351442122363</v>
      </c>
      <c r="J92" s="435"/>
      <c r="K92" s="435"/>
      <c r="L92" s="435"/>
      <c r="M92" s="435"/>
      <c r="N92" s="435"/>
      <c r="O92" s="435"/>
      <c r="P92" s="435"/>
      <c r="Q92" s="435"/>
    </row>
    <row r="93" spans="3:17" ht="14">
      <c r="C93" s="219" t="s">
        <v>1638</v>
      </c>
      <c r="D93" s="219" t="str">
        <f>INDEX(Regional.Technologies[Description],MATCH($B$2&amp;"."&amp;G.30.energy[[#This Row],[Code]],Regional.Technologies[Code],0))</f>
        <v>Global Heat use in the Cement technology</v>
      </c>
      <c r="E93" s="196"/>
      <c r="F93" s="196" t="s">
        <v>2465</v>
      </c>
      <c r="G93" s="219" t="str">
        <f>INDEX(Regional.energy[Description],MATCH(G.30.energy[[#This Row],[Energy vector]],Regional.energy[Regional energy code],0))</f>
        <v>Global Materials</v>
      </c>
      <c r="H93" s="196" t="str">
        <f t="shared" si="3"/>
        <v>EJ</v>
      </c>
      <c r="I93" s="435">
        <f t="shared" ca="1" si="4"/>
        <v>0</v>
      </c>
      <c r="J93" s="435"/>
      <c r="K93" s="435"/>
      <c r="L93" s="435"/>
      <c r="M93" s="435"/>
      <c r="N93" s="435"/>
      <c r="O93" s="435"/>
      <c r="P93" s="435"/>
      <c r="Q93" s="435"/>
    </row>
    <row r="94" spans="3:17" ht="14">
      <c r="C94" s="219" t="s">
        <v>1634</v>
      </c>
      <c r="D94" s="219" t="str">
        <f>INDEX(Regional.Technologies[Description],MATCH($B$2&amp;"."&amp;G.30.energy[[#This Row],[Code]],Regional.Technologies[Code],0))</f>
        <v>Global Electricity use in the Other industries technology</v>
      </c>
      <c r="E94" s="196"/>
      <c r="F94" s="196" t="s">
        <v>2465</v>
      </c>
      <c r="G94" s="219" t="str">
        <f>INDEX(Regional.energy[Description],MATCH(G.30.energy[[#This Row],[Energy vector]],Regional.energy[Regional energy code],0))</f>
        <v>Global Materials</v>
      </c>
      <c r="H94" s="196" t="str">
        <f t="shared" si="3"/>
        <v>EJ</v>
      </c>
      <c r="I94" s="435">
        <f t="shared" ca="1" si="4"/>
        <v>14.492680358828368</v>
      </c>
      <c r="J94" s="435"/>
      <c r="K94" s="435"/>
      <c r="L94" s="435"/>
      <c r="M94" s="435"/>
      <c r="N94" s="435"/>
      <c r="O94" s="435"/>
      <c r="P94" s="435"/>
      <c r="Q94" s="435"/>
    </row>
    <row r="95" spans="3:17" ht="14">
      <c r="C95" s="219" t="s">
        <v>1865</v>
      </c>
      <c r="D95" s="219" t="str">
        <f>INDEX(Regional.Technologies[Description],MATCH($B$2&amp;"."&amp;G.30.energy[[#This Row],[Code]],Regional.Technologies[Code],0))</f>
        <v>Global Coal use in the Other industries technology</v>
      </c>
      <c r="E95" s="196"/>
      <c r="F95" s="196" t="s">
        <v>2465</v>
      </c>
      <c r="G95" s="219" t="str">
        <f>INDEX(Regional.energy[Description],MATCH(G.30.energy[[#This Row],[Energy vector]],Regional.energy[Regional energy code],0))</f>
        <v>Global Materials</v>
      </c>
      <c r="H95" s="196" t="str">
        <f t="shared" si="3"/>
        <v>EJ</v>
      </c>
      <c r="I95" s="435">
        <f t="shared" ca="1" si="4"/>
        <v>7.1683560026671529</v>
      </c>
      <c r="J95" s="435"/>
      <c r="K95" s="435"/>
      <c r="L95" s="435"/>
      <c r="M95" s="435"/>
      <c r="N95" s="435"/>
      <c r="O95" s="435"/>
      <c r="P95" s="435"/>
      <c r="Q95" s="435"/>
    </row>
    <row r="96" spans="3:17" ht="14">
      <c r="C96" s="219" t="s">
        <v>1866</v>
      </c>
      <c r="D96" s="219" t="str">
        <f>INDEX(Regional.Technologies[Description],MATCH($B$2&amp;"."&amp;G.30.energy[[#This Row],[Code]],Regional.Technologies[Code],0))</f>
        <v>Global Oil use in the Other industries technology</v>
      </c>
      <c r="E96" s="196"/>
      <c r="F96" s="196" t="s">
        <v>2465</v>
      </c>
      <c r="G96" s="219" t="str">
        <f>INDEX(Regional.energy[Description],MATCH(G.30.energy[[#This Row],[Energy vector]],Regional.energy[Regional energy code],0))</f>
        <v>Global Materials</v>
      </c>
      <c r="H96" s="196" t="str">
        <f t="shared" si="3"/>
        <v>EJ</v>
      </c>
      <c r="I96" s="435">
        <f t="shared" ca="1" si="4"/>
        <v>8.9190113729480487</v>
      </c>
      <c r="J96" s="435"/>
      <c r="K96" s="435"/>
      <c r="L96" s="435"/>
      <c r="M96" s="435"/>
      <c r="N96" s="435"/>
      <c r="O96" s="435"/>
      <c r="P96" s="435"/>
      <c r="Q96" s="435"/>
    </row>
    <row r="97" spans="3:17" ht="14">
      <c r="C97" s="219" t="s">
        <v>1867</v>
      </c>
      <c r="D97" s="219" t="str">
        <f>INDEX(Regional.Technologies[Description],MATCH($B$2&amp;"."&amp;G.30.energy[[#This Row],[Code]],Regional.Technologies[Code],0))</f>
        <v>Global Natural Gas use in the Other industries technology</v>
      </c>
      <c r="E97" s="196"/>
      <c r="F97" s="196" t="s">
        <v>2465</v>
      </c>
      <c r="G97" s="219" t="str">
        <f>INDEX(Regional.energy[Description],MATCH(G.30.energy[[#This Row],[Energy vector]],Regional.energy[Regional energy code],0))</f>
        <v>Global Materials</v>
      </c>
      <c r="H97" s="196" t="str">
        <f t="shared" si="3"/>
        <v>EJ</v>
      </c>
      <c r="I97" s="435">
        <f t="shared" ca="1" si="4"/>
        <v>11.967321601700888</v>
      </c>
      <c r="J97" s="435"/>
      <c r="K97" s="435"/>
      <c r="L97" s="435"/>
      <c r="M97" s="435"/>
      <c r="N97" s="435"/>
      <c r="O97" s="435"/>
      <c r="P97" s="435"/>
      <c r="Q97" s="435"/>
    </row>
    <row r="98" spans="3:17" ht="14">
      <c r="C98" s="219" t="s">
        <v>1868</v>
      </c>
      <c r="D98" s="219" t="str">
        <f>INDEX(Regional.Technologies[Description],MATCH($B$2&amp;"."&amp;G.30.energy[[#This Row],[Code]],Regional.Technologies[Code],0))</f>
        <v>Global Solid Hydrocarbons use in the Other industries technology</v>
      </c>
      <c r="E98" s="196"/>
      <c r="F98" s="196" t="s">
        <v>2465</v>
      </c>
      <c r="G98" s="219" t="str">
        <f>INDEX(Regional.energy[Description],MATCH(G.30.energy[[#This Row],[Energy vector]],Regional.energy[Regional energy code],0))</f>
        <v>Global Materials</v>
      </c>
      <c r="H98" s="196" t="str">
        <f t="shared" si="3"/>
        <v>EJ</v>
      </c>
      <c r="I98" s="435">
        <f t="shared" ca="1" si="4"/>
        <v>5.4326469694895918</v>
      </c>
      <c r="J98" s="435"/>
      <c r="K98" s="435"/>
      <c r="L98" s="435"/>
      <c r="M98" s="435"/>
      <c r="N98" s="435"/>
      <c r="O98" s="435"/>
      <c r="P98" s="435"/>
      <c r="Q98" s="435"/>
    </row>
    <row r="99" spans="3:17" ht="14">
      <c r="C99" s="219" t="s">
        <v>1869</v>
      </c>
      <c r="D99" s="219" t="str">
        <f>INDEX(Regional.Technologies[Description],MATCH($B$2&amp;"."&amp;G.30.energy[[#This Row],[Code]],Regional.Technologies[Code],0))</f>
        <v>Global Heat use in the Other industries technology</v>
      </c>
      <c r="E99" s="196"/>
      <c r="F99" s="196" t="s">
        <v>2465</v>
      </c>
      <c r="G99" s="219" t="str">
        <f>INDEX(Regional.energy[Description],MATCH(G.30.energy[[#This Row],[Energy vector]],Regional.energy[Regional energy code],0))</f>
        <v>Global Materials</v>
      </c>
      <c r="H99" s="196" t="str">
        <f t="shared" si="3"/>
        <v>EJ</v>
      </c>
      <c r="I99" s="435">
        <f t="shared" ca="1" si="4"/>
        <v>2.5365553629120043</v>
      </c>
      <c r="J99" s="435"/>
      <c r="K99" s="435"/>
      <c r="L99" s="435"/>
      <c r="M99" s="435"/>
      <c r="N99" s="435"/>
      <c r="O99" s="435"/>
      <c r="P99" s="435"/>
      <c r="Q99" s="435"/>
    </row>
    <row r="100" spans="3:17" ht="14">
      <c r="C100" s="196"/>
      <c r="D100" s="196"/>
      <c r="E100" s="196"/>
      <c r="F100" s="196"/>
      <c r="G100" s="196"/>
      <c r="H100" s="196" t="str">
        <f t="shared" si="3"/>
        <v>EJ</v>
      </c>
      <c r="I100" s="435"/>
      <c r="J100" s="435"/>
      <c r="K100" s="435"/>
      <c r="L100" s="435"/>
      <c r="M100" s="435"/>
      <c r="N100" s="435"/>
      <c r="O100" s="435"/>
      <c r="P100" s="435"/>
      <c r="Q100" s="435"/>
    </row>
    <row r="101" spans="3:17" ht="14">
      <c r="C101" s="219" t="s">
        <v>1376</v>
      </c>
      <c r="D101" s="219" t="str">
        <f>INDEX(Regional.Technologies[Description],MATCH($B$2&amp;"."&amp;G.30.energy[[#This Row],[Code]],Regional.Technologies[Code],0))</f>
        <v>Global Electricity use in the Oxygen steel technology</v>
      </c>
      <c r="E101" s="255"/>
      <c r="F101" s="219" t="s">
        <v>1349</v>
      </c>
      <c r="G101" s="219" t="str">
        <f>INDEX(Regional.energy[Description],MATCH(G.30.energy[[#This Row],[Energy vector]],Regional.energy[Regional energy code],0))</f>
        <v>Global Electricity (delivered to end user)</v>
      </c>
      <c r="H101" s="219" t="str">
        <f t="shared" ref="H101" si="5">Preferences.energy</f>
        <v>EJ</v>
      </c>
      <c r="I101" s="427">
        <f t="array" aca="1" ref="I101" ca="1">-SUM((G.30.energy[[#This Row],[Code]]=G.30.assumptions.EnergyDemandAfterCCS[Technology code])
        *INDIRECT("G.30.assumptions.EnergyDemandAfterCCS["&amp;I$9&amp;"]"))</f>
        <v>-2.3089557437005142</v>
      </c>
      <c r="J101" s="427"/>
      <c r="K101" s="427"/>
      <c r="L101" s="427"/>
      <c r="M101" s="427"/>
      <c r="N101" s="427"/>
      <c r="O101" s="427"/>
      <c r="P101" s="427"/>
      <c r="Q101" s="427"/>
    </row>
    <row r="102" spans="3:17" ht="14">
      <c r="C102" s="219" t="s">
        <v>1798</v>
      </c>
      <c r="D102" s="219" t="str">
        <f>INDEX(Regional.Technologies[Description],MATCH($B$2&amp;"."&amp;G.30.energy[[#This Row],[Code]],Regional.Technologies[Code],0))</f>
        <v>Global Coal use in the Oxygen steel technology</v>
      </c>
      <c r="F102" s="219" t="s">
        <v>626</v>
      </c>
      <c r="G102" s="219" t="str">
        <f>INDEX(Regional.energy[Description],MATCH(G.30.energy[[#This Row],[Energy vector]],Regional.energy[Regional energy code],0))</f>
        <v>Global Coal and fossil waste</v>
      </c>
      <c r="H102" s="219" t="str">
        <f t="shared" ref="H102" si="6">Preferences.energy</f>
        <v>EJ</v>
      </c>
      <c r="I102" s="427">
        <f t="array" aca="1" ref="I102" ca="1">-SUM((G.30.energy[[#This Row],[Code]]=G.30.assumptions.EnergyDemandAfterCCS[Technology code])
        *INDIRECT("G.30.assumptions.EnergyDemandAfterCCS["&amp;I$9&amp;"]"))</f>
        <v>-12.811296723305107</v>
      </c>
      <c r="J102" s="427"/>
      <c r="K102" s="427"/>
      <c r="L102" s="427"/>
      <c r="M102" s="427"/>
      <c r="N102" s="427"/>
      <c r="O102" s="427"/>
      <c r="P102" s="427"/>
      <c r="Q102" s="427"/>
    </row>
    <row r="103" spans="3:17" ht="14">
      <c r="C103" s="219" t="s">
        <v>1799</v>
      </c>
      <c r="D103" s="219" t="str">
        <f>INDEX(Regional.Technologies[Description],MATCH($B$2&amp;"."&amp;G.30.energy[[#This Row],[Code]],Regional.Technologies[Code],0))</f>
        <v>Global Oil use in the Oxygen steel technology</v>
      </c>
      <c r="F103" s="219" t="s">
        <v>627</v>
      </c>
      <c r="G103" s="219" t="str">
        <f>INDEX(Regional.energy[Description],MATCH(G.30.energy[[#This Row],[Energy vector]],Regional.energy[Regional energy code],0))</f>
        <v>Global Oil and petroleum products</v>
      </c>
      <c r="H103" s="219" t="str">
        <f t="shared" ref="H103" si="7">Preferences.energy</f>
        <v>EJ</v>
      </c>
      <c r="I103" s="427">
        <f t="array" aca="1" ref="I103" ca="1">-SUM((G.30.energy[[#This Row],[Code]]=G.30.assumptions.EnergyDemandAfterCCS[Technology code])
        *INDIRECT("G.30.assumptions.EnergyDemandAfterCCS["&amp;I$9&amp;"]"))</f>
        <v>-0.6053795859240001</v>
      </c>
      <c r="J103" s="427"/>
      <c r="K103" s="427"/>
      <c r="L103" s="427"/>
      <c r="M103" s="427"/>
      <c r="N103" s="427"/>
      <c r="O103" s="427"/>
      <c r="P103" s="427"/>
      <c r="Q103" s="427"/>
    </row>
    <row r="104" spans="3:17" ht="14">
      <c r="C104" s="219" t="s">
        <v>1800</v>
      </c>
      <c r="D104" s="219" t="str">
        <f>INDEX(Regional.Technologies[Description],MATCH($B$2&amp;"."&amp;G.30.energy[[#This Row],[Code]],Regional.Technologies[Code],0))</f>
        <v>Global Natural Gas use in the Oxygen steel technology</v>
      </c>
      <c r="F104" s="219" t="s">
        <v>628</v>
      </c>
      <c r="G104" s="219" t="str">
        <f>INDEX(Regional.energy[Description],MATCH(G.30.energy[[#This Row],[Energy vector]],Regional.energy[Regional energy code],0))</f>
        <v>Global Natural gas</v>
      </c>
      <c r="H104" s="219" t="str">
        <f t="shared" ref="H104" si="8">Preferences.energy</f>
        <v>EJ</v>
      </c>
      <c r="I104" s="427">
        <f t="array" aca="1" ref="I104" ca="1">-SUM((G.30.energy[[#This Row],[Code]]=G.30.assumptions.EnergyDemandAfterCCS[Technology code])
        *INDIRECT("G.30.assumptions.EnergyDemandAfterCCS["&amp;I$9&amp;"]"))</f>
        <v>-1.0517591114635856</v>
      </c>
      <c r="J104" s="427"/>
      <c r="K104" s="427"/>
      <c r="L104" s="427"/>
      <c r="M104" s="427"/>
      <c r="N104" s="427"/>
      <c r="O104" s="427"/>
      <c r="P104" s="427"/>
      <c r="Q104" s="427"/>
    </row>
    <row r="105" spans="3:17" ht="14">
      <c r="C105" s="219" t="s">
        <v>1802</v>
      </c>
      <c r="D105" s="219" t="str">
        <f>INDEX(Regional.Technologies[Description],MATCH($B$2&amp;"."&amp;G.30.energy[[#This Row],[Code]],Regional.Technologies[Code],0))</f>
        <v>Global Solid Hydrocarbons use in the Oxygen steel technology</v>
      </c>
      <c r="F105" s="219" t="s">
        <v>370</v>
      </c>
      <c r="G105" s="219" t="str">
        <f>INDEX(Regional.energy[Description],MATCH(G.30.energy[[#This Row],[Energy vector]],Regional.energy[Regional energy code],0))</f>
        <v>Global Solid hydrocarbons</v>
      </c>
      <c r="H105" s="219" t="str">
        <f t="shared" ref="H105" si="9">Preferences.energy</f>
        <v>EJ</v>
      </c>
      <c r="I105" s="427">
        <f t="array" aca="1" ref="I105" ca="1">-SUM((G.30.energy[[#This Row],[Code]]=G.30.assumptions.EnergyDemandAfterCCS[Technology code])
        *INDIRECT("G.30.assumptions.EnergyDemandAfterCCS["&amp;I$9&amp;"]"))</f>
        <v>-0.17590630860000006</v>
      </c>
      <c r="J105" s="427"/>
      <c r="K105" s="427"/>
      <c r="L105" s="427"/>
      <c r="M105" s="427"/>
      <c r="N105" s="427"/>
      <c r="O105" s="427"/>
      <c r="P105" s="427"/>
      <c r="Q105" s="427"/>
    </row>
    <row r="106" spans="3:17" ht="14">
      <c r="C106" s="219" t="s">
        <v>1635</v>
      </c>
      <c r="D106" s="219" t="str">
        <f>INDEX(Regional.Technologies[Description],MATCH($B$2&amp;"."&amp;G.30.energy[[#This Row],[Code]],Regional.Technologies[Code],0))</f>
        <v>Global Heat use in the Oxygen steel technology</v>
      </c>
      <c r="F106" s="219" t="s">
        <v>1351</v>
      </c>
      <c r="G106" s="219" t="str">
        <f>INDEX(Regional.energy[Description],MATCH(G.30.energy[[#This Row],[Energy vector]],Regional.energy[Regional energy code],0))</f>
        <v>Global Heat transport</v>
      </c>
      <c r="H106" s="219" t="str">
        <f t="shared" ref="H106" si="10">Preferences.energy</f>
        <v>EJ</v>
      </c>
      <c r="I106" s="427">
        <f t="array" aca="1" ref="I106" ca="1">-SUM((G.30.energy[[#This Row],[Code]]=G.30.assumptions.EnergyDemandAfterCCS[Technology code])
        *INDIRECT("G.30.assumptions.EnergyDemandAfterCCS["&amp;I$9&amp;"]"))</f>
        <v>-0.80340865264799999</v>
      </c>
      <c r="J106" s="427"/>
      <c r="K106" s="427"/>
      <c r="L106" s="427"/>
      <c r="M106" s="427"/>
      <c r="N106" s="427"/>
      <c r="O106" s="427"/>
      <c r="P106" s="427"/>
      <c r="Q106" s="427"/>
    </row>
    <row r="107" spans="3:17" ht="14">
      <c r="C107" s="219" t="s">
        <v>2053</v>
      </c>
      <c r="D107" s="219" t="str">
        <f>INDEX(Regional.Technologies[Description],MATCH($B$2&amp;"."&amp;G.30.energy[[#This Row],[Code]],Regional.Technologies[Code],0))</f>
        <v>Global Electricity use in the Hisarna Oxygen steel technology</v>
      </c>
      <c r="F107" s="219" t="s">
        <v>1349</v>
      </c>
      <c r="G107" s="219" t="str">
        <f>INDEX(Regional.energy[Description],MATCH(G.30.energy[[#This Row],[Energy vector]],Regional.energy[Regional energy code],0))</f>
        <v>Global Electricity (delivered to end user)</v>
      </c>
      <c r="H107" s="219" t="str">
        <f t="shared" ref="H107" si="11">Preferences.energy</f>
        <v>EJ</v>
      </c>
      <c r="I107" s="427">
        <f t="array" aca="1" ref="I107" ca="1">-SUM((G.30.energy[[#This Row],[Code]]=G.30.assumptions.EnergyDemandAfterCCS[Technology code])
        *INDIRECT("G.30.assumptions.EnergyDemandAfterCCS["&amp;I$9&amp;"]"))</f>
        <v>0</v>
      </c>
      <c r="J107" s="427"/>
      <c r="K107" s="427"/>
      <c r="L107" s="427"/>
      <c r="M107" s="427"/>
      <c r="N107" s="427"/>
      <c r="O107" s="427"/>
      <c r="P107" s="427"/>
      <c r="Q107" s="427"/>
    </row>
    <row r="108" spans="3:17" ht="14">
      <c r="C108" s="219" t="s">
        <v>2054</v>
      </c>
      <c r="D108" s="219" t="str">
        <f>INDEX(Regional.Technologies[Description],MATCH($B$2&amp;"."&amp;G.30.energy[[#This Row],[Code]],Regional.Technologies[Code],0))</f>
        <v>Global Coal use in the Hisarna Oxygen steel technology</v>
      </c>
      <c r="F108" s="219" t="s">
        <v>626</v>
      </c>
      <c r="G108" s="219" t="str">
        <f>INDEX(Regional.energy[Description],MATCH(G.30.energy[[#This Row],[Energy vector]],Regional.energy[Regional energy code],0))</f>
        <v>Global Coal and fossil waste</v>
      </c>
      <c r="H108" s="219" t="str">
        <f t="shared" ref="H108" si="12">Preferences.energy</f>
        <v>EJ</v>
      </c>
      <c r="I108" s="427">
        <f t="array" aca="1" ref="I108" ca="1">-SUM((G.30.energy[[#This Row],[Code]]=G.30.assumptions.EnergyDemandAfterCCS[Technology code])
        *INDIRECT("G.30.assumptions.EnergyDemandAfterCCS["&amp;I$9&amp;"]"))</f>
        <v>0</v>
      </c>
      <c r="J108" s="427"/>
      <c r="K108" s="427"/>
      <c r="L108" s="427"/>
      <c r="M108" s="427"/>
      <c r="N108" s="427"/>
      <c r="O108" s="427"/>
      <c r="P108" s="427"/>
      <c r="Q108" s="427"/>
    </row>
    <row r="109" spans="3:17" ht="14">
      <c r="C109" s="219" t="s">
        <v>2055</v>
      </c>
      <c r="D109" s="219" t="str">
        <f>INDEX(Regional.Technologies[Description],MATCH($B$2&amp;"."&amp;G.30.energy[[#This Row],[Code]],Regional.Technologies[Code],0))</f>
        <v>Global Oil use in the Hisarna Oxygen steel technology</v>
      </c>
      <c r="F109" s="219" t="s">
        <v>627</v>
      </c>
      <c r="G109" s="219" t="str">
        <f>INDEX(Regional.energy[Description],MATCH(G.30.energy[[#This Row],[Energy vector]],Regional.energy[Regional energy code],0))</f>
        <v>Global Oil and petroleum products</v>
      </c>
      <c r="H109" s="219" t="str">
        <f t="shared" ref="H109" si="13">Preferences.energy</f>
        <v>EJ</v>
      </c>
      <c r="I109" s="427">
        <f t="array" aca="1" ref="I109" ca="1">-SUM((G.30.energy[[#This Row],[Code]]=G.30.assumptions.EnergyDemandAfterCCS[Technology code])
        *INDIRECT("G.30.assumptions.EnergyDemandAfterCCS["&amp;I$9&amp;"]"))</f>
        <v>0</v>
      </c>
      <c r="J109" s="427"/>
      <c r="K109" s="427"/>
      <c r="L109" s="427"/>
      <c r="M109" s="427"/>
      <c r="N109" s="427"/>
      <c r="O109" s="427"/>
      <c r="P109" s="427"/>
      <c r="Q109" s="427"/>
    </row>
    <row r="110" spans="3:17" ht="14">
      <c r="C110" s="219" t="s">
        <v>2056</v>
      </c>
      <c r="D110" s="219" t="str">
        <f>INDEX(Regional.Technologies[Description],MATCH($B$2&amp;"."&amp;G.30.energy[[#This Row],[Code]],Regional.Technologies[Code],0))</f>
        <v>Global Natural Gas use in the Hisarna Oxygen steel technology</v>
      </c>
      <c r="F110" s="219" t="s">
        <v>628</v>
      </c>
      <c r="G110" s="219" t="str">
        <f>INDEX(Regional.energy[Description],MATCH(G.30.energy[[#This Row],[Energy vector]],Regional.energy[Regional energy code],0))</f>
        <v>Global Natural gas</v>
      </c>
      <c r="H110" s="219" t="str">
        <f t="shared" ref="H110" si="14">Preferences.energy</f>
        <v>EJ</v>
      </c>
      <c r="I110" s="427">
        <f t="array" aca="1" ref="I110" ca="1">-SUM((G.30.energy[[#This Row],[Code]]=G.30.assumptions.EnergyDemandAfterCCS[Technology code])
        *INDIRECT("G.30.assumptions.EnergyDemandAfterCCS["&amp;I$9&amp;"]"))</f>
        <v>0</v>
      </c>
      <c r="J110" s="427"/>
      <c r="K110" s="427"/>
      <c r="L110" s="427"/>
      <c r="M110" s="427"/>
      <c r="N110" s="427"/>
      <c r="O110" s="427"/>
      <c r="P110" s="427"/>
      <c r="Q110" s="427"/>
    </row>
    <row r="111" spans="3:17" ht="14">
      <c r="C111" s="219" t="s">
        <v>2057</v>
      </c>
      <c r="D111" s="219" t="str">
        <f>INDEX(Regional.Technologies[Description],MATCH($B$2&amp;"."&amp;G.30.energy[[#This Row],[Code]],Regional.Technologies[Code],0))</f>
        <v>Global Solid Hydrocarbons use in the Hisarna Oxygen steel technology</v>
      </c>
      <c r="F111" s="219" t="s">
        <v>370</v>
      </c>
      <c r="G111" s="219" t="str">
        <f>INDEX(Regional.energy[Description],MATCH(G.30.energy[[#This Row],[Energy vector]],Regional.energy[Regional energy code],0))</f>
        <v>Global Solid hydrocarbons</v>
      </c>
      <c r="H111" s="219" t="str">
        <f t="shared" ref="H111" si="15">Preferences.energy</f>
        <v>EJ</v>
      </c>
      <c r="I111" s="427">
        <f t="array" aca="1" ref="I111" ca="1">-SUM((G.30.energy[[#This Row],[Code]]=G.30.assumptions.EnergyDemandAfterCCS[Technology code])
        *INDIRECT("G.30.assumptions.EnergyDemandAfterCCS["&amp;I$9&amp;"]"))</f>
        <v>0</v>
      </c>
      <c r="J111" s="427"/>
      <c r="K111" s="427"/>
      <c r="L111" s="427"/>
      <c r="M111" s="427"/>
      <c r="N111" s="427"/>
      <c r="O111" s="427"/>
      <c r="P111" s="427"/>
      <c r="Q111" s="427"/>
    </row>
    <row r="112" spans="3:17" ht="14">
      <c r="C112" s="219" t="s">
        <v>2058</v>
      </c>
      <c r="D112" s="219" t="str">
        <f>INDEX(Regional.Technologies[Description],MATCH($B$2&amp;"."&amp;G.30.energy[[#This Row],[Code]],Regional.Technologies[Code],0))</f>
        <v>Global Heat use in the Hisarna Oxygen steel technology</v>
      </c>
      <c r="F112" s="219" t="s">
        <v>1351</v>
      </c>
      <c r="G112" s="219" t="str">
        <f>INDEX(Regional.energy[Description],MATCH(G.30.energy[[#This Row],[Energy vector]],Regional.energy[Regional energy code],0))</f>
        <v>Global Heat transport</v>
      </c>
      <c r="H112" s="219" t="str">
        <f t="shared" ref="H112" si="16">Preferences.energy</f>
        <v>EJ</v>
      </c>
      <c r="I112" s="427">
        <f t="array" aca="1" ref="I112" ca="1">-SUM((G.30.energy[[#This Row],[Code]]=G.30.assumptions.EnergyDemandAfterCCS[Technology code])
        *INDIRECT("G.30.assumptions.EnergyDemandAfterCCS["&amp;I$9&amp;"]"))</f>
        <v>0</v>
      </c>
      <c r="J112" s="427"/>
      <c r="K112" s="427"/>
      <c r="L112" s="427"/>
      <c r="M112" s="427"/>
      <c r="N112" s="427"/>
      <c r="O112" s="427"/>
      <c r="P112" s="427"/>
      <c r="Q112" s="427"/>
    </row>
    <row r="113" spans="2:17" ht="14">
      <c r="B113" s="255"/>
      <c r="C113" s="219" t="s">
        <v>1379</v>
      </c>
      <c r="D113" s="219" t="str">
        <f>INDEX(Regional.Technologies[Description],MATCH($B$2&amp;"."&amp;G.30.energy[[#This Row],[Code]],Regional.Technologies[Code],0))</f>
        <v>Global Electricity use in the Electric steel technology</v>
      </c>
      <c r="F113" s="219" t="s">
        <v>1349</v>
      </c>
      <c r="G113" s="219" t="str">
        <f>INDEX(Regional.energy[Description],MATCH(G.30.energy[[#This Row],[Energy vector]],Regional.energy[Regional energy code],0))</f>
        <v>Global Electricity (delivered to end user)</v>
      </c>
      <c r="H113" s="219" t="str">
        <f t="shared" ref="H113" si="17">Preferences.energy</f>
        <v>EJ</v>
      </c>
      <c r="I113" s="427">
        <f t="array" aca="1" ref="I113" ca="1">-SUM((G.30.energy[[#This Row],[Code]]=G.30.assumptions.EnergyDemandAfterCCS[Technology code])
        *INDIRECT("G.30.assumptions.EnergyDemandAfterCCS["&amp;I$9&amp;"]"))</f>
        <v>-1.6352704427314861</v>
      </c>
      <c r="J113" s="427"/>
      <c r="K113" s="427"/>
      <c r="L113" s="427"/>
      <c r="M113" s="427"/>
      <c r="N113" s="427"/>
      <c r="O113" s="427"/>
      <c r="P113" s="427"/>
      <c r="Q113" s="427"/>
    </row>
    <row r="114" spans="2:17" ht="14">
      <c r="B114" s="255"/>
      <c r="C114" s="219" t="s">
        <v>1803</v>
      </c>
      <c r="D114" s="219" t="str">
        <f>INDEX(Regional.Technologies[Description],MATCH($B$2&amp;"."&amp;G.30.energy[[#This Row],[Code]],Regional.Technologies[Code],0))</f>
        <v>Global Coal use in the Electric steel technology</v>
      </c>
      <c r="F114" s="219" t="s">
        <v>626</v>
      </c>
      <c r="G114" s="219" t="str">
        <f>INDEX(Regional.energy[Description],MATCH(G.30.energy[[#This Row],[Energy vector]],Regional.energy[Regional energy code],0))</f>
        <v>Global Coal and fossil waste</v>
      </c>
      <c r="H114" s="219" t="str">
        <f t="shared" ref="H114" si="18">Preferences.energy</f>
        <v>EJ</v>
      </c>
      <c r="I114" s="427">
        <f t="array" aca="1" ref="I114" ca="1">-SUM((G.30.energy[[#This Row],[Code]]=G.30.assumptions.EnergyDemandAfterCCS[Technology code])
        *INDIRECT("G.30.assumptions.EnergyDemandAfterCCS["&amp;I$9&amp;"]"))</f>
        <v>-10.424196405786889</v>
      </c>
      <c r="J114" s="427"/>
      <c r="K114" s="427"/>
      <c r="L114" s="427"/>
      <c r="M114" s="427"/>
      <c r="N114" s="427"/>
      <c r="O114" s="427"/>
      <c r="P114" s="427"/>
      <c r="Q114" s="427"/>
    </row>
    <row r="115" spans="2:17" ht="14">
      <c r="B115" s="255"/>
      <c r="C115" s="219" t="s">
        <v>1804</v>
      </c>
      <c r="D115" s="219" t="str">
        <f>INDEX(Regional.Technologies[Description],MATCH($B$2&amp;"."&amp;G.30.energy[[#This Row],[Code]],Regional.Technologies[Code],0))</f>
        <v>Global Oil use in the Electric steel technology</v>
      </c>
      <c r="F115" s="219" t="s">
        <v>627</v>
      </c>
      <c r="G115" s="219" t="str">
        <f>INDEX(Regional.energy[Description],MATCH(G.30.energy[[#This Row],[Energy vector]],Regional.energy[Regional energy code],0))</f>
        <v>Global Oil and petroleum products</v>
      </c>
      <c r="H115" s="219" t="str">
        <f t="shared" ref="H115" si="19">Preferences.energy</f>
        <v>EJ</v>
      </c>
      <c r="I115" s="427">
        <f t="array" aca="1" ref="I115" ca="1">-SUM((G.30.energy[[#This Row],[Code]]=G.30.assumptions.EnergyDemandAfterCCS[Technology code])
        *INDIRECT("G.30.assumptions.EnergyDemandAfterCCS["&amp;I$9&amp;"]"))</f>
        <v>0</v>
      </c>
      <c r="J115" s="427"/>
      <c r="K115" s="427"/>
      <c r="L115" s="427"/>
      <c r="M115" s="427"/>
      <c r="N115" s="427"/>
      <c r="O115" s="427"/>
      <c r="P115" s="427"/>
      <c r="Q115" s="427"/>
    </row>
    <row r="116" spans="2:17" ht="14">
      <c r="B116" s="255"/>
      <c r="C116" s="219" t="s">
        <v>1805</v>
      </c>
      <c r="D116" s="219" t="str">
        <f>INDEX(Regional.Technologies[Description],MATCH($B$2&amp;"."&amp;G.30.energy[[#This Row],[Code]],Regional.Technologies[Code],0))</f>
        <v>Global Natural Gas use in the Electric steel technology</v>
      </c>
      <c r="F116" s="219" t="s">
        <v>628</v>
      </c>
      <c r="G116" s="219" t="str">
        <f>INDEX(Regional.energy[Description],MATCH(G.30.energy[[#This Row],[Energy vector]],Regional.energy[Regional energy code],0))</f>
        <v>Global Natural gas</v>
      </c>
      <c r="H116" s="219" t="str">
        <f t="shared" ref="H116" si="20">Preferences.energy</f>
        <v>EJ</v>
      </c>
      <c r="I116" s="427">
        <f t="array" aca="1" ref="I116" ca="1">-SUM((G.30.energy[[#This Row],[Code]]=G.30.assumptions.EnergyDemandAfterCCS[Technology code])
        *INDIRECT("G.30.assumptions.EnergyDemandAfterCCS["&amp;I$9&amp;"]"))</f>
        <v>-1.2528070032244134</v>
      </c>
      <c r="J116" s="427"/>
      <c r="K116" s="427"/>
      <c r="L116" s="427"/>
      <c r="M116" s="427"/>
      <c r="N116" s="427"/>
      <c r="O116" s="427"/>
      <c r="P116" s="427"/>
      <c r="Q116" s="427"/>
    </row>
    <row r="117" spans="2:17" ht="14">
      <c r="B117" s="255"/>
      <c r="C117" s="219" t="s">
        <v>1806</v>
      </c>
      <c r="D117" s="219" t="str">
        <f>INDEX(Regional.Technologies[Description],MATCH($B$2&amp;"."&amp;G.30.energy[[#This Row],[Code]],Regional.Technologies[Code],0))</f>
        <v>Global Solid Hydrocarbons use in the Electric steel technology</v>
      </c>
      <c r="F117" s="219" t="s">
        <v>370</v>
      </c>
      <c r="G117" s="219" t="str">
        <f>INDEX(Regional.energy[Description],MATCH(G.30.energy[[#This Row],[Energy vector]],Regional.energy[Regional energy code],0))</f>
        <v>Global Solid hydrocarbons</v>
      </c>
      <c r="H117" s="219" t="str">
        <f t="shared" ref="H117" si="21">Preferences.energy</f>
        <v>EJ</v>
      </c>
      <c r="I117" s="427">
        <f t="array" aca="1" ref="I117" ca="1">-SUM((G.30.energy[[#This Row],[Code]]=G.30.assumptions.EnergyDemandAfterCCS[Technology code])
        *INDIRECT("G.30.assumptions.EnergyDemandAfterCCS["&amp;I$9&amp;"]"))</f>
        <v>0</v>
      </c>
      <c r="J117" s="427"/>
      <c r="K117" s="427"/>
      <c r="L117" s="427"/>
      <c r="M117" s="427"/>
      <c r="N117" s="427"/>
      <c r="O117" s="427"/>
      <c r="P117" s="427"/>
      <c r="Q117" s="427"/>
    </row>
    <row r="118" spans="2:17" ht="14">
      <c r="B118" s="255"/>
      <c r="C118" s="219" t="s">
        <v>1636</v>
      </c>
      <c r="D118" s="219" t="str">
        <f>INDEX(Regional.Technologies[Description],MATCH($B$2&amp;"."&amp;G.30.energy[[#This Row],[Code]],Regional.Technologies[Code],0))</f>
        <v>Global Heat use in the Electric steel technology</v>
      </c>
      <c r="F118" s="219" t="s">
        <v>1351</v>
      </c>
      <c r="G118" s="219" t="str">
        <f>INDEX(Regional.energy[Description],MATCH(G.30.energy[[#This Row],[Energy vector]],Regional.energy[Regional energy code],0))</f>
        <v>Global Heat transport</v>
      </c>
      <c r="H118" s="219" t="str">
        <f t="shared" ref="H118" si="22">Preferences.energy</f>
        <v>EJ</v>
      </c>
      <c r="I118" s="427">
        <f t="array" aca="1" ref="I118" ca="1">-SUM((G.30.energy[[#This Row],[Code]]=G.30.assumptions.EnergyDemandAfterCCS[Technology code])
        *INDIRECT("G.30.assumptions.EnergyDemandAfterCCS["&amp;I$9&amp;"]"))</f>
        <v>0</v>
      </c>
      <c r="J118" s="427"/>
      <c r="K118" s="427"/>
      <c r="L118" s="427"/>
      <c r="M118" s="427"/>
      <c r="N118" s="427"/>
      <c r="O118" s="427"/>
      <c r="P118" s="427"/>
      <c r="Q118" s="427"/>
    </row>
    <row r="119" spans="2:17" ht="14">
      <c r="B119" s="255"/>
      <c r="C119" s="219" t="s">
        <v>1807</v>
      </c>
      <c r="D119" s="219" t="str">
        <f>INDEX(Regional.Technologies[Description],MATCH($B$2&amp;"."&amp;G.30.energy[[#This Row],[Code]],Regional.Technologies[Code],0))</f>
        <v>Global Electricity use in the Alumina Aluminium technology</v>
      </c>
      <c r="F119" s="219" t="s">
        <v>1349</v>
      </c>
      <c r="G119" s="219" t="str">
        <f>INDEX(Regional.energy[Description],MATCH(G.30.energy[[#This Row],[Energy vector]],Regional.energy[Regional energy code],0))</f>
        <v>Global Electricity (delivered to end user)</v>
      </c>
      <c r="H119" s="219" t="str">
        <f t="shared" ref="H119" si="23">Preferences.energy</f>
        <v>EJ</v>
      </c>
      <c r="I119" s="427">
        <f t="array" aca="1" ref="I119" ca="1">-SUM((G.30.energy[[#This Row],[Code]]=G.30.assumptions.EnergyDemandAfterCCS[Technology code])
        *INDIRECT("G.30.assumptions.EnergyDemandAfterCCS["&amp;I$9&amp;"]"))</f>
        <v>-5.7780487765234236E-2</v>
      </c>
      <c r="J119" s="427"/>
      <c r="K119" s="427"/>
      <c r="L119" s="427"/>
      <c r="M119" s="427"/>
      <c r="N119" s="427"/>
      <c r="O119" s="427"/>
      <c r="P119" s="427"/>
      <c r="Q119" s="427"/>
    </row>
    <row r="120" spans="2:17" ht="14">
      <c r="B120" s="255"/>
      <c r="C120" s="219" t="s">
        <v>1808</v>
      </c>
      <c r="D120" s="219" t="str">
        <f>INDEX(Regional.Technologies[Description],MATCH($B$2&amp;"."&amp;G.30.energy[[#This Row],[Code]],Regional.Technologies[Code],0))</f>
        <v>Global Coal use in the Alumina Aluminium technology</v>
      </c>
      <c r="F120" s="219" t="s">
        <v>626</v>
      </c>
      <c r="G120" s="219" t="str">
        <f>INDEX(Regional.energy[Description],MATCH(G.30.energy[[#This Row],[Energy vector]],Regional.energy[Regional energy code],0))</f>
        <v>Global Coal and fossil waste</v>
      </c>
      <c r="H120" s="219" t="str">
        <f t="shared" ref="H120" si="24">Preferences.energy</f>
        <v>EJ</v>
      </c>
      <c r="I120" s="427">
        <f t="array" aca="1" ref="I120" ca="1">-SUM((G.30.energy[[#This Row],[Code]]=G.30.assumptions.EnergyDemandAfterCCS[Technology code])
        *INDIRECT("G.30.assumptions.EnergyDemandAfterCCS["&amp;I$9&amp;"]"))</f>
        <v>-0.61777191351520933</v>
      </c>
      <c r="J120" s="427"/>
      <c r="K120" s="427"/>
      <c r="L120" s="427"/>
      <c r="M120" s="427"/>
      <c r="N120" s="427"/>
      <c r="O120" s="427"/>
      <c r="P120" s="427"/>
      <c r="Q120" s="427"/>
    </row>
    <row r="121" spans="2:17" ht="14">
      <c r="B121" s="255"/>
      <c r="C121" s="219" t="s">
        <v>1809</v>
      </c>
      <c r="D121" s="219" t="str">
        <f>INDEX(Regional.Technologies[Description],MATCH($B$2&amp;"."&amp;G.30.energy[[#This Row],[Code]],Regional.Technologies[Code],0))</f>
        <v>Global Oil use in the Alumina Aluminium technology</v>
      </c>
      <c r="F121" s="219" t="s">
        <v>627</v>
      </c>
      <c r="G121" s="219" t="str">
        <f>INDEX(Regional.energy[Description],MATCH(G.30.energy[[#This Row],[Energy vector]],Regional.energy[Regional energy code],0))</f>
        <v>Global Oil and petroleum products</v>
      </c>
      <c r="H121" s="219" t="str">
        <f t="shared" ref="H121" si="25">Preferences.energy</f>
        <v>EJ</v>
      </c>
      <c r="I121" s="427">
        <f t="array" aca="1" ref="I121" ca="1">-SUM((G.30.energy[[#This Row],[Code]]=G.30.assumptions.EnergyDemandAfterCCS[Technology code])
        *INDIRECT("G.30.assumptions.EnergyDemandAfterCCS["&amp;I$9&amp;"]"))</f>
        <v>-0.36003980562967391</v>
      </c>
      <c r="J121" s="427"/>
      <c r="K121" s="427"/>
      <c r="L121" s="427"/>
      <c r="M121" s="427"/>
      <c r="N121" s="427"/>
      <c r="O121" s="427"/>
      <c r="P121" s="427"/>
      <c r="Q121" s="427"/>
    </row>
    <row r="122" spans="2:17" ht="14">
      <c r="B122" s="255"/>
      <c r="C122" s="219" t="s">
        <v>1810</v>
      </c>
      <c r="D122" s="219" t="str">
        <f>INDEX(Regional.Technologies[Description],MATCH($B$2&amp;"."&amp;G.30.energy[[#This Row],[Code]],Regional.Technologies[Code],0))</f>
        <v>Global Natural Gas use in the Alumina Aluminium technology</v>
      </c>
      <c r="F122" s="219" t="s">
        <v>628</v>
      </c>
      <c r="G122" s="219" t="str">
        <f>INDEX(Regional.energy[Description],MATCH(G.30.energy[[#This Row],[Energy vector]],Regional.energy[Regional energy code],0))</f>
        <v>Global Natural gas</v>
      </c>
      <c r="H122" s="219" t="str">
        <f t="shared" ref="H122" si="26">Preferences.energy</f>
        <v>EJ</v>
      </c>
      <c r="I122" s="427">
        <f t="array" aca="1" ref="I122" ca="1">-SUM((G.30.energy[[#This Row],[Code]]=G.30.assumptions.EnergyDemandAfterCCS[Technology code])
        *INDIRECT("G.30.assumptions.EnergyDemandAfterCCS["&amp;I$9&amp;"]"))</f>
        <v>-0.33333998618469551</v>
      </c>
      <c r="J122" s="427"/>
      <c r="K122" s="427"/>
      <c r="L122" s="427"/>
      <c r="M122" s="427"/>
      <c r="N122" s="427"/>
      <c r="O122" s="427"/>
      <c r="P122" s="427"/>
      <c r="Q122" s="427"/>
    </row>
    <row r="123" spans="2:17" ht="14">
      <c r="B123" s="255"/>
      <c r="C123" s="219" t="s">
        <v>1811</v>
      </c>
      <c r="D123" s="219" t="str">
        <f>INDEX(Regional.Technologies[Description],MATCH($B$2&amp;"."&amp;G.30.energy[[#This Row],[Code]],Regional.Technologies[Code],0))</f>
        <v>Global Solid Hydrocarbons use in the Alumina Aluminium technology</v>
      </c>
      <c r="F123" s="219" t="s">
        <v>370</v>
      </c>
      <c r="G123" s="219" t="str">
        <f>INDEX(Regional.energy[Description],MATCH(G.30.energy[[#This Row],[Energy vector]],Regional.energy[Regional energy code],0))</f>
        <v>Global Solid hydrocarbons</v>
      </c>
      <c r="H123" s="219" t="str">
        <f t="shared" ref="H123" si="27">Preferences.energy</f>
        <v>EJ</v>
      </c>
      <c r="I123" s="427">
        <f t="array" aca="1" ref="I123" ca="1">-SUM((G.30.energy[[#This Row],[Code]]=G.30.assumptions.EnergyDemandAfterCCS[Technology code])
        *INDIRECT("G.30.assumptions.EnergyDemandAfterCCS["&amp;I$9&amp;"]"))</f>
        <v>0</v>
      </c>
      <c r="J123" s="427"/>
      <c r="K123" s="427"/>
      <c r="L123" s="427"/>
      <c r="M123" s="427"/>
      <c r="N123" s="427"/>
      <c r="O123" s="427"/>
      <c r="P123" s="427"/>
      <c r="Q123" s="427"/>
    </row>
    <row r="124" spans="2:17" ht="14">
      <c r="B124" s="255"/>
      <c r="C124" s="219" t="s">
        <v>1812</v>
      </c>
      <c r="D124" s="219" t="str">
        <f>INDEX(Regional.Technologies[Description],MATCH($B$2&amp;"."&amp;G.30.energy[[#This Row],[Code]],Regional.Technologies[Code],0))</f>
        <v>Global Heat use in the Alumina Aluminium technology</v>
      </c>
      <c r="F124" s="219" t="s">
        <v>1351</v>
      </c>
      <c r="G124" s="219" t="str">
        <f>INDEX(Regional.energy[Description],MATCH(G.30.energy[[#This Row],[Energy vector]],Regional.energy[Regional energy code],0))</f>
        <v>Global Heat transport</v>
      </c>
      <c r="H124" s="219" t="str">
        <f t="shared" ref="H124" si="28">Preferences.energy</f>
        <v>EJ</v>
      </c>
      <c r="I124" s="427">
        <f t="array" aca="1" ref="I124" ca="1">-SUM((G.30.energy[[#This Row],[Code]]=G.30.assumptions.EnergyDemandAfterCCS[Technology code])
        *INDIRECT("G.30.assumptions.EnergyDemandAfterCCS["&amp;I$9&amp;"]"))</f>
        <v>0</v>
      </c>
      <c r="J124" s="427"/>
      <c r="K124" s="427"/>
      <c r="L124" s="427"/>
      <c r="M124" s="427"/>
      <c r="N124" s="427"/>
      <c r="O124" s="427"/>
      <c r="P124" s="427"/>
      <c r="Q124" s="427"/>
    </row>
    <row r="125" spans="2:17" ht="14">
      <c r="B125" s="255"/>
      <c r="C125" s="219" t="s">
        <v>1639</v>
      </c>
      <c r="D125" s="219" t="str">
        <f>INDEX(Regional.Technologies[Description],MATCH($B$2&amp;"."&amp;G.30.energy[[#This Row],[Code]],Regional.Technologies[Code],0))</f>
        <v>Global Electricity use in the Primary Aluminium technology</v>
      </c>
      <c r="F125" s="219" t="s">
        <v>1349</v>
      </c>
      <c r="G125" s="219" t="str">
        <f>INDEX(Regional.energy[Description],MATCH(G.30.energy[[#This Row],[Energy vector]],Regional.energy[Regional energy code],0))</f>
        <v>Global Electricity (delivered to end user)</v>
      </c>
      <c r="H125" s="219" t="str">
        <f t="shared" ref="H125" si="29">Preferences.energy</f>
        <v>EJ</v>
      </c>
      <c r="I125" s="427">
        <f t="array" aca="1" ref="I125" ca="1">-SUM((G.30.energy[[#This Row],[Code]]=G.30.assumptions.EnergyDemandAfterCCS[Technology code])
        *INDIRECT("G.30.assumptions.EnergyDemandAfterCCS["&amp;I$9&amp;"]"))</f>
        <v>-2.3556733001938612</v>
      </c>
      <c r="J125" s="427"/>
      <c r="K125" s="427"/>
      <c r="L125" s="427"/>
      <c r="M125" s="427"/>
      <c r="N125" s="427"/>
      <c r="O125" s="427"/>
      <c r="P125" s="427"/>
      <c r="Q125" s="427"/>
    </row>
    <row r="126" spans="2:17" ht="14">
      <c r="B126" s="255"/>
      <c r="C126" s="219" t="s">
        <v>1813</v>
      </c>
      <c r="D126" s="219" t="str">
        <f>INDEX(Regional.Technologies[Description],MATCH($B$2&amp;"."&amp;G.30.energy[[#This Row],[Code]],Regional.Technologies[Code],0))</f>
        <v>Global Coal use in the Primary Aluminium technology</v>
      </c>
      <c r="F126" s="219" t="s">
        <v>626</v>
      </c>
      <c r="G126" s="219" t="str">
        <f>INDEX(Regional.energy[Description],MATCH(G.30.energy[[#This Row],[Energy vector]],Regional.energy[Regional energy code],0))</f>
        <v>Global Coal and fossil waste</v>
      </c>
      <c r="H126" s="219" t="str">
        <f t="shared" ref="H126" si="30">Preferences.energy</f>
        <v>EJ</v>
      </c>
      <c r="I126" s="427">
        <f t="array" aca="1" ref="I126" ca="1">-SUM((G.30.energy[[#This Row],[Code]]=G.30.assumptions.EnergyDemandAfterCCS[Technology code])
        *INDIRECT("G.30.assumptions.EnergyDemandAfterCCS["&amp;I$9&amp;"]"))</f>
        <v>-0.11615556705932617</v>
      </c>
      <c r="J126" s="427"/>
      <c r="K126" s="427"/>
      <c r="L126" s="427"/>
      <c r="M126" s="427"/>
      <c r="N126" s="427"/>
      <c r="O126" s="427"/>
      <c r="P126" s="427"/>
      <c r="Q126" s="427"/>
    </row>
    <row r="127" spans="2:17" ht="14">
      <c r="B127" s="255"/>
      <c r="C127" s="219" t="s">
        <v>1814</v>
      </c>
      <c r="D127" s="219" t="str">
        <f>INDEX(Regional.Technologies[Description],MATCH($B$2&amp;"."&amp;G.30.energy[[#This Row],[Code]],Regional.Technologies[Code],0))</f>
        <v>Global Oil use in the Primary Aluminium technology</v>
      </c>
      <c r="F127" s="219" t="s">
        <v>627</v>
      </c>
      <c r="G127" s="219" t="str">
        <f>INDEX(Regional.energy[Description],MATCH(G.30.energy[[#This Row],[Energy vector]],Regional.energy[Regional energy code],0))</f>
        <v>Global Oil and petroleum products</v>
      </c>
      <c r="H127" s="219" t="str">
        <f t="shared" ref="H127" si="31">Preferences.energy</f>
        <v>EJ</v>
      </c>
      <c r="I127" s="427">
        <f t="array" aca="1" ref="I127" ca="1">-SUM((G.30.energy[[#This Row],[Code]]=G.30.assumptions.EnergyDemandAfterCCS[Technology code])
        *INDIRECT("G.30.assumptions.EnergyDemandAfterCCS["&amp;I$9&amp;"]"))</f>
        <v>-0.18032133468483588</v>
      </c>
      <c r="J127" s="427"/>
      <c r="K127" s="427"/>
      <c r="L127" s="427"/>
      <c r="M127" s="427"/>
      <c r="N127" s="427"/>
      <c r="O127" s="427"/>
      <c r="P127" s="427"/>
      <c r="Q127" s="427"/>
    </row>
    <row r="128" spans="2:17" ht="14">
      <c r="B128" s="255"/>
      <c r="C128" s="219" t="s">
        <v>1815</v>
      </c>
      <c r="D128" s="219" t="str">
        <f>INDEX(Regional.Technologies[Description],MATCH($B$2&amp;"."&amp;G.30.energy[[#This Row],[Code]],Regional.Technologies[Code],0))</f>
        <v>Global Natural Gas use in the Primary Aluminium technology</v>
      </c>
      <c r="F128" s="219" t="s">
        <v>628</v>
      </c>
      <c r="G128" s="219" t="str">
        <f>INDEX(Regional.energy[Description],MATCH(G.30.energy[[#This Row],[Energy vector]],Regional.energy[Regional energy code],0))</f>
        <v>Global Natural gas</v>
      </c>
      <c r="H128" s="219" t="str">
        <f t="shared" ref="H128" si="32">Preferences.energy</f>
        <v>EJ</v>
      </c>
      <c r="I128" s="427">
        <f t="array" aca="1" ref="I128" ca="1">-SUM((G.30.energy[[#This Row],[Code]]=G.30.assumptions.EnergyDemandAfterCCS[Technology code])
        *INDIRECT("G.30.assumptions.EnergyDemandAfterCCS["&amp;I$9&amp;"]"))</f>
        <v>-0.10632786060601518</v>
      </c>
      <c r="J128" s="427"/>
      <c r="K128" s="427"/>
      <c r="L128" s="427"/>
      <c r="M128" s="427"/>
      <c r="N128" s="427"/>
      <c r="O128" s="427"/>
      <c r="P128" s="427"/>
      <c r="Q128" s="427"/>
    </row>
    <row r="129" spans="2:17" ht="14">
      <c r="B129" s="255"/>
      <c r="C129" s="219" t="s">
        <v>1816</v>
      </c>
      <c r="D129" s="219" t="str">
        <f>INDEX(Regional.Technologies[Description],MATCH($B$2&amp;"."&amp;G.30.energy[[#This Row],[Code]],Regional.Technologies[Code],0))</f>
        <v>Global Solid Hydrocarbons use in the Primary Aluminium technology</v>
      </c>
      <c r="F129" s="219" t="s">
        <v>370</v>
      </c>
      <c r="G129" s="219" t="str">
        <f>INDEX(Regional.energy[Description],MATCH(G.30.energy[[#This Row],[Energy vector]],Regional.energy[Regional energy code],0))</f>
        <v>Global Solid hydrocarbons</v>
      </c>
      <c r="H129" s="219" t="str">
        <f t="shared" ref="H129" si="33">Preferences.energy</f>
        <v>EJ</v>
      </c>
      <c r="I129" s="427">
        <f t="array" aca="1" ref="I129" ca="1">-SUM((G.30.energy[[#This Row],[Code]]=G.30.assumptions.EnergyDemandAfterCCS[Technology code])
        *INDIRECT("G.30.assumptions.EnergyDemandAfterCCS["&amp;I$9&amp;"]"))</f>
        <v>0</v>
      </c>
      <c r="J129" s="427"/>
      <c r="K129" s="427"/>
      <c r="L129" s="427"/>
      <c r="M129" s="427"/>
      <c r="N129" s="427"/>
      <c r="O129" s="427"/>
      <c r="P129" s="427"/>
      <c r="Q129" s="427"/>
    </row>
    <row r="130" spans="2:17" ht="14">
      <c r="B130" s="255"/>
      <c r="C130" s="219" t="s">
        <v>1640</v>
      </c>
      <c r="D130" s="219" t="str">
        <f>INDEX(Regional.Technologies[Description],MATCH($B$2&amp;"."&amp;G.30.energy[[#This Row],[Code]],Regional.Technologies[Code],0))</f>
        <v>Global Heat use in the Primary Aluminium technology</v>
      </c>
      <c r="F130" s="219" t="s">
        <v>1351</v>
      </c>
      <c r="G130" s="219" t="str">
        <f>INDEX(Regional.energy[Description],MATCH(G.30.energy[[#This Row],[Energy vector]],Regional.energy[Regional energy code],0))</f>
        <v>Global Heat transport</v>
      </c>
      <c r="H130" s="219" t="str">
        <f t="shared" ref="H130" si="34">Preferences.energy</f>
        <v>EJ</v>
      </c>
      <c r="I130" s="427">
        <f t="array" aca="1" ref="I130" ca="1">-SUM((G.30.energy[[#This Row],[Code]]=G.30.assumptions.EnergyDemandAfterCCS[Technology code])
        *INDIRECT("G.30.assumptions.EnergyDemandAfterCCS["&amp;I$9&amp;"]"))</f>
        <v>0</v>
      </c>
      <c r="J130" s="427"/>
      <c r="K130" s="427"/>
      <c r="L130" s="427"/>
      <c r="M130" s="427"/>
      <c r="N130" s="427"/>
      <c r="O130" s="427"/>
      <c r="P130" s="427"/>
      <c r="Q130" s="427"/>
    </row>
    <row r="131" spans="2:17" ht="14">
      <c r="B131" s="255"/>
      <c r="C131" s="219" t="s">
        <v>1641</v>
      </c>
      <c r="D131" s="219" t="str">
        <f>INDEX(Regional.Technologies[Description],MATCH($B$2&amp;"."&amp;G.30.energy[[#This Row],[Code]],Regional.Technologies[Code],0))</f>
        <v>Global Electricity use in the Secondary Aluminium technology</v>
      </c>
      <c r="F131" s="219" t="s">
        <v>1349</v>
      </c>
      <c r="G131" s="219" t="str">
        <f>INDEX(Regional.energy[Description],MATCH(G.30.energy[[#This Row],[Energy vector]],Regional.energy[Regional energy code],0))</f>
        <v>Global Electricity (delivered to end user)</v>
      </c>
      <c r="H131" s="219" t="str">
        <f t="shared" ref="H131" si="35">Preferences.energy</f>
        <v>EJ</v>
      </c>
      <c r="I131" s="427">
        <f t="array" aca="1" ref="I131" ca="1">-SUM((G.30.energy[[#This Row],[Code]]=G.30.assumptions.EnergyDemandAfterCCS[Technology code])
        *INDIRECT("G.30.assumptions.EnergyDemandAfterCCS["&amp;I$9&amp;"]"))</f>
        <v>-2.0996808027856011E-2</v>
      </c>
      <c r="J131" s="427"/>
      <c r="K131" s="427"/>
      <c r="L131" s="427"/>
      <c r="M131" s="427"/>
      <c r="N131" s="427"/>
      <c r="O131" s="427"/>
      <c r="P131" s="427"/>
      <c r="Q131" s="427"/>
    </row>
    <row r="132" spans="2:17" ht="14">
      <c r="B132" s="255"/>
      <c r="C132" s="219" t="s">
        <v>1817</v>
      </c>
      <c r="D132" s="219" t="str">
        <f>INDEX(Regional.Technologies[Description],MATCH($B$2&amp;"."&amp;G.30.energy[[#This Row],[Code]],Regional.Technologies[Code],0))</f>
        <v>Global Coal use in the Secondary Aluminium technology</v>
      </c>
      <c r="F132" s="219" t="s">
        <v>626</v>
      </c>
      <c r="G132" s="219" t="str">
        <f>INDEX(Regional.energy[Description],MATCH(G.30.energy[[#This Row],[Energy vector]],Regional.energy[Regional energy code],0))</f>
        <v>Global Coal and fossil waste</v>
      </c>
      <c r="H132" s="219" t="str">
        <f t="shared" ref="H132" si="36">Preferences.energy</f>
        <v>EJ</v>
      </c>
      <c r="I132" s="427">
        <f t="array" aca="1" ref="I132" ca="1">-SUM((G.30.energy[[#This Row],[Code]]=G.30.assumptions.EnergyDemandAfterCCS[Technology code])
        *INDIRECT("G.30.assumptions.EnergyDemandAfterCCS["&amp;I$9&amp;"]"))</f>
        <v>0</v>
      </c>
      <c r="J132" s="427"/>
      <c r="K132" s="427"/>
      <c r="L132" s="427"/>
      <c r="M132" s="427"/>
      <c r="N132" s="427"/>
      <c r="O132" s="427"/>
      <c r="P132" s="427"/>
      <c r="Q132" s="427"/>
    </row>
    <row r="133" spans="2:17" ht="14">
      <c r="B133" s="255"/>
      <c r="C133" s="219" t="s">
        <v>1818</v>
      </c>
      <c r="D133" s="219" t="str">
        <f>INDEX(Regional.Technologies[Description],MATCH($B$2&amp;"."&amp;G.30.energy[[#This Row],[Code]],Regional.Technologies[Code],0))</f>
        <v>Global Oil use in the Secondary Aluminium technology</v>
      </c>
      <c r="F133" s="219" t="s">
        <v>627</v>
      </c>
      <c r="G133" s="219" t="str">
        <f>INDEX(Regional.energy[Description],MATCH(G.30.energy[[#This Row],[Energy vector]],Regional.energy[Regional energy code],0))</f>
        <v>Global Oil and petroleum products</v>
      </c>
      <c r="H133" s="219" t="str">
        <f t="shared" ref="H133" si="37">Preferences.energy</f>
        <v>EJ</v>
      </c>
      <c r="I133" s="427">
        <f t="array" aca="1" ref="I133" ca="1">-SUM((G.30.energy[[#This Row],[Code]]=G.30.assumptions.EnergyDemandAfterCCS[Technology code])
        *INDIRECT("G.30.assumptions.EnergyDemandAfterCCS["&amp;I$9&amp;"]"))</f>
        <v>-1.8172055149596165E-4</v>
      </c>
      <c r="J133" s="427"/>
      <c r="K133" s="427"/>
      <c r="L133" s="427"/>
      <c r="M133" s="427"/>
      <c r="N133" s="427"/>
      <c r="O133" s="427"/>
      <c r="P133" s="427"/>
      <c r="Q133" s="427"/>
    </row>
    <row r="134" spans="2:17" ht="14">
      <c r="B134" s="255"/>
      <c r="C134" s="219" t="s">
        <v>1819</v>
      </c>
      <c r="D134" s="219" t="str">
        <f>INDEX(Regional.Technologies[Description],MATCH($B$2&amp;"."&amp;G.30.energy[[#This Row],[Code]],Regional.Technologies[Code],0))</f>
        <v>Global Natural Gas use in the Secondary Aluminium technology</v>
      </c>
      <c r="F134" s="219" t="s">
        <v>628</v>
      </c>
      <c r="G134" s="219" t="str">
        <f>INDEX(Regional.energy[Description],MATCH(G.30.energy[[#This Row],[Energy vector]],Regional.energy[Regional energy code],0))</f>
        <v>Global Natural gas</v>
      </c>
      <c r="H134" s="219" t="str">
        <f t="shared" ref="H134" si="38">Preferences.energy</f>
        <v>EJ</v>
      </c>
      <c r="I134" s="427">
        <f t="array" aca="1" ref="I134" ca="1">-SUM((G.30.energy[[#This Row],[Code]]=G.30.assumptions.EnergyDemandAfterCCS[Technology code])
        *INDIRECT("G.30.assumptions.EnergyDemandAfterCCS["&amp;I$9&amp;"]"))</f>
        <v>-0.24244140449555462</v>
      </c>
      <c r="J134" s="427"/>
      <c r="K134" s="427"/>
      <c r="L134" s="427"/>
      <c r="M134" s="427"/>
      <c r="N134" s="427"/>
      <c r="O134" s="427"/>
      <c r="P134" s="427"/>
      <c r="Q134" s="427"/>
    </row>
    <row r="135" spans="2:17" ht="14">
      <c r="B135" s="255"/>
      <c r="C135" s="219" t="s">
        <v>1820</v>
      </c>
      <c r="D135" s="219" t="str">
        <f>INDEX(Regional.Technologies[Description],MATCH($B$2&amp;"."&amp;G.30.energy[[#This Row],[Code]],Regional.Technologies[Code],0))</f>
        <v>Global Solid Hydrocarbons use in the Secondary Aluminium technology</v>
      </c>
      <c r="F135" s="219" t="s">
        <v>370</v>
      </c>
      <c r="G135" s="219" t="str">
        <f>INDEX(Regional.energy[Description],MATCH(G.30.energy[[#This Row],[Energy vector]],Regional.energy[Regional energy code],0))</f>
        <v>Global Solid hydrocarbons</v>
      </c>
      <c r="H135" s="219" t="str">
        <f t="shared" ref="H135" si="39">Preferences.energy</f>
        <v>EJ</v>
      </c>
      <c r="I135" s="427">
        <f t="array" aca="1" ref="I135" ca="1">-SUM((G.30.energy[[#This Row],[Code]]=G.30.assumptions.EnergyDemandAfterCCS[Technology code])
        *INDIRECT("G.30.assumptions.EnergyDemandAfterCCS["&amp;I$9&amp;"]"))</f>
        <v>0</v>
      </c>
      <c r="J135" s="427"/>
      <c r="K135" s="427"/>
      <c r="L135" s="427"/>
      <c r="M135" s="427"/>
      <c r="N135" s="427"/>
      <c r="O135" s="427"/>
      <c r="P135" s="427"/>
      <c r="Q135" s="427"/>
    </row>
    <row r="136" spans="2:17" ht="14">
      <c r="B136" s="255"/>
      <c r="C136" s="219" t="s">
        <v>1642</v>
      </c>
      <c r="D136" s="219" t="str">
        <f>INDEX(Regional.Technologies[Description],MATCH($B$2&amp;"."&amp;G.30.energy[[#This Row],[Code]],Regional.Technologies[Code],0))</f>
        <v>Global Heat use in the Secondary Aluminium technology</v>
      </c>
      <c r="F136" s="219" t="s">
        <v>1351</v>
      </c>
      <c r="G136" s="219" t="str">
        <f>INDEX(Regional.energy[Description],MATCH(G.30.energy[[#This Row],[Energy vector]],Regional.energy[Regional energy code],0))</f>
        <v>Global Heat transport</v>
      </c>
      <c r="H136" s="219" t="str">
        <f t="shared" ref="H136" si="40">Preferences.energy</f>
        <v>EJ</v>
      </c>
      <c r="I136" s="427">
        <f t="array" aca="1" ref="I136" ca="1">-SUM((G.30.energy[[#This Row],[Code]]=G.30.assumptions.EnergyDemandAfterCCS[Technology code])
        *INDIRECT("G.30.assumptions.EnergyDemandAfterCCS["&amp;I$9&amp;"]"))</f>
        <v>0</v>
      </c>
      <c r="J136" s="427"/>
      <c r="K136" s="427"/>
      <c r="L136" s="427"/>
      <c r="M136" s="427"/>
      <c r="N136" s="427"/>
      <c r="O136" s="427"/>
      <c r="P136" s="427"/>
      <c r="Q136" s="427"/>
    </row>
    <row r="137" spans="2:17" ht="14">
      <c r="B137" s="255"/>
      <c r="C137" s="219" t="s">
        <v>1821</v>
      </c>
      <c r="D137" s="219" t="str">
        <f>INDEX(Regional.Technologies[Description],MATCH($B$2&amp;"."&amp;G.30.energy[[#This Row],[Code]],Regional.Technologies[Code],0))</f>
        <v>Global Electricity use in the Chemicals: High Value Chemicals  technology</v>
      </c>
      <c r="F137" s="219" t="s">
        <v>1349</v>
      </c>
      <c r="G137" s="219" t="str">
        <f>INDEX(Regional.energy[Description],MATCH(G.30.energy[[#This Row],[Energy vector]],Regional.energy[Regional energy code],0))</f>
        <v>Global Electricity (delivered to end user)</v>
      </c>
      <c r="H137" s="219" t="str">
        <f t="shared" ref="H137" si="41">Preferences.energy</f>
        <v>EJ</v>
      </c>
      <c r="I137" s="427">
        <f t="array" aca="1" ref="I137" ca="1">-SUM((G.30.energy[[#This Row],[Code]]=G.30.assumptions.EnergyDemandAfterCCS[Technology code])
        *INDIRECT("G.30.assumptions.EnergyDemandAfterCCS["&amp;I$9&amp;"]"))</f>
        <v>9.2491949499908004E-20</v>
      </c>
      <c r="J137" s="427"/>
      <c r="K137" s="427"/>
      <c r="L137" s="427"/>
      <c r="M137" s="427"/>
      <c r="N137" s="427"/>
      <c r="O137" s="427"/>
      <c r="P137" s="427"/>
      <c r="Q137" s="427"/>
    </row>
    <row r="138" spans="2:17" ht="14">
      <c r="B138" s="255"/>
      <c r="C138" s="219" t="s">
        <v>1822</v>
      </c>
      <c r="D138" s="219" t="str">
        <f>INDEX(Regional.Technologies[Description],MATCH($B$2&amp;"."&amp;G.30.energy[[#This Row],[Code]],Regional.Technologies[Code],0))</f>
        <v>Global Coal use in the Chemicals: High Value Chemicals  technology</v>
      </c>
      <c r="F138" s="219" t="s">
        <v>626</v>
      </c>
      <c r="G138" s="219" t="str">
        <f>INDEX(Regional.energy[Description],MATCH(G.30.energy[[#This Row],[Energy vector]],Regional.energy[Regional energy code],0))</f>
        <v>Global Coal and fossil waste</v>
      </c>
      <c r="H138" s="219" t="str">
        <f t="shared" ref="H138" si="42">Preferences.energy</f>
        <v>EJ</v>
      </c>
      <c r="I138" s="427">
        <f t="array" aca="1" ref="I138" ca="1">-SUM((G.30.energy[[#This Row],[Code]]=G.30.assumptions.EnergyDemandAfterCCS[Technology code])
        *INDIRECT("G.30.assumptions.EnergyDemandAfterCCS["&amp;I$9&amp;"]"))</f>
        <v>-0.24646345986547047</v>
      </c>
      <c r="J138" s="427"/>
      <c r="K138" s="427"/>
      <c r="L138" s="427"/>
      <c r="M138" s="427"/>
      <c r="N138" s="427"/>
      <c r="O138" s="427"/>
      <c r="P138" s="427"/>
      <c r="Q138" s="427"/>
    </row>
    <row r="139" spans="2:17" ht="14">
      <c r="B139" s="255"/>
      <c r="C139" s="219" t="s">
        <v>1823</v>
      </c>
      <c r="D139" s="219" t="str">
        <f>INDEX(Regional.Technologies[Description],MATCH($B$2&amp;"."&amp;G.30.energy[[#This Row],[Code]],Regional.Technologies[Code],0))</f>
        <v>Global Oil use in the Chemicals: High Value Chemicals  technology</v>
      </c>
      <c r="F139" s="219" t="s">
        <v>627</v>
      </c>
      <c r="G139" s="219" t="str">
        <f>INDEX(Regional.energy[Description],MATCH(G.30.energy[[#This Row],[Energy vector]],Regional.energy[Regional energy code],0))</f>
        <v>Global Oil and petroleum products</v>
      </c>
      <c r="H139" s="219" t="str">
        <f t="shared" ref="H139" si="43">Preferences.energy</f>
        <v>EJ</v>
      </c>
      <c r="I139" s="427">
        <f t="array" aca="1" ref="I139" ca="1">-SUM((G.30.energy[[#This Row],[Code]]=G.30.assumptions.EnergyDemandAfterCCS[Technology code])
        *INDIRECT("G.30.assumptions.EnergyDemandAfterCCS["&amp;I$9&amp;"]"))</f>
        <v>-19.210879294175736</v>
      </c>
      <c r="J139" s="427"/>
      <c r="K139" s="427"/>
      <c r="L139" s="427"/>
      <c r="M139" s="427"/>
      <c r="N139" s="427"/>
      <c r="O139" s="427"/>
      <c r="P139" s="427"/>
      <c r="Q139" s="427"/>
    </row>
    <row r="140" spans="2:17" ht="14">
      <c r="B140" s="255"/>
      <c r="C140" s="219" t="s">
        <v>1824</v>
      </c>
      <c r="D140" s="219" t="str">
        <f>INDEX(Regional.Technologies[Description],MATCH($B$2&amp;"."&amp;G.30.energy[[#This Row],[Code]],Regional.Technologies[Code],0))</f>
        <v>Global Natural Gas use in the Chemicals: High Value Chemicals  technology</v>
      </c>
      <c r="F140" s="219" t="s">
        <v>628</v>
      </c>
      <c r="G140" s="219" t="str">
        <f>INDEX(Regional.energy[Description],MATCH(G.30.energy[[#This Row],[Energy vector]],Regional.energy[Regional energy code],0))</f>
        <v>Global Natural gas</v>
      </c>
      <c r="H140" s="219" t="str">
        <f t="shared" ref="H140" si="44">Preferences.energy</f>
        <v>EJ</v>
      </c>
      <c r="I140" s="427">
        <f t="array" aca="1" ref="I140" ca="1">-SUM((G.30.energy[[#This Row],[Code]]=G.30.assumptions.EnergyDemandAfterCCS[Technology code])
        *INDIRECT("G.30.assumptions.EnergyDemandAfterCCS["&amp;I$9&amp;"]"))</f>
        <v>-3.4032396515364383E-3</v>
      </c>
      <c r="J140" s="427"/>
      <c r="K140" s="427"/>
      <c r="L140" s="427"/>
      <c r="M140" s="427"/>
      <c r="N140" s="427"/>
      <c r="O140" s="427"/>
      <c r="P140" s="427"/>
      <c r="Q140" s="427"/>
    </row>
    <row r="141" spans="2:17" ht="14">
      <c r="B141" s="255"/>
      <c r="C141" s="219" t="s">
        <v>1825</v>
      </c>
      <c r="D141" s="219" t="str">
        <f>INDEX(Regional.Technologies[Description],MATCH($B$2&amp;"."&amp;G.30.energy[[#This Row],[Code]],Regional.Technologies[Code],0))</f>
        <v>Global Solid Hydrocarbons use in the Chemicals: High Value Chemicals  technology</v>
      </c>
      <c r="F141" s="219" t="s">
        <v>370</v>
      </c>
      <c r="G141" s="219" t="str">
        <f>INDEX(Regional.energy[Description],MATCH(G.30.energy[[#This Row],[Energy vector]],Regional.energy[Regional energy code],0))</f>
        <v>Global Solid hydrocarbons</v>
      </c>
      <c r="H141" s="219" t="str">
        <f t="shared" ref="H141" si="45">Preferences.energy</f>
        <v>EJ</v>
      </c>
      <c r="I141" s="427">
        <f t="array" aca="1" ref="I141" ca="1">-SUM((G.30.energy[[#This Row],[Code]]=G.30.assumptions.EnergyDemandAfterCCS[Technology code])
        *INDIRECT("G.30.assumptions.EnergyDemandAfterCCS["&amp;I$9&amp;"]"))</f>
        <v>0</v>
      </c>
      <c r="J141" s="427"/>
      <c r="K141" s="427"/>
      <c r="L141" s="427"/>
      <c r="M141" s="427"/>
      <c r="N141" s="427"/>
      <c r="O141" s="427"/>
      <c r="P141" s="427"/>
      <c r="Q141" s="427"/>
    </row>
    <row r="142" spans="2:17" ht="14">
      <c r="B142" s="255"/>
      <c r="C142" s="219" t="s">
        <v>1826</v>
      </c>
      <c r="D142" s="219" t="str">
        <f>INDEX(Regional.Technologies[Description],MATCH($B$2&amp;"."&amp;G.30.energy[[#This Row],[Code]],Regional.Technologies[Code],0))</f>
        <v>Global Heat use in the Chemicals: High Value Chemicals  technology</v>
      </c>
      <c r="F142" s="219" t="s">
        <v>1351</v>
      </c>
      <c r="G142" s="219" t="str">
        <f>INDEX(Regional.energy[Description],MATCH(G.30.energy[[#This Row],[Energy vector]],Regional.energy[Regional energy code],0))</f>
        <v>Global Heat transport</v>
      </c>
      <c r="H142" s="219" t="str">
        <f t="shared" ref="H142" si="46">Preferences.energy</f>
        <v>EJ</v>
      </c>
      <c r="I142" s="427">
        <f t="array" aca="1" ref="I142" ca="1">-SUM((G.30.energy[[#This Row],[Code]]=G.30.assumptions.EnergyDemandAfterCCS[Technology code])
        *INDIRECT("G.30.assumptions.EnergyDemandAfterCCS["&amp;I$9&amp;"]"))</f>
        <v>0</v>
      </c>
      <c r="J142" s="427"/>
      <c r="K142" s="427"/>
      <c r="L142" s="427"/>
      <c r="M142" s="427"/>
      <c r="N142" s="427"/>
      <c r="O142" s="427"/>
      <c r="P142" s="427"/>
      <c r="Q142" s="427"/>
    </row>
    <row r="143" spans="2:17" ht="14">
      <c r="B143" s="255"/>
      <c r="C143" s="219" t="s">
        <v>1827</v>
      </c>
      <c r="D143" s="219" t="str">
        <f>INDEX(Regional.Technologies[Description],MATCH($B$2&amp;"."&amp;G.30.energy[[#This Row],[Code]],Regional.Technologies[Code],0))</f>
        <v>Global Electricity use in the Chemicals: Ammonia technology</v>
      </c>
      <c r="F143" s="219" t="s">
        <v>1349</v>
      </c>
      <c r="G143" s="219" t="str">
        <f>INDEX(Regional.energy[Description],MATCH(G.30.energy[[#This Row],[Energy vector]],Regional.energy[Regional energy code],0))</f>
        <v>Global Electricity (delivered to end user)</v>
      </c>
      <c r="H143" s="219" t="str">
        <f t="shared" ref="H143" si="47">Preferences.energy</f>
        <v>EJ</v>
      </c>
      <c r="I143" s="427">
        <f t="array" aca="1" ref="I143" ca="1">-SUM((G.30.energy[[#This Row],[Code]]=G.30.assumptions.EnergyDemandAfterCCS[Technology code])
        *INDIRECT("G.30.assumptions.EnergyDemandAfterCCS["&amp;I$9&amp;"]"))</f>
        <v>-1.7803019800553821E-20</v>
      </c>
      <c r="J143" s="427"/>
      <c r="K143" s="427"/>
      <c r="L143" s="427"/>
      <c r="M143" s="427"/>
      <c r="N143" s="427"/>
      <c r="O143" s="427"/>
      <c r="P143" s="427"/>
      <c r="Q143" s="427"/>
    </row>
    <row r="144" spans="2:17" ht="14">
      <c r="B144" s="255"/>
      <c r="C144" s="219" t="s">
        <v>1828</v>
      </c>
      <c r="D144" s="219" t="str">
        <f>INDEX(Regional.Technologies[Description],MATCH($B$2&amp;"."&amp;G.30.energy[[#This Row],[Code]],Regional.Technologies[Code],0))</f>
        <v>Global Coal use in the Chemicals: Ammonia technology</v>
      </c>
      <c r="F144" s="219" t="s">
        <v>626</v>
      </c>
      <c r="G144" s="219" t="str">
        <f>INDEX(Regional.energy[Description],MATCH(G.30.energy[[#This Row],[Energy vector]],Regional.energy[Regional energy code],0))</f>
        <v>Global Coal and fossil waste</v>
      </c>
      <c r="H144" s="219" t="str">
        <f t="shared" ref="H144" si="48">Preferences.energy</f>
        <v>EJ</v>
      </c>
      <c r="I144" s="427">
        <f t="array" aca="1" ref="I144" ca="1">-SUM((G.30.energy[[#This Row],[Code]]=G.30.assumptions.EnergyDemandAfterCCS[Technology code])
        *INDIRECT("G.30.assumptions.EnergyDemandAfterCCS["&amp;I$9&amp;"]"))</f>
        <v>-1.4435125863870013</v>
      </c>
      <c r="J144" s="427"/>
      <c r="K144" s="427"/>
      <c r="L144" s="427"/>
      <c r="M144" s="427"/>
      <c r="N144" s="427"/>
      <c r="O144" s="427"/>
      <c r="P144" s="427"/>
      <c r="Q144" s="427"/>
    </row>
    <row r="145" spans="2:17" ht="14">
      <c r="B145" s="255"/>
      <c r="C145" s="219" t="s">
        <v>1829</v>
      </c>
      <c r="D145" s="219" t="str">
        <f>INDEX(Regional.Technologies[Description],MATCH($B$2&amp;"."&amp;G.30.energy[[#This Row],[Code]],Regional.Technologies[Code],0))</f>
        <v>Global Oil use in the Chemicals: Ammonia technology</v>
      </c>
      <c r="F145" s="219" t="s">
        <v>627</v>
      </c>
      <c r="G145" s="219" t="str">
        <f>INDEX(Regional.energy[Description],MATCH(G.30.energy[[#This Row],[Energy vector]],Regional.energy[Regional energy code],0))</f>
        <v>Global Oil and petroleum products</v>
      </c>
      <c r="H145" s="219" t="str">
        <f t="shared" ref="H145" si="49">Preferences.energy</f>
        <v>EJ</v>
      </c>
      <c r="I145" s="427">
        <f t="array" aca="1" ref="I145" ca="1">-SUM((G.30.energy[[#This Row],[Code]]=G.30.assumptions.EnergyDemandAfterCCS[Technology code])
        *INDIRECT("G.30.assumptions.EnergyDemandAfterCCS["&amp;I$9&amp;"]"))</f>
        <v>0</v>
      </c>
      <c r="J145" s="427"/>
      <c r="K145" s="427"/>
      <c r="L145" s="427"/>
      <c r="M145" s="427"/>
      <c r="N145" s="427"/>
      <c r="O145" s="427"/>
      <c r="P145" s="427"/>
      <c r="Q145" s="427"/>
    </row>
    <row r="146" spans="2:17" ht="14">
      <c r="B146" s="255"/>
      <c r="C146" s="219" t="s">
        <v>1830</v>
      </c>
      <c r="D146" s="219" t="str">
        <f>INDEX(Regional.Technologies[Description],MATCH($B$2&amp;"."&amp;G.30.energy[[#This Row],[Code]],Regional.Technologies[Code],0))</f>
        <v>Global Natural Gas use in the Chemicals: Ammonia technology</v>
      </c>
      <c r="F146" s="219" t="s">
        <v>628</v>
      </c>
      <c r="G146" s="219" t="str">
        <f>INDEX(Regional.energy[Description],MATCH(G.30.energy[[#This Row],[Energy vector]],Regional.energy[Regional energy code],0))</f>
        <v>Global Natural gas</v>
      </c>
      <c r="H146" s="219" t="str">
        <f t="shared" ref="H146" si="50">Preferences.energy</f>
        <v>EJ</v>
      </c>
      <c r="I146" s="427">
        <f t="array" aca="1" ref="I146" ca="1">-SUM((G.30.energy[[#This Row],[Code]]=G.30.assumptions.EnergyDemandAfterCCS[Technology code])
        *INDIRECT("G.30.assumptions.EnergyDemandAfterCCS["&amp;I$9&amp;"]"))</f>
        <v>-4.5138365842133039</v>
      </c>
      <c r="J146" s="427"/>
      <c r="K146" s="427"/>
      <c r="L146" s="427"/>
      <c r="M146" s="427"/>
      <c r="N146" s="427"/>
      <c r="O146" s="427"/>
      <c r="P146" s="427"/>
      <c r="Q146" s="427"/>
    </row>
    <row r="147" spans="2:17" ht="14">
      <c r="B147" s="255"/>
      <c r="C147" s="219" t="s">
        <v>1831</v>
      </c>
      <c r="D147" s="219" t="str">
        <f>INDEX(Regional.Technologies[Description],MATCH($B$2&amp;"."&amp;G.30.energy[[#This Row],[Code]],Regional.Technologies[Code],0))</f>
        <v>Global Solid Hydrocarbons use in the Chemicals: Ammonia technology</v>
      </c>
      <c r="F147" s="219" t="s">
        <v>370</v>
      </c>
      <c r="G147" s="219" t="str">
        <f>INDEX(Regional.energy[Description],MATCH(G.30.energy[[#This Row],[Energy vector]],Regional.energy[Regional energy code],0))</f>
        <v>Global Solid hydrocarbons</v>
      </c>
      <c r="H147" s="219" t="str">
        <f t="shared" ref="H147" si="51">Preferences.energy</f>
        <v>EJ</v>
      </c>
      <c r="I147" s="427">
        <f t="array" aca="1" ref="I147" ca="1">-SUM((G.30.energy[[#This Row],[Code]]=G.30.assumptions.EnergyDemandAfterCCS[Technology code])
        *INDIRECT("G.30.assumptions.EnergyDemandAfterCCS["&amp;I$9&amp;"]"))</f>
        <v>0</v>
      </c>
      <c r="J147" s="427"/>
      <c r="K147" s="427"/>
      <c r="L147" s="427"/>
      <c r="M147" s="427"/>
      <c r="N147" s="427"/>
      <c r="O147" s="427"/>
      <c r="P147" s="427"/>
      <c r="Q147" s="427"/>
    </row>
    <row r="148" spans="2:17" ht="14">
      <c r="B148" s="255"/>
      <c r="C148" s="219" t="s">
        <v>1832</v>
      </c>
      <c r="D148" s="219" t="str">
        <f>INDEX(Regional.Technologies[Description],MATCH($B$2&amp;"."&amp;G.30.energy[[#This Row],[Code]],Regional.Technologies[Code],0))</f>
        <v>Global Heat use in the Chemicals: Ammonia technology</v>
      </c>
      <c r="F148" s="219" t="s">
        <v>1351</v>
      </c>
      <c r="G148" s="219" t="str">
        <f>INDEX(Regional.energy[Description],MATCH(G.30.energy[[#This Row],[Energy vector]],Regional.energy[Regional energy code],0))</f>
        <v>Global Heat transport</v>
      </c>
      <c r="H148" s="219" t="str">
        <f t="shared" ref="H148" si="52">Preferences.energy</f>
        <v>EJ</v>
      </c>
      <c r="I148" s="427">
        <f t="array" aca="1" ref="I148" ca="1">-SUM((G.30.energy[[#This Row],[Code]]=G.30.assumptions.EnergyDemandAfterCCS[Technology code])
        *INDIRECT("G.30.assumptions.EnergyDemandAfterCCS["&amp;I$9&amp;"]"))</f>
        <v>0</v>
      </c>
      <c r="J148" s="427"/>
      <c r="K148" s="427"/>
      <c r="L148" s="427"/>
      <c r="M148" s="427"/>
      <c r="N148" s="427"/>
      <c r="O148" s="427"/>
      <c r="P148" s="427"/>
      <c r="Q148" s="427"/>
    </row>
    <row r="149" spans="2:17" ht="14">
      <c r="B149" s="255"/>
      <c r="C149" s="219" t="s">
        <v>1833</v>
      </c>
      <c r="D149" s="219" t="str">
        <f>INDEX(Regional.Technologies[Description],MATCH($B$2&amp;"."&amp;G.30.energy[[#This Row],[Code]],Regional.Technologies[Code],0))</f>
        <v>Global Electricity use in the Chemicals: Methanol technology</v>
      </c>
      <c r="F149" s="219" t="s">
        <v>1349</v>
      </c>
      <c r="G149" s="219" t="str">
        <f>INDEX(Regional.energy[Description],MATCH(G.30.energy[[#This Row],[Energy vector]],Regional.energy[Regional energy code],0))</f>
        <v>Global Electricity (delivered to end user)</v>
      </c>
      <c r="H149" s="219" t="str">
        <f t="shared" ref="H149" si="53">Preferences.energy</f>
        <v>EJ</v>
      </c>
      <c r="I149" s="427">
        <f t="array" aca="1" ref="I149" ca="1">-SUM((G.30.energy[[#This Row],[Code]]=G.30.assumptions.EnergyDemandAfterCCS[Technology code])
        *INDIRECT("G.30.assumptions.EnergyDemandAfterCCS["&amp;I$9&amp;"]"))</f>
        <v>0</v>
      </c>
      <c r="J149" s="427"/>
      <c r="K149" s="427"/>
      <c r="L149" s="427"/>
      <c r="M149" s="427"/>
      <c r="N149" s="427"/>
      <c r="O149" s="427"/>
      <c r="P149" s="427"/>
      <c r="Q149" s="427"/>
    </row>
    <row r="150" spans="2:17" ht="14">
      <c r="B150" s="255"/>
      <c r="C150" s="219" t="s">
        <v>1834</v>
      </c>
      <c r="D150" s="219" t="str">
        <f>INDEX(Regional.Technologies[Description],MATCH($B$2&amp;"."&amp;G.30.energy[[#This Row],[Code]],Regional.Technologies[Code],0))</f>
        <v>Global Coal use in the Chemicals: Methanol technology</v>
      </c>
      <c r="F150" s="219" t="s">
        <v>626</v>
      </c>
      <c r="G150" s="219" t="str">
        <f>INDEX(Regional.energy[Description],MATCH(G.30.energy[[#This Row],[Energy vector]],Regional.energy[Regional energy code],0))</f>
        <v>Global Coal and fossil waste</v>
      </c>
      <c r="H150" s="219" t="str">
        <f t="shared" ref="H150" si="54">Preferences.energy</f>
        <v>EJ</v>
      </c>
      <c r="I150" s="427">
        <f t="array" aca="1" ref="I150" ca="1">-SUM((G.30.energy[[#This Row],[Code]]=G.30.assumptions.EnergyDemandAfterCCS[Technology code])
        *INDIRECT("G.30.assumptions.EnergyDemandAfterCCS["&amp;I$9&amp;"]"))</f>
        <v>-0.726021750603001</v>
      </c>
      <c r="J150" s="427"/>
      <c r="K150" s="427"/>
      <c r="L150" s="427"/>
      <c r="M150" s="427"/>
      <c r="N150" s="427"/>
      <c r="O150" s="427"/>
      <c r="P150" s="427"/>
      <c r="Q150" s="427"/>
    </row>
    <row r="151" spans="2:17" ht="14">
      <c r="B151" s="255"/>
      <c r="C151" s="219" t="s">
        <v>1835</v>
      </c>
      <c r="D151" s="219" t="str">
        <f>INDEX(Regional.Technologies[Description],MATCH($B$2&amp;"."&amp;G.30.energy[[#This Row],[Code]],Regional.Technologies[Code],0))</f>
        <v>Global Oil use in the Chemicals: Methanol technology</v>
      </c>
      <c r="F151" s="219" t="s">
        <v>627</v>
      </c>
      <c r="G151" s="219" t="str">
        <f>INDEX(Regional.energy[Description],MATCH(G.30.energy[[#This Row],[Energy vector]],Regional.energy[Regional energy code],0))</f>
        <v>Global Oil and petroleum products</v>
      </c>
      <c r="H151" s="219" t="str">
        <f t="shared" ref="H151" si="55">Preferences.energy</f>
        <v>EJ</v>
      </c>
      <c r="I151" s="427">
        <f t="array" aca="1" ref="I151" ca="1">-SUM((G.30.energy[[#This Row],[Code]]=G.30.assumptions.EnergyDemandAfterCCS[Technology code])
        *INDIRECT("G.30.assumptions.EnergyDemandAfterCCS["&amp;I$9&amp;"]"))</f>
        <v>0</v>
      </c>
      <c r="J151" s="427"/>
      <c r="K151" s="427"/>
      <c r="L151" s="427"/>
      <c r="M151" s="427"/>
      <c r="N151" s="427"/>
      <c r="O151" s="427"/>
      <c r="P151" s="427"/>
      <c r="Q151" s="427"/>
    </row>
    <row r="152" spans="2:17" ht="14">
      <c r="B152" s="255"/>
      <c r="C152" s="219" t="s">
        <v>1836</v>
      </c>
      <c r="D152" s="219" t="str">
        <f>INDEX(Regional.Technologies[Description],MATCH($B$2&amp;"."&amp;G.30.energy[[#This Row],[Code]],Regional.Technologies[Code],0))</f>
        <v>Global Natural Gas use in the Chemicals: Methanol technology</v>
      </c>
      <c r="F152" s="219" t="s">
        <v>628</v>
      </c>
      <c r="G152" s="219" t="str">
        <f>INDEX(Regional.energy[Description],MATCH(G.30.energy[[#This Row],[Energy vector]],Regional.energy[Regional energy code],0))</f>
        <v>Global Natural gas</v>
      </c>
      <c r="H152" s="219" t="str">
        <f t="shared" ref="H152" si="56">Preferences.energy</f>
        <v>EJ</v>
      </c>
      <c r="I152" s="427">
        <f t="array" aca="1" ref="I152" ca="1">-SUM((G.30.energy[[#This Row],[Code]]=G.30.assumptions.EnergyDemandAfterCCS[Technology code])
        *INDIRECT("G.30.assumptions.EnergyDemandAfterCCS["&amp;I$9&amp;"]"))</f>
        <v>-0.937789568259083</v>
      </c>
      <c r="J152" s="427"/>
      <c r="K152" s="427"/>
      <c r="L152" s="427"/>
      <c r="M152" s="427"/>
      <c r="N152" s="427"/>
      <c r="O152" s="427"/>
      <c r="P152" s="427"/>
      <c r="Q152" s="427"/>
    </row>
    <row r="153" spans="2:17" ht="14">
      <c r="B153" s="255"/>
      <c r="C153" s="219" t="s">
        <v>1837</v>
      </c>
      <c r="D153" s="219" t="str">
        <f>INDEX(Regional.Technologies[Description],MATCH($B$2&amp;"."&amp;G.30.energy[[#This Row],[Code]],Regional.Technologies[Code],0))</f>
        <v>Global Solid Hydrocarbons use in the Chemicals: Methanol technology</v>
      </c>
      <c r="F153" s="219" t="s">
        <v>370</v>
      </c>
      <c r="G153" s="219" t="str">
        <f>INDEX(Regional.energy[Description],MATCH(G.30.energy[[#This Row],[Energy vector]],Regional.energy[Regional energy code],0))</f>
        <v>Global Solid hydrocarbons</v>
      </c>
      <c r="H153" s="219" t="str">
        <f t="shared" ref="H153" si="57">Preferences.energy</f>
        <v>EJ</v>
      </c>
      <c r="I153" s="427">
        <f t="array" aca="1" ref="I153" ca="1">-SUM((G.30.energy[[#This Row],[Code]]=G.30.assumptions.EnergyDemandAfterCCS[Technology code])
        *INDIRECT("G.30.assumptions.EnergyDemandAfterCCS["&amp;I$9&amp;"]"))</f>
        <v>0</v>
      </c>
      <c r="J153" s="427"/>
      <c r="K153" s="427"/>
      <c r="L153" s="427"/>
      <c r="M153" s="427"/>
      <c r="N153" s="427"/>
      <c r="O153" s="427"/>
      <c r="P153" s="427"/>
      <c r="Q153" s="427"/>
    </row>
    <row r="154" spans="2:17" ht="14">
      <c r="B154" s="255"/>
      <c r="C154" s="219" t="s">
        <v>1838</v>
      </c>
      <c r="D154" s="219" t="str">
        <f>INDEX(Regional.Technologies[Description],MATCH($B$2&amp;"."&amp;G.30.energy[[#This Row],[Code]],Regional.Technologies[Code],0))</f>
        <v>Global Heat use in the Chemicals: Methanol technology</v>
      </c>
      <c r="F154" s="219" t="s">
        <v>1351</v>
      </c>
      <c r="G154" s="219" t="str">
        <f>INDEX(Regional.energy[Description],MATCH(G.30.energy[[#This Row],[Energy vector]],Regional.energy[Regional energy code],0))</f>
        <v>Global Heat transport</v>
      </c>
      <c r="H154" s="219" t="str">
        <f t="shared" ref="H154" si="58">Preferences.energy</f>
        <v>EJ</v>
      </c>
      <c r="I154" s="427">
        <f t="array" aca="1" ref="I154" ca="1">-SUM((G.30.energy[[#This Row],[Code]]=G.30.assumptions.EnergyDemandAfterCCS[Technology code])
        *INDIRECT("G.30.assumptions.EnergyDemandAfterCCS["&amp;I$9&amp;"]"))</f>
        <v>0</v>
      </c>
      <c r="J154" s="427"/>
      <c r="K154" s="427"/>
      <c r="L154" s="427"/>
      <c r="M154" s="427"/>
      <c r="N154" s="427"/>
      <c r="O154" s="427"/>
      <c r="P154" s="427"/>
      <c r="Q154" s="427"/>
    </row>
    <row r="155" spans="2:17" ht="14">
      <c r="B155" s="255"/>
      <c r="C155" s="219" t="s">
        <v>1839</v>
      </c>
      <c r="D155" s="219" t="str">
        <f>INDEX(Regional.Technologies[Description],MATCH($B$2&amp;"."&amp;G.30.energy[[#This Row],[Code]],Regional.Technologies[Code],0))</f>
        <v>Global Electricity use in the Chemicals: Others technology</v>
      </c>
      <c r="F155" s="219" t="s">
        <v>1349</v>
      </c>
      <c r="G155" s="219" t="str">
        <f>INDEX(Regional.energy[Description],MATCH(G.30.energy[[#This Row],[Energy vector]],Regional.energy[Regional energy code],0))</f>
        <v>Global Electricity (delivered to end user)</v>
      </c>
      <c r="H155" s="219" t="str">
        <f t="shared" ref="H155" si="59">Preferences.energy</f>
        <v>EJ</v>
      </c>
      <c r="I155" s="427">
        <f t="array" aca="1" ref="I155" ca="1">-SUM((G.30.energy[[#This Row],[Code]]=G.30.assumptions.EnergyDemandAfterCCS[Technology code])
        *INDIRECT("G.30.assumptions.EnergyDemandAfterCCS["&amp;I$9&amp;"]"))</f>
        <v>-4.1752925085634338</v>
      </c>
      <c r="J155" s="427"/>
      <c r="K155" s="427"/>
      <c r="L155" s="427"/>
      <c r="M155" s="427"/>
      <c r="N155" s="427"/>
      <c r="O155" s="427"/>
      <c r="P155" s="427"/>
      <c r="Q155" s="427"/>
    </row>
    <row r="156" spans="2:17" ht="14">
      <c r="B156" s="255"/>
      <c r="C156" s="219" t="s">
        <v>1840</v>
      </c>
      <c r="D156" s="219" t="str">
        <f>INDEX(Regional.Technologies[Description],MATCH($B$2&amp;"."&amp;G.30.energy[[#This Row],[Code]],Regional.Technologies[Code],0))</f>
        <v>Global Coal use in the Chemicals: Others technology</v>
      </c>
      <c r="F156" s="219" t="s">
        <v>626</v>
      </c>
      <c r="G156" s="219" t="str">
        <f>INDEX(Regional.energy[Description],MATCH(G.30.energy[[#This Row],[Energy vector]],Regional.energy[Regional energy code],0))</f>
        <v>Global Coal and fossil waste</v>
      </c>
      <c r="H156" s="219" t="str">
        <f t="shared" ref="H156" si="60">Preferences.energy</f>
        <v>EJ</v>
      </c>
      <c r="I156" s="427">
        <f t="array" aca="1" ref="I156" ca="1">-SUM((G.30.energy[[#This Row],[Code]]=G.30.assumptions.EnergyDemandAfterCCS[Technology code])
        *INDIRECT("G.30.assumptions.EnergyDemandAfterCCS["&amp;I$9&amp;"]"))</f>
        <v>-0.37414965620854623</v>
      </c>
      <c r="J156" s="427"/>
      <c r="K156" s="427"/>
      <c r="L156" s="427"/>
      <c r="M156" s="427"/>
      <c r="N156" s="427"/>
      <c r="O156" s="427"/>
      <c r="P156" s="427"/>
      <c r="Q156" s="427"/>
    </row>
    <row r="157" spans="2:17" ht="14">
      <c r="B157" s="255"/>
      <c r="C157" s="219" t="s">
        <v>1841</v>
      </c>
      <c r="D157" s="219" t="str">
        <f>INDEX(Regional.Technologies[Description],MATCH($B$2&amp;"."&amp;G.30.energy[[#This Row],[Code]],Regional.Technologies[Code],0))</f>
        <v>Global Oil use in the Chemicals: Others technology</v>
      </c>
      <c r="F157" s="219" t="s">
        <v>627</v>
      </c>
      <c r="G157" s="219" t="str">
        <f>INDEX(Regional.energy[Description],MATCH(G.30.energy[[#This Row],[Energy vector]],Regional.energy[Regional energy code],0))</f>
        <v>Global Oil and petroleum products</v>
      </c>
      <c r="H157" s="219" t="str">
        <f t="shared" ref="H157" si="61">Preferences.energy</f>
        <v>EJ</v>
      </c>
      <c r="I157" s="427">
        <f t="array" aca="1" ref="I157" ca="1">-SUM((G.30.energy[[#This Row],[Code]]=G.30.assumptions.EnergyDemandAfterCCS[Technology code])
        *INDIRECT("G.30.assumptions.EnergyDemandAfterCCS["&amp;I$9&amp;"]"))</f>
        <v>2.3799202608643097E-15</v>
      </c>
      <c r="J157" s="427"/>
      <c r="K157" s="427"/>
      <c r="L157" s="427"/>
      <c r="M157" s="427"/>
      <c r="N157" s="427"/>
      <c r="O157" s="427"/>
      <c r="P157" s="427"/>
      <c r="Q157" s="427"/>
    </row>
    <row r="158" spans="2:17" ht="14">
      <c r="B158" s="255"/>
      <c r="C158" s="219" t="s">
        <v>1842</v>
      </c>
      <c r="D158" s="219" t="str">
        <f>INDEX(Regional.Technologies[Description],MATCH($B$2&amp;"."&amp;G.30.energy[[#This Row],[Code]],Regional.Technologies[Code],0))</f>
        <v>Global Natural Gas use in the Chemicals: Others technology</v>
      </c>
      <c r="F158" s="219" t="s">
        <v>628</v>
      </c>
      <c r="G158" s="219" t="str">
        <f>INDEX(Regional.energy[Description],MATCH(G.30.energy[[#This Row],[Energy vector]],Regional.energy[Regional energy code],0))</f>
        <v>Global Natural gas</v>
      </c>
      <c r="H158" s="219" t="str">
        <f t="shared" ref="H158" si="62">Preferences.energy</f>
        <v>EJ</v>
      </c>
      <c r="I158" s="427">
        <f t="array" aca="1" ref="I158" ca="1">-SUM((G.30.energy[[#This Row],[Code]]=G.30.assumptions.EnergyDemandAfterCCS[Technology code])
        *INDIRECT("G.30.assumptions.EnergyDemandAfterCCS["&amp;I$9&amp;"]"))</f>
        <v>-6.0442800620537298</v>
      </c>
      <c r="J158" s="427"/>
      <c r="K158" s="427"/>
      <c r="L158" s="427"/>
      <c r="M158" s="427"/>
      <c r="N158" s="427"/>
      <c r="O158" s="427"/>
      <c r="P158" s="427"/>
      <c r="Q158" s="427"/>
    </row>
    <row r="159" spans="2:17" ht="14">
      <c r="B159" s="255"/>
      <c r="C159" s="219" t="s">
        <v>1843</v>
      </c>
      <c r="D159" s="219" t="str">
        <f>INDEX(Regional.Technologies[Description],MATCH($B$2&amp;"."&amp;G.30.energy[[#This Row],[Code]],Regional.Technologies[Code],0))</f>
        <v>Global Solid Hydrocarbons use in the Chemicals: Others technology</v>
      </c>
      <c r="F159" s="219" t="s">
        <v>370</v>
      </c>
      <c r="G159" s="219" t="str">
        <f>INDEX(Regional.energy[Description],MATCH(G.30.energy[[#This Row],[Energy vector]],Regional.energy[Regional energy code],0))</f>
        <v>Global Solid hydrocarbons</v>
      </c>
      <c r="H159" s="219" t="str">
        <f t="shared" ref="H159" si="63">Preferences.energy</f>
        <v>EJ</v>
      </c>
      <c r="I159" s="427">
        <f t="array" aca="1" ref="I159" ca="1">-SUM((G.30.energy[[#This Row],[Code]]=G.30.assumptions.EnergyDemandAfterCCS[Technology code])
        *INDIRECT("G.30.assumptions.EnergyDemandAfterCCS["&amp;I$9&amp;"]"))</f>
        <v>-0.16313870478909601</v>
      </c>
      <c r="J159" s="427"/>
      <c r="K159" s="427"/>
      <c r="L159" s="427"/>
      <c r="M159" s="427"/>
      <c r="N159" s="427"/>
      <c r="O159" s="427"/>
      <c r="P159" s="427"/>
      <c r="Q159" s="427"/>
    </row>
    <row r="160" spans="2:17" ht="14">
      <c r="B160" s="255"/>
      <c r="C160" s="219" t="s">
        <v>1844</v>
      </c>
      <c r="D160" s="219" t="str">
        <f>INDEX(Regional.Technologies[Description],MATCH($B$2&amp;"."&amp;G.30.energy[[#This Row],[Code]],Regional.Technologies[Code],0))</f>
        <v>Global Heat use in the Chemicals: Others technology</v>
      </c>
      <c r="F160" s="219" t="s">
        <v>1351</v>
      </c>
      <c r="G160" s="219" t="str">
        <f>INDEX(Regional.energy[Description],MATCH(G.30.energy[[#This Row],[Energy vector]],Regional.energy[Regional energy code],0))</f>
        <v>Global Heat transport</v>
      </c>
      <c r="H160" s="219" t="str">
        <f t="shared" ref="H160" si="64">Preferences.energy</f>
        <v>EJ</v>
      </c>
      <c r="I160" s="427">
        <f t="array" aca="1" ref="I160" ca="1">-SUM((G.30.energy[[#This Row],[Code]]=G.30.assumptions.EnergyDemandAfterCCS[Technology code])
        *INDIRECT("G.30.assumptions.EnergyDemandAfterCCS["&amp;I$9&amp;"]"))</f>
        <v>-1.9701384317850921</v>
      </c>
      <c r="J160" s="427"/>
      <c r="K160" s="427"/>
      <c r="L160" s="427"/>
      <c r="M160" s="427"/>
      <c r="N160" s="427"/>
      <c r="O160" s="427"/>
      <c r="P160" s="427"/>
      <c r="Q160" s="427"/>
    </row>
    <row r="161" spans="2:17" ht="14">
      <c r="B161" s="255"/>
      <c r="C161" s="219" t="s">
        <v>1845</v>
      </c>
      <c r="D161" s="219" t="str">
        <f>INDEX(Regional.Technologies[Description],MATCH($B$2&amp;"."&amp;G.30.energy[[#This Row],[Code]],Regional.Technologies[Code],0))</f>
        <v>Global Electricity use in the Pulp &amp; paper: Pulp technology</v>
      </c>
      <c r="F161" s="219" t="s">
        <v>1349</v>
      </c>
      <c r="G161" s="219" t="str">
        <f>INDEX(Regional.energy[Description],MATCH(G.30.energy[[#This Row],[Energy vector]],Regional.energy[Regional energy code],0))</f>
        <v>Global Electricity (delivered to end user)</v>
      </c>
      <c r="H161" s="219" t="str">
        <f t="shared" ref="H161" si="65">Preferences.energy</f>
        <v>EJ</v>
      </c>
      <c r="I161" s="427">
        <f t="array" aca="1" ref="I161" ca="1">-SUM((G.30.energy[[#This Row],[Code]]=G.30.assumptions.EnergyDemandAfterCCS[Technology code])
        *INDIRECT("G.30.assumptions.EnergyDemandAfterCCS["&amp;I$9&amp;"]"))</f>
        <v>-0.65799398015612487</v>
      </c>
      <c r="J161" s="427"/>
      <c r="K161" s="427"/>
      <c r="L161" s="427"/>
      <c r="M161" s="427"/>
      <c r="N161" s="427"/>
      <c r="O161" s="427"/>
      <c r="P161" s="427"/>
      <c r="Q161" s="427"/>
    </row>
    <row r="162" spans="2:17" ht="14">
      <c r="B162" s="255"/>
      <c r="C162" s="219" t="s">
        <v>1846</v>
      </c>
      <c r="D162" s="219" t="str">
        <f>INDEX(Regional.Technologies[Description],MATCH($B$2&amp;"."&amp;G.30.energy[[#This Row],[Code]],Regional.Technologies[Code],0))</f>
        <v>Global Coal use in the Pulp &amp; paper: Pulp technology</v>
      </c>
      <c r="F162" s="219" t="s">
        <v>626</v>
      </c>
      <c r="G162" s="219" t="str">
        <f>INDEX(Regional.energy[Description],MATCH(G.30.energy[[#This Row],[Energy vector]],Regional.energy[Regional energy code],0))</f>
        <v>Global Coal and fossil waste</v>
      </c>
      <c r="H162" s="219" t="str">
        <f t="shared" ref="H162" si="66">Preferences.energy</f>
        <v>EJ</v>
      </c>
      <c r="I162" s="427">
        <f t="array" aca="1" ref="I162" ca="1">-SUM((G.30.energy[[#This Row],[Code]]=G.30.assumptions.EnergyDemandAfterCCS[Technology code])
        *INDIRECT("G.30.assumptions.EnergyDemandAfterCCS["&amp;I$9&amp;"]"))</f>
        <v>-0.59772552046925531</v>
      </c>
      <c r="J162" s="427"/>
      <c r="K162" s="427"/>
      <c r="L162" s="427"/>
      <c r="M162" s="427"/>
      <c r="N162" s="427"/>
      <c r="O162" s="427"/>
      <c r="P162" s="427"/>
      <c r="Q162" s="427"/>
    </row>
    <row r="163" spans="2:17" ht="14">
      <c r="B163" s="255"/>
      <c r="C163" s="219" t="s">
        <v>1847</v>
      </c>
      <c r="D163" s="219" t="str">
        <f>INDEX(Regional.Technologies[Description],MATCH($B$2&amp;"."&amp;G.30.energy[[#This Row],[Code]],Regional.Technologies[Code],0))</f>
        <v>Global Oil use in the Pulp &amp; paper: Pulp technology</v>
      </c>
      <c r="F163" s="219" t="s">
        <v>627</v>
      </c>
      <c r="G163" s="219" t="str">
        <f>INDEX(Regional.energy[Description],MATCH(G.30.energy[[#This Row],[Energy vector]],Regional.energy[Regional energy code],0))</f>
        <v>Global Oil and petroleum products</v>
      </c>
      <c r="H163" s="219" t="str">
        <f t="shared" ref="H163" si="67">Preferences.energy</f>
        <v>EJ</v>
      </c>
      <c r="I163" s="427">
        <f t="array" aca="1" ref="I163" ca="1">-SUM((G.30.energy[[#This Row],[Code]]=G.30.assumptions.EnergyDemandAfterCCS[Technology code])
        *INDIRECT("G.30.assumptions.EnergyDemandAfterCCS["&amp;I$9&amp;"]"))</f>
        <v>-0.18690202814673121</v>
      </c>
      <c r="J163" s="427"/>
      <c r="K163" s="427"/>
      <c r="L163" s="427"/>
      <c r="M163" s="427"/>
      <c r="N163" s="427"/>
      <c r="O163" s="427"/>
      <c r="P163" s="427"/>
      <c r="Q163" s="427"/>
    </row>
    <row r="164" spans="2:17" ht="14">
      <c r="B164" s="255"/>
      <c r="C164" s="219" t="s">
        <v>1848</v>
      </c>
      <c r="D164" s="219" t="str">
        <f>INDEX(Regional.Technologies[Description],MATCH($B$2&amp;"."&amp;G.30.energy[[#This Row],[Code]],Regional.Technologies[Code],0))</f>
        <v>Global Natural Gas use in the Pulp &amp; paper: Pulp technology</v>
      </c>
      <c r="F164" s="219" t="s">
        <v>628</v>
      </c>
      <c r="G164" s="219" t="str">
        <f>INDEX(Regional.energy[Description],MATCH(G.30.energy[[#This Row],[Energy vector]],Regional.energy[Regional energy code],0))</f>
        <v>Global Natural gas</v>
      </c>
      <c r="H164" s="219" t="str">
        <f t="shared" ref="H164" si="68">Preferences.energy</f>
        <v>EJ</v>
      </c>
      <c r="I164" s="427">
        <f t="array" aca="1" ref="I164" ca="1">-SUM((G.30.energy[[#This Row],[Code]]=G.30.assumptions.EnergyDemandAfterCCS[Technology code])
        *INDIRECT("G.30.assumptions.EnergyDemandAfterCCS["&amp;I$9&amp;"]"))</f>
        <v>-0.47643652328594177</v>
      </c>
      <c r="J164" s="427"/>
      <c r="K164" s="427"/>
      <c r="L164" s="427"/>
      <c r="M164" s="427"/>
      <c r="N164" s="427"/>
      <c r="O164" s="427"/>
      <c r="P164" s="427"/>
      <c r="Q164" s="427"/>
    </row>
    <row r="165" spans="2:17" ht="14">
      <c r="B165" s="255"/>
      <c r="C165" s="219" t="s">
        <v>1849</v>
      </c>
      <c r="D165" s="219" t="str">
        <f>INDEX(Regional.Technologies[Description],MATCH($B$2&amp;"."&amp;G.30.energy[[#This Row],[Code]],Regional.Technologies[Code],0))</f>
        <v>Global Solid Hydrocarbons use in the Pulp &amp; paper: Pulp technology</v>
      </c>
      <c r="F165" s="219" t="s">
        <v>370</v>
      </c>
      <c r="G165" s="219" t="str">
        <f>INDEX(Regional.energy[Description],MATCH(G.30.energy[[#This Row],[Energy vector]],Regional.energy[Regional energy code],0))</f>
        <v>Global Solid hydrocarbons</v>
      </c>
      <c r="H165" s="219" t="str">
        <f t="shared" ref="H165" si="69">Preferences.energy</f>
        <v>EJ</v>
      </c>
      <c r="I165" s="427">
        <f t="array" aca="1" ref="I165" ca="1">-SUM((G.30.energy[[#This Row],[Code]]=G.30.assumptions.EnergyDemandAfterCCS[Technology code])
        *INDIRECT("G.30.assumptions.EnergyDemandAfterCCS["&amp;I$9&amp;"]"))</f>
        <v>-1.1015070797346034</v>
      </c>
      <c r="J165" s="427"/>
      <c r="K165" s="427"/>
      <c r="L165" s="427"/>
      <c r="M165" s="427"/>
      <c r="N165" s="427"/>
      <c r="O165" s="427"/>
      <c r="P165" s="427"/>
      <c r="Q165" s="427"/>
    </row>
    <row r="166" spans="2:17" ht="14">
      <c r="B166" s="255"/>
      <c r="C166" s="219" t="s">
        <v>1850</v>
      </c>
      <c r="D166" s="219" t="str">
        <f>INDEX(Regional.Technologies[Description],MATCH($B$2&amp;"."&amp;G.30.energy[[#This Row],[Code]],Regional.Technologies[Code],0))</f>
        <v>Global Heat use in the Pulp &amp; paper: Pulp technology</v>
      </c>
      <c r="F166" s="219" t="s">
        <v>1351</v>
      </c>
      <c r="G166" s="219" t="str">
        <f>INDEX(Regional.energy[Description],MATCH(G.30.energy[[#This Row],[Energy vector]],Regional.energy[Regional energy code],0))</f>
        <v>Global Heat transport</v>
      </c>
      <c r="H166" s="219" t="str">
        <f t="shared" ref="H166" si="70">Preferences.energy</f>
        <v>EJ</v>
      </c>
      <c r="I166" s="427">
        <f t="array" aca="1" ref="I166" ca="1">-SUM((G.30.energy[[#This Row],[Code]]=G.30.assumptions.EnergyDemandAfterCCS[Technology code])
        *INDIRECT("G.30.assumptions.EnergyDemandAfterCCS["&amp;I$9&amp;"]"))</f>
        <v>0</v>
      </c>
      <c r="J166" s="427"/>
      <c r="K166" s="427"/>
      <c r="L166" s="427"/>
      <c r="M166" s="427"/>
      <c r="N166" s="427"/>
      <c r="O166" s="427"/>
      <c r="P166" s="427"/>
      <c r="Q166" s="427"/>
    </row>
    <row r="167" spans="2:17" ht="14">
      <c r="B167" s="255"/>
      <c r="C167" s="219" t="s">
        <v>1631</v>
      </c>
      <c r="D167" s="219" t="str">
        <f>INDEX(Regional.Technologies[Description],MATCH($B$2&amp;"."&amp;G.30.energy[[#This Row],[Code]],Regional.Technologies[Code],0))</f>
        <v>Global Electricity use in the Pulp &amp; paper: Virgin technology</v>
      </c>
      <c r="F167" s="219" t="s">
        <v>1349</v>
      </c>
      <c r="G167" s="219" t="str">
        <f>INDEX(Regional.energy[Description],MATCH(G.30.energy[[#This Row],[Energy vector]],Regional.energy[Regional energy code],0))</f>
        <v>Global Electricity (delivered to end user)</v>
      </c>
      <c r="H167" s="219" t="str">
        <f t="shared" ref="H167" si="71">Preferences.energy</f>
        <v>EJ</v>
      </c>
      <c r="I167" s="427">
        <f t="array" aca="1" ref="I167" ca="1">-SUM((G.30.energy[[#This Row],[Code]]=G.30.assumptions.EnergyDemandAfterCCS[Technology code])
        *INDIRECT("G.30.assumptions.EnergyDemandAfterCCS["&amp;I$9&amp;"]"))</f>
        <v>-0.96830205621334242</v>
      </c>
      <c r="J167" s="427"/>
      <c r="K167" s="427"/>
      <c r="L167" s="427"/>
      <c r="M167" s="427"/>
      <c r="N167" s="427"/>
      <c r="O167" s="427"/>
      <c r="P167" s="427"/>
      <c r="Q167" s="427"/>
    </row>
    <row r="168" spans="2:17" ht="14">
      <c r="B168" s="255"/>
      <c r="C168" s="219" t="s">
        <v>1851</v>
      </c>
      <c r="D168" s="219" t="str">
        <f>INDEX(Regional.Technologies[Description],MATCH($B$2&amp;"."&amp;G.30.energy[[#This Row],[Code]],Regional.Technologies[Code],0))</f>
        <v>Global Coal use in the Pulp &amp; paper: Virgin technology</v>
      </c>
      <c r="F168" s="219" t="s">
        <v>626</v>
      </c>
      <c r="G168" s="219" t="str">
        <f>INDEX(Regional.energy[Description],MATCH(G.30.energy[[#This Row],[Energy vector]],Regional.energy[Regional energy code],0))</f>
        <v>Global Coal and fossil waste</v>
      </c>
      <c r="H168" s="219" t="str">
        <f t="shared" ref="H168" si="72">Preferences.energy</f>
        <v>EJ</v>
      </c>
      <c r="I168" s="427">
        <f t="array" aca="1" ref="I168" ca="1">-SUM((G.30.energy[[#This Row],[Code]]=G.30.assumptions.EnergyDemandAfterCCS[Technology code])
        *INDIRECT("G.30.assumptions.EnergyDemandAfterCCS["&amp;I$9&amp;"]"))</f>
        <v>-0.77413991162387541</v>
      </c>
      <c r="J168" s="427"/>
      <c r="K168" s="427"/>
      <c r="L168" s="427"/>
      <c r="M168" s="427"/>
      <c r="N168" s="427"/>
      <c r="O168" s="427"/>
      <c r="P168" s="427"/>
      <c r="Q168" s="427"/>
    </row>
    <row r="169" spans="2:17" ht="14">
      <c r="B169" s="255"/>
      <c r="C169" s="219" t="s">
        <v>1852</v>
      </c>
      <c r="D169" s="219" t="str">
        <f>INDEX(Regional.Technologies[Description],MATCH($B$2&amp;"."&amp;G.30.energy[[#This Row],[Code]],Regional.Technologies[Code],0))</f>
        <v>Global Oil use in the Pulp &amp; paper: Virgin technology</v>
      </c>
      <c r="F169" s="219" t="s">
        <v>627</v>
      </c>
      <c r="G169" s="219" t="str">
        <f>INDEX(Regional.energy[Description],MATCH(G.30.energy[[#This Row],[Energy vector]],Regional.energy[Regional energy code],0))</f>
        <v>Global Oil and petroleum products</v>
      </c>
      <c r="H169" s="219" t="str">
        <f t="shared" ref="H169" si="73">Preferences.energy</f>
        <v>EJ</v>
      </c>
      <c r="I169" s="427">
        <f t="array" aca="1" ref="I169" ca="1">-SUM((G.30.energy[[#This Row],[Code]]=G.30.assumptions.EnergyDemandAfterCCS[Technology code])
        *INDIRECT("G.30.assumptions.EnergyDemandAfterCCS["&amp;I$9&amp;"]"))</f>
        <v>-0.17969717966158166</v>
      </c>
      <c r="J169" s="427"/>
      <c r="K169" s="427"/>
      <c r="L169" s="427"/>
      <c r="M169" s="427"/>
      <c r="N169" s="427"/>
      <c r="O169" s="427"/>
      <c r="P169" s="427"/>
      <c r="Q169" s="427"/>
    </row>
    <row r="170" spans="2:17" ht="14">
      <c r="B170" s="255"/>
      <c r="C170" s="219" t="s">
        <v>1853</v>
      </c>
      <c r="D170" s="219" t="str">
        <f>INDEX(Regional.Technologies[Description],MATCH($B$2&amp;"."&amp;G.30.energy[[#This Row],[Code]],Regional.Technologies[Code],0))</f>
        <v>Global Natural Gas use in the Pulp &amp; paper: Virgin technology</v>
      </c>
      <c r="F170" s="219" t="s">
        <v>628</v>
      </c>
      <c r="G170" s="219" t="str">
        <f>INDEX(Regional.energy[Description],MATCH(G.30.energy[[#This Row],[Energy vector]],Regional.energy[Regional energy code],0))</f>
        <v>Global Natural gas</v>
      </c>
      <c r="H170" s="219" t="str">
        <f t="shared" ref="H170" si="74">Preferences.energy</f>
        <v>EJ</v>
      </c>
      <c r="I170" s="427">
        <f t="array" aca="1" ref="I170" ca="1">-SUM((G.30.energy[[#This Row],[Code]]=G.30.assumptions.EnergyDemandAfterCCS[Technology code])
        *INDIRECT("G.30.assumptions.EnergyDemandAfterCCS["&amp;I$9&amp;"]"))</f>
        <v>-0.45387282618987923</v>
      </c>
      <c r="J170" s="427"/>
      <c r="K170" s="427"/>
      <c r="L170" s="427"/>
      <c r="M170" s="427"/>
      <c r="N170" s="427"/>
      <c r="O170" s="427"/>
      <c r="P170" s="427"/>
      <c r="Q170" s="427"/>
    </row>
    <row r="171" spans="2:17" ht="14">
      <c r="B171" s="255"/>
      <c r="C171" s="219" t="s">
        <v>1854</v>
      </c>
      <c r="D171" s="219" t="str">
        <f>INDEX(Regional.Technologies[Description],MATCH($B$2&amp;"."&amp;G.30.energy[[#This Row],[Code]],Regional.Technologies[Code],0))</f>
        <v>Global Solid Hydrocarbons use in the Pulp &amp; paper: Virgin technology</v>
      </c>
      <c r="F171" s="219" t="s">
        <v>370</v>
      </c>
      <c r="G171" s="219" t="str">
        <f>INDEX(Regional.energy[Description],MATCH(G.30.energy[[#This Row],[Energy vector]],Regional.energy[Regional energy code],0))</f>
        <v>Global Solid hydrocarbons</v>
      </c>
      <c r="H171" s="219" t="str">
        <f t="shared" ref="H171" si="75">Preferences.energy</f>
        <v>EJ</v>
      </c>
      <c r="I171" s="427">
        <f t="array" aca="1" ref="I171" ca="1">-SUM((G.30.energy[[#This Row],[Code]]=G.30.assumptions.EnergyDemandAfterCCS[Technology code])
        *INDIRECT("G.30.assumptions.EnergyDemandAfterCCS["&amp;I$9&amp;"]"))</f>
        <v>-0.68393967671459854</v>
      </c>
      <c r="J171" s="427"/>
      <c r="K171" s="427"/>
      <c r="L171" s="427"/>
      <c r="M171" s="427"/>
      <c r="N171" s="427"/>
      <c r="O171" s="427"/>
      <c r="P171" s="427"/>
      <c r="Q171" s="427"/>
    </row>
    <row r="172" spans="2:17" ht="14">
      <c r="B172" s="255"/>
      <c r="C172" s="219" t="s">
        <v>1855</v>
      </c>
      <c r="D172" s="219" t="str">
        <f>INDEX(Regional.Technologies[Description],MATCH($B$2&amp;"."&amp;G.30.energy[[#This Row],[Code]],Regional.Technologies[Code],0))</f>
        <v>Global Heat use in the Pulp &amp; paper: Virgin technology</v>
      </c>
      <c r="F172" s="219" t="s">
        <v>1351</v>
      </c>
      <c r="G172" s="219" t="str">
        <f>INDEX(Regional.energy[Description],MATCH(G.30.energy[[#This Row],[Energy vector]],Regional.energy[Regional energy code],0))</f>
        <v>Global Heat transport</v>
      </c>
      <c r="H172" s="219" t="str">
        <f t="shared" ref="H172" si="76">Preferences.energy</f>
        <v>EJ</v>
      </c>
      <c r="I172" s="427">
        <f t="array" aca="1" ref="I172" ca="1">-SUM((G.30.energy[[#This Row],[Code]]=G.30.assumptions.EnergyDemandAfterCCS[Technology code])
        *INDIRECT("G.30.assumptions.EnergyDemandAfterCCS["&amp;I$9&amp;"]"))</f>
        <v>0</v>
      </c>
      <c r="J172" s="427"/>
      <c r="K172" s="427"/>
      <c r="L172" s="427"/>
      <c r="M172" s="427"/>
      <c r="N172" s="427"/>
      <c r="O172" s="427"/>
      <c r="P172" s="427"/>
      <c r="Q172" s="427"/>
    </row>
    <row r="173" spans="2:17" ht="14">
      <c r="B173" s="255"/>
      <c r="C173" s="219" t="s">
        <v>1632</v>
      </c>
      <c r="D173" s="219" t="str">
        <f>INDEX(Regional.Technologies[Description],MATCH($B$2&amp;"."&amp;G.30.energy[[#This Row],[Code]],Regional.Technologies[Code],0))</f>
        <v>Global Electricity use in the Pulp &amp; paper: Recycled technology</v>
      </c>
      <c r="F173" s="219" t="s">
        <v>1349</v>
      </c>
      <c r="G173" s="219" t="str">
        <f>INDEX(Regional.energy[Description],MATCH(G.30.energy[[#This Row],[Energy vector]],Regional.energy[Regional energy code],0))</f>
        <v>Global Electricity (delivered to end user)</v>
      </c>
      <c r="H173" s="219" t="str">
        <f t="shared" ref="H173" si="77">Preferences.energy</f>
        <v>EJ</v>
      </c>
      <c r="I173" s="427">
        <f t="array" aca="1" ref="I173" ca="1">-SUM((G.30.energy[[#This Row],[Code]]=G.30.assumptions.EnergyDemandAfterCCS[Technology code])
        *INDIRECT("G.30.assumptions.EnergyDemandAfterCCS["&amp;I$9&amp;"]"))</f>
        <v>-0.22638860872541189</v>
      </c>
      <c r="J173" s="427"/>
      <c r="K173" s="427"/>
      <c r="L173" s="427"/>
      <c r="M173" s="427"/>
      <c r="N173" s="427"/>
      <c r="O173" s="427"/>
      <c r="P173" s="427"/>
      <c r="Q173" s="427"/>
    </row>
    <row r="174" spans="2:17" ht="14">
      <c r="B174" s="255"/>
      <c r="C174" s="219" t="s">
        <v>1856</v>
      </c>
      <c r="D174" s="219" t="str">
        <f>INDEX(Regional.Technologies[Description],MATCH($B$2&amp;"."&amp;G.30.energy[[#This Row],[Code]],Regional.Technologies[Code],0))</f>
        <v>Global Coal use in the Pulp &amp; paper: Recycled technology</v>
      </c>
      <c r="F174" s="219" t="s">
        <v>626</v>
      </c>
      <c r="G174" s="219" t="str">
        <f>INDEX(Regional.energy[Description],MATCH(G.30.energy[[#This Row],[Energy vector]],Regional.energy[Regional energy code],0))</f>
        <v>Global Coal and fossil waste</v>
      </c>
      <c r="H174" s="219" t="str">
        <f t="shared" ref="H174" si="78">Preferences.energy</f>
        <v>EJ</v>
      </c>
      <c r="I174" s="427">
        <f t="array" aca="1" ref="I174" ca="1">-SUM((G.30.energy[[#This Row],[Code]]=G.30.assumptions.EnergyDemandAfterCCS[Technology code])
        *INDIRECT("G.30.assumptions.EnergyDemandAfterCCS["&amp;I$9&amp;"]"))</f>
        <v>-0.14639565534575039</v>
      </c>
      <c r="J174" s="427"/>
      <c r="K174" s="427"/>
      <c r="L174" s="427"/>
      <c r="M174" s="427"/>
      <c r="N174" s="427"/>
      <c r="O174" s="427"/>
      <c r="P174" s="427"/>
      <c r="Q174" s="427"/>
    </row>
    <row r="175" spans="2:17" ht="14">
      <c r="B175" s="255"/>
      <c r="C175" s="219" t="s">
        <v>1857</v>
      </c>
      <c r="D175" s="219" t="str">
        <f>INDEX(Regional.Technologies[Description],MATCH($B$2&amp;"."&amp;G.30.energy[[#This Row],[Code]],Regional.Technologies[Code],0))</f>
        <v>Global Oil use in the Pulp &amp; paper: Recycled technology</v>
      </c>
      <c r="F175" s="219" t="s">
        <v>627</v>
      </c>
      <c r="G175" s="219" t="str">
        <f>INDEX(Regional.energy[Description],MATCH(G.30.energy[[#This Row],[Energy vector]],Regional.energy[Regional energy code],0))</f>
        <v>Global Oil and petroleum products</v>
      </c>
      <c r="H175" s="219" t="str">
        <f t="shared" ref="H175" si="79">Preferences.energy</f>
        <v>EJ</v>
      </c>
      <c r="I175" s="427">
        <f t="array" aca="1" ref="I175" ca="1">-SUM((G.30.energy[[#This Row],[Code]]=G.30.assumptions.EnergyDemandAfterCCS[Technology code])
        *INDIRECT("G.30.assumptions.EnergyDemandAfterCCS["&amp;I$9&amp;"]"))</f>
        <v>-3.8700157409069846E-2</v>
      </c>
      <c r="J175" s="427"/>
      <c r="K175" s="427"/>
      <c r="L175" s="427"/>
      <c r="M175" s="427"/>
      <c r="N175" s="427"/>
      <c r="O175" s="427"/>
      <c r="P175" s="427"/>
      <c r="Q175" s="427"/>
    </row>
    <row r="176" spans="2:17" ht="14">
      <c r="B176" s="255"/>
      <c r="C176" s="219" t="s">
        <v>1858</v>
      </c>
      <c r="D176" s="219" t="str">
        <f>INDEX(Regional.Technologies[Description],MATCH($B$2&amp;"."&amp;G.30.energy[[#This Row],[Code]],Regional.Technologies[Code],0))</f>
        <v>Global Natural Gas use in the Pulp &amp; paper: Recycled technology</v>
      </c>
      <c r="F176" s="219" t="s">
        <v>628</v>
      </c>
      <c r="G176" s="219" t="str">
        <f>INDEX(Regional.energy[Description],MATCH(G.30.energy[[#This Row],[Energy vector]],Regional.energy[Regional energy code],0))</f>
        <v>Global Natural gas</v>
      </c>
      <c r="H176" s="219" t="str">
        <f t="shared" ref="H176" si="80">Preferences.energy</f>
        <v>EJ</v>
      </c>
      <c r="I176" s="427">
        <f t="array" aca="1" ref="I176" ca="1">-SUM((G.30.energy[[#This Row],[Code]]=G.30.assumptions.EnergyDemandAfterCCS[Technology code])
        *INDIRECT("G.30.assumptions.EnergyDemandAfterCCS["&amp;I$9&amp;"]"))</f>
        <v>-0.11936470129372101</v>
      </c>
      <c r="J176" s="427"/>
      <c r="K176" s="427"/>
      <c r="L176" s="427"/>
      <c r="M176" s="427"/>
      <c r="N176" s="427"/>
      <c r="O176" s="427"/>
      <c r="P176" s="427"/>
      <c r="Q176" s="427"/>
    </row>
    <row r="177" spans="2:17" ht="14">
      <c r="B177" s="255"/>
      <c r="C177" s="219" t="s">
        <v>1859</v>
      </c>
      <c r="D177" s="219" t="str">
        <f>INDEX(Regional.Technologies[Description],MATCH($B$2&amp;"."&amp;G.30.energy[[#This Row],[Code]],Regional.Technologies[Code],0))</f>
        <v>Global Solid Hydrocarbons use in the Pulp &amp; paper: Recycled technology</v>
      </c>
      <c r="F177" s="219" t="s">
        <v>370</v>
      </c>
      <c r="G177" s="219" t="str">
        <f>INDEX(Regional.energy[Description],MATCH(G.30.energy[[#This Row],[Energy vector]],Regional.energy[Regional energy code],0))</f>
        <v>Global Solid hydrocarbons</v>
      </c>
      <c r="H177" s="219" t="str">
        <f t="shared" ref="H177" si="81">Preferences.energy</f>
        <v>EJ</v>
      </c>
      <c r="I177" s="427">
        <f t="array" aca="1" ref="I177" ca="1">-SUM((G.30.energy[[#This Row],[Code]]=G.30.assumptions.EnergyDemandAfterCCS[Technology code])
        *INDIRECT("G.30.assumptions.EnergyDemandAfterCCS["&amp;I$9&amp;"]"))</f>
        <v>0</v>
      </c>
      <c r="J177" s="427"/>
      <c r="K177" s="427"/>
      <c r="L177" s="427"/>
      <c r="M177" s="427"/>
      <c r="N177" s="427"/>
      <c r="O177" s="427"/>
      <c r="P177" s="427"/>
      <c r="Q177" s="427"/>
    </row>
    <row r="178" spans="2:17" ht="14">
      <c r="B178" s="255"/>
      <c r="C178" s="219" t="s">
        <v>1860</v>
      </c>
      <c r="D178" s="219" t="str">
        <f>INDEX(Regional.Technologies[Description],MATCH($B$2&amp;"."&amp;G.30.energy[[#This Row],[Code]],Regional.Technologies[Code],0))</f>
        <v>Global Heat use in the Pulp &amp; paper: Recycled technology</v>
      </c>
      <c r="F178" s="219" t="s">
        <v>1351</v>
      </c>
      <c r="G178" s="219" t="str">
        <f>INDEX(Regional.energy[Description],MATCH(G.30.energy[[#This Row],[Energy vector]],Regional.energy[Regional energy code],0))</f>
        <v>Global Heat transport</v>
      </c>
      <c r="H178" s="219" t="str">
        <f t="shared" ref="H178" si="82">Preferences.energy</f>
        <v>EJ</v>
      </c>
      <c r="I178" s="427">
        <f t="array" aca="1" ref="I178" ca="1">-SUM((G.30.energy[[#This Row],[Code]]=G.30.assumptions.EnergyDemandAfterCCS[Technology code])
        *INDIRECT("G.30.assumptions.EnergyDemandAfterCCS["&amp;I$9&amp;"]"))</f>
        <v>0</v>
      </c>
      <c r="J178" s="427"/>
      <c r="K178" s="427"/>
      <c r="L178" s="427"/>
      <c r="M178" s="427"/>
      <c r="N178" s="427"/>
      <c r="O178" s="427"/>
      <c r="P178" s="427"/>
      <c r="Q178" s="427"/>
    </row>
    <row r="179" spans="2:17" ht="14">
      <c r="B179" s="255"/>
      <c r="C179" s="219" t="s">
        <v>1633</v>
      </c>
      <c r="D179" s="219" t="str">
        <f>INDEX(Regional.Technologies[Description],MATCH($B$2&amp;"."&amp;G.30.energy[[#This Row],[Code]],Regional.Technologies[Code],0))</f>
        <v>Global Electricity use in the Cement technology</v>
      </c>
      <c r="F179" s="219" t="s">
        <v>1349</v>
      </c>
      <c r="G179" s="219" t="str">
        <f>INDEX(Regional.energy[Description],MATCH(G.30.energy[[#This Row],[Energy vector]],Regional.energy[Regional energy code],0))</f>
        <v>Global Electricity (delivered to end user)</v>
      </c>
      <c r="H179" s="219" t="str">
        <f t="shared" ref="H179" si="83">Preferences.energy</f>
        <v>EJ</v>
      </c>
      <c r="I179" s="427">
        <f t="array" aca="1" ref="I179" ca="1">-SUM((G.30.energy[[#This Row],[Code]]=G.30.assumptions.EnergyDemandAfterCCS[Technology code])
        *INDIRECT("G.30.assumptions.EnergyDemandAfterCCS["&amp;I$9&amp;"]"))</f>
        <v>-1.2878995795200781</v>
      </c>
      <c r="J179" s="427"/>
      <c r="K179" s="427"/>
      <c r="L179" s="427"/>
      <c r="M179" s="427"/>
      <c r="N179" s="427"/>
      <c r="O179" s="427"/>
      <c r="P179" s="427"/>
      <c r="Q179" s="427"/>
    </row>
    <row r="180" spans="2:17" ht="14">
      <c r="B180" s="255"/>
      <c r="C180" s="219" t="s">
        <v>1861</v>
      </c>
      <c r="D180" s="219" t="str">
        <f>INDEX(Regional.Technologies[Description],MATCH($B$2&amp;"."&amp;G.30.energy[[#This Row],[Code]],Regional.Technologies[Code],0))</f>
        <v>Global Coal use in the Cement technology</v>
      </c>
      <c r="F180" s="219" t="s">
        <v>626</v>
      </c>
      <c r="G180" s="219" t="str">
        <f>INDEX(Regional.energy[Description],MATCH(G.30.energy[[#This Row],[Energy vector]],Regional.energy[Regional energy code],0))</f>
        <v>Global Coal and fossil waste</v>
      </c>
      <c r="H180" s="219" t="str">
        <f t="shared" ref="H180" si="84">Preferences.energy</f>
        <v>EJ</v>
      </c>
      <c r="I180" s="427">
        <f t="array" aca="1" ref="I180" ca="1">-SUM((G.30.energy[[#This Row],[Code]]=G.30.assumptions.EnergyDemandAfterCCS[Technology code])
        *INDIRECT("G.30.assumptions.EnergyDemandAfterCCS["&amp;I$9&amp;"]"))</f>
        <v>-6.8409905230434269</v>
      </c>
      <c r="J180" s="427"/>
      <c r="K180" s="427"/>
      <c r="L180" s="427"/>
      <c r="M180" s="427"/>
      <c r="N180" s="427"/>
      <c r="O180" s="427"/>
      <c r="P180" s="427"/>
      <c r="Q180" s="427"/>
    </row>
    <row r="181" spans="2:17" ht="14">
      <c r="B181" s="255"/>
      <c r="C181" s="219" t="s">
        <v>1862</v>
      </c>
      <c r="D181" s="219" t="str">
        <f>INDEX(Regional.Technologies[Description],MATCH($B$2&amp;"."&amp;G.30.energy[[#This Row],[Code]],Regional.Technologies[Code],0))</f>
        <v>Global Oil use in the Cement technology</v>
      </c>
      <c r="F181" s="219" t="s">
        <v>627</v>
      </c>
      <c r="G181" s="219" t="str">
        <f>INDEX(Regional.energy[Description],MATCH(G.30.energy[[#This Row],[Energy vector]],Regional.energy[Regional energy code],0))</f>
        <v>Global Oil and petroleum products</v>
      </c>
      <c r="H181" s="219" t="str">
        <f t="shared" ref="H181" si="85">Preferences.energy</f>
        <v>EJ</v>
      </c>
      <c r="I181" s="427">
        <f t="array" aca="1" ref="I181" ca="1">-SUM((G.30.energy[[#This Row],[Code]]=G.30.assumptions.EnergyDemandAfterCCS[Technology code])
        *INDIRECT("G.30.assumptions.EnergyDemandAfterCCS["&amp;I$9&amp;"]"))</f>
        <v>-1.1283944201925584</v>
      </c>
      <c r="J181" s="427"/>
      <c r="K181" s="427"/>
      <c r="L181" s="427"/>
      <c r="M181" s="427"/>
      <c r="N181" s="427"/>
      <c r="O181" s="427"/>
      <c r="P181" s="427"/>
      <c r="Q181" s="427"/>
    </row>
    <row r="182" spans="2:17" ht="14">
      <c r="B182" s="255"/>
      <c r="C182" s="219" t="s">
        <v>1863</v>
      </c>
      <c r="D182" s="219" t="str">
        <f>INDEX(Regional.Technologies[Description],MATCH($B$2&amp;"."&amp;G.30.energy[[#This Row],[Code]],Regional.Technologies[Code],0))</f>
        <v>Global Natural Gas use in the Cement technology</v>
      </c>
      <c r="F182" s="219" t="s">
        <v>628</v>
      </c>
      <c r="G182" s="219" t="str">
        <f>INDEX(Regional.energy[Description],MATCH(G.30.energy[[#This Row],[Energy vector]],Regional.energy[Regional energy code],0))</f>
        <v>Global Natural gas</v>
      </c>
      <c r="H182" s="219" t="str">
        <f t="shared" ref="H182" si="86">Preferences.energy</f>
        <v>EJ</v>
      </c>
      <c r="I182" s="427">
        <f t="array" aca="1" ref="I182" ca="1">-SUM((G.30.energy[[#This Row],[Code]]=G.30.assumptions.EnergyDemandAfterCCS[Technology code])
        *INDIRECT("G.30.assumptions.EnergyDemandAfterCCS["&amp;I$9&amp;"]"))</f>
        <v>-0.82844526016904574</v>
      </c>
      <c r="J182" s="427"/>
      <c r="K182" s="427"/>
      <c r="L182" s="427"/>
      <c r="M182" s="427"/>
      <c r="N182" s="427"/>
      <c r="O182" s="427"/>
      <c r="P182" s="427"/>
      <c r="Q182" s="427"/>
    </row>
    <row r="183" spans="2:17" ht="14">
      <c r="B183" s="255"/>
      <c r="C183" s="219" t="s">
        <v>1864</v>
      </c>
      <c r="D183" s="219" t="str">
        <f>INDEX(Regional.Technologies[Description],MATCH($B$2&amp;"."&amp;G.30.energy[[#This Row],[Code]],Regional.Technologies[Code],0))</f>
        <v>Global Solid Hydrocarbons use in the Cement technology</v>
      </c>
      <c r="F183" s="219" t="s">
        <v>370</v>
      </c>
      <c r="G183" s="219" t="str">
        <f>INDEX(Regional.energy[Description],MATCH(G.30.energy[[#This Row],[Energy vector]],Regional.energy[Regional energy code],0))</f>
        <v>Global Solid hydrocarbons</v>
      </c>
      <c r="H183" s="219" t="str">
        <f t="shared" ref="H183" si="87">Preferences.energy</f>
        <v>EJ</v>
      </c>
      <c r="I183" s="427">
        <f t="array" aca="1" ref="I183" ca="1">-SUM((G.30.energy[[#This Row],[Code]]=G.30.assumptions.EnergyDemandAfterCCS[Technology code])
        *INDIRECT("G.30.assumptions.EnergyDemandAfterCCS["&amp;I$9&amp;"]"))</f>
        <v>-0.49199351442122363</v>
      </c>
      <c r="J183" s="427"/>
      <c r="K183" s="427"/>
      <c r="L183" s="427"/>
      <c r="M183" s="427"/>
      <c r="N183" s="427"/>
      <c r="O183" s="427"/>
      <c r="P183" s="427"/>
      <c r="Q183" s="427"/>
    </row>
    <row r="184" spans="2:17" ht="14">
      <c r="B184" s="255"/>
      <c r="C184" s="219" t="s">
        <v>1638</v>
      </c>
      <c r="D184" s="219" t="str">
        <f>INDEX(Regional.Technologies[Description],MATCH($B$2&amp;"."&amp;G.30.energy[[#This Row],[Code]],Regional.Technologies[Code],0))</f>
        <v>Global Heat use in the Cement technology</v>
      </c>
      <c r="F184" s="219" t="s">
        <v>1351</v>
      </c>
      <c r="G184" s="219" t="str">
        <f>INDEX(Regional.energy[Description],MATCH(G.30.energy[[#This Row],[Energy vector]],Regional.energy[Regional energy code],0))</f>
        <v>Global Heat transport</v>
      </c>
      <c r="H184" s="219" t="str">
        <f t="shared" ref="H184" si="88">Preferences.energy</f>
        <v>EJ</v>
      </c>
      <c r="I184" s="427">
        <f t="array" aca="1" ref="I184" ca="1">-SUM((G.30.energy[[#This Row],[Code]]=G.30.assumptions.EnergyDemandAfterCCS[Technology code])
        *INDIRECT("G.30.assumptions.EnergyDemandAfterCCS["&amp;I$9&amp;"]"))</f>
        <v>0</v>
      </c>
      <c r="J184" s="427"/>
      <c r="K184" s="427"/>
      <c r="L184" s="427"/>
      <c r="M184" s="427"/>
      <c r="N184" s="427"/>
      <c r="O184" s="427"/>
      <c r="P184" s="427"/>
      <c r="Q184" s="427"/>
    </row>
    <row r="185" spans="2:17" ht="14">
      <c r="B185" s="255"/>
      <c r="C185" s="219" t="s">
        <v>1634</v>
      </c>
      <c r="D185" s="219" t="str">
        <f>INDEX(Regional.Technologies[Description],MATCH($B$2&amp;"."&amp;G.30.energy[[#This Row],[Code]],Regional.Technologies[Code],0))</f>
        <v>Global Electricity use in the Other industries technology</v>
      </c>
      <c r="F185" s="219" t="s">
        <v>1349</v>
      </c>
      <c r="G185" s="219" t="str">
        <f>INDEX(Regional.energy[Description],MATCH(G.30.energy[[#This Row],[Energy vector]],Regional.energy[Regional energy code],0))</f>
        <v>Global Electricity (delivered to end user)</v>
      </c>
      <c r="H185" s="219" t="str">
        <f t="shared" ref="H185" si="89">Preferences.energy</f>
        <v>EJ</v>
      </c>
      <c r="I185" s="427">
        <f t="array" aca="1" ref="I185" ca="1">-SUM((G.30.energy[[#This Row],[Code]]=G.30.assumptions.EnergyDemandAfterCCS[Technology code])
        *INDIRECT("G.30.assumptions.EnergyDemandAfterCCS["&amp;I$9&amp;"]"))</f>
        <v>-14.492680358828368</v>
      </c>
      <c r="J185" s="427"/>
      <c r="K185" s="427"/>
      <c r="L185" s="427"/>
      <c r="M185" s="427"/>
      <c r="N185" s="427"/>
      <c r="O185" s="427"/>
      <c r="P185" s="427"/>
      <c r="Q185" s="427"/>
    </row>
    <row r="186" spans="2:17" ht="14">
      <c r="B186" s="255"/>
      <c r="C186" s="219" t="s">
        <v>1865</v>
      </c>
      <c r="D186" s="219" t="str">
        <f>INDEX(Regional.Technologies[Description],MATCH($B$2&amp;"."&amp;G.30.energy[[#This Row],[Code]],Regional.Technologies[Code],0))</f>
        <v>Global Coal use in the Other industries technology</v>
      </c>
      <c r="F186" s="219" t="s">
        <v>626</v>
      </c>
      <c r="G186" s="219" t="str">
        <f>INDEX(Regional.energy[Description],MATCH(G.30.energy[[#This Row],[Energy vector]],Regional.energy[Regional energy code],0))</f>
        <v>Global Coal and fossil waste</v>
      </c>
      <c r="H186" s="219" t="str">
        <f t="shared" ref="H186" si="90">Preferences.energy</f>
        <v>EJ</v>
      </c>
      <c r="I186" s="427">
        <f t="array" aca="1" ref="I186" ca="1">-SUM((G.30.energy[[#This Row],[Code]]=G.30.assumptions.EnergyDemandAfterCCS[Technology code])
        *INDIRECT("G.30.assumptions.EnergyDemandAfterCCS["&amp;I$9&amp;"]"))</f>
        <v>-7.1683560026671529</v>
      </c>
      <c r="J186" s="427"/>
      <c r="K186" s="427"/>
      <c r="L186" s="427"/>
      <c r="M186" s="427"/>
      <c r="N186" s="427"/>
      <c r="O186" s="427"/>
      <c r="P186" s="427"/>
      <c r="Q186" s="427"/>
    </row>
    <row r="187" spans="2:17" ht="14">
      <c r="B187" s="255"/>
      <c r="C187" s="219" t="s">
        <v>1866</v>
      </c>
      <c r="D187" s="219" t="str">
        <f>INDEX(Regional.Technologies[Description],MATCH($B$2&amp;"."&amp;G.30.energy[[#This Row],[Code]],Regional.Technologies[Code],0))</f>
        <v>Global Oil use in the Other industries technology</v>
      </c>
      <c r="F187" s="219" t="s">
        <v>627</v>
      </c>
      <c r="G187" s="219" t="str">
        <f>INDEX(Regional.energy[Description],MATCH(G.30.energy[[#This Row],[Energy vector]],Regional.energy[Regional energy code],0))</f>
        <v>Global Oil and petroleum products</v>
      </c>
      <c r="H187" s="219" t="str">
        <f t="shared" ref="H187" si="91">Preferences.energy</f>
        <v>EJ</v>
      </c>
      <c r="I187" s="427">
        <f t="array" aca="1" ref="I187" ca="1">-SUM((G.30.energy[[#This Row],[Code]]=G.30.assumptions.EnergyDemandAfterCCS[Technology code])
        *INDIRECT("G.30.assumptions.EnergyDemandAfterCCS["&amp;I$9&amp;"]"))</f>
        <v>-8.9190113729480487</v>
      </c>
      <c r="J187" s="427"/>
      <c r="K187" s="427"/>
      <c r="L187" s="427"/>
      <c r="M187" s="427"/>
      <c r="N187" s="427"/>
      <c r="O187" s="427"/>
      <c r="P187" s="427"/>
      <c r="Q187" s="427"/>
    </row>
    <row r="188" spans="2:17" ht="14">
      <c r="B188" s="255"/>
      <c r="C188" s="219" t="s">
        <v>1867</v>
      </c>
      <c r="D188" s="219" t="str">
        <f>INDEX(Regional.Technologies[Description],MATCH($B$2&amp;"."&amp;G.30.energy[[#This Row],[Code]],Regional.Technologies[Code],0))</f>
        <v>Global Natural Gas use in the Other industries technology</v>
      </c>
      <c r="F188" s="219" t="s">
        <v>628</v>
      </c>
      <c r="G188" s="219" t="str">
        <f>INDEX(Regional.energy[Description],MATCH(G.30.energy[[#This Row],[Energy vector]],Regional.energy[Regional energy code],0))</f>
        <v>Global Natural gas</v>
      </c>
      <c r="H188" s="219" t="str">
        <f t="shared" ref="H188" si="92">Preferences.energy</f>
        <v>EJ</v>
      </c>
      <c r="I188" s="427">
        <f t="array" aca="1" ref="I188" ca="1">-SUM((G.30.energy[[#This Row],[Code]]=G.30.assumptions.EnergyDemandAfterCCS[Technology code])
        *INDIRECT("G.30.assumptions.EnergyDemandAfterCCS["&amp;I$9&amp;"]"))</f>
        <v>-11.967321601700888</v>
      </c>
      <c r="J188" s="427"/>
      <c r="K188" s="427"/>
      <c r="L188" s="427"/>
      <c r="M188" s="427"/>
      <c r="N188" s="427"/>
      <c r="O188" s="427"/>
      <c r="P188" s="427"/>
      <c r="Q188" s="427"/>
    </row>
    <row r="189" spans="2:17" ht="14">
      <c r="B189" s="255"/>
      <c r="C189" s="219" t="s">
        <v>1868</v>
      </c>
      <c r="D189" s="219" t="str">
        <f>INDEX(Regional.Technologies[Description],MATCH($B$2&amp;"."&amp;G.30.energy[[#This Row],[Code]],Regional.Technologies[Code],0))</f>
        <v>Global Solid Hydrocarbons use in the Other industries technology</v>
      </c>
      <c r="F189" s="219" t="s">
        <v>370</v>
      </c>
      <c r="G189" s="219" t="str">
        <f>INDEX(Regional.energy[Description],MATCH(G.30.energy[[#This Row],[Energy vector]],Regional.energy[Regional energy code],0))</f>
        <v>Global Solid hydrocarbons</v>
      </c>
      <c r="H189" s="219" t="str">
        <f t="shared" ref="H189" si="93">Preferences.energy</f>
        <v>EJ</v>
      </c>
      <c r="I189" s="427">
        <f t="array" aca="1" ref="I189" ca="1">-SUM((G.30.energy[[#This Row],[Code]]=G.30.assumptions.EnergyDemandAfterCCS[Technology code])
        *INDIRECT("G.30.assumptions.EnergyDemandAfterCCS["&amp;I$9&amp;"]"))</f>
        <v>-5.4326469694895918</v>
      </c>
      <c r="J189" s="427"/>
      <c r="K189" s="427"/>
      <c r="L189" s="427"/>
      <c r="M189" s="427"/>
      <c r="N189" s="427"/>
      <c r="O189" s="427"/>
      <c r="P189" s="427"/>
      <c r="Q189" s="427"/>
    </row>
    <row r="190" spans="2:17" ht="14">
      <c r="B190" s="255"/>
      <c r="C190" s="219" t="s">
        <v>1869</v>
      </c>
      <c r="D190" s="219" t="str">
        <f>INDEX(Regional.Technologies[Description],MATCH($B$2&amp;"."&amp;G.30.energy[[#This Row],[Code]],Regional.Technologies[Code],0))</f>
        <v>Global Heat use in the Other industries technology</v>
      </c>
      <c r="F190" s="219" t="s">
        <v>1351</v>
      </c>
      <c r="G190" s="219" t="str">
        <f>INDEX(Regional.energy[Description],MATCH(G.30.energy[[#This Row],[Energy vector]],Regional.energy[Regional energy code],0))</f>
        <v>Global Heat transport</v>
      </c>
      <c r="H190" s="219" t="str">
        <f t="shared" ref="H190" si="94">Preferences.energy</f>
        <v>EJ</v>
      </c>
      <c r="I190" s="427">
        <f t="array" aca="1" ref="I190" ca="1">-SUM((G.30.energy[[#This Row],[Code]]=G.30.assumptions.EnergyDemandAfterCCS[Technology code])
        *INDIRECT("G.30.assumptions.EnergyDemandAfterCCS["&amp;I$9&amp;"]"))</f>
        <v>-2.5365553629120043</v>
      </c>
      <c r="J190" s="427"/>
      <c r="K190" s="427"/>
      <c r="L190" s="427"/>
      <c r="M190" s="427"/>
      <c r="N190" s="427"/>
      <c r="O190" s="427"/>
      <c r="P190" s="427"/>
      <c r="Q190" s="427"/>
    </row>
    <row r="191" spans="2:17" ht="14">
      <c r="B191" s="255"/>
      <c r="C191" s="222"/>
      <c r="D191" s="222"/>
      <c r="E191" s="222"/>
      <c r="F191" s="222"/>
      <c r="G191" s="222"/>
      <c r="H191" s="222"/>
      <c r="I191" s="428">
        <f ca="1">SUBTOTAL(109,G.30.energy[2011])</f>
        <v>4.4408920985006262E-15</v>
      </c>
      <c r="J191" s="428"/>
      <c r="K191" s="428"/>
      <c r="L191" s="428"/>
      <c r="M191" s="428"/>
      <c r="N191" s="428"/>
      <c r="O191" s="428"/>
      <c r="P191" s="428"/>
      <c r="Q191" s="428"/>
    </row>
    <row r="192" spans="2:17" ht="14">
      <c r="B192" s="255"/>
    </row>
    <row r="194" spans="1:34" ht="15">
      <c r="A194" s="118"/>
      <c r="B194" s="45" t="s">
        <v>882</v>
      </c>
      <c r="C194" s="45"/>
      <c r="D194" s="45"/>
      <c r="E194" s="45"/>
      <c r="F194" s="45"/>
      <c r="G194" s="45"/>
      <c r="H194" s="45"/>
      <c r="I194" s="45"/>
      <c r="J194" s="45"/>
      <c r="K194" s="45"/>
      <c r="L194" s="45"/>
      <c r="M194" s="45"/>
      <c r="N194" s="45"/>
      <c r="O194" s="45"/>
      <c r="P194" s="45"/>
      <c r="Q194" s="45"/>
      <c r="R194" s="146"/>
      <c r="S194" s="178" t="s">
        <v>880</v>
      </c>
      <c r="T194" s="178"/>
      <c r="U194" s="178"/>
      <c r="V194" s="178"/>
      <c r="W194" s="178"/>
      <c r="X194" s="178"/>
      <c r="Y194" s="178"/>
      <c r="Z194" s="178"/>
      <c r="AA194" s="178"/>
      <c r="AB194" s="178"/>
      <c r="AC194" s="178"/>
      <c r="AD194" s="178"/>
      <c r="AE194" s="178"/>
      <c r="AF194" s="178"/>
      <c r="AG194" s="178"/>
      <c r="AH194" s="178"/>
    </row>
    <row r="196" spans="1:34" ht="14">
      <c r="C196" s="94" t="s">
        <v>2426</v>
      </c>
    </row>
    <row r="197" spans="1:34" ht="15" thickBot="1">
      <c r="B197" s="119"/>
    </row>
    <row r="198" spans="1:34" ht="14">
      <c r="C198" s="100" t="s">
        <v>279</v>
      </c>
      <c r="D198" s="100" t="s">
        <v>241</v>
      </c>
      <c r="E198" s="100" t="s">
        <v>274</v>
      </c>
      <c r="F198" s="100" t="s">
        <v>644</v>
      </c>
      <c r="G198" s="100" t="s">
        <v>647</v>
      </c>
      <c r="H198" s="100" t="s">
        <v>646</v>
      </c>
      <c r="I198" s="100" t="s">
        <v>1107</v>
      </c>
      <c r="J198" s="100" t="s">
        <v>2534</v>
      </c>
      <c r="K198" s="100" t="s">
        <v>2535</v>
      </c>
      <c r="L198" s="100" t="s">
        <v>2536</v>
      </c>
      <c r="M198" s="100" t="s">
        <v>210</v>
      </c>
      <c r="N198" s="100" t="s">
        <v>2537</v>
      </c>
      <c r="O198" s="100" t="s">
        <v>2538</v>
      </c>
      <c r="P198" s="100" t="s">
        <v>2539</v>
      </c>
      <c r="Q198" s="100" t="s">
        <v>2540</v>
      </c>
    </row>
    <row r="199" spans="1:34" ht="17" customHeight="1">
      <c r="C199" s="264" t="s">
        <v>1968</v>
      </c>
      <c r="D199" s="219" t="s">
        <v>1968</v>
      </c>
      <c r="H199" s="147" t="s">
        <v>1752</v>
      </c>
      <c r="I199" s="436">
        <f t="array" aca="1" ref="I199" ca="1">SUM((G.30.CO2[[#This Row],[Code]]=G.30.assumptions.CombustionCO2EmissionsAfterEnergyEfficiency[Technology code])
        *INDIRECT("G.30.assumptions.CombustionCO2EmissionsAfterEnergyEfficiency["&amp;I$9&amp;"]"))</f>
        <v>1.3295458982758634</v>
      </c>
      <c r="J199" s="436"/>
      <c r="K199" s="436"/>
      <c r="L199" s="436"/>
      <c r="M199" s="436"/>
      <c r="N199" s="436"/>
      <c r="O199" s="436"/>
      <c r="P199" s="436"/>
      <c r="Q199" s="436"/>
    </row>
    <row r="200" spans="1:34" ht="14">
      <c r="C200" s="219" t="s">
        <v>2196</v>
      </c>
      <c r="D200" s="219" t="s">
        <v>2196</v>
      </c>
      <c r="H200" s="147" t="s">
        <v>1752</v>
      </c>
      <c r="I200" s="436">
        <f t="array" aca="1" ref="I200" ca="1">SUM((G.30.CO2[[#This Row],[Code]]=G.30.assumptions.CombustionCO2EmissionsAfterEnergyEfficiency[Technology code])
        *INDIRECT("G.30.assumptions.CombustionCO2EmissionsAfterEnergyEfficiency["&amp;I$9&amp;"]"))</f>
        <v>0</v>
      </c>
      <c r="J200" s="436"/>
      <c r="K200" s="436"/>
      <c r="L200" s="436"/>
      <c r="M200" s="436"/>
      <c r="N200" s="436"/>
      <c r="O200" s="436"/>
      <c r="P200" s="436"/>
      <c r="Q200" s="436"/>
    </row>
    <row r="201" spans="1:34" ht="14">
      <c r="C201" s="219" t="s">
        <v>1969</v>
      </c>
      <c r="D201" s="219" t="s">
        <v>1969</v>
      </c>
      <c r="H201" s="147" t="s">
        <v>1752</v>
      </c>
      <c r="I201" s="436">
        <f t="array" aca="1" ref="I201" ca="1">SUM((G.30.CO2[[#This Row],[Code]]=G.30.assumptions.CombustionCO2EmissionsAfterEnergyEfficiency[Technology code])
        *INDIRECT("G.30.assumptions.CombustionCO2EmissionsAfterEnergyEfficiency["&amp;I$9&amp;"]"))</f>
        <v>1.0564114528683293</v>
      </c>
      <c r="J201" s="436"/>
      <c r="K201" s="436"/>
      <c r="L201" s="436"/>
      <c r="M201" s="436"/>
      <c r="N201" s="436"/>
      <c r="O201" s="436"/>
      <c r="P201" s="436"/>
      <c r="Q201" s="436"/>
    </row>
    <row r="202" spans="1:34" ht="14">
      <c r="C202" s="219" t="s">
        <v>1970</v>
      </c>
      <c r="D202" s="219" t="s">
        <v>1970</v>
      </c>
      <c r="H202" s="147" t="s">
        <v>1752</v>
      </c>
      <c r="I202" s="436">
        <f t="array" aca="1" ref="I202" ca="1">SUM((G.30.CO2[[#This Row],[Code]]=G.30.assumptions.CombustionCO2EmissionsAfterEnergyEfficiency[Technology code])
        *INDIRECT("G.30.assumptions.CombustionCO2EmissionsAfterEnergyEfficiency["&amp;I$9&amp;"]"))</f>
        <v>0.10209235477363662</v>
      </c>
      <c r="J202" s="436"/>
      <c r="K202" s="436"/>
      <c r="L202" s="436"/>
      <c r="M202" s="436"/>
      <c r="N202" s="436"/>
      <c r="O202" s="436"/>
      <c r="P202" s="436"/>
      <c r="Q202" s="436"/>
    </row>
    <row r="203" spans="1:34" ht="14">
      <c r="C203" s="219" t="s">
        <v>1971</v>
      </c>
      <c r="D203" s="219" t="s">
        <v>1971</v>
      </c>
      <c r="H203" s="147" t="s">
        <v>1752</v>
      </c>
      <c r="I203" s="436">
        <f t="array" aca="1" ref="I203" ca="1">SUM((G.30.CO2[[#This Row],[Code]]=G.30.assumptions.CombustionCO2EmissionsAfterEnergyEfficiency[Technology code])
        *INDIRECT("G.30.assumptions.CombustionCO2EmissionsAfterEnergyEfficiency["&amp;I$9&amp;"]"))</f>
        <v>2.9449578117468837E-2</v>
      </c>
      <c r="J203" s="436"/>
      <c r="K203" s="436"/>
      <c r="L203" s="436"/>
      <c r="M203" s="436"/>
      <c r="N203" s="436"/>
      <c r="O203" s="436"/>
      <c r="P203" s="436"/>
      <c r="Q203" s="436"/>
    </row>
    <row r="204" spans="1:34" ht="14">
      <c r="C204" s="219" t="s">
        <v>1972</v>
      </c>
      <c r="D204" s="219" t="s">
        <v>1972</v>
      </c>
      <c r="H204" s="147" t="s">
        <v>1752</v>
      </c>
      <c r="I204" s="436">
        <f t="array" aca="1" ref="I204" ca="1">SUM((G.30.CO2[[#This Row],[Code]]=G.30.assumptions.CombustionCO2EmissionsAfterEnergyEfficiency[Technology code])
        *INDIRECT("G.30.assumptions.CombustionCO2EmissionsAfterEnergyEfficiency["&amp;I$9&amp;"]"))</f>
        <v>1.3613556026419288E-2</v>
      </c>
      <c r="J204" s="436"/>
      <c r="K204" s="436"/>
      <c r="L204" s="436"/>
      <c r="M204" s="436"/>
      <c r="N204" s="436"/>
      <c r="O204" s="436"/>
      <c r="P204" s="436"/>
      <c r="Q204" s="436"/>
    </row>
    <row r="205" spans="1:34" ht="14">
      <c r="C205" s="219" t="s">
        <v>1973</v>
      </c>
      <c r="D205" s="219" t="s">
        <v>1973</v>
      </c>
      <c r="H205" s="147" t="s">
        <v>1752</v>
      </c>
      <c r="I205" s="436">
        <f t="array" aca="1" ref="I205" ca="1">SUM((G.30.CO2[[#This Row],[Code]]=G.30.assumptions.CombustionCO2EmissionsAfterEnergyEfficiency[Technology code])
        *INDIRECT("G.30.assumptions.CombustionCO2EmissionsAfterEnergyEfficiency["&amp;I$9&amp;"]"))</f>
        <v>1.3548203001341033</v>
      </c>
      <c r="J205" s="436"/>
      <c r="K205" s="436"/>
      <c r="L205" s="436"/>
      <c r="M205" s="436"/>
      <c r="N205" s="436"/>
      <c r="O205" s="436"/>
      <c r="P205" s="436"/>
      <c r="Q205" s="436"/>
    </row>
    <row r="206" spans="1:34" ht="14">
      <c r="C206" s="219" t="s">
        <v>1974</v>
      </c>
      <c r="D206" s="219" t="s">
        <v>1974</v>
      </c>
      <c r="H206" s="147" t="s">
        <v>1752</v>
      </c>
      <c r="I206" s="436">
        <f t="array" aca="1" ref="I206" ca="1">SUM((G.30.CO2[[#This Row],[Code]]=G.30.assumptions.CombustionCO2EmissionsAfterEnergyEfficiency[Technology code])
        *INDIRECT("G.30.assumptions.CombustionCO2EmissionsAfterEnergyEfficiency["&amp;I$9&amp;"]"))</f>
        <v>0.38978252304657679</v>
      </c>
      <c r="J206" s="436"/>
      <c r="K206" s="436"/>
      <c r="L206" s="436"/>
      <c r="M206" s="436"/>
      <c r="N206" s="436"/>
      <c r="O206" s="436"/>
      <c r="P206" s="436"/>
      <c r="Q206" s="436"/>
    </row>
    <row r="207" spans="1:34" ht="14">
      <c r="C207" s="219" t="s">
        <v>1975</v>
      </c>
      <c r="D207" s="219" t="s">
        <v>1975</v>
      </c>
      <c r="H207" s="147" t="s">
        <v>1752</v>
      </c>
      <c r="I207" s="436">
        <f t="array" aca="1" ref="I207" ca="1">SUM((G.30.CO2[[#This Row],[Code]]=G.30.assumptions.CombustionCO2EmissionsAfterEnergyEfficiency[Technology code])
        *INDIRECT("G.30.assumptions.CombustionCO2EmissionsAfterEnergyEfficiency["&amp;I$9&amp;"]"))</f>
        <v>0.12129165238637846</v>
      </c>
      <c r="J207" s="436"/>
      <c r="K207" s="436"/>
      <c r="L207" s="436"/>
      <c r="M207" s="436"/>
      <c r="N207" s="436"/>
      <c r="O207" s="436"/>
      <c r="P207" s="436"/>
      <c r="Q207" s="436"/>
    </row>
    <row r="208" spans="1:34" ht="14">
      <c r="C208" s="219" t="s">
        <v>1976</v>
      </c>
      <c r="D208" s="219" t="s">
        <v>1976</v>
      </c>
      <c r="H208" s="147" t="s">
        <v>1752</v>
      </c>
      <c r="I208" s="436">
        <f t="array" aca="1" ref="I208" ca="1">SUM((G.30.CO2[[#This Row],[Code]]=G.30.assumptions.CombustionCO2EmissionsAfterEnergyEfficiency[Technology code])
        *INDIRECT("G.30.assumptions.CombustionCO2EmissionsAfterEnergyEfficiency["&amp;I$9&amp;"]"))</f>
        <v>0.38991159043159113</v>
      </c>
      <c r="J208" s="436"/>
      <c r="K208" s="436"/>
      <c r="L208" s="436"/>
      <c r="M208" s="436"/>
      <c r="N208" s="436"/>
      <c r="O208" s="436"/>
      <c r="P208" s="436"/>
      <c r="Q208" s="436"/>
    </row>
    <row r="209" spans="3:17" ht="14">
      <c r="C209" s="219" t="s">
        <v>1977</v>
      </c>
      <c r="D209" s="219" t="s">
        <v>1977</v>
      </c>
      <c r="H209" s="147" t="s">
        <v>1752</v>
      </c>
      <c r="I209" s="436">
        <f t="array" aca="1" ref="I209" ca="1">SUM((G.30.CO2[[#This Row],[Code]]=G.30.assumptions.CombustionCO2EmissionsAfterEnergyEfficiency[Technology code])
        *INDIRECT("G.30.assumptions.CombustionCO2EmissionsAfterEnergyEfficiency["&amp;I$9&amp;"]"))</f>
        <v>0.20042780348619485</v>
      </c>
      <c r="J209" s="436"/>
      <c r="K209" s="436"/>
      <c r="L209" s="436"/>
      <c r="M209" s="436"/>
      <c r="N209" s="436"/>
      <c r="O209" s="436"/>
      <c r="P209" s="436"/>
      <c r="Q209" s="436"/>
    </row>
    <row r="210" spans="3:17" ht="14">
      <c r="C210" s="219" t="s">
        <v>1978</v>
      </c>
      <c r="D210" s="219" t="s">
        <v>1978</v>
      </c>
      <c r="H210" s="147" t="s">
        <v>1752</v>
      </c>
      <c r="I210" s="436">
        <f t="array" aca="1" ref="I210" ca="1">SUM((G.30.CO2[[#This Row],[Code]]=G.30.assumptions.CombustionCO2EmissionsAfterEnergyEfficiency[Technology code])
        *INDIRECT("G.30.assumptions.CombustionCO2EmissionsAfterEnergyEfficiency["&amp;I$9&amp;"]"))</f>
        <v>0.17584960915661946</v>
      </c>
      <c r="J210" s="436"/>
      <c r="K210" s="436"/>
      <c r="L210" s="436"/>
      <c r="M210" s="436"/>
      <c r="N210" s="436"/>
      <c r="O210" s="436"/>
      <c r="P210" s="436"/>
      <c r="Q210" s="436"/>
    </row>
    <row r="211" spans="3:17" ht="14">
      <c r="C211" s="219" t="s">
        <v>1979</v>
      </c>
      <c r="D211" s="219" t="s">
        <v>1979</v>
      </c>
      <c r="H211" s="147" t="s">
        <v>1752</v>
      </c>
      <c r="I211" s="436">
        <f t="array" aca="1" ref="I211" ca="1">SUM((G.30.CO2[[#This Row],[Code]]=G.30.assumptions.CombustionCO2EmissionsAfterEnergyEfficiency[Technology code])
        *INDIRECT("G.30.assumptions.CombustionCO2EmissionsAfterEnergyEfficiency["&amp;I$9&amp;"]"))</f>
        <v>2.3227309646734279E-2</v>
      </c>
      <c r="J211" s="436"/>
      <c r="K211" s="436"/>
      <c r="L211" s="436"/>
      <c r="M211" s="436"/>
      <c r="N211" s="436"/>
      <c r="O211" s="436"/>
      <c r="P211" s="436"/>
      <c r="Q211" s="436"/>
    </row>
    <row r="212" spans="3:17" ht="14">
      <c r="C212" s="219" t="s">
        <v>1980</v>
      </c>
      <c r="D212" s="219" t="s">
        <v>1980</v>
      </c>
      <c r="H212" s="147" t="s">
        <v>1752</v>
      </c>
      <c r="I212" s="436">
        <f t="array" aca="1" ref="I212" ca="1">SUM((G.30.CO2[[#This Row],[Code]]=G.30.assumptions.CombustionCO2EmissionsAfterEnergyEfficiency[Technology code])
        *INDIRECT("G.30.assumptions.CombustionCO2EmissionsAfterEnergyEfficiency["&amp;I$9&amp;"]"))</f>
        <v>0.81837380235898383</v>
      </c>
      <c r="J212" s="436"/>
      <c r="K212" s="436"/>
      <c r="L212" s="436"/>
      <c r="M212" s="436"/>
      <c r="N212" s="436"/>
      <c r="O212" s="436"/>
      <c r="P212" s="436"/>
      <c r="Q212" s="436"/>
    </row>
    <row r="213" spans="3:17" ht="14">
      <c r="C213" s="219" t="s">
        <v>1981</v>
      </c>
      <c r="D213" s="219" t="s">
        <v>1981</v>
      </c>
      <c r="H213" s="219" t="s">
        <v>1752</v>
      </c>
      <c r="I213" s="436">
        <f t="array" aca="1" ref="I213" ca="1">SUM((G.30.CO2[[#This Row],[Code]]=G.30.assumptions.CombustionCO2EmissionsAfterEnergyEfficiency[Technology code])
        *INDIRECT("G.30.assumptions.CombustionCO2EmissionsAfterEnergyEfficiency["&amp;I$9&amp;"]"))</f>
        <v>2.4815091111667478</v>
      </c>
      <c r="J213" s="436"/>
      <c r="K213" s="436"/>
      <c r="L213" s="436"/>
      <c r="M213" s="436"/>
      <c r="N213" s="436"/>
      <c r="O213" s="436"/>
      <c r="P213" s="436"/>
      <c r="Q213" s="436"/>
    </row>
    <row r="214" spans="3:17" ht="14">
      <c r="C214" s="219" t="s">
        <v>1968</v>
      </c>
      <c r="D214" s="219" t="s">
        <v>1968</v>
      </c>
      <c r="H214" s="219" t="s">
        <v>1757</v>
      </c>
      <c r="I214" s="436">
        <f t="array" aca="1" ref="I214"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14" s="436"/>
      <c r="K214" s="436"/>
      <c r="L214" s="436"/>
      <c r="M214" s="436"/>
      <c r="N214" s="436"/>
      <c r="O214" s="436"/>
      <c r="P214" s="436"/>
      <c r="Q214" s="436"/>
    </row>
    <row r="215" spans="3:17" ht="14">
      <c r="C215" s="219" t="s">
        <v>2196</v>
      </c>
      <c r="D215" s="219" t="s">
        <v>2196</v>
      </c>
      <c r="H215" s="219" t="s">
        <v>1757</v>
      </c>
      <c r="I215" s="436">
        <f t="array" aca="1" ref="I215"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15" s="436"/>
      <c r="K215" s="436"/>
      <c r="L215" s="436"/>
      <c r="M215" s="436"/>
      <c r="N215" s="436"/>
      <c r="O215" s="436"/>
      <c r="P215" s="436"/>
      <c r="Q215" s="436"/>
    </row>
    <row r="216" spans="3:17" ht="14">
      <c r="C216" s="219" t="s">
        <v>1969</v>
      </c>
      <c r="D216" s="219" t="s">
        <v>1969</v>
      </c>
      <c r="H216" s="219" t="s">
        <v>1757</v>
      </c>
      <c r="I216" s="436">
        <f t="array" aca="1" ref="I216"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16" s="436"/>
      <c r="K216" s="436"/>
      <c r="L216" s="436"/>
      <c r="M216" s="436"/>
      <c r="N216" s="436"/>
      <c r="O216" s="436"/>
      <c r="P216" s="436"/>
      <c r="Q216" s="436"/>
    </row>
    <row r="217" spans="3:17" ht="14">
      <c r="C217" s="219" t="s">
        <v>1970</v>
      </c>
      <c r="D217" s="219" t="s">
        <v>1970</v>
      </c>
      <c r="H217" s="219" t="s">
        <v>1757</v>
      </c>
      <c r="I217" s="436">
        <f t="array" aca="1" ref="I217"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17" s="436"/>
      <c r="K217" s="436"/>
      <c r="L217" s="436"/>
      <c r="M217" s="436"/>
      <c r="N217" s="436"/>
      <c r="O217" s="436"/>
      <c r="P217" s="436"/>
      <c r="Q217" s="436"/>
    </row>
    <row r="218" spans="3:17" ht="14">
      <c r="C218" s="219" t="s">
        <v>1971</v>
      </c>
      <c r="D218" s="219" t="s">
        <v>1971</v>
      </c>
      <c r="H218" s="219" t="s">
        <v>1757</v>
      </c>
      <c r="I218" s="436">
        <f t="array" aca="1" ref="I218"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18" s="436"/>
      <c r="K218" s="436"/>
      <c r="L218" s="436"/>
      <c r="M218" s="436"/>
      <c r="N218" s="436"/>
      <c r="O218" s="436"/>
      <c r="P218" s="436"/>
      <c r="Q218" s="436"/>
    </row>
    <row r="219" spans="3:17" ht="14">
      <c r="C219" s="219" t="s">
        <v>1972</v>
      </c>
      <c r="D219" s="219" t="s">
        <v>1972</v>
      </c>
      <c r="H219" s="219" t="s">
        <v>1757</v>
      </c>
      <c r="I219" s="436">
        <f t="array" aca="1" ref="I219"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19" s="436"/>
      <c r="K219" s="436"/>
      <c r="L219" s="436"/>
      <c r="M219" s="436"/>
      <c r="N219" s="436"/>
      <c r="O219" s="436"/>
      <c r="P219" s="436"/>
      <c r="Q219" s="436"/>
    </row>
    <row r="220" spans="3:17" ht="14">
      <c r="C220" s="219" t="s">
        <v>1973</v>
      </c>
      <c r="D220" s="219" t="s">
        <v>1973</v>
      </c>
      <c r="H220" s="219" t="s">
        <v>1757</v>
      </c>
      <c r="I220" s="436">
        <f t="array" aca="1" ref="I220"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0" s="436"/>
      <c r="K220" s="436"/>
      <c r="L220" s="436"/>
      <c r="M220" s="436"/>
      <c r="N220" s="436"/>
      <c r="O220" s="436"/>
      <c r="P220" s="436"/>
      <c r="Q220" s="436"/>
    </row>
    <row r="221" spans="3:17" ht="14">
      <c r="C221" s="219" t="s">
        <v>1974</v>
      </c>
      <c r="D221" s="219" t="s">
        <v>1974</v>
      </c>
      <c r="H221" s="219" t="s">
        <v>1757</v>
      </c>
      <c r="I221" s="436">
        <f t="array" aca="1" ref="I221"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1" s="436"/>
      <c r="K221" s="436"/>
      <c r="L221" s="436"/>
      <c r="M221" s="436"/>
      <c r="N221" s="436"/>
      <c r="O221" s="436"/>
      <c r="P221" s="436"/>
      <c r="Q221" s="436"/>
    </row>
    <row r="222" spans="3:17" ht="14">
      <c r="C222" s="219" t="s">
        <v>1975</v>
      </c>
      <c r="D222" s="219" t="s">
        <v>1975</v>
      </c>
      <c r="H222" s="219" t="s">
        <v>1757</v>
      </c>
      <c r="I222" s="436">
        <f t="array" aca="1" ref="I222"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2" s="436"/>
      <c r="K222" s="436"/>
      <c r="L222" s="436"/>
      <c r="M222" s="436"/>
      <c r="N222" s="436"/>
      <c r="O222" s="436"/>
      <c r="P222" s="436"/>
      <c r="Q222" s="436"/>
    </row>
    <row r="223" spans="3:17" ht="14">
      <c r="C223" s="219" t="s">
        <v>1976</v>
      </c>
      <c r="D223" s="219" t="s">
        <v>1976</v>
      </c>
      <c r="H223" s="219" t="s">
        <v>1757</v>
      </c>
      <c r="I223" s="436">
        <f t="array" aca="1" ref="I223"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3" s="436"/>
      <c r="K223" s="436"/>
      <c r="L223" s="436"/>
      <c r="M223" s="436"/>
      <c r="N223" s="436"/>
      <c r="O223" s="436"/>
      <c r="P223" s="436"/>
      <c r="Q223" s="436"/>
    </row>
    <row r="224" spans="3:17" ht="14">
      <c r="C224" s="219" t="s">
        <v>1977</v>
      </c>
      <c r="D224" s="219" t="s">
        <v>1977</v>
      </c>
      <c r="H224" s="219" t="s">
        <v>1757</v>
      </c>
      <c r="I224" s="436">
        <f t="array" aca="1" ref="I224"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4" s="436"/>
      <c r="K224" s="436"/>
      <c r="L224" s="436"/>
      <c r="M224" s="436"/>
      <c r="N224" s="436"/>
      <c r="O224" s="436"/>
      <c r="P224" s="436"/>
      <c r="Q224" s="436"/>
    </row>
    <row r="225" spans="3:17" ht="14">
      <c r="C225" s="219" t="s">
        <v>1978</v>
      </c>
      <c r="D225" s="219" t="s">
        <v>1978</v>
      </c>
      <c r="H225" s="219" t="s">
        <v>1757</v>
      </c>
      <c r="I225" s="436">
        <f t="array" aca="1" ref="I225"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5" s="436"/>
      <c r="K225" s="436"/>
      <c r="L225" s="436"/>
      <c r="M225" s="436"/>
      <c r="N225" s="436"/>
      <c r="O225" s="436"/>
      <c r="P225" s="436"/>
      <c r="Q225" s="436"/>
    </row>
    <row r="226" spans="3:17" ht="14">
      <c r="C226" s="219" t="s">
        <v>1979</v>
      </c>
      <c r="D226" s="219" t="s">
        <v>1979</v>
      </c>
      <c r="H226" s="219" t="s">
        <v>1757</v>
      </c>
      <c r="I226" s="436">
        <f t="array" aca="1" ref="I226"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6" s="436"/>
      <c r="K226" s="436"/>
      <c r="L226" s="436"/>
      <c r="M226" s="436"/>
      <c r="N226" s="436"/>
      <c r="O226" s="436"/>
      <c r="P226" s="436"/>
      <c r="Q226" s="436"/>
    </row>
    <row r="227" spans="3:17" ht="14">
      <c r="C227" s="219" t="s">
        <v>1980</v>
      </c>
      <c r="D227" s="219" t="s">
        <v>1980</v>
      </c>
      <c r="H227" s="219" t="s">
        <v>1757</v>
      </c>
      <c r="I227" s="436">
        <f t="array" aca="1" ref="I227"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7" s="436"/>
      <c r="K227" s="436"/>
      <c r="L227" s="436"/>
      <c r="M227" s="436"/>
      <c r="N227" s="436"/>
      <c r="O227" s="436"/>
      <c r="P227" s="436"/>
      <c r="Q227" s="436"/>
    </row>
    <row r="228" spans="3:17" ht="14">
      <c r="C228" s="219" t="s">
        <v>1981</v>
      </c>
      <c r="D228" s="219" t="s">
        <v>1981</v>
      </c>
      <c r="H228" s="219" t="s">
        <v>1757</v>
      </c>
      <c r="I228" s="436">
        <f t="array" aca="1" ref="I228" ca="1">SUM((G.30.CO2[[#This Row],[Code]]=G.30.assumptions.CombustionCO2EmissionsAfterCCS[Technology code])
        *INDIRECT("G.30.assumptions.CombustionCO2EmissionsAfterCCS["&amp;I$9&amp;"]"))
-SUM((G.30.CO2[[#This Row],[Code]]=G.30.assumptions.CombustionCO2EmissionsAfterEnergyEfficiency[Technology code])
        *INDIRECT("G.30.assumptions.CombustionCO2EmissionsAfterEnergyEfficiency["&amp;I$9&amp;"]"))</f>
        <v>0</v>
      </c>
      <c r="J228" s="436"/>
      <c r="K228" s="436"/>
      <c r="L228" s="436"/>
      <c r="M228" s="436"/>
      <c r="N228" s="436"/>
      <c r="O228" s="436"/>
      <c r="P228" s="436"/>
      <c r="Q228" s="436"/>
    </row>
    <row r="229" spans="3:17" ht="14">
      <c r="C229" s="219" t="s">
        <v>1986</v>
      </c>
      <c r="D229" s="219" t="s">
        <v>1986</v>
      </c>
      <c r="H229" s="219" t="s">
        <v>1751</v>
      </c>
      <c r="I229" s="436">
        <f t="array" aca="1" ref="I229"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29" s="436"/>
      <c r="K229" s="436"/>
      <c r="L229" s="436"/>
      <c r="M229" s="436"/>
      <c r="N229" s="436"/>
      <c r="O229" s="436"/>
      <c r="P229" s="436"/>
      <c r="Q229" s="436"/>
    </row>
    <row r="230" spans="3:17" ht="14">
      <c r="C230" s="219" t="s">
        <v>2192</v>
      </c>
      <c r="D230" s="219" t="s">
        <v>2192</v>
      </c>
      <c r="H230" s="219" t="s">
        <v>1751</v>
      </c>
      <c r="I230" s="436">
        <f t="array" aca="1" ref="I230"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0" s="436"/>
      <c r="K230" s="436"/>
      <c r="L230" s="436"/>
      <c r="M230" s="436"/>
      <c r="N230" s="436"/>
      <c r="O230" s="436"/>
      <c r="P230" s="436"/>
      <c r="Q230" s="436"/>
    </row>
    <row r="231" spans="3:17" ht="14">
      <c r="C231" s="219" t="s">
        <v>1987</v>
      </c>
      <c r="D231" s="219" t="s">
        <v>1987</v>
      </c>
      <c r="H231" s="219" t="s">
        <v>1751</v>
      </c>
      <c r="I231" s="436">
        <f t="array" aca="1" ref="I231"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1" s="436"/>
      <c r="K231" s="436"/>
      <c r="L231" s="436"/>
      <c r="M231" s="436"/>
      <c r="N231" s="436"/>
      <c r="O231" s="436"/>
      <c r="P231" s="436"/>
      <c r="Q231" s="436"/>
    </row>
    <row r="232" spans="3:17" ht="14">
      <c r="C232" s="219" t="s">
        <v>1988</v>
      </c>
      <c r="D232" s="219" t="s">
        <v>1988</v>
      </c>
      <c r="H232" s="219" t="s">
        <v>1751</v>
      </c>
      <c r="I232" s="436">
        <f t="array" aca="1" ref="I232"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2" s="436"/>
      <c r="K232" s="436"/>
      <c r="L232" s="436"/>
      <c r="M232" s="436"/>
      <c r="N232" s="436"/>
      <c r="O232" s="436"/>
      <c r="P232" s="436"/>
      <c r="Q232" s="436"/>
    </row>
    <row r="233" spans="3:17" ht="14">
      <c r="C233" s="219" t="s">
        <v>1989</v>
      </c>
      <c r="D233" s="219" t="s">
        <v>1989</v>
      </c>
      <c r="H233" s="219" t="s">
        <v>1751</v>
      </c>
      <c r="I233" s="436">
        <f t="array" aca="1" ref="I233"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3" s="436"/>
      <c r="K233" s="436"/>
      <c r="L233" s="436"/>
      <c r="M233" s="436"/>
      <c r="N233" s="436"/>
      <c r="O233" s="436"/>
      <c r="P233" s="436"/>
      <c r="Q233" s="436"/>
    </row>
    <row r="234" spans="3:17" ht="14">
      <c r="C234" s="219" t="s">
        <v>1990</v>
      </c>
      <c r="D234" s="219" t="s">
        <v>1990</v>
      </c>
      <c r="H234" s="219" t="s">
        <v>1751</v>
      </c>
      <c r="I234" s="436">
        <f t="array" aca="1" ref="I234"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4" s="436"/>
      <c r="K234" s="436"/>
      <c r="L234" s="436"/>
      <c r="M234" s="436"/>
      <c r="N234" s="436"/>
      <c r="O234" s="436"/>
      <c r="P234" s="436"/>
      <c r="Q234" s="436"/>
    </row>
    <row r="235" spans="3:17" ht="14">
      <c r="C235" s="219" t="s">
        <v>1991</v>
      </c>
      <c r="D235" s="219" t="s">
        <v>1991</v>
      </c>
      <c r="H235" s="219" t="s">
        <v>1751</v>
      </c>
      <c r="I235" s="436">
        <f t="array" aca="1" ref="I235"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5" s="436"/>
      <c r="K235" s="436"/>
      <c r="L235" s="436"/>
      <c r="M235" s="436"/>
      <c r="N235" s="436"/>
      <c r="O235" s="436"/>
      <c r="P235" s="436"/>
      <c r="Q235" s="436"/>
    </row>
    <row r="236" spans="3:17" ht="14">
      <c r="C236" s="219" t="s">
        <v>1992</v>
      </c>
      <c r="D236" s="219" t="s">
        <v>1992</v>
      </c>
      <c r="H236" s="219" t="s">
        <v>1751</v>
      </c>
      <c r="I236" s="436">
        <f t="array" aca="1" ref="I236"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6" s="436"/>
      <c r="K236" s="436"/>
      <c r="L236" s="436"/>
      <c r="M236" s="436"/>
      <c r="N236" s="436"/>
      <c r="O236" s="436"/>
      <c r="P236" s="436"/>
      <c r="Q236" s="436"/>
    </row>
    <row r="237" spans="3:17" ht="14">
      <c r="C237" s="219" t="s">
        <v>1993</v>
      </c>
      <c r="D237" s="219" t="s">
        <v>1993</v>
      </c>
      <c r="H237" s="219" t="s">
        <v>1751</v>
      </c>
      <c r="I237" s="436">
        <f t="array" aca="1" ref="I237"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7" s="436"/>
      <c r="K237" s="436"/>
      <c r="L237" s="436"/>
      <c r="M237" s="436"/>
      <c r="N237" s="436"/>
      <c r="O237" s="436"/>
      <c r="P237" s="436"/>
      <c r="Q237" s="436"/>
    </row>
    <row r="238" spans="3:17" ht="14">
      <c r="C238" s="219" t="s">
        <v>1994</v>
      </c>
      <c r="D238" s="219" t="s">
        <v>1994</v>
      </c>
      <c r="H238" s="219" t="s">
        <v>1751</v>
      </c>
      <c r="I238" s="436">
        <f t="array" aca="1" ref="I238"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8" s="436"/>
      <c r="K238" s="436"/>
      <c r="L238" s="436"/>
      <c r="M238" s="436"/>
      <c r="N238" s="436"/>
      <c r="O238" s="436"/>
      <c r="P238" s="436"/>
      <c r="Q238" s="436"/>
    </row>
    <row r="239" spans="3:17" ht="14">
      <c r="C239" s="219" t="s">
        <v>1995</v>
      </c>
      <c r="D239" s="219" t="s">
        <v>1995</v>
      </c>
      <c r="H239" s="219" t="s">
        <v>1751</v>
      </c>
      <c r="I239" s="436">
        <f t="array" aca="1" ref="I239"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39" s="436"/>
      <c r="K239" s="436"/>
      <c r="L239" s="436"/>
      <c r="M239" s="436"/>
      <c r="N239" s="436"/>
      <c r="O239" s="436"/>
      <c r="P239" s="436"/>
      <c r="Q239" s="436"/>
    </row>
    <row r="240" spans="3:17" ht="14">
      <c r="C240" s="219" t="s">
        <v>1996</v>
      </c>
      <c r="D240" s="219" t="s">
        <v>1996</v>
      </c>
      <c r="H240" s="219" t="s">
        <v>1751</v>
      </c>
      <c r="I240" s="436">
        <f t="array" aca="1" ref="I240"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0" s="436"/>
      <c r="K240" s="436"/>
      <c r="L240" s="436"/>
      <c r="M240" s="436"/>
      <c r="N240" s="436"/>
      <c r="O240" s="436"/>
      <c r="P240" s="436"/>
      <c r="Q240" s="436"/>
    </row>
    <row r="241" spans="3:17" ht="14">
      <c r="C241" s="219" t="s">
        <v>1997</v>
      </c>
      <c r="D241" s="219" t="s">
        <v>1997</v>
      </c>
      <c r="H241" s="219" t="s">
        <v>1751</v>
      </c>
      <c r="I241" s="436">
        <f t="array" aca="1" ref="I241"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1" s="436"/>
      <c r="K241" s="436"/>
      <c r="L241" s="436"/>
      <c r="M241" s="436"/>
      <c r="N241" s="436"/>
      <c r="O241" s="436"/>
      <c r="P241" s="436"/>
      <c r="Q241" s="436"/>
    </row>
    <row r="242" spans="3:17" ht="14">
      <c r="C242" s="219" t="s">
        <v>1998</v>
      </c>
      <c r="D242" s="219" t="s">
        <v>1998</v>
      </c>
      <c r="H242" s="219" t="s">
        <v>1751</v>
      </c>
      <c r="I242" s="436">
        <f t="array" aca="1" ref="I242"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2" s="436"/>
      <c r="K242" s="436"/>
      <c r="L242" s="436"/>
      <c r="M242" s="436"/>
      <c r="N242" s="436"/>
      <c r="O242" s="436"/>
      <c r="P242" s="436"/>
      <c r="Q242" s="436"/>
    </row>
    <row r="243" spans="3:17" ht="14">
      <c r="C243" s="219" t="s">
        <v>1999</v>
      </c>
      <c r="D243" s="219" t="s">
        <v>1999</v>
      </c>
      <c r="H243" s="219" t="s">
        <v>1751</v>
      </c>
      <c r="I243" s="436">
        <f t="array" aca="1" ref="I243" ca="1">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3" s="436"/>
      <c r="K243" s="436"/>
      <c r="L243" s="436"/>
      <c r="M243" s="436"/>
      <c r="N243" s="436"/>
      <c r="O243" s="436"/>
      <c r="P243" s="436"/>
      <c r="Q243" s="436"/>
    </row>
    <row r="244" spans="3:17" ht="14">
      <c r="C244" s="219" t="s">
        <v>1986</v>
      </c>
      <c r="D244" s="219" t="s">
        <v>1986</v>
      </c>
      <c r="H244" s="219" t="s">
        <v>1759</v>
      </c>
      <c r="I244" s="436">
        <f t="array" aca="1" ref="I244"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4" s="436"/>
      <c r="K244" s="436"/>
      <c r="L244" s="436"/>
      <c r="M244" s="436"/>
      <c r="N244" s="436"/>
      <c r="O244" s="436"/>
      <c r="P244" s="436"/>
      <c r="Q244" s="436"/>
    </row>
    <row r="245" spans="3:17" ht="14">
      <c r="C245" s="219" t="s">
        <v>2192</v>
      </c>
      <c r="D245" s="219" t="s">
        <v>2192</v>
      </c>
      <c r="H245" s="219" t="s">
        <v>1759</v>
      </c>
      <c r="I245" s="436">
        <f t="array" aca="1" ref="I245"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5" s="436"/>
      <c r="K245" s="436"/>
      <c r="L245" s="436"/>
      <c r="M245" s="436"/>
      <c r="N245" s="436"/>
      <c r="O245" s="436"/>
      <c r="P245" s="436"/>
      <c r="Q245" s="436"/>
    </row>
    <row r="246" spans="3:17" ht="14">
      <c r="C246" s="219" t="s">
        <v>1987</v>
      </c>
      <c r="D246" s="219" t="s">
        <v>1987</v>
      </c>
      <c r="H246" s="219" t="s">
        <v>1759</v>
      </c>
      <c r="I246" s="436">
        <f t="array" aca="1" ref="I246"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6" s="436"/>
      <c r="K246" s="436"/>
      <c r="L246" s="436"/>
      <c r="M246" s="436"/>
      <c r="N246" s="436"/>
      <c r="O246" s="436"/>
      <c r="P246" s="436"/>
      <c r="Q246" s="436"/>
    </row>
    <row r="247" spans="3:17" ht="14">
      <c r="C247" s="219" t="s">
        <v>1988</v>
      </c>
      <c r="D247" s="219" t="s">
        <v>1988</v>
      </c>
      <c r="H247" s="219" t="s">
        <v>1759</v>
      </c>
      <c r="I247" s="436">
        <f t="array" aca="1" ref="I247"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7" s="436"/>
      <c r="K247" s="436"/>
      <c r="L247" s="436"/>
      <c r="M247" s="436"/>
      <c r="N247" s="436"/>
      <c r="O247" s="436"/>
      <c r="P247" s="436"/>
      <c r="Q247" s="436"/>
    </row>
    <row r="248" spans="3:17" ht="14">
      <c r="C248" s="219" t="s">
        <v>1989</v>
      </c>
      <c r="D248" s="219" t="s">
        <v>1989</v>
      </c>
      <c r="H248" s="219" t="s">
        <v>1759</v>
      </c>
      <c r="I248" s="436">
        <f t="array" aca="1" ref="I248"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8" s="436"/>
      <c r="K248" s="436"/>
      <c r="L248" s="436"/>
      <c r="M248" s="436"/>
      <c r="N248" s="436"/>
      <c r="O248" s="436"/>
      <c r="P248" s="436"/>
      <c r="Q248" s="436"/>
    </row>
    <row r="249" spans="3:17" ht="14">
      <c r="C249" s="219" t="s">
        <v>1990</v>
      </c>
      <c r="D249" s="219" t="s">
        <v>1990</v>
      </c>
      <c r="H249" s="219" t="s">
        <v>1759</v>
      </c>
      <c r="I249" s="436">
        <f t="array" aca="1" ref="I249"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49" s="436"/>
      <c r="K249" s="436"/>
      <c r="L249" s="436"/>
      <c r="M249" s="436"/>
      <c r="N249" s="436"/>
      <c r="O249" s="436"/>
      <c r="P249" s="436"/>
      <c r="Q249" s="436"/>
    </row>
    <row r="250" spans="3:17" ht="14">
      <c r="C250" s="219" t="s">
        <v>1991</v>
      </c>
      <c r="D250" s="219" t="s">
        <v>1991</v>
      </c>
      <c r="H250" s="219" t="s">
        <v>1759</v>
      </c>
      <c r="I250" s="436">
        <f t="array" aca="1" ref="I250"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0" s="436"/>
      <c r="K250" s="436"/>
      <c r="L250" s="436"/>
      <c r="M250" s="436"/>
      <c r="N250" s="436"/>
      <c r="O250" s="436"/>
      <c r="P250" s="436"/>
      <c r="Q250" s="436"/>
    </row>
    <row r="251" spans="3:17" ht="14">
      <c r="C251" s="219" t="s">
        <v>1992</v>
      </c>
      <c r="D251" s="219" t="s">
        <v>1992</v>
      </c>
      <c r="H251" s="219" t="s">
        <v>1759</v>
      </c>
      <c r="I251" s="436">
        <f t="array" aca="1" ref="I251"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1" s="436"/>
      <c r="K251" s="436"/>
      <c r="L251" s="436"/>
      <c r="M251" s="436"/>
      <c r="N251" s="436"/>
      <c r="O251" s="436"/>
      <c r="P251" s="436"/>
      <c r="Q251" s="436"/>
    </row>
    <row r="252" spans="3:17" ht="14">
      <c r="C252" s="219" t="s">
        <v>1993</v>
      </c>
      <c r="D252" s="219" t="s">
        <v>1993</v>
      </c>
      <c r="H252" s="219" t="s">
        <v>1759</v>
      </c>
      <c r="I252" s="436">
        <f t="array" aca="1" ref="I252"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2" s="436"/>
      <c r="K252" s="436"/>
      <c r="L252" s="436"/>
      <c r="M252" s="436"/>
      <c r="N252" s="436"/>
      <c r="O252" s="436"/>
      <c r="P252" s="436"/>
      <c r="Q252" s="436"/>
    </row>
    <row r="253" spans="3:17" ht="14">
      <c r="C253" s="219" t="s">
        <v>1994</v>
      </c>
      <c r="D253" s="219" t="s">
        <v>1994</v>
      </c>
      <c r="H253" s="219" t="s">
        <v>1759</v>
      </c>
      <c r="I253" s="436">
        <f t="array" aca="1" ref="I253"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3" s="436"/>
      <c r="K253" s="436"/>
      <c r="L253" s="436"/>
      <c r="M253" s="436"/>
      <c r="N253" s="436"/>
      <c r="O253" s="436"/>
      <c r="P253" s="436"/>
      <c r="Q253" s="436"/>
    </row>
    <row r="254" spans="3:17" ht="14">
      <c r="C254" s="219" t="s">
        <v>1995</v>
      </c>
      <c r="D254" s="219" t="s">
        <v>1995</v>
      </c>
      <c r="H254" s="219" t="s">
        <v>1759</v>
      </c>
      <c r="I254" s="436">
        <f t="array" aca="1" ref="I254"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4" s="436"/>
      <c r="K254" s="436"/>
      <c r="L254" s="436"/>
      <c r="M254" s="436"/>
      <c r="N254" s="436"/>
      <c r="O254" s="436"/>
      <c r="P254" s="436"/>
      <c r="Q254" s="436"/>
    </row>
    <row r="255" spans="3:17" ht="14">
      <c r="C255" s="219" t="s">
        <v>1996</v>
      </c>
      <c r="D255" s="219" t="s">
        <v>1996</v>
      </c>
      <c r="H255" s="219" t="s">
        <v>1759</v>
      </c>
      <c r="I255" s="436">
        <f t="array" aca="1" ref="I255"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5" s="436"/>
      <c r="K255" s="436"/>
      <c r="L255" s="436"/>
      <c r="M255" s="436"/>
      <c r="N255" s="436"/>
      <c r="O255" s="436"/>
      <c r="P255" s="436"/>
      <c r="Q255" s="436"/>
    </row>
    <row r="256" spans="3:17" ht="14">
      <c r="C256" s="219" t="s">
        <v>1997</v>
      </c>
      <c r="D256" s="219" t="s">
        <v>1997</v>
      </c>
      <c r="H256" s="219" t="s">
        <v>1759</v>
      </c>
      <c r="I256" s="436">
        <f t="array" aca="1" ref="I256"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6" s="436"/>
      <c r="K256" s="436"/>
      <c r="L256" s="436"/>
      <c r="M256" s="436"/>
      <c r="N256" s="436"/>
      <c r="O256" s="436"/>
      <c r="P256" s="436"/>
      <c r="Q256" s="436"/>
    </row>
    <row r="257" spans="3:17" ht="14">
      <c r="C257" s="219" t="s">
        <v>1998</v>
      </c>
      <c r="D257" s="219" t="s">
        <v>1998</v>
      </c>
      <c r="H257" s="219" t="s">
        <v>1759</v>
      </c>
      <c r="I257" s="436">
        <f t="array" aca="1" ref="I257"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7" s="436"/>
      <c r="K257" s="436"/>
      <c r="L257" s="436"/>
      <c r="M257" s="436"/>
      <c r="N257" s="436"/>
      <c r="O257" s="436"/>
      <c r="P257" s="436"/>
      <c r="Q257" s="436"/>
    </row>
    <row r="258" spans="3:17" ht="14">
      <c r="C258" s="219" t="s">
        <v>1999</v>
      </c>
      <c r="D258" s="219" t="s">
        <v>1999</v>
      </c>
      <c r="H258" s="219" t="s">
        <v>1759</v>
      </c>
      <c r="I258" s="436">
        <f t="array" aca="1" ref="I258" ca="1">(SUM((G.30.CO2[[#This Row],[Code]]=G.30.assumptions.SpecificProcessCO2EmissionsAfterCCS[Description])
        *INDIRECT("G.30.assumptions.SpecificProcessCO2EmissionsAfterCCS["&amp;I$9&amp;"]"))
-SUM((G.30.CO2[[#This Row],[Code]]=G.30.assumptions.SpecificProcessCO2EmissionsAfterEnergyEfficiency[Description])
        *INDIRECT("G.30.assumptions.SpecificProcessCO2EmissionsAfterEnergyEfficiency["&amp;I$9&amp;"]")))
*SUM((G.30.CO2[[#This Row],[Description]]=G.30.assumptions.MaterialDemandAfterMaterialsProductionEfficiency[Description])
        *INDIRECT("G.30.assumptions.MaterialDemandAfterMaterialsProductionEfficiency["&amp;I$9&amp;"]"))</f>
        <v>0</v>
      </c>
      <c r="J258" s="436"/>
      <c r="K258" s="436"/>
      <c r="L258" s="436"/>
      <c r="M258" s="436"/>
      <c r="N258" s="436"/>
      <c r="O258" s="436"/>
      <c r="P258" s="436"/>
      <c r="Q258" s="436"/>
    </row>
    <row r="259" spans="3:17" ht="15" thickBot="1">
      <c r="C259" s="438" t="s">
        <v>375</v>
      </c>
      <c r="D259" s="438" t="s">
        <v>375</v>
      </c>
      <c r="E259" s="438"/>
      <c r="F259" s="438"/>
      <c r="G259" s="438"/>
      <c r="H259" s="438"/>
      <c r="I259" s="438">
        <f ca="1">SUBTOTAL(109,G.30.CO2[2011])</f>
        <v>8.4863065418756491</v>
      </c>
      <c r="J259" s="438"/>
      <c r="K259" s="438"/>
      <c r="L259" s="438"/>
      <c r="M259" s="438"/>
      <c r="N259" s="438"/>
      <c r="O259" s="438"/>
      <c r="P259" s="438"/>
      <c r="Q259" s="438"/>
    </row>
    <row r="261" spans="3:17" ht="14">
      <c r="C261" s="94" t="s">
        <v>243</v>
      </c>
    </row>
    <row r="262" spans="3:17" ht="14.5" customHeight="1" thickBot="1"/>
    <row r="263" spans="3:17" ht="14">
      <c r="C263" s="100" t="s">
        <v>279</v>
      </c>
      <c r="D263" s="100" t="s">
        <v>241</v>
      </c>
      <c r="E263" s="100" t="s">
        <v>274</v>
      </c>
      <c r="F263" s="100" t="s">
        <v>644</v>
      </c>
      <c r="G263" s="100" t="s">
        <v>647</v>
      </c>
      <c r="H263" s="100" t="s">
        <v>646</v>
      </c>
      <c r="I263" s="100" t="s">
        <v>1107</v>
      </c>
      <c r="J263" s="100" t="s">
        <v>2534</v>
      </c>
      <c r="K263" s="100" t="s">
        <v>2535</v>
      </c>
      <c r="L263" s="100" t="s">
        <v>2536</v>
      </c>
      <c r="M263" s="100" t="s">
        <v>210</v>
      </c>
      <c r="N263" s="100" t="s">
        <v>2537</v>
      </c>
      <c r="O263" s="100" t="s">
        <v>2538</v>
      </c>
      <c r="P263" s="100" t="s">
        <v>2539</v>
      </c>
      <c r="Q263" s="100" t="s">
        <v>2540</v>
      </c>
    </row>
    <row r="264" spans="3:17" ht="14">
      <c r="C264" s="219" t="s">
        <v>1968</v>
      </c>
      <c r="D264" s="219" t="s">
        <v>1968</v>
      </c>
      <c r="H264" s="147" t="s">
        <v>1752</v>
      </c>
      <c r="I264" s="436">
        <f t="array" aca="1" ref="I264" ca="1">SUM((G.30.CH4[[#This Row],[Code]]=G.30.assumptions.CombustionCH4EmissionsAfterEnergyEfficiency[Technology code])
        *INDIRECT("G.30.assumptions.CombustionCH4EmissionsAfterEnergyEfficiency["&amp;I$9&amp;"]"))</f>
        <v>1.7998356270965257E-4</v>
      </c>
      <c r="J264" s="436"/>
      <c r="K264" s="436"/>
      <c r="L264" s="436"/>
      <c r="M264" s="436"/>
      <c r="N264" s="436"/>
      <c r="O264" s="436"/>
      <c r="P264" s="436"/>
      <c r="Q264" s="436"/>
    </row>
    <row r="265" spans="3:17" ht="14">
      <c r="C265" s="219" t="s">
        <v>2196</v>
      </c>
      <c r="D265" s="219" t="s">
        <v>2196</v>
      </c>
      <c r="H265" s="147" t="s">
        <v>1752</v>
      </c>
      <c r="I265" s="436">
        <f t="array" aca="1" ref="I265" ca="1">SUM((G.30.CH4[[#This Row],[Code]]=G.30.assumptions.CombustionCH4EmissionsAfterEnergyEfficiency[Technology code])
        *INDIRECT("G.30.assumptions.CombustionCH4EmissionsAfterEnergyEfficiency["&amp;I$9&amp;"]"))</f>
        <v>1.7998356270965257E-4</v>
      </c>
      <c r="J265" s="436"/>
      <c r="K265" s="436"/>
      <c r="L265" s="436"/>
      <c r="M265" s="436"/>
      <c r="N265" s="436"/>
      <c r="O265" s="436"/>
      <c r="P265" s="436"/>
      <c r="Q265" s="436"/>
    </row>
    <row r="266" spans="3:17" ht="14">
      <c r="C266" s="219" t="s">
        <v>1969</v>
      </c>
      <c r="D266" s="219" t="s">
        <v>1969</v>
      </c>
      <c r="H266" s="147" t="s">
        <v>1752</v>
      </c>
      <c r="I266" s="436">
        <f t="array" aca="1" ref="I266" ca="1">SUM((G.30.CH4[[#This Row],[Code]]=G.30.assumptions.CombustionCH4EmissionsAfterEnergyEfficiency[Technology code])
        *INDIRECT("G.30.assumptions.CombustionCH4EmissionsAfterEnergyEfficiency["&amp;I$9&amp;"]"))</f>
        <v>1.4465575200546974E-4</v>
      </c>
      <c r="J266" s="436"/>
      <c r="K266" s="436"/>
      <c r="L266" s="436"/>
      <c r="M266" s="436"/>
      <c r="N266" s="436"/>
      <c r="O266" s="436"/>
      <c r="P266" s="436"/>
      <c r="Q266" s="436"/>
    </row>
    <row r="267" spans="3:17" ht="14">
      <c r="C267" s="219" t="s">
        <v>1970</v>
      </c>
      <c r="D267" s="219" t="s">
        <v>1970</v>
      </c>
      <c r="H267" s="147" t="s">
        <v>1752</v>
      </c>
      <c r="I267" s="436">
        <f t="array" aca="1" ref="I267" ca="1">SUM((G.30.CH4[[#This Row],[Code]]=G.30.assumptions.CombustionCH4EmissionsAfterEnergyEfficiency[Technology code])
        *INDIRECT("G.30.assumptions.CombustionCH4EmissionsAfterEnergyEfficiency["&amp;I$9&amp;"]"))</f>
        <v>1.1439400985854701E-5</v>
      </c>
      <c r="J267" s="436"/>
      <c r="K267" s="436"/>
      <c r="L267" s="436"/>
      <c r="M267" s="436"/>
      <c r="N267" s="436"/>
      <c r="O267" s="436"/>
      <c r="P267" s="436"/>
      <c r="Q267" s="436"/>
    </row>
    <row r="268" spans="3:17" ht="14">
      <c r="C268" s="219" t="s">
        <v>1971</v>
      </c>
      <c r="D268" s="219" t="s">
        <v>1971</v>
      </c>
      <c r="H268" s="147" t="s">
        <v>1752</v>
      </c>
      <c r="I268" s="436">
        <f t="array" aca="1" ref="I268" ca="1">SUM((G.30.CH4[[#This Row],[Code]]=G.30.assumptions.CombustionCH4EmissionsAfterEnergyEfficiency[Technology code])
        *INDIRECT("G.30.assumptions.CombustionCH4EmissionsAfterEnergyEfficiency["&amp;I$9&amp;"]"))</f>
        <v>2.8473453097493702E-6</v>
      </c>
      <c r="J268" s="436"/>
      <c r="K268" s="436"/>
      <c r="L268" s="436"/>
      <c r="M268" s="436"/>
      <c r="N268" s="436"/>
      <c r="O268" s="436"/>
      <c r="P268" s="436"/>
      <c r="Q268" s="436"/>
    </row>
    <row r="269" spans="3:17" ht="14">
      <c r="C269" s="219" t="s">
        <v>1972</v>
      </c>
      <c r="D269" s="219" t="s">
        <v>1972</v>
      </c>
      <c r="H269" s="147" t="s">
        <v>1752</v>
      </c>
      <c r="I269" s="436">
        <f t="array" aca="1" ref="I269" ca="1">SUM((G.30.CH4[[#This Row],[Code]]=G.30.assumptions.CombustionCH4EmissionsAfterEnergyEfficiency[Technology code])
        *INDIRECT("G.30.assumptions.CombustionCH4EmissionsAfterEnergyEfficiency["&amp;I$9&amp;"]"))</f>
        <v>1.2989816220623152E-6</v>
      </c>
      <c r="J269" s="436"/>
      <c r="K269" s="436"/>
      <c r="L269" s="436"/>
      <c r="M269" s="436"/>
      <c r="N269" s="436"/>
      <c r="O269" s="436"/>
      <c r="P269" s="436"/>
      <c r="Q269" s="436"/>
    </row>
    <row r="270" spans="3:17" ht="14">
      <c r="C270" s="219" t="s">
        <v>1973</v>
      </c>
      <c r="D270" s="219" t="s">
        <v>1973</v>
      </c>
      <c r="H270" s="147" t="s">
        <v>1752</v>
      </c>
      <c r="I270" s="436">
        <f t="array" aca="1" ref="I270" ca="1">SUM((G.30.CH4[[#This Row],[Code]]=G.30.assumptions.CombustionCH4EmissionsAfterEnergyEfficiency[Technology code])
        *INDIRECT("G.30.assumptions.CombustionCH4EmissionsAfterEnergyEfficiency["&amp;I$9&amp;"]"))</f>
        <v>8.220741143684501E-5</v>
      </c>
      <c r="J270" s="436"/>
      <c r="K270" s="436"/>
      <c r="L270" s="436"/>
      <c r="M270" s="436"/>
      <c r="N270" s="436"/>
      <c r="O270" s="436"/>
      <c r="P270" s="436"/>
      <c r="Q270" s="436"/>
    </row>
    <row r="271" spans="3:17" ht="14">
      <c r="C271" s="219" t="s">
        <v>1974</v>
      </c>
      <c r="D271" s="219" t="s">
        <v>1974</v>
      </c>
      <c r="H271" s="147" t="s">
        <v>1752</v>
      </c>
      <c r="I271" s="436">
        <f t="array" aca="1" ref="I271" ca="1">SUM((G.30.CH4[[#This Row],[Code]]=G.30.assumptions.CombustionCH4EmissionsAfterEnergyEfficiency[Technology code])
        *INDIRECT("G.30.assumptions.CombustionCH4EmissionsAfterEnergyEfficiency["&amp;I$9&amp;"]"))</f>
        <v>4.3273399884361874E-5</v>
      </c>
      <c r="J271" s="436"/>
      <c r="K271" s="436"/>
      <c r="L271" s="436"/>
      <c r="M271" s="436"/>
      <c r="N271" s="436"/>
      <c r="O271" s="436"/>
      <c r="P271" s="436"/>
      <c r="Q271" s="436"/>
    </row>
    <row r="272" spans="3:17" ht="14">
      <c r="C272" s="219" t="s">
        <v>1975</v>
      </c>
      <c r="D272" s="219" t="s">
        <v>1975</v>
      </c>
      <c r="H272" s="147" t="s">
        <v>1752</v>
      </c>
      <c r="I272" s="436">
        <f t="array" aca="1" ref="I272" ca="1">SUM((G.30.CH4[[#This Row],[Code]]=G.30.assumptions.CombustionCH4EmissionsAfterEnergyEfficiency[Technology code])
        *INDIRECT("G.30.assumptions.CombustionCH4EmissionsAfterEnergyEfficiency["&amp;I$9&amp;"]"))</f>
        <v>1.4629422513554707E-5</v>
      </c>
      <c r="J272" s="436"/>
      <c r="K272" s="436"/>
      <c r="L272" s="436"/>
      <c r="M272" s="436"/>
      <c r="N272" s="436"/>
      <c r="O272" s="436"/>
      <c r="P272" s="436"/>
      <c r="Q272" s="436"/>
    </row>
    <row r="273" spans="3:17" ht="14">
      <c r="C273" s="219" t="s">
        <v>1976</v>
      </c>
      <c r="D273" s="219" t="s">
        <v>1976</v>
      </c>
      <c r="H273" s="147" t="s">
        <v>1752</v>
      </c>
      <c r="I273" s="436">
        <f t="array" aca="1" ref="I273" ca="1">SUM((G.30.CH4[[#This Row],[Code]]=G.30.assumptions.CombustionCH4EmissionsAfterEnergyEfficiency[Technology code])
        *INDIRECT("G.30.assumptions.CombustionCH4EmissionsAfterEnergyEfficiency["&amp;I$9&amp;"]"))</f>
        <v>3.947628670000394E-5</v>
      </c>
      <c r="J273" s="436"/>
      <c r="K273" s="436"/>
      <c r="L273" s="436"/>
      <c r="M273" s="436"/>
      <c r="N273" s="436"/>
      <c r="O273" s="436"/>
      <c r="P273" s="436"/>
      <c r="Q273" s="436"/>
    </row>
    <row r="274" spans="3:17" ht="14">
      <c r="C274" s="219" t="s">
        <v>1977</v>
      </c>
      <c r="D274" s="219" t="s">
        <v>1977</v>
      </c>
      <c r="H274" s="147" t="s">
        <v>1752</v>
      </c>
      <c r="I274" s="436">
        <f t="array" aca="1" ref="I274" ca="1">SUM((G.30.CH4[[#This Row],[Code]]=G.30.assumptions.CombustionCH4EmissionsAfterEnergyEfficiency[Technology code])
        *INDIRECT("G.30.assumptions.CombustionCH4EmissionsAfterEnergyEfficiency["&amp;I$9&amp;"]"))</f>
        <v>2.5805687163577756E-5</v>
      </c>
      <c r="J274" s="436"/>
      <c r="K274" s="436"/>
      <c r="L274" s="436"/>
      <c r="M274" s="436"/>
      <c r="N274" s="436"/>
      <c r="O274" s="436"/>
      <c r="P274" s="436"/>
      <c r="Q274" s="436"/>
    </row>
    <row r="275" spans="3:17" ht="14">
      <c r="C275" s="219" t="s">
        <v>1978</v>
      </c>
      <c r="D275" s="219" t="s">
        <v>1978</v>
      </c>
      <c r="H275" s="147" t="s">
        <v>1752</v>
      </c>
      <c r="I275" s="436">
        <f t="array" aca="1" ref="I275" ca="1">SUM((G.30.CH4[[#This Row],[Code]]=G.30.assumptions.CombustionCH4EmissionsAfterEnergyEfficiency[Technology code])
        *INDIRECT("G.30.assumptions.CombustionCH4EmissionsAfterEnergyEfficiency["&amp;I$9&amp;"]"))</f>
        <v>2.2463995901766407E-5</v>
      </c>
      <c r="J275" s="436"/>
      <c r="K275" s="436"/>
      <c r="L275" s="436"/>
      <c r="M275" s="436"/>
      <c r="N275" s="436"/>
      <c r="O275" s="436"/>
      <c r="P275" s="436"/>
      <c r="Q275" s="436"/>
    </row>
    <row r="276" spans="3:17" ht="14">
      <c r="C276" s="219" t="s">
        <v>1979</v>
      </c>
      <c r="D276" s="219" t="s">
        <v>1979</v>
      </c>
      <c r="H276" s="147" t="s">
        <v>1752</v>
      </c>
      <c r="I276" s="436">
        <f t="array" aca="1" ref="I276" ca="1">SUM((G.30.CH4[[#This Row],[Code]]=G.30.assumptions.CombustionCH4EmissionsAfterEnergyEfficiency[Technology code])
        *INDIRECT("G.30.assumptions.CombustionCH4EmissionsAfterEnergyEfficiency["&amp;I$9&amp;"]"))</f>
        <v>2.7354848012121755E-6</v>
      </c>
      <c r="J276" s="436"/>
      <c r="K276" s="436"/>
      <c r="L276" s="436"/>
      <c r="M276" s="436"/>
      <c r="N276" s="436"/>
      <c r="O276" s="436"/>
      <c r="P276" s="436"/>
      <c r="Q276" s="436"/>
    </row>
    <row r="277" spans="3:17" ht="14">
      <c r="C277" s="219" t="s">
        <v>1980</v>
      </c>
      <c r="D277" s="219" t="s">
        <v>1980</v>
      </c>
      <c r="H277" s="147" t="s">
        <v>1752</v>
      </c>
      <c r="I277" s="436">
        <f t="array" aca="1" ref="I277" ca="1">SUM((G.30.CH4[[#This Row],[Code]]=G.30.assumptions.CombustionCH4EmissionsAfterEnergyEfficiency[Technology code])
        *INDIRECT("G.30.assumptions.CombustionCH4EmissionsAfterEnergyEfficiency["&amp;I$9&amp;"]"))</f>
        <v>1.0611222235012787E-4</v>
      </c>
      <c r="J277" s="436"/>
      <c r="K277" s="436"/>
      <c r="L277" s="436"/>
      <c r="M277" s="436"/>
      <c r="N277" s="436"/>
      <c r="O277" s="436"/>
      <c r="P277" s="436"/>
      <c r="Q277" s="436"/>
    </row>
    <row r="278" spans="3:17" ht="14">
      <c r="C278" s="219" t="s">
        <v>1981</v>
      </c>
      <c r="D278" s="219" t="s">
        <v>1981</v>
      </c>
      <c r="H278" s="219" t="s">
        <v>1752</v>
      </c>
      <c r="I278" s="436">
        <f t="array" aca="1" ref="I278" ca="1">SUM((G.30.CH4[[#This Row],[Code]]=G.30.assumptions.CombustionCH4EmissionsAfterEnergyEfficiency[Technology code])
        *INDIRECT("G.30.assumptions.CombustionCH4EmissionsAfterEnergyEfficiency["&amp;I$9&amp;"]"))</f>
        <v>2.6748038011454998E-4</v>
      </c>
      <c r="J278" s="436"/>
      <c r="K278" s="436"/>
      <c r="L278" s="436"/>
      <c r="M278" s="436"/>
      <c r="N278" s="436"/>
      <c r="O278" s="436"/>
      <c r="P278" s="436"/>
      <c r="Q278" s="436"/>
    </row>
    <row r="279" spans="3:17" ht="14">
      <c r="C279" s="219" t="s">
        <v>1968</v>
      </c>
      <c r="D279" s="219" t="s">
        <v>1968</v>
      </c>
      <c r="H279" s="219" t="s">
        <v>1757</v>
      </c>
      <c r="I279" s="436">
        <f t="array" aca="1" ref="I279"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79" s="436"/>
      <c r="K279" s="436"/>
      <c r="L279" s="436"/>
      <c r="M279" s="436"/>
      <c r="N279" s="436"/>
      <c r="O279" s="436"/>
      <c r="P279" s="436"/>
      <c r="Q279" s="436"/>
    </row>
    <row r="280" spans="3:17" ht="14">
      <c r="C280" s="219" t="s">
        <v>2196</v>
      </c>
      <c r="D280" s="219" t="s">
        <v>2196</v>
      </c>
      <c r="H280" s="219" t="s">
        <v>1757</v>
      </c>
      <c r="I280" s="436">
        <f t="array" aca="1" ref="I280"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0" s="436"/>
      <c r="K280" s="436"/>
      <c r="L280" s="436"/>
      <c r="M280" s="436"/>
      <c r="N280" s="436"/>
      <c r="O280" s="436"/>
      <c r="P280" s="436"/>
      <c r="Q280" s="436"/>
    </row>
    <row r="281" spans="3:17" ht="14">
      <c r="C281" s="219" t="s">
        <v>1969</v>
      </c>
      <c r="D281" s="219" t="s">
        <v>1969</v>
      </c>
      <c r="H281" s="219" t="s">
        <v>1757</v>
      </c>
      <c r="I281" s="436">
        <f t="array" aca="1" ref="I281"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1" s="436"/>
      <c r="K281" s="436"/>
      <c r="L281" s="436"/>
      <c r="M281" s="436"/>
      <c r="N281" s="436"/>
      <c r="O281" s="436"/>
      <c r="P281" s="436"/>
      <c r="Q281" s="436"/>
    </row>
    <row r="282" spans="3:17" ht="14">
      <c r="C282" s="219" t="s">
        <v>1970</v>
      </c>
      <c r="D282" s="219" t="s">
        <v>1970</v>
      </c>
      <c r="H282" s="219" t="s">
        <v>1757</v>
      </c>
      <c r="I282" s="436">
        <f t="array" aca="1" ref="I282"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2" s="436"/>
      <c r="K282" s="436"/>
      <c r="L282" s="436"/>
      <c r="M282" s="436"/>
      <c r="N282" s="436"/>
      <c r="O282" s="436"/>
      <c r="P282" s="436"/>
      <c r="Q282" s="436"/>
    </row>
    <row r="283" spans="3:17" ht="14">
      <c r="C283" s="219" t="s">
        <v>1971</v>
      </c>
      <c r="D283" s="219" t="s">
        <v>1971</v>
      </c>
      <c r="H283" s="219" t="s">
        <v>1757</v>
      </c>
      <c r="I283" s="436">
        <f t="array" aca="1" ref="I283"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3" s="436"/>
      <c r="K283" s="436"/>
      <c r="L283" s="436"/>
      <c r="M283" s="436"/>
      <c r="N283" s="436"/>
      <c r="O283" s="436"/>
      <c r="P283" s="436"/>
      <c r="Q283" s="436"/>
    </row>
    <row r="284" spans="3:17" ht="14">
      <c r="C284" s="219" t="s">
        <v>1972</v>
      </c>
      <c r="D284" s="219" t="s">
        <v>1972</v>
      </c>
      <c r="H284" s="219" t="s">
        <v>1757</v>
      </c>
      <c r="I284" s="436">
        <f t="array" aca="1" ref="I284"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4" s="436"/>
      <c r="K284" s="436"/>
      <c r="L284" s="436"/>
      <c r="M284" s="436"/>
      <c r="N284" s="436"/>
      <c r="O284" s="436"/>
      <c r="P284" s="436"/>
      <c r="Q284" s="436"/>
    </row>
    <row r="285" spans="3:17" ht="14">
      <c r="C285" s="219" t="s">
        <v>1973</v>
      </c>
      <c r="D285" s="219" t="s">
        <v>1973</v>
      </c>
      <c r="H285" s="219" t="s">
        <v>1757</v>
      </c>
      <c r="I285" s="436">
        <f t="array" aca="1" ref="I285"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5" s="436"/>
      <c r="K285" s="436"/>
      <c r="L285" s="436"/>
      <c r="M285" s="436"/>
      <c r="N285" s="436"/>
      <c r="O285" s="436"/>
      <c r="P285" s="436"/>
      <c r="Q285" s="436"/>
    </row>
    <row r="286" spans="3:17" ht="14">
      <c r="C286" s="219" t="s">
        <v>1974</v>
      </c>
      <c r="D286" s="219" t="s">
        <v>1974</v>
      </c>
      <c r="H286" s="219" t="s">
        <v>1757</v>
      </c>
      <c r="I286" s="436">
        <f t="array" aca="1" ref="I286"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6" s="436"/>
      <c r="K286" s="436"/>
      <c r="L286" s="436"/>
      <c r="M286" s="436"/>
      <c r="N286" s="436"/>
      <c r="O286" s="436"/>
      <c r="P286" s="436"/>
      <c r="Q286" s="436"/>
    </row>
    <row r="287" spans="3:17" ht="14">
      <c r="C287" s="219" t="s">
        <v>1975</v>
      </c>
      <c r="D287" s="219" t="s">
        <v>1975</v>
      </c>
      <c r="H287" s="219" t="s">
        <v>1757</v>
      </c>
      <c r="I287" s="436">
        <f t="array" aca="1" ref="I287"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7" s="436"/>
      <c r="K287" s="436"/>
      <c r="L287" s="436"/>
      <c r="M287" s="436"/>
      <c r="N287" s="436"/>
      <c r="O287" s="436"/>
      <c r="P287" s="436"/>
      <c r="Q287" s="436"/>
    </row>
    <row r="288" spans="3:17" ht="14">
      <c r="C288" s="219" t="s">
        <v>1976</v>
      </c>
      <c r="D288" s="219" t="s">
        <v>1976</v>
      </c>
      <c r="H288" s="219" t="s">
        <v>1757</v>
      </c>
      <c r="I288" s="436">
        <f t="array" aca="1" ref="I288"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8" s="436"/>
      <c r="K288" s="436"/>
      <c r="L288" s="436"/>
      <c r="M288" s="436"/>
      <c r="N288" s="436"/>
      <c r="O288" s="436"/>
      <c r="P288" s="436"/>
      <c r="Q288" s="436"/>
    </row>
    <row r="289" spans="3:17" ht="14">
      <c r="C289" s="219" t="s">
        <v>1977</v>
      </c>
      <c r="D289" s="219" t="s">
        <v>1977</v>
      </c>
      <c r="H289" s="219" t="s">
        <v>1757</v>
      </c>
      <c r="I289" s="436">
        <f t="array" aca="1" ref="I289"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89" s="436"/>
      <c r="K289" s="436"/>
      <c r="L289" s="436"/>
      <c r="M289" s="436"/>
      <c r="N289" s="436"/>
      <c r="O289" s="436"/>
      <c r="P289" s="436"/>
      <c r="Q289" s="436"/>
    </row>
    <row r="290" spans="3:17" ht="14">
      <c r="C290" s="219" t="s">
        <v>1978</v>
      </c>
      <c r="D290" s="219" t="s">
        <v>1978</v>
      </c>
      <c r="H290" s="219" t="s">
        <v>1757</v>
      </c>
      <c r="I290" s="436">
        <f t="array" aca="1" ref="I290"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90" s="436"/>
      <c r="K290" s="436"/>
      <c r="L290" s="436"/>
      <c r="M290" s="436"/>
      <c r="N290" s="436"/>
      <c r="O290" s="436"/>
      <c r="P290" s="436"/>
      <c r="Q290" s="436"/>
    </row>
    <row r="291" spans="3:17" ht="14">
      <c r="C291" s="219" t="s">
        <v>1979</v>
      </c>
      <c r="D291" s="219" t="s">
        <v>1979</v>
      </c>
      <c r="H291" s="219" t="s">
        <v>1757</v>
      </c>
      <c r="I291" s="436">
        <f t="array" aca="1" ref="I291"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91" s="436"/>
      <c r="K291" s="436"/>
      <c r="L291" s="436"/>
      <c r="M291" s="436"/>
      <c r="N291" s="436"/>
      <c r="O291" s="436"/>
      <c r="P291" s="436"/>
      <c r="Q291" s="436"/>
    </row>
    <row r="292" spans="3:17" ht="14">
      <c r="C292" s="219" t="s">
        <v>1980</v>
      </c>
      <c r="D292" s="219" t="s">
        <v>1980</v>
      </c>
      <c r="H292" s="219" t="s">
        <v>1757</v>
      </c>
      <c r="I292" s="436">
        <f t="array" aca="1" ref="I292"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92" s="436"/>
      <c r="K292" s="436"/>
      <c r="L292" s="436"/>
      <c r="M292" s="436"/>
      <c r="N292" s="436"/>
      <c r="O292" s="436"/>
      <c r="P292" s="436"/>
      <c r="Q292" s="436"/>
    </row>
    <row r="293" spans="3:17" ht="14">
      <c r="C293" s="219" t="s">
        <v>1981</v>
      </c>
      <c r="D293" s="219" t="s">
        <v>1981</v>
      </c>
      <c r="H293" s="219" t="s">
        <v>1757</v>
      </c>
      <c r="I293" s="436">
        <f t="array" aca="1" ref="I293" ca="1">SUM((G.30.CH4[[#This Row],[Code]]=G.30.assumptions.CombustionCH4EmissionsAfterCCS[Technology code])
        *INDIRECT("G.30.assumptions.CombustionCH4EmissionsAfterCCS["&amp;I$9&amp;"]"))
-SUM((G.30.CH4[[#This Row],[Code]]=G.30.assumptions.CombustionCH4EmissionsAfterEnergyEfficiency[Technology code])
        *INDIRECT("G.30.assumptions.CombustionCH4EmissionsAfterEnergyEfficiency["&amp;I$9&amp;"]"))</f>
        <v>0</v>
      </c>
      <c r="J293" s="436"/>
      <c r="K293" s="436"/>
      <c r="L293" s="436"/>
      <c r="M293" s="436"/>
      <c r="N293" s="436"/>
      <c r="O293" s="436"/>
      <c r="P293" s="436"/>
      <c r="Q293" s="436"/>
    </row>
    <row r="294" spans="3:17" ht="14">
      <c r="C294" s="219" t="s">
        <v>1986</v>
      </c>
      <c r="D294" s="219" t="s">
        <v>1986</v>
      </c>
      <c r="H294" s="219" t="s">
        <v>1751</v>
      </c>
      <c r="I294" s="436">
        <f t="array" aca="1" ref="I294"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294" s="436"/>
      <c r="K294" s="436"/>
      <c r="L294" s="436"/>
      <c r="M294" s="436"/>
      <c r="N294" s="436"/>
      <c r="O294" s="436"/>
      <c r="P294" s="436"/>
      <c r="Q294" s="436"/>
    </row>
    <row r="295" spans="3:17" ht="14">
      <c r="C295" s="219" t="s">
        <v>2192</v>
      </c>
      <c r="D295" s="219" t="s">
        <v>2192</v>
      </c>
      <c r="H295" s="219" t="s">
        <v>1751</v>
      </c>
      <c r="I295" s="436">
        <f t="array" aca="1" ref="I295"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295" s="436"/>
      <c r="K295" s="436"/>
      <c r="L295" s="436"/>
      <c r="M295" s="436"/>
      <c r="N295" s="436"/>
      <c r="O295" s="436"/>
      <c r="P295" s="436"/>
      <c r="Q295" s="436"/>
    </row>
    <row r="296" spans="3:17" ht="14">
      <c r="C296" s="219" t="s">
        <v>1987</v>
      </c>
      <c r="D296" s="219" t="s">
        <v>1987</v>
      </c>
      <c r="H296" s="219" t="s">
        <v>1751</v>
      </c>
      <c r="I296" s="436">
        <f t="array" aca="1" ref="I296"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296" s="436"/>
      <c r="K296" s="436"/>
      <c r="L296" s="436"/>
      <c r="M296" s="436"/>
      <c r="N296" s="436"/>
      <c r="O296" s="436"/>
      <c r="P296" s="436"/>
      <c r="Q296" s="436"/>
    </row>
    <row r="297" spans="3:17" ht="14">
      <c r="C297" s="219" t="s">
        <v>1988</v>
      </c>
      <c r="D297" s="219" t="s">
        <v>1988</v>
      </c>
      <c r="H297" s="219" t="s">
        <v>1751</v>
      </c>
      <c r="I297" s="436">
        <f t="array" aca="1" ref="I297"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297" s="436"/>
      <c r="K297" s="436"/>
      <c r="L297" s="436"/>
      <c r="M297" s="436"/>
      <c r="N297" s="436"/>
      <c r="O297" s="436"/>
      <c r="P297" s="436"/>
      <c r="Q297" s="436"/>
    </row>
    <row r="298" spans="3:17" ht="14">
      <c r="C298" s="219" t="s">
        <v>1989</v>
      </c>
      <c r="D298" s="219" t="s">
        <v>1989</v>
      </c>
      <c r="H298" s="219" t="s">
        <v>1751</v>
      </c>
      <c r="I298" s="436">
        <f t="array" aca="1" ref="I298"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298" s="436"/>
      <c r="K298" s="436"/>
      <c r="L298" s="436"/>
      <c r="M298" s="436"/>
      <c r="N298" s="436"/>
      <c r="O298" s="436"/>
      <c r="P298" s="436"/>
      <c r="Q298" s="436"/>
    </row>
    <row r="299" spans="3:17" ht="14">
      <c r="C299" s="219" t="s">
        <v>1990</v>
      </c>
      <c r="D299" s="219" t="s">
        <v>1990</v>
      </c>
      <c r="H299" s="219" t="s">
        <v>1751</v>
      </c>
      <c r="I299" s="436">
        <f t="array" aca="1" ref="I299"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299" s="436"/>
      <c r="K299" s="436"/>
      <c r="L299" s="436"/>
      <c r="M299" s="436"/>
      <c r="N299" s="436"/>
      <c r="O299" s="436"/>
      <c r="P299" s="436"/>
      <c r="Q299" s="436"/>
    </row>
    <row r="300" spans="3:17" ht="14">
      <c r="C300" s="219" t="s">
        <v>1991</v>
      </c>
      <c r="D300" s="219" t="s">
        <v>1991</v>
      </c>
      <c r="H300" s="219" t="s">
        <v>1751</v>
      </c>
      <c r="I300" s="436">
        <f t="array" aca="1" ref="I300"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0" s="436"/>
      <c r="K300" s="436"/>
      <c r="L300" s="436"/>
      <c r="M300" s="436"/>
      <c r="N300" s="436"/>
      <c r="O300" s="436"/>
      <c r="P300" s="436"/>
      <c r="Q300" s="436"/>
    </row>
    <row r="301" spans="3:17" ht="14">
      <c r="C301" s="219" t="s">
        <v>1992</v>
      </c>
      <c r="D301" s="219" t="s">
        <v>1992</v>
      </c>
      <c r="H301" s="219" t="s">
        <v>1751</v>
      </c>
      <c r="I301" s="436">
        <f t="array" aca="1" ref="I301"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1" s="436"/>
      <c r="K301" s="436"/>
      <c r="L301" s="436"/>
      <c r="M301" s="436"/>
      <c r="N301" s="436"/>
      <c r="O301" s="436"/>
      <c r="P301" s="436"/>
      <c r="Q301" s="436"/>
    </row>
    <row r="302" spans="3:17" ht="14">
      <c r="C302" s="219" t="s">
        <v>1993</v>
      </c>
      <c r="D302" s="219" t="s">
        <v>1993</v>
      </c>
      <c r="H302" s="219" t="s">
        <v>1751</v>
      </c>
      <c r="I302" s="436">
        <f t="array" aca="1" ref="I302"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2" s="436"/>
      <c r="K302" s="436"/>
      <c r="L302" s="436"/>
      <c r="M302" s="436"/>
      <c r="N302" s="436"/>
      <c r="O302" s="436"/>
      <c r="P302" s="436"/>
      <c r="Q302" s="436"/>
    </row>
    <row r="303" spans="3:17" ht="14">
      <c r="C303" s="219" t="s">
        <v>1994</v>
      </c>
      <c r="D303" s="219" t="s">
        <v>1994</v>
      </c>
      <c r="H303" s="219" t="s">
        <v>1751</v>
      </c>
      <c r="I303" s="436">
        <f t="array" aca="1" ref="I303"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3" s="436"/>
      <c r="K303" s="436"/>
      <c r="L303" s="436"/>
      <c r="M303" s="436"/>
      <c r="N303" s="436"/>
      <c r="O303" s="436"/>
      <c r="P303" s="436"/>
      <c r="Q303" s="436"/>
    </row>
    <row r="304" spans="3:17" ht="14">
      <c r="C304" s="219" t="s">
        <v>1995</v>
      </c>
      <c r="D304" s="219" t="s">
        <v>1995</v>
      </c>
      <c r="H304" s="219" t="s">
        <v>1751</v>
      </c>
      <c r="I304" s="436">
        <f t="array" aca="1" ref="I304"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4" s="436"/>
      <c r="K304" s="436"/>
      <c r="L304" s="436"/>
      <c r="M304" s="436"/>
      <c r="N304" s="436"/>
      <c r="O304" s="436"/>
      <c r="P304" s="436"/>
      <c r="Q304" s="436"/>
    </row>
    <row r="305" spans="3:17" ht="14">
      <c r="C305" s="219" t="s">
        <v>1996</v>
      </c>
      <c r="D305" s="219" t="s">
        <v>1996</v>
      </c>
      <c r="H305" s="219" t="s">
        <v>1751</v>
      </c>
      <c r="I305" s="436">
        <f t="array" aca="1" ref="I305"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5" s="436"/>
      <c r="K305" s="436"/>
      <c r="L305" s="436"/>
      <c r="M305" s="436"/>
      <c r="N305" s="436"/>
      <c r="O305" s="436"/>
      <c r="P305" s="436"/>
      <c r="Q305" s="436"/>
    </row>
    <row r="306" spans="3:17" ht="14">
      <c r="C306" s="219" t="s">
        <v>1997</v>
      </c>
      <c r="D306" s="219" t="s">
        <v>1997</v>
      </c>
      <c r="H306" s="219" t="s">
        <v>1751</v>
      </c>
      <c r="I306" s="436">
        <f t="array" aca="1" ref="I306"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6" s="436"/>
      <c r="K306" s="436"/>
      <c r="L306" s="436"/>
      <c r="M306" s="436"/>
      <c r="N306" s="436"/>
      <c r="O306" s="436"/>
      <c r="P306" s="436"/>
      <c r="Q306" s="436"/>
    </row>
    <row r="307" spans="3:17" ht="14">
      <c r="C307" s="219" t="s">
        <v>1998</v>
      </c>
      <c r="D307" s="219" t="s">
        <v>1998</v>
      </c>
      <c r="H307" s="219" t="s">
        <v>1751</v>
      </c>
      <c r="I307" s="436">
        <f t="array" aca="1" ref="I307"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7" s="436"/>
      <c r="K307" s="436"/>
      <c r="L307" s="436"/>
      <c r="M307" s="436"/>
      <c r="N307" s="436"/>
      <c r="O307" s="436"/>
      <c r="P307" s="436"/>
      <c r="Q307" s="436"/>
    </row>
    <row r="308" spans="3:17" ht="14">
      <c r="C308" s="219" t="s">
        <v>1999</v>
      </c>
      <c r="D308" s="219" t="s">
        <v>1999</v>
      </c>
      <c r="H308" s="219" t="s">
        <v>1751</v>
      </c>
      <c r="I308" s="436">
        <f t="array" aca="1" ref="I308" ca="1">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8" s="436"/>
      <c r="K308" s="436"/>
      <c r="L308" s="436"/>
      <c r="M308" s="436"/>
      <c r="N308" s="436"/>
      <c r="O308" s="436"/>
      <c r="P308" s="436"/>
      <c r="Q308" s="436"/>
    </row>
    <row r="309" spans="3:17" ht="14">
      <c r="C309" s="219" t="s">
        <v>1986</v>
      </c>
      <c r="D309" s="219" t="s">
        <v>1986</v>
      </c>
      <c r="H309" s="219" t="s">
        <v>1759</v>
      </c>
      <c r="I309" s="436">
        <f t="array" aca="1" ref="I309"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09" s="436"/>
      <c r="K309" s="436"/>
      <c r="L309" s="436"/>
      <c r="M309" s="436"/>
      <c r="N309" s="436"/>
      <c r="O309" s="436"/>
      <c r="P309" s="436"/>
      <c r="Q309" s="436"/>
    </row>
    <row r="310" spans="3:17" ht="14">
      <c r="C310" s="219" t="s">
        <v>2192</v>
      </c>
      <c r="D310" s="219" t="s">
        <v>2192</v>
      </c>
      <c r="H310" s="219" t="s">
        <v>1759</v>
      </c>
      <c r="I310" s="436">
        <f t="array" aca="1" ref="I310"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0" s="436"/>
      <c r="K310" s="436"/>
      <c r="L310" s="436"/>
      <c r="M310" s="436"/>
      <c r="N310" s="436"/>
      <c r="O310" s="436"/>
      <c r="P310" s="436"/>
      <c r="Q310" s="436"/>
    </row>
    <row r="311" spans="3:17" ht="14">
      <c r="C311" s="219" t="s">
        <v>1987</v>
      </c>
      <c r="D311" s="219" t="s">
        <v>1987</v>
      </c>
      <c r="H311" s="219" t="s">
        <v>1759</v>
      </c>
      <c r="I311" s="436">
        <f t="array" aca="1" ref="I311"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1" s="436"/>
      <c r="K311" s="436"/>
      <c r="L311" s="436"/>
      <c r="M311" s="436"/>
      <c r="N311" s="436"/>
      <c r="O311" s="436"/>
      <c r="P311" s="436"/>
      <c r="Q311" s="436"/>
    </row>
    <row r="312" spans="3:17" ht="14">
      <c r="C312" s="219" t="s">
        <v>1988</v>
      </c>
      <c r="D312" s="219" t="s">
        <v>1988</v>
      </c>
      <c r="H312" s="219" t="s">
        <v>1759</v>
      </c>
      <c r="I312" s="436">
        <f t="array" aca="1" ref="I312"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2" s="436"/>
      <c r="K312" s="436"/>
      <c r="L312" s="436"/>
      <c r="M312" s="436"/>
      <c r="N312" s="436"/>
      <c r="O312" s="436"/>
      <c r="P312" s="436"/>
      <c r="Q312" s="436"/>
    </row>
    <row r="313" spans="3:17" ht="14">
      <c r="C313" s="219" t="s">
        <v>1989</v>
      </c>
      <c r="D313" s="219" t="s">
        <v>1989</v>
      </c>
      <c r="H313" s="219" t="s">
        <v>1759</v>
      </c>
      <c r="I313" s="436">
        <f t="array" aca="1" ref="I313"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3" s="436"/>
      <c r="K313" s="436"/>
      <c r="L313" s="436"/>
      <c r="M313" s="436"/>
      <c r="N313" s="436"/>
      <c r="O313" s="436"/>
      <c r="P313" s="436"/>
      <c r="Q313" s="436"/>
    </row>
    <row r="314" spans="3:17" ht="14">
      <c r="C314" s="219" t="s">
        <v>1990</v>
      </c>
      <c r="D314" s="219" t="s">
        <v>1990</v>
      </c>
      <c r="H314" s="219" t="s">
        <v>1759</v>
      </c>
      <c r="I314" s="436">
        <f t="array" aca="1" ref="I314"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4" s="436"/>
      <c r="K314" s="436"/>
      <c r="L314" s="436"/>
      <c r="M314" s="436"/>
      <c r="N314" s="436"/>
      <c r="O314" s="436"/>
      <c r="P314" s="436"/>
      <c r="Q314" s="436"/>
    </row>
    <row r="315" spans="3:17" ht="14">
      <c r="C315" s="219" t="s">
        <v>1991</v>
      </c>
      <c r="D315" s="219" t="s">
        <v>1991</v>
      </c>
      <c r="H315" s="219" t="s">
        <v>1759</v>
      </c>
      <c r="I315" s="436">
        <f t="array" aca="1" ref="I315"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5" s="436"/>
      <c r="K315" s="436"/>
      <c r="L315" s="436"/>
      <c r="M315" s="436"/>
      <c r="N315" s="436"/>
      <c r="O315" s="436"/>
      <c r="P315" s="436"/>
      <c r="Q315" s="436"/>
    </row>
    <row r="316" spans="3:17" ht="14">
      <c r="C316" s="219" t="s">
        <v>1992</v>
      </c>
      <c r="D316" s="219" t="s">
        <v>1992</v>
      </c>
      <c r="H316" s="219" t="s">
        <v>1759</v>
      </c>
      <c r="I316" s="436">
        <f t="array" aca="1" ref="I316"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6" s="436"/>
      <c r="K316" s="436"/>
      <c r="L316" s="436"/>
      <c r="M316" s="436"/>
      <c r="N316" s="436"/>
      <c r="O316" s="436"/>
      <c r="P316" s="436"/>
      <c r="Q316" s="436"/>
    </row>
    <row r="317" spans="3:17" ht="14">
      <c r="C317" s="219" t="s">
        <v>1993</v>
      </c>
      <c r="D317" s="219" t="s">
        <v>1993</v>
      </c>
      <c r="H317" s="219" t="s">
        <v>1759</v>
      </c>
      <c r="I317" s="436">
        <f t="array" aca="1" ref="I317"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7" s="436"/>
      <c r="K317" s="436"/>
      <c r="L317" s="436"/>
      <c r="M317" s="436"/>
      <c r="N317" s="436"/>
      <c r="O317" s="436"/>
      <c r="P317" s="436"/>
      <c r="Q317" s="436"/>
    </row>
    <row r="318" spans="3:17" ht="14">
      <c r="C318" s="219" t="s">
        <v>1994</v>
      </c>
      <c r="D318" s="219" t="s">
        <v>1994</v>
      </c>
      <c r="H318" s="219" t="s">
        <v>1759</v>
      </c>
      <c r="I318" s="436">
        <f t="array" aca="1" ref="I318"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8" s="436"/>
      <c r="K318" s="436"/>
      <c r="L318" s="436"/>
      <c r="M318" s="436"/>
      <c r="N318" s="436"/>
      <c r="O318" s="436"/>
      <c r="P318" s="436"/>
      <c r="Q318" s="436"/>
    </row>
    <row r="319" spans="3:17" ht="14">
      <c r="C319" s="219" t="s">
        <v>1995</v>
      </c>
      <c r="D319" s="219" t="s">
        <v>1995</v>
      </c>
      <c r="H319" s="219" t="s">
        <v>1759</v>
      </c>
      <c r="I319" s="436">
        <f t="array" aca="1" ref="I319"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19" s="436"/>
      <c r="K319" s="436"/>
      <c r="L319" s="436"/>
      <c r="M319" s="436"/>
      <c r="N319" s="436"/>
      <c r="O319" s="436"/>
      <c r="P319" s="436"/>
      <c r="Q319" s="436"/>
    </row>
    <row r="320" spans="3:17" ht="14">
      <c r="C320" s="219" t="s">
        <v>1996</v>
      </c>
      <c r="D320" s="219" t="s">
        <v>1996</v>
      </c>
      <c r="H320" s="219" t="s">
        <v>1759</v>
      </c>
      <c r="I320" s="436">
        <f t="array" aca="1" ref="I320"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20" s="436"/>
      <c r="K320" s="436"/>
      <c r="L320" s="436"/>
      <c r="M320" s="436"/>
      <c r="N320" s="436"/>
      <c r="O320" s="436"/>
      <c r="P320" s="436"/>
      <c r="Q320" s="436"/>
    </row>
    <row r="321" spans="3:17" ht="14">
      <c r="C321" s="219" t="s">
        <v>1997</v>
      </c>
      <c r="D321" s="219" t="s">
        <v>1997</v>
      </c>
      <c r="H321" s="219" t="s">
        <v>1759</v>
      </c>
      <c r="I321" s="436">
        <f t="array" aca="1" ref="I321"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21" s="436"/>
      <c r="K321" s="436"/>
      <c r="L321" s="436"/>
      <c r="M321" s="436"/>
      <c r="N321" s="436"/>
      <c r="O321" s="436"/>
      <c r="P321" s="436"/>
      <c r="Q321" s="436"/>
    </row>
    <row r="322" spans="3:17" ht="14">
      <c r="C322" s="219" t="s">
        <v>1998</v>
      </c>
      <c r="D322" s="219" t="s">
        <v>1998</v>
      </c>
      <c r="H322" s="219" t="s">
        <v>1759</v>
      </c>
      <c r="I322" s="436">
        <f t="array" aca="1" ref="I322"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22" s="436"/>
      <c r="K322" s="436"/>
      <c r="L322" s="436"/>
      <c r="M322" s="436"/>
      <c r="N322" s="436"/>
      <c r="O322" s="436"/>
      <c r="P322" s="436"/>
      <c r="Q322" s="436"/>
    </row>
    <row r="323" spans="3:17" ht="14">
      <c r="C323" s="219" t="s">
        <v>1999</v>
      </c>
      <c r="D323" s="219" t="s">
        <v>1999</v>
      </c>
      <c r="H323" s="219" t="s">
        <v>1759</v>
      </c>
      <c r="I323" s="436">
        <f t="array" aca="1" ref="I323" ca="1">(SUM((G.30.CH4[[#This Row],[Code]]=G.30.assumptions.SpecificProcessCH4EmissionsAfterCCS[Description])
        *INDIRECT("G.30.assumptions.SpecificProcessCH4EmissionsAfterCCS["&amp;I$9&amp;"]"))
-SUM((G.30.CH4[[#This Row],[Code]]=G.30.assumptions.SpecificProcessCH4EmissionsAfterEnergyEfficiency[Description])
        *INDIRECT("G.30.assumptions.SpecificProcessCH4EmissionsAfterEnergyEfficiency["&amp;I$9&amp;"]")))
*SUM((G.30.CH4[[#This Row],[Description]]=G.30.assumptions.MaterialDemandAfterMaterialsProductionEfficiency[Description])
        *INDIRECT("G.30.assumptions.MaterialDemandAfterMaterialsProductionEfficiency["&amp;I$9&amp;"]"))</f>
        <v>0</v>
      </c>
      <c r="J323" s="436"/>
      <c r="K323" s="436"/>
      <c r="L323" s="436"/>
      <c r="M323" s="436"/>
      <c r="N323" s="436"/>
      <c r="O323" s="436"/>
      <c r="P323" s="436"/>
      <c r="Q323" s="436"/>
    </row>
    <row r="324" spans="3:17" ht="15" thickBot="1">
      <c r="C324" s="438" t="s">
        <v>375</v>
      </c>
      <c r="D324" s="438" t="s">
        <v>375</v>
      </c>
      <c r="E324" s="438"/>
      <c r="F324" s="438"/>
      <c r="G324" s="438"/>
      <c r="H324" s="438"/>
      <c r="I324" s="438">
        <f ca="1">SUBTOTAL(109,G.30.CH4[2011])</f>
        <v>1.1243928962084411E-3</v>
      </c>
      <c r="J324" s="438"/>
      <c r="K324" s="438"/>
      <c r="L324" s="438"/>
      <c r="M324" s="438"/>
      <c r="N324" s="438"/>
      <c r="O324" s="438"/>
      <c r="P324" s="438"/>
      <c r="Q324" s="438"/>
    </row>
    <row r="326" spans="3:17" ht="14">
      <c r="C326" s="94" t="s">
        <v>244</v>
      </c>
    </row>
    <row r="327" spans="3:17" ht="14.5" customHeight="1" thickBot="1"/>
    <row r="328" spans="3:17" ht="14">
      <c r="C328" s="100" t="s">
        <v>279</v>
      </c>
      <c r="D328" s="100" t="s">
        <v>241</v>
      </c>
      <c r="E328" s="100" t="s">
        <v>274</v>
      </c>
      <c r="F328" s="100" t="s">
        <v>644</v>
      </c>
      <c r="G328" s="100" t="s">
        <v>647</v>
      </c>
      <c r="H328" s="100" t="s">
        <v>646</v>
      </c>
      <c r="I328" s="100" t="s">
        <v>1107</v>
      </c>
      <c r="J328" s="100" t="s">
        <v>2534</v>
      </c>
      <c r="K328" s="100" t="s">
        <v>2535</v>
      </c>
      <c r="L328" s="100" t="s">
        <v>2536</v>
      </c>
      <c r="M328" s="100" t="s">
        <v>210</v>
      </c>
      <c r="N328" s="100" t="s">
        <v>2537</v>
      </c>
      <c r="O328" s="100" t="s">
        <v>2538</v>
      </c>
      <c r="P328" s="100" t="s">
        <v>2539</v>
      </c>
      <c r="Q328" s="100" t="s">
        <v>2540</v>
      </c>
    </row>
    <row r="329" spans="3:17" ht="14">
      <c r="C329" s="219" t="s">
        <v>1968</v>
      </c>
      <c r="D329" s="219" t="s">
        <v>1968</v>
      </c>
      <c r="H329" s="147" t="s">
        <v>1752</v>
      </c>
      <c r="I329" s="436">
        <f t="array" aca="1" ref="I329" ca="1">SUM((G.30.N2O[[#This Row],[Code]]=G.30.assumptions.CombustionN2OEmissionsAfterEnergyEfficiency[Technology code])
        *INDIRECT("G.30.assumptions.CombustionN2OEmissionsAfterEnergyEfficiency["&amp;I$9&amp;"]"))</f>
        <v>3.7953225923356975E-5</v>
      </c>
      <c r="J329" s="436"/>
      <c r="K329" s="436"/>
      <c r="L329" s="436"/>
      <c r="M329" s="436"/>
      <c r="N329" s="436"/>
      <c r="O329" s="436"/>
      <c r="P329" s="436"/>
      <c r="Q329" s="436"/>
    </row>
    <row r="330" spans="3:17" ht="14">
      <c r="C330" s="219" t="s">
        <v>2196</v>
      </c>
      <c r="D330" s="219" t="s">
        <v>2196</v>
      </c>
      <c r="H330" s="147" t="s">
        <v>1752</v>
      </c>
      <c r="I330" s="436">
        <f t="array" aca="1" ref="I330" ca="1">SUM((G.30.N2O[[#This Row],[Code]]=G.30.assumptions.CombustionN2OEmissionsAfterEnergyEfficiency[Technology code])
        *INDIRECT("G.30.assumptions.CombustionN2OEmissionsAfterEnergyEfficiency["&amp;I$9&amp;"]"))</f>
        <v>3.7953225923356975E-5</v>
      </c>
      <c r="J330" s="436"/>
      <c r="K330" s="436"/>
      <c r="L330" s="436"/>
      <c r="M330" s="436"/>
      <c r="N330" s="436"/>
      <c r="O330" s="436"/>
      <c r="P330" s="436"/>
      <c r="Q330" s="436"/>
    </row>
    <row r="331" spans="3:17" ht="14">
      <c r="C331" s="219" t="s">
        <v>1969</v>
      </c>
      <c r="D331" s="219" t="s">
        <v>1969</v>
      </c>
      <c r="H331" s="147" t="s">
        <v>1752</v>
      </c>
      <c r="I331" s="436">
        <f t="array" aca="1" ref="I331" ca="1">SUM((G.30.N2O[[#This Row],[Code]]=G.30.assumptions.CombustionN2OEmissionsAfterEnergyEfficiency[Technology code])
        *INDIRECT("G.30.assumptions.CombustionN2OEmissionsAfterEnergyEfficiency["&amp;I$9&amp;"]"))</f>
        <v>2.8668259152441647E-5</v>
      </c>
      <c r="J331" s="436"/>
      <c r="K331" s="436"/>
      <c r="L331" s="436"/>
      <c r="M331" s="436"/>
      <c r="N331" s="436"/>
      <c r="O331" s="436"/>
      <c r="P331" s="436"/>
      <c r="Q331" s="436"/>
    </row>
    <row r="332" spans="3:17" ht="14">
      <c r="C332" s="219" t="s">
        <v>1970</v>
      </c>
      <c r="D332" s="219" t="s">
        <v>1970</v>
      </c>
      <c r="H332" s="147" t="s">
        <v>1752</v>
      </c>
      <c r="I332" s="436">
        <f t="array" aca="1" ref="I332" ca="1">SUM((G.30.N2O[[#This Row],[Code]]=G.30.assumptions.CombustionN2OEmissionsAfterEnergyEfficiency[Technology code])
        *INDIRECT("G.30.assumptions.CombustionN2OEmissionsAfterEnergyEfficiency["&amp;I$9&amp;"]"))</f>
        <v>3.2481747566805245E-6</v>
      </c>
      <c r="J332" s="436"/>
      <c r="K332" s="436"/>
      <c r="L332" s="436"/>
      <c r="M332" s="436"/>
      <c r="N332" s="436"/>
      <c r="O332" s="436"/>
      <c r="P332" s="436"/>
      <c r="Q332" s="436"/>
    </row>
    <row r="333" spans="3:17" ht="14">
      <c r="C333" s="219" t="s">
        <v>1971</v>
      </c>
      <c r="D333" s="219" t="s">
        <v>1971</v>
      </c>
      <c r="H333" s="147" t="s">
        <v>1752</v>
      </c>
      <c r="I333" s="436">
        <f t="array" aca="1" ref="I333" ca="1">SUM((G.30.N2O[[#This Row],[Code]]=G.30.assumptions.CombustionN2OEmissionsAfterEnergyEfficiency[Technology code])
        *INDIRECT("G.30.assumptions.CombustionN2OEmissionsAfterEnergyEfficiency["&amp;I$9&amp;"]"))</f>
        <v>1.0807538239004136E-6</v>
      </c>
      <c r="J333" s="436"/>
      <c r="K333" s="436"/>
      <c r="L333" s="436"/>
      <c r="M333" s="436"/>
      <c r="N333" s="436"/>
      <c r="O333" s="436"/>
      <c r="P333" s="436"/>
      <c r="Q333" s="436"/>
    </row>
    <row r="334" spans="3:17" ht="14">
      <c r="C334" s="219" t="s">
        <v>1972</v>
      </c>
      <c r="D334" s="219" t="s">
        <v>1972</v>
      </c>
      <c r="H334" s="147" t="s">
        <v>1752</v>
      </c>
      <c r="I334" s="436">
        <f t="array" aca="1" ref="I334" ca="1">SUM((G.30.N2O[[#This Row],[Code]]=G.30.assumptions.CombustionN2OEmissionsAfterEnergyEfficiency[Technology code])
        *INDIRECT("G.30.assumptions.CombustionN2OEmissionsAfterEnergyEfficiency["&amp;I$9&amp;"]"))</f>
        <v>9.5319969958313822E-8</v>
      </c>
      <c r="J334" s="436"/>
      <c r="K334" s="436"/>
      <c r="L334" s="436"/>
      <c r="M334" s="436"/>
      <c r="N334" s="436"/>
      <c r="O334" s="436"/>
      <c r="P334" s="436"/>
      <c r="Q334" s="436"/>
    </row>
    <row r="335" spans="3:17" ht="14">
      <c r="C335" s="219" t="s">
        <v>1973</v>
      </c>
      <c r="D335" s="219" t="s">
        <v>1973</v>
      </c>
      <c r="H335" s="147" t="s">
        <v>1752</v>
      </c>
      <c r="I335" s="436">
        <f t="array" aca="1" ref="I335" ca="1">SUM((G.30.N2O[[#This Row],[Code]]=G.30.assumptions.CombustionN2OEmissionsAfterEnergyEfficiency[Technology code])
        *INDIRECT("G.30.assumptions.CombustionN2OEmissionsAfterEnergyEfficiency["&amp;I$9&amp;"]"))</f>
        <v>7.7935540178262409E-5</v>
      </c>
      <c r="J335" s="436"/>
      <c r="K335" s="436"/>
      <c r="L335" s="436"/>
      <c r="M335" s="436"/>
      <c r="N335" s="436"/>
      <c r="O335" s="436"/>
      <c r="P335" s="436"/>
      <c r="Q335" s="436"/>
    </row>
    <row r="336" spans="3:17" ht="14">
      <c r="C336" s="219" t="s">
        <v>1974</v>
      </c>
      <c r="D336" s="219" t="s">
        <v>1974</v>
      </c>
      <c r="H336" s="147" t="s">
        <v>1752</v>
      </c>
      <c r="I336" s="436">
        <f t="array" aca="1" ref="I336" ca="1">SUM((G.30.N2O[[#This Row],[Code]]=G.30.assumptions.CombustionN2OEmissionsAfterEnergyEfficiency[Technology code])
        *INDIRECT("G.30.assumptions.CombustionN2OEmissionsAfterEnergyEfficiency["&amp;I$9&amp;"]"))</f>
        <v>5.6632958007176466E-6</v>
      </c>
      <c r="J336" s="436"/>
      <c r="K336" s="436"/>
      <c r="L336" s="436"/>
      <c r="M336" s="436"/>
      <c r="N336" s="436"/>
      <c r="O336" s="436"/>
      <c r="P336" s="436"/>
      <c r="Q336" s="436"/>
    </row>
    <row r="337" spans="3:17" ht="14">
      <c r="C337" s="219" t="s">
        <v>1975</v>
      </c>
      <c r="D337" s="219" t="s">
        <v>1975</v>
      </c>
      <c r="H337" s="147" t="s">
        <v>1752</v>
      </c>
      <c r="I337" s="436">
        <f t="array" aca="1" ref="I337" ca="1">SUM((G.30.N2O[[#This Row],[Code]]=G.30.assumptions.CombustionN2OEmissionsAfterEnergyEfficiency[Technology code])
        *INDIRECT("G.30.assumptions.CombustionN2OEmissionsAfterEnergyEfficiency["&amp;I$9&amp;"]"))</f>
        <v>2.3285174936156825E-6</v>
      </c>
      <c r="J337" s="436"/>
      <c r="K337" s="436"/>
      <c r="L337" s="436"/>
      <c r="M337" s="436"/>
      <c r="N337" s="436"/>
      <c r="O337" s="436"/>
      <c r="P337" s="436"/>
      <c r="Q337" s="436"/>
    </row>
    <row r="338" spans="3:17" ht="14">
      <c r="C338" s="219" t="s">
        <v>1976</v>
      </c>
      <c r="D338" s="219" t="s">
        <v>1976</v>
      </c>
      <c r="H338" s="147" t="s">
        <v>1752</v>
      </c>
      <c r="I338" s="436">
        <f t="array" aca="1" ref="I338" ca="1">SUM((G.30.N2O[[#This Row],[Code]]=G.30.assumptions.CombustionN2OEmissionsAfterEnergyEfficiency[Technology code])
        *INDIRECT("G.30.assumptions.CombustionN2OEmissionsAfterEnergyEfficiency["&amp;I$9&amp;"]"))</f>
        <v>3.8106282049764645E-6</v>
      </c>
      <c r="J338" s="436"/>
      <c r="K338" s="436"/>
      <c r="L338" s="436"/>
      <c r="M338" s="436"/>
      <c r="N338" s="436"/>
      <c r="O338" s="436"/>
      <c r="P338" s="436"/>
      <c r="Q338" s="436"/>
    </row>
    <row r="339" spans="3:17" ht="14">
      <c r="C339" s="219" t="s">
        <v>1977</v>
      </c>
      <c r="D339" s="219" t="s">
        <v>1977</v>
      </c>
      <c r="H339" s="147" t="s">
        <v>1752</v>
      </c>
      <c r="I339" s="436">
        <f t="array" aca="1" ref="I339" ca="1">SUM((G.30.N2O[[#This Row],[Code]]=G.30.assumptions.CombustionN2OEmissionsAfterEnergyEfficiency[Technology code])
        *INDIRECT("G.30.assumptions.CombustionN2OEmissionsAfterEnergyEfficiency["&amp;I$9&amp;"]"))</f>
        <v>5.5311139219921046E-6</v>
      </c>
      <c r="J339" s="436"/>
      <c r="K339" s="436"/>
      <c r="L339" s="436"/>
      <c r="M339" s="436"/>
      <c r="N339" s="436"/>
      <c r="O339" s="436"/>
      <c r="P339" s="436"/>
      <c r="Q339" s="436"/>
    </row>
    <row r="340" spans="3:17" ht="14">
      <c r="C340" s="219" t="s">
        <v>1978</v>
      </c>
      <c r="D340" s="219" t="s">
        <v>1978</v>
      </c>
      <c r="H340" s="147" t="s">
        <v>1752</v>
      </c>
      <c r="I340" s="436">
        <f t="array" aca="1" ref="I340" ca="1">SUM((G.30.N2O[[#This Row],[Code]]=G.30.assumptions.CombustionN2OEmissionsAfterEnergyEfficiency[Technology code])
        *INDIRECT("G.30.assumptions.CombustionN2OEmissionsAfterEnergyEfficiency["&amp;I$9&amp;"]"))</f>
        <v>4.8414290665203519E-6</v>
      </c>
      <c r="J340" s="436"/>
      <c r="K340" s="436"/>
      <c r="L340" s="436"/>
      <c r="M340" s="436"/>
      <c r="N340" s="436"/>
      <c r="O340" s="436"/>
      <c r="P340" s="436"/>
      <c r="Q340" s="436"/>
    </row>
    <row r="341" spans="3:17" ht="14">
      <c r="C341" s="219" t="s">
        <v>1979</v>
      </c>
      <c r="D341" s="219" t="s">
        <v>1979</v>
      </c>
      <c r="H341" s="147" t="s">
        <v>1752</v>
      </c>
      <c r="I341" s="436">
        <f t="array" aca="1" ref="I341" ca="1">SUM((G.30.N2O[[#This Row],[Code]]=G.30.assumptions.CombustionN2OEmissionsAfterEnergyEfficiency[Technology code])
        *INDIRECT("G.30.assumptions.CombustionN2OEmissionsAfterEnergyEfficiency["&amp;I$9&amp;"]"))</f>
        <v>5.9797383948775313E-7</v>
      </c>
      <c r="J341" s="436"/>
      <c r="K341" s="436"/>
      <c r="L341" s="436"/>
      <c r="M341" s="436"/>
      <c r="N341" s="436"/>
      <c r="O341" s="436"/>
      <c r="P341" s="436"/>
      <c r="Q341" s="436"/>
    </row>
    <row r="342" spans="3:17" ht="14">
      <c r="C342" s="219" t="s">
        <v>1980</v>
      </c>
      <c r="D342" s="219" t="s">
        <v>1980</v>
      </c>
      <c r="H342" s="147" t="s">
        <v>1752</v>
      </c>
      <c r="I342" s="436">
        <f t="array" aca="1" ref="I342" ca="1">SUM((G.30.N2O[[#This Row],[Code]]=G.30.assumptions.CombustionN2OEmissionsAfterEnergyEfficiency[Technology code])
        *INDIRECT("G.30.assumptions.CombustionN2OEmissionsAfterEnergyEfficiency["&amp;I$9&amp;"]"))</f>
        <v>2.4684803041955774E-5</v>
      </c>
      <c r="J342" s="436"/>
      <c r="K342" s="436"/>
      <c r="L342" s="436"/>
      <c r="M342" s="436"/>
      <c r="N342" s="436"/>
      <c r="O342" s="436"/>
      <c r="P342" s="436"/>
      <c r="Q342" s="436"/>
    </row>
    <row r="343" spans="3:17" ht="14">
      <c r="C343" s="219" t="s">
        <v>1981</v>
      </c>
      <c r="D343" s="219" t="s">
        <v>1981</v>
      </c>
      <c r="H343" s="219" t="s">
        <v>1752</v>
      </c>
      <c r="I343" s="436">
        <f t="array" aca="1" ref="I343" ca="1">SUM((G.30.N2O[[#This Row],[Code]]=G.30.assumptions.CombustionN2OEmissionsAfterEnergyEfficiency[Technology code])
        *INDIRECT("G.30.assumptions.CombustionN2OEmissionsAfterEnergyEfficiency["&amp;I$9&amp;"]"))</f>
        <v>7.4606157504119065E-5</v>
      </c>
      <c r="J343" s="436"/>
      <c r="K343" s="436"/>
      <c r="L343" s="436"/>
      <c r="M343" s="436"/>
      <c r="N343" s="436"/>
      <c r="O343" s="436"/>
      <c r="P343" s="436"/>
      <c r="Q343" s="436"/>
    </row>
    <row r="344" spans="3:17" ht="14">
      <c r="C344" s="219" t="s">
        <v>1968</v>
      </c>
      <c r="D344" s="219" t="s">
        <v>1968</v>
      </c>
      <c r="H344" s="219" t="s">
        <v>1757</v>
      </c>
      <c r="I344" s="436">
        <f t="array" aca="1" ref="I344"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44" s="436"/>
      <c r="K344" s="436"/>
      <c r="L344" s="436"/>
      <c r="M344" s="436"/>
      <c r="N344" s="436"/>
      <c r="O344" s="436"/>
      <c r="P344" s="436"/>
      <c r="Q344" s="436"/>
    </row>
    <row r="345" spans="3:17" ht="14">
      <c r="C345" s="219" t="s">
        <v>2196</v>
      </c>
      <c r="D345" s="219" t="s">
        <v>2196</v>
      </c>
      <c r="H345" s="219" t="s">
        <v>1757</v>
      </c>
      <c r="I345" s="436">
        <f t="array" aca="1" ref="I345"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45" s="436"/>
      <c r="K345" s="436"/>
      <c r="L345" s="436"/>
      <c r="M345" s="436"/>
      <c r="N345" s="436"/>
      <c r="O345" s="436"/>
      <c r="P345" s="436"/>
      <c r="Q345" s="436"/>
    </row>
    <row r="346" spans="3:17" ht="14">
      <c r="C346" s="219" t="s">
        <v>1969</v>
      </c>
      <c r="D346" s="219" t="s">
        <v>1969</v>
      </c>
      <c r="H346" s="219" t="s">
        <v>1757</v>
      </c>
      <c r="I346" s="436">
        <f t="array" aca="1" ref="I346"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46" s="436"/>
      <c r="K346" s="436"/>
      <c r="L346" s="436"/>
      <c r="M346" s="436"/>
      <c r="N346" s="436"/>
      <c r="O346" s="436"/>
      <c r="P346" s="436"/>
      <c r="Q346" s="436"/>
    </row>
    <row r="347" spans="3:17" ht="14">
      <c r="C347" s="219" t="s">
        <v>1970</v>
      </c>
      <c r="D347" s="219" t="s">
        <v>1970</v>
      </c>
      <c r="H347" s="219" t="s">
        <v>1757</v>
      </c>
      <c r="I347" s="436">
        <f t="array" aca="1" ref="I347"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47" s="436"/>
      <c r="K347" s="436"/>
      <c r="L347" s="436"/>
      <c r="M347" s="436"/>
      <c r="N347" s="436"/>
      <c r="O347" s="436"/>
      <c r="P347" s="436"/>
      <c r="Q347" s="436"/>
    </row>
    <row r="348" spans="3:17" ht="14">
      <c r="C348" s="219" t="s">
        <v>1971</v>
      </c>
      <c r="D348" s="219" t="s">
        <v>1971</v>
      </c>
      <c r="H348" s="219" t="s">
        <v>1757</v>
      </c>
      <c r="I348" s="436">
        <f t="array" aca="1" ref="I348"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48" s="436"/>
      <c r="K348" s="436"/>
      <c r="L348" s="436"/>
      <c r="M348" s="436"/>
      <c r="N348" s="436"/>
      <c r="O348" s="436"/>
      <c r="P348" s="436"/>
      <c r="Q348" s="436"/>
    </row>
    <row r="349" spans="3:17" ht="14">
      <c r="C349" s="219" t="s">
        <v>1972</v>
      </c>
      <c r="D349" s="219" t="s">
        <v>1972</v>
      </c>
      <c r="H349" s="219" t="s">
        <v>1757</v>
      </c>
      <c r="I349" s="436">
        <f t="array" aca="1" ref="I349"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49" s="436"/>
      <c r="K349" s="436"/>
      <c r="L349" s="436"/>
      <c r="M349" s="436"/>
      <c r="N349" s="436"/>
      <c r="O349" s="436"/>
      <c r="P349" s="436"/>
      <c r="Q349" s="436"/>
    </row>
    <row r="350" spans="3:17" ht="14">
      <c r="C350" s="219" t="s">
        <v>1973</v>
      </c>
      <c r="D350" s="219" t="s">
        <v>1973</v>
      </c>
      <c r="H350" s="219" t="s">
        <v>1757</v>
      </c>
      <c r="I350" s="436">
        <f t="array" aca="1" ref="I350"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0" s="436"/>
      <c r="K350" s="436"/>
      <c r="L350" s="436"/>
      <c r="M350" s="436"/>
      <c r="N350" s="436"/>
      <c r="O350" s="436"/>
      <c r="P350" s="436"/>
      <c r="Q350" s="436"/>
    </row>
    <row r="351" spans="3:17" ht="14">
      <c r="C351" s="219" t="s">
        <v>1974</v>
      </c>
      <c r="D351" s="219" t="s">
        <v>1974</v>
      </c>
      <c r="H351" s="219" t="s">
        <v>1757</v>
      </c>
      <c r="I351" s="436">
        <f t="array" aca="1" ref="I351"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1" s="436"/>
      <c r="K351" s="436"/>
      <c r="L351" s="436"/>
      <c r="M351" s="436"/>
      <c r="N351" s="436"/>
      <c r="O351" s="436"/>
      <c r="P351" s="436"/>
      <c r="Q351" s="436"/>
    </row>
    <row r="352" spans="3:17" ht="14">
      <c r="C352" s="219" t="s">
        <v>1975</v>
      </c>
      <c r="D352" s="219" t="s">
        <v>1975</v>
      </c>
      <c r="H352" s="219" t="s">
        <v>1757</v>
      </c>
      <c r="I352" s="436">
        <f t="array" aca="1" ref="I352"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2" s="436"/>
      <c r="K352" s="436"/>
      <c r="L352" s="436"/>
      <c r="M352" s="436"/>
      <c r="N352" s="436"/>
      <c r="O352" s="436"/>
      <c r="P352" s="436"/>
      <c r="Q352" s="436"/>
    </row>
    <row r="353" spans="3:17" ht="14">
      <c r="C353" s="219" t="s">
        <v>1976</v>
      </c>
      <c r="D353" s="219" t="s">
        <v>1976</v>
      </c>
      <c r="H353" s="219" t="s">
        <v>1757</v>
      </c>
      <c r="I353" s="436">
        <f t="array" aca="1" ref="I353"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3" s="436"/>
      <c r="K353" s="436"/>
      <c r="L353" s="436"/>
      <c r="M353" s="436"/>
      <c r="N353" s="436"/>
      <c r="O353" s="436"/>
      <c r="P353" s="436"/>
      <c r="Q353" s="436"/>
    </row>
    <row r="354" spans="3:17" ht="14">
      <c r="C354" s="219" t="s">
        <v>1977</v>
      </c>
      <c r="D354" s="219" t="s">
        <v>1977</v>
      </c>
      <c r="H354" s="219" t="s">
        <v>1757</v>
      </c>
      <c r="I354" s="436">
        <f t="array" aca="1" ref="I354"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4" s="436"/>
      <c r="K354" s="436"/>
      <c r="L354" s="436"/>
      <c r="M354" s="436"/>
      <c r="N354" s="436"/>
      <c r="O354" s="436"/>
      <c r="P354" s="436"/>
      <c r="Q354" s="436"/>
    </row>
    <row r="355" spans="3:17" ht="14">
      <c r="C355" s="219" t="s">
        <v>1978</v>
      </c>
      <c r="D355" s="219" t="s">
        <v>1978</v>
      </c>
      <c r="H355" s="219" t="s">
        <v>1757</v>
      </c>
      <c r="I355" s="436">
        <f t="array" aca="1" ref="I355"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5" s="436"/>
      <c r="K355" s="436"/>
      <c r="L355" s="436"/>
      <c r="M355" s="436"/>
      <c r="N355" s="436"/>
      <c r="O355" s="436"/>
      <c r="P355" s="436"/>
      <c r="Q355" s="436"/>
    </row>
    <row r="356" spans="3:17" ht="14">
      <c r="C356" s="219" t="s">
        <v>1979</v>
      </c>
      <c r="D356" s="219" t="s">
        <v>1979</v>
      </c>
      <c r="H356" s="219" t="s">
        <v>1757</v>
      </c>
      <c r="I356" s="436">
        <f t="array" aca="1" ref="I356"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6" s="436"/>
      <c r="K356" s="436"/>
      <c r="L356" s="436"/>
      <c r="M356" s="436"/>
      <c r="N356" s="436"/>
      <c r="O356" s="436"/>
      <c r="P356" s="436"/>
      <c r="Q356" s="436"/>
    </row>
    <row r="357" spans="3:17" ht="14">
      <c r="C357" s="219" t="s">
        <v>1980</v>
      </c>
      <c r="D357" s="219" t="s">
        <v>1980</v>
      </c>
      <c r="H357" s="219" t="s">
        <v>1757</v>
      </c>
      <c r="I357" s="436">
        <f t="array" aca="1" ref="I357"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7" s="436"/>
      <c r="K357" s="436"/>
      <c r="L357" s="436"/>
      <c r="M357" s="436"/>
      <c r="N357" s="436"/>
      <c r="O357" s="436"/>
      <c r="P357" s="436"/>
      <c r="Q357" s="436"/>
    </row>
    <row r="358" spans="3:17" ht="14">
      <c r="C358" s="219" t="s">
        <v>1981</v>
      </c>
      <c r="D358" s="219" t="s">
        <v>1981</v>
      </c>
      <c r="H358" s="219" t="s">
        <v>1757</v>
      </c>
      <c r="I358" s="436">
        <f t="array" aca="1" ref="I358" ca="1">SUM((G.30.N2O[[#This Row],[Code]]=G.30.assumptions.CombustionN2OEmissionsAfterCCS[Technology code])
        *INDIRECT("G.30.assumptions.CombustionN2OEmissionsAfterCCS["&amp;I$9&amp;"]"))
-SUM((G.30.N2O[[#This Row],[Code]]=G.30.assumptions.CombustionN2OEmissionsAfterEnergyEfficiency[Technology code])
        *INDIRECT("G.30.assumptions.CombustionN2OEmissionsAfterEnergyEfficiency["&amp;I$9&amp;"]"))</f>
        <v>0</v>
      </c>
      <c r="J358" s="436"/>
      <c r="K358" s="436"/>
      <c r="L358" s="436"/>
      <c r="M358" s="436"/>
      <c r="N358" s="436"/>
      <c r="O358" s="436"/>
      <c r="P358" s="436"/>
      <c r="Q358" s="436"/>
    </row>
    <row r="359" spans="3:17" ht="14">
      <c r="C359" s="219" t="s">
        <v>1986</v>
      </c>
      <c r="D359" s="219" t="s">
        <v>1986</v>
      </c>
      <c r="H359" s="219" t="s">
        <v>1751</v>
      </c>
      <c r="I359" s="436">
        <f t="array" aca="1" ref="I359"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59" s="436"/>
      <c r="K359" s="436"/>
      <c r="L359" s="436"/>
      <c r="M359" s="436"/>
      <c r="N359" s="436"/>
      <c r="O359" s="436"/>
      <c r="P359" s="436"/>
      <c r="Q359" s="436"/>
    </row>
    <row r="360" spans="3:17" ht="14">
      <c r="C360" s="219" t="s">
        <v>2192</v>
      </c>
      <c r="D360" s="219" t="s">
        <v>2192</v>
      </c>
      <c r="H360" s="219" t="s">
        <v>1751</v>
      </c>
      <c r="I360" s="436">
        <f t="array" aca="1" ref="I360"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0" s="436"/>
      <c r="K360" s="436"/>
      <c r="L360" s="436"/>
      <c r="M360" s="436"/>
      <c r="N360" s="436"/>
      <c r="O360" s="436"/>
      <c r="P360" s="436"/>
      <c r="Q360" s="436"/>
    </row>
    <row r="361" spans="3:17" ht="14">
      <c r="C361" s="219" t="s">
        <v>1987</v>
      </c>
      <c r="D361" s="219" t="s">
        <v>1987</v>
      </c>
      <c r="H361" s="219" t="s">
        <v>1751</v>
      </c>
      <c r="I361" s="436">
        <f t="array" aca="1" ref="I361"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1" s="436"/>
      <c r="K361" s="436"/>
      <c r="L361" s="436"/>
      <c r="M361" s="436"/>
      <c r="N361" s="436"/>
      <c r="O361" s="436"/>
      <c r="P361" s="436"/>
      <c r="Q361" s="436"/>
    </row>
    <row r="362" spans="3:17" ht="14">
      <c r="C362" s="219" t="s">
        <v>1988</v>
      </c>
      <c r="D362" s="219" t="s">
        <v>1988</v>
      </c>
      <c r="H362" s="219" t="s">
        <v>1751</v>
      </c>
      <c r="I362" s="436">
        <f t="array" aca="1" ref="I362"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2" s="436"/>
      <c r="K362" s="436"/>
      <c r="L362" s="436"/>
      <c r="M362" s="436"/>
      <c r="N362" s="436"/>
      <c r="O362" s="436"/>
      <c r="P362" s="436"/>
      <c r="Q362" s="436"/>
    </row>
    <row r="363" spans="3:17" ht="14">
      <c r="C363" s="219" t="s">
        <v>1989</v>
      </c>
      <c r="D363" s="219" t="s">
        <v>1989</v>
      </c>
      <c r="H363" s="219" t="s">
        <v>1751</v>
      </c>
      <c r="I363" s="436">
        <f t="array" aca="1" ref="I363"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3" s="436"/>
      <c r="K363" s="436"/>
      <c r="L363" s="436"/>
      <c r="M363" s="436"/>
      <c r="N363" s="436"/>
      <c r="O363" s="436"/>
      <c r="P363" s="436"/>
      <c r="Q363" s="436"/>
    </row>
    <row r="364" spans="3:17" ht="14">
      <c r="C364" s="219" t="s">
        <v>1990</v>
      </c>
      <c r="D364" s="219" t="s">
        <v>1990</v>
      </c>
      <c r="H364" s="219" t="s">
        <v>1751</v>
      </c>
      <c r="I364" s="436">
        <f t="array" aca="1" ref="I364"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4" s="436"/>
      <c r="K364" s="436"/>
      <c r="L364" s="436"/>
      <c r="M364" s="436"/>
      <c r="N364" s="436"/>
      <c r="O364" s="436"/>
      <c r="P364" s="436"/>
      <c r="Q364" s="436"/>
    </row>
    <row r="365" spans="3:17" ht="14">
      <c r="C365" s="219" t="s">
        <v>1991</v>
      </c>
      <c r="D365" s="219" t="s">
        <v>1991</v>
      </c>
      <c r="H365" s="219" t="s">
        <v>1751</v>
      </c>
      <c r="I365" s="436">
        <f t="array" aca="1" ref="I365"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5" s="436"/>
      <c r="K365" s="436"/>
      <c r="L365" s="436"/>
      <c r="M365" s="436"/>
      <c r="N365" s="436"/>
      <c r="O365" s="436"/>
      <c r="P365" s="436"/>
      <c r="Q365" s="436"/>
    </row>
    <row r="366" spans="3:17" ht="14">
      <c r="C366" s="219" t="s">
        <v>1992</v>
      </c>
      <c r="D366" s="219" t="s">
        <v>1992</v>
      </c>
      <c r="H366" s="219" t="s">
        <v>1751</v>
      </c>
      <c r="I366" s="436">
        <f t="array" aca="1" ref="I366"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6" s="436"/>
      <c r="K366" s="436"/>
      <c r="L366" s="436"/>
      <c r="M366" s="436"/>
      <c r="N366" s="436"/>
      <c r="O366" s="436"/>
      <c r="P366" s="436"/>
      <c r="Q366" s="436"/>
    </row>
    <row r="367" spans="3:17" ht="14">
      <c r="C367" s="219" t="s">
        <v>1993</v>
      </c>
      <c r="D367" s="219" t="s">
        <v>1993</v>
      </c>
      <c r="H367" s="219" t="s">
        <v>1751</v>
      </c>
      <c r="I367" s="436">
        <f t="array" aca="1" ref="I367"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7" s="436"/>
      <c r="K367" s="436"/>
      <c r="L367" s="436"/>
      <c r="M367" s="436"/>
      <c r="N367" s="436"/>
      <c r="O367" s="436"/>
      <c r="P367" s="436"/>
      <c r="Q367" s="436"/>
    </row>
    <row r="368" spans="3:17" ht="14">
      <c r="C368" s="219" t="s">
        <v>1994</v>
      </c>
      <c r="D368" s="219" t="s">
        <v>1994</v>
      </c>
      <c r="H368" s="219" t="s">
        <v>1751</v>
      </c>
      <c r="I368" s="436">
        <f t="array" aca="1" ref="I368"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8" s="436"/>
      <c r="K368" s="436"/>
      <c r="L368" s="436"/>
      <c r="M368" s="436"/>
      <c r="N368" s="436"/>
      <c r="O368" s="436"/>
      <c r="P368" s="436"/>
      <c r="Q368" s="436"/>
    </row>
    <row r="369" spans="3:17" ht="14">
      <c r="C369" s="219" t="s">
        <v>1995</v>
      </c>
      <c r="D369" s="219" t="s">
        <v>1995</v>
      </c>
      <c r="H369" s="219" t="s">
        <v>1751</v>
      </c>
      <c r="I369" s="436">
        <f t="array" aca="1" ref="I369"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69" s="436"/>
      <c r="K369" s="436"/>
      <c r="L369" s="436"/>
      <c r="M369" s="436"/>
      <c r="N369" s="436"/>
      <c r="O369" s="436"/>
      <c r="P369" s="436"/>
      <c r="Q369" s="436"/>
    </row>
    <row r="370" spans="3:17" ht="14">
      <c r="C370" s="219" t="s">
        <v>1996</v>
      </c>
      <c r="D370" s="219" t="s">
        <v>1996</v>
      </c>
      <c r="H370" s="219" t="s">
        <v>1751</v>
      </c>
      <c r="I370" s="436">
        <f t="array" aca="1" ref="I370"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0" s="436"/>
      <c r="K370" s="436"/>
      <c r="L370" s="436"/>
      <c r="M370" s="436"/>
      <c r="N370" s="436"/>
      <c r="O370" s="436"/>
      <c r="P370" s="436"/>
      <c r="Q370" s="436"/>
    </row>
    <row r="371" spans="3:17" ht="14">
      <c r="C371" s="219" t="s">
        <v>1997</v>
      </c>
      <c r="D371" s="219" t="s">
        <v>1997</v>
      </c>
      <c r="H371" s="219" t="s">
        <v>1751</v>
      </c>
      <c r="I371" s="436">
        <f t="array" aca="1" ref="I371"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1" s="436"/>
      <c r="K371" s="436"/>
      <c r="L371" s="436"/>
      <c r="M371" s="436"/>
      <c r="N371" s="436"/>
      <c r="O371" s="436"/>
      <c r="P371" s="436"/>
      <c r="Q371" s="436"/>
    </row>
    <row r="372" spans="3:17" ht="14">
      <c r="C372" s="219" t="s">
        <v>1998</v>
      </c>
      <c r="D372" s="219" t="s">
        <v>1998</v>
      </c>
      <c r="H372" s="219" t="s">
        <v>1751</v>
      </c>
      <c r="I372" s="436">
        <f t="array" aca="1" ref="I372"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2" s="436"/>
      <c r="K372" s="436"/>
      <c r="L372" s="436"/>
      <c r="M372" s="436"/>
      <c r="N372" s="436"/>
      <c r="O372" s="436"/>
      <c r="P372" s="436"/>
      <c r="Q372" s="436"/>
    </row>
    <row r="373" spans="3:17" ht="14">
      <c r="C373" s="219" t="s">
        <v>1999</v>
      </c>
      <c r="D373" s="219" t="s">
        <v>1999</v>
      </c>
      <c r="H373" s="219" t="s">
        <v>1751</v>
      </c>
      <c r="I373" s="436">
        <f t="array" aca="1" ref="I373" ca="1">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3" s="436"/>
      <c r="K373" s="436"/>
      <c r="L373" s="436"/>
      <c r="M373" s="436"/>
      <c r="N373" s="436"/>
      <c r="O373" s="436"/>
      <c r="P373" s="436"/>
      <c r="Q373" s="436"/>
    </row>
    <row r="374" spans="3:17" ht="14">
      <c r="C374" s="219" t="s">
        <v>1986</v>
      </c>
      <c r="D374" s="219" t="s">
        <v>1986</v>
      </c>
      <c r="H374" s="219" t="s">
        <v>1759</v>
      </c>
      <c r="I374" s="436">
        <f t="array" aca="1" ref="I374"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4" s="436"/>
      <c r="K374" s="436"/>
      <c r="L374" s="436"/>
      <c r="M374" s="436"/>
      <c r="N374" s="436"/>
      <c r="O374" s="436"/>
      <c r="P374" s="436"/>
      <c r="Q374" s="436"/>
    </row>
    <row r="375" spans="3:17" ht="14">
      <c r="C375" s="219" t="s">
        <v>2192</v>
      </c>
      <c r="D375" s="219" t="s">
        <v>2192</v>
      </c>
      <c r="H375" s="219" t="s">
        <v>1759</v>
      </c>
      <c r="I375" s="436">
        <f t="array" aca="1" ref="I375"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5" s="436"/>
      <c r="K375" s="436"/>
      <c r="L375" s="436"/>
      <c r="M375" s="436"/>
      <c r="N375" s="436"/>
      <c r="O375" s="436"/>
      <c r="P375" s="436"/>
      <c r="Q375" s="436"/>
    </row>
    <row r="376" spans="3:17" ht="14">
      <c r="C376" s="219" t="s">
        <v>1987</v>
      </c>
      <c r="D376" s="219" t="s">
        <v>1987</v>
      </c>
      <c r="H376" s="219" t="s">
        <v>1759</v>
      </c>
      <c r="I376" s="436">
        <f t="array" aca="1" ref="I376"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6" s="436"/>
      <c r="K376" s="436"/>
      <c r="L376" s="436"/>
      <c r="M376" s="436"/>
      <c r="N376" s="436"/>
      <c r="O376" s="436"/>
      <c r="P376" s="436"/>
      <c r="Q376" s="436"/>
    </row>
    <row r="377" spans="3:17" ht="14">
      <c r="C377" s="219" t="s">
        <v>1988</v>
      </c>
      <c r="D377" s="219" t="s">
        <v>1988</v>
      </c>
      <c r="H377" s="219" t="s">
        <v>1759</v>
      </c>
      <c r="I377" s="436">
        <f t="array" aca="1" ref="I377"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7" s="436"/>
      <c r="K377" s="436"/>
      <c r="L377" s="436"/>
      <c r="M377" s="436"/>
      <c r="N377" s="436"/>
      <c r="O377" s="436"/>
      <c r="P377" s="436"/>
      <c r="Q377" s="436"/>
    </row>
    <row r="378" spans="3:17" ht="14">
      <c r="C378" s="219" t="s">
        <v>1989</v>
      </c>
      <c r="D378" s="219" t="s">
        <v>1989</v>
      </c>
      <c r="H378" s="219" t="s">
        <v>1759</v>
      </c>
      <c r="I378" s="436">
        <f t="array" aca="1" ref="I378"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8" s="436"/>
      <c r="K378" s="436"/>
      <c r="L378" s="436"/>
      <c r="M378" s="436"/>
      <c r="N378" s="436"/>
      <c r="O378" s="436"/>
      <c r="P378" s="436"/>
      <c r="Q378" s="436"/>
    </row>
    <row r="379" spans="3:17" ht="14">
      <c r="C379" s="219" t="s">
        <v>1990</v>
      </c>
      <c r="D379" s="219" t="s">
        <v>1990</v>
      </c>
      <c r="H379" s="219" t="s">
        <v>1759</v>
      </c>
      <c r="I379" s="436">
        <f t="array" aca="1" ref="I379"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79" s="436"/>
      <c r="K379" s="436"/>
      <c r="L379" s="436"/>
      <c r="M379" s="436"/>
      <c r="N379" s="436"/>
      <c r="O379" s="436"/>
      <c r="P379" s="436"/>
      <c r="Q379" s="436"/>
    </row>
    <row r="380" spans="3:17" ht="14">
      <c r="C380" s="219" t="s">
        <v>1991</v>
      </c>
      <c r="D380" s="219" t="s">
        <v>1991</v>
      </c>
      <c r="H380" s="219" t="s">
        <v>1759</v>
      </c>
      <c r="I380" s="436">
        <f t="array" aca="1" ref="I380"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0" s="436"/>
      <c r="K380" s="436"/>
      <c r="L380" s="436"/>
      <c r="M380" s="436"/>
      <c r="N380" s="436"/>
      <c r="O380" s="436"/>
      <c r="P380" s="436"/>
      <c r="Q380" s="436"/>
    </row>
    <row r="381" spans="3:17" ht="14">
      <c r="C381" s="219" t="s">
        <v>1992</v>
      </c>
      <c r="D381" s="219" t="s">
        <v>1992</v>
      </c>
      <c r="H381" s="219" t="s">
        <v>1759</v>
      </c>
      <c r="I381" s="436">
        <f t="array" aca="1" ref="I381"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1" s="436"/>
      <c r="K381" s="436"/>
      <c r="L381" s="436"/>
      <c r="M381" s="436"/>
      <c r="N381" s="436"/>
      <c r="O381" s="436"/>
      <c r="P381" s="436"/>
      <c r="Q381" s="436"/>
    </row>
    <row r="382" spans="3:17" ht="14">
      <c r="C382" s="219" t="s">
        <v>1993</v>
      </c>
      <c r="D382" s="219" t="s">
        <v>1993</v>
      </c>
      <c r="H382" s="219" t="s">
        <v>1759</v>
      </c>
      <c r="I382" s="436">
        <f t="array" aca="1" ref="I382"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2" s="436"/>
      <c r="K382" s="436"/>
      <c r="L382" s="436"/>
      <c r="M382" s="436"/>
      <c r="N382" s="436"/>
      <c r="O382" s="436"/>
      <c r="P382" s="436"/>
      <c r="Q382" s="436"/>
    </row>
    <row r="383" spans="3:17" ht="14">
      <c r="C383" s="219" t="s">
        <v>1994</v>
      </c>
      <c r="D383" s="219" t="s">
        <v>1994</v>
      </c>
      <c r="H383" s="219" t="s">
        <v>1759</v>
      </c>
      <c r="I383" s="436">
        <f t="array" aca="1" ref="I383"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3" s="436"/>
      <c r="K383" s="436"/>
      <c r="L383" s="436"/>
      <c r="M383" s="436"/>
      <c r="N383" s="436"/>
      <c r="O383" s="436"/>
      <c r="P383" s="436"/>
      <c r="Q383" s="436"/>
    </row>
    <row r="384" spans="3:17" ht="14">
      <c r="C384" s="219" t="s">
        <v>1995</v>
      </c>
      <c r="D384" s="219" t="s">
        <v>1995</v>
      </c>
      <c r="H384" s="219" t="s">
        <v>1759</v>
      </c>
      <c r="I384" s="436">
        <f t="array" aca="1" ref="I384"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4" s="436"/>
      <c r="K384" s="436"/>
      <c r="L384" s="436"/>
      <c r="M384" s="436"/>
      <c r="N384" s="436"/>
      <c r="O384" s="436"/>
      <c r="P384" s="436"/>
      <c r="Q384" s="436"/>
    </row>
    <row r="385" spans="1:34" ht="14">
      <c r="C385" s="219" t="s">
        <v>1996</v>
      </c>
      <c r="D385" s="219" t="s">
        <v>1996</v>
      </c>
      <c r="H385" s="219" t="s">
        <v>1759</v>
      </c>
      <c r="I385" s="436">
        <f t="array" aca="1" ref="I385"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5" s="436"/>
      <c r="K385" s="436"/>
      <c r="L385" s="436"/>
      <c r="M385" s="436"/>
      <c r="N385" s="436"/>
      <c r="O385" s="436"/>
      <c r="P385" s="436"/>
      <c r="Q385" s="436"/>
    </row>
    <row r="386" spans="1:34" ht="14">
      <c r="C386" s="429" t="s">
        <v>1997</v>
      </c>
      <c r="D386" s="429" t="s">
        <v>1997</v>
      </c>
      <c r="E386" s="429"/>
      <c r="F386" s="429"/>
      <c r="G386" s="429"/>
      <c r="H386" s="429" t="s">
        <v>1759</v>
      </c>
      <c r="I386" s="436">
        <f t="array" aca="1" ref="I386"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6" s="436"/>
      <c r="K386" s="436"/>
      <c r="L386" s="436"/>
      <c r="M386" s="436"/>
      <c r="N386" s="436"/>
      <c r="O386" s="436"/>
      <c r="P386" s="436"/>
      <c r="Q386" s="436"/>
    </row>
    <row r="387" spans="1:34" ht="14">
      <c r="C387" s="429" t="s">
        <v>1998</v>
      </c>
      <c r="D387" s="429" t="s">
        <v>1998</v>
      </c>
      <c r="E387" s="429"/>
      <c r="F387" s="429"/>
      <c r="G387" s="429"/>
      <c r="H387" s="429" t="s">
        <v>1759</v>
      </c>
      <c r="I387" s="436">
        <f t="array" aca="1" ref="I387"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7" s="436"/>
      <c r="K387" s="436"/>
      <c r="L387" s="436"/>
      <c r="M387" s="436"/>
      <c r="N387" s="436"/>
      <c r="O387" s="436"/>
      <c r="P387" s="436"/>
      <c r="Q387" s="436"/>
    </row>
    <row r="388" spans="1:34" ht="14">
      <c r="C388" s="429" t="s">
        <v>1999</v>
      </c>
      <c r="D388" s="429" t="s">
        <v>1999</v>
      </c>
      <c r="E388" s="429"/>
      <c r="F388" s="429"/>
      <c r="G388" s="429"/>
      <c r="H388" s="429" t="s">
        <v>1759</v>
      </c>
      <c r="I388" s="436">
        <f t="array" aca="1" ref="I388" ca="1">(SUM((G.30.N2O[[#This Row],[Code]]=G.30.assumptions.SpecificProcessN2OEmissionsAfterCCS[Description])
        *INDIRECT("G.30.assumptions.SpecificProcessN2OEmissionsAfterCCS["&amp;I$9&amp;"]"))
-SUM((G.30.N2O[[#This Row],[Code]]=G.30.assumptions.SpecificProcessN2OEmissionsAfterEnergyEfficiency[Description])
        *INDIRECT("G.30.assumptions.SpecificProcessN2OEmissionsAfterEnergyEfficiency["&amp;I$9&amp;"]")))
*SUM((G.30.N2O[[#This Row],[Description]]=G.30.assumptions.MaterialDemandAfterMaterialsProductionEfficiency[Description])
        *INDIRECT("G.30.assumptions.MaterialDemandAfterMaterialsProductionEfficiency["&amp;I$9&amp;"]"))</f>
        <v>0</v>
      </c>
      <c r="J388" s="436"/>
      <c r="K388" s="436"/>
      <c r="L388" s="436"/>
      <c r="M388" s="436"/>
      <c r="N388" s="436"/>
      <c r="O388" s="436"/>
      <c r="P388" s="436"/>
      <c r="Q388" s="436"/>
    </row>
    <row r="389" spans="1:34" ht="15" thickBot="1">
      <c r="C389" s="438" t="s">
        <v>375</v>
      </c>
      <c r="D389" s="438" t="s">
        <v>375</v>
      </c>
      <c r="E389" s="438"/>
      <c r="F389" s="438"/>
      <c r="G389" s="438"/>
      <c r="H389" s="438"/>
      <c r="I389" s="438">
        <f ca="1">SUBTOTAL(109,G.30.N2O[2011])</f>
        <v>3.0899841860134206E-4</v>
      </c>
      <c r="J389" s="438"/>
      <c r="K389" s="438"/>
      <c r="L389" s="438"/>
      <c r="M389" s="438"/>
      <c r="N389" s="438"/>
      <c r="O389" s="438"/>
      <c r="P389" s="438"/>
      <c r="Q389" s="438"/>
    </row>
    <row r="390" spans="1:34" ht="14">
      <c r="C390" s="429"/>
      <c r="D390" s="429"/>
      <c r="E390" s="429"/>
      <c r="F390" s="429"/>
      <c r="G390" s="429"/>
      <c r="H390" s="429"/>
      <c r="I390" s="430"/>
      <c r="J390" s="430"/>
      <c r="K390" s="430"/>
      <c r="L390" s="430"/>
      <c r="M390" s="430"/>
      <c r="N390" s="430"/>
      <c r="O390" s="430"/>
      <c r="P390" s="430"/>
      <c r="Q390" s="430"/>
    </row>
    <row r="391" spans="1:34" ht="14">
      <c r="C391" s="429"/>
      <c r="D391" s="429"/>
      <c r="E391" s="429"/>
      <c r="F391" s="429"/>
      <c r="G391" s="429"/>
      <c r="H391" s="429"/>
      <c r="I391" s="430"/>
      <c r="J391" s="430"/>
      <c r="K391" s="430"/>
      <c r="L391" s="430"/>
      <c r="M391" s="430"/>
      <c r="N391" s="430"/>
      <c r="O391" s="430"/>
      <c r="P391" s="430"/>
      <c r="Q391" s="430"/>
    </row>
    <row r="392" spans="1:34" ht="14">
      <c r="C392" s="429"/>
      <c r="D392" s="429"/>
      <c r="E392" s="429"/>
      <c r="F392" s="429"/>
      <c r="G392" s="429"/>
      <c r="H392" s="429"/>
      <c r="I392" s="430"/>
      <c r="J392" s="430"/>
      <c r="K392" s="430"/>
      <c r="L392" s="430"/>
      <c r="M392" s="430"/>
      <c r="N392" s="430"/>
      <c r="O392" s="430"/>
      <c r="P392" s="430"/>
      <c r="Q392" s="430"/>
    </row>
    <row r="393" spans="1:34" ht="14">
      <c r="C393" s="429"/>
      <c r="D393" s="429"/>
      <c r="E393" s="429"/>
      <c r="F393" s="429"/>
      <c r="G393" s="429"/>
      <c r="H393" s="429"/>
      <c r="I393" s="430"/>
      <c r="J393" s="430"/>
      <c r="K393" s="430"/>
      <c r="L393" s="430"/>
      <c r="M393" s="430"/>
      <c r="N393" s="430"/>
      <c r="O393" s="430"/>
      <c r="P393" s="430"/>
      <c r="Q393" s="430"/>
    </row>
    <row r="394" spans="1:34" ht="14">
      <c r="C394" s="429"/>
      <c r="D394" s="429"/>
      <c r="E394" s="429"/>
      <c r="F394" s="429"/>
      <c r="G394" s="429"/>
      <c r="H394" s="429"/>
      <c r="I394" s="430"/>
      <c r="J394" s="430"/>
      <c r="K394" s="430"/>
      <c r="L394" s="430"/>
      <c r="M394" s="430"/>
      <c r="N394" s="430"/>
      <c r="O394" s="430"/>
      <c r="P394" s="430"/>
      <c r="Q394" s="430"/>
    </row>
    <row r="395" spans="1:34" ht="14">
      <c r="C395" s="429"/>
      <c r="D395" s="429"/>
      <c r="E395" s="429"/>
      <c r="F395" s="429"/>
      <c r="G395" s="429"/>
      <c r="H395" s="429"/>
      <c r="I395" s="430"/>
      <c r="J395" s="430"/>
      <c r="K395" s="430"/>
      <c r="L395" s="430"/>
      <c r="M395" s="430"/>
      <c r="N395" s="430"/>
      <c r="O395" s="430"/>
      <c r="P395" s="430"/>
      <c r="Q395" s="430"/>
    </row>
    <row r="396" spans="1:34" ht="14">
      <c r="C396" s="327"/>
      <c r="D396" s="327"/>
      <c r="E396" s="327"/>
      <c r="F396" s="327"/>
      <c r="G396" s="327"/>
      <c r="H396" s="327"/>
      <c r="I396" s="328"/>
      <c r="J396" s="328"/>
      <c r="K396" s="328"/>
      <c r="L396" s="328"/>
      <c r="M396" s="328"/>
      <c r="N396" s="328"/>
      <c r="O396" s="328"/>
      <c r="P396" s="328"/>
      <c r="Q396" s="328"/>
    </row>
    <row r="397" spans="1:34" ht="15">
      <c r="A397" s="118"/>
      <c r="B397" s="45" t="s">
        <v>883</v>
      </c>
      <c r="C397" s="45"/>
      <c r="D397" s="45"/>
      <c r="E397" s="45"/>
      <c r="F397" s="45"/>
      <c r="G397" s="45"/>
      <c r="H397" s="45"/>
      <c r="I397" s="45"/>
      <c r="J397" s="45"/>
      <c r="K397" s="45"/>
      <c r="L397" s="45"/>
      <c r="M397" s="45"/>
      <c r="N397" s="45"/>
      <c r="O397" s="45"/>
      <c r="P397" s="45"/>
      <c r="Q397" s="45"/>
      <c r="R397" s="146"/>
      <c r="S397" s="178" t="s">
        <v>880</v>
      </c>
      <c r="T397" s="178"/>
      <c r="U397" s="178"/>
      <c r="V397" s="178"/>
      <c r="W397" s="178"/>
      <c r="X397" s="178"/>
      <c r="Y397" s="178"/>
      <c r="Z397" s="178"/>
      <c r="AA397" s="178"/>
      <c r="AB397" s="178"/>
      <c r="AC397" s="178"/>
      <c r="AD397" s="178"/>
      <c r="AE397" s="178"/>
      <c r="AF397" s="178"/>
      <c r="AG397" s="178"/>
      <c r="AH397" s="178"/>
    </row>
    <row r="408" spans="1:34" ht="15">
      <c r="A408" s="118"/>
      <c r="B408" s="45" t="s">
        <v>884</v>
      </c>
      <c r="C408" s="45"/>
      <c r="D408" s="45"/>
      <c r="E408" s="45"/>
      <c r="F408" s="45"/>
      <c r="G408" s="45"/>
      <c r="H408" s="45"/>
      <c r="I408" s="45"/>
      <c r="J408" s="45"/>
      <c r="K408" s="45"/>
      <c r="L408" s="45"/>
      <c r="M408" s="45"/>
      <c r="N408" s="45"/>
      <c r="O408" s="45"/>
      <c r="P408" s="45"/>
      <c r="Q408" s="45"/>
      <c r="R408" s="146"/>
      <c r="S408" s="178" t="s">
        <v>880</v>
      </c>
      <c r="T408" s="178"/>
      <c r="U408" s="178"/>
      <c r="V408" s="178"/>
      <c r="W408" s="178"/>
      <c r="X408" s="178"/>
      <c r="Y408" s="178"/>
      <c r="Z408" s="178"/>
      <c r="AA408" s="178"/>
      <c r="AB408" s="178"/>
      <c r="AC408" s="178"/>
      <c r="AD408" s="178"/>
      <c r="AE408" s="178"/>
      <c r="AF408" s="178"/>
      <c r="AG408" s="178"/>
      <c r="AH408" s="178"/>
    </row>
    <row r="416" spans="1:34" ht="15">
      <c r="A416" s="118"/>
      <c r="B416" s="45" t="s">
        <v>885</v>
      </c>
      <c r="C416" s="45"/>
      <c r="D416" s="45"/>
      <c r="E416" s="45"/>
      <c r="F416" s="45"/>
      <c r="G416" s="45"/>
      <c r="H416" s="45"/>
      <c r="I416" s="45"/>
      <c r="J416" s="45"/>
      <c r="K416" s="45"/>
      <c r="L416" s="45"/>
      <c r="M416" s="45"/>
      <c r="N416" s="45"/>
      <c r="O416" s="45"/>
      <c r="P416" s="45"/>
      <c r="Q416" s="45"/>
      <c r="R416" s="45"/>
      <c r="S416" s="45" t="s">
        <v>885</v>
      </c>
      <c r="T416" s="45"/>
      <c r="U416" s="45"/>
      <c r="V416" s="45"/>
      <c r="W416" s="45"/>
      <c r="X416" s="45"/>
      <c r="Y416" s="45"/>
      <c r="Z416" s="45"/>
      <c r="AA416" s="45"/>
      <c r="AB416" s="45"/>
      <c r="AC416" s="45"/>
      <c r="AD416" s="45"/>
      <c r="AE416" s="45"/>
      <c r="AF416" s="45"/>
      <c r="AG416" s="45"/>
      <c r="AH416" s="45" t="s">
        <v>885</v>
      </c>
    </row>
  </sheetData>
  <phoneticPr fontId="79" type="noConversion"/>
  <hyperlinks>
    <hyperlink ref="E2" location="Contents!A1" display="Click here to go to the &quot;contents&quot; page"/>
  </hyperlinks>
  <pageMargins left="0.7" right="0.7" top="0.75" bottom="0.75" header="0.3" footer="0.3"/>
  <pageSetup paperSize="9" orientation="portrait"/>
  <drawing r:id="rId1"/>
  <legacyDrawing r:id="rId2"/>
  <tableParts count="4">
    <tablePart r:id="rId3"/>
    <tablePart r:id="rId4"/>
    <tablePart r:id="rId5"/>
    <tablePart r:id="rId6"/>
  </tablePart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249977111117893"/>
  </sheetPr>
  <dimension ref="A2:BK381"/>
  <sheetViews>
    <sheetView showGridLines="0" tabSelected="1" zoomScale="85" zoomScaleNormal="85" zoomScalePageLayoutView="85" workbookViewId="0">
      <pane xSplit="4" ySplit="4" topLeftCell="BF235" activePane="bottomRight" state="frozen"/>
      <selection activeCell="C10" sqref="C10:C343"/>
      <selection pane="topRight" activeCell="C10" sqref="C10:C343"/>
      <selection pane="bottomLeft" activeCell="C10" sqref="C10:C343"/>
      <selection pane="bottomRight" activeCell="BG152" sqref="BG152"/>
    </sheetView>
  </sheetViews>
  <sheetFormatPr baseColWidth="10" defaultColWidth="9.1640625" defaultRowHeight="14" x14ac:dyDescent="0"/>
  <cols>
    <col min="1" max="1" width="3.33203125" style="132" customWidth="1"/>
    <col min="2" max="2" width="21.5" style="219" customWidth="1"/>
    <col min="3" max="3" width="49.83203125" style="219" customWidth="1"/>
    <col min="4" max="4" width="2.1640625" style="219" customWidth="1"/>
    <col min="5" max="20" width="14.5" style="219" customWidth="1"/>
    <col min="21" max="21" width="2.5" style="219" customWidth="1"/>
    <col min="22" max="22" width="15.83203125" style="219" customWidth="1"/>
    <col min="23" max="23" width="18" style="219" customWidth="1"/>
    <col min="24" max="24" width="16" style="219" customWidth="1"/>
    <col min="25" max="25" width="16.1640625" style="219" customWidth="1"/>
    <col min="26" max="26" width="14.5" style="219" customWidth="1"/>
    <col min="27" max="27" width="16.83203125" style="219" customWidth="1"/>
    <col min="28" max="28" width="18.83203125" style="219" customWidth="1"/>
    <col min="29" max="29" width="16.6640625" style="219" customWidth="1"/>
    <col min="30" max="41" width="12.6640625" style="219" customWidth="1"/>
    <col min="42" max="42" width="2.5" style="219" customWidth="1"/>
    <col min="43" max="56" width="13" style="219" customWidth="1"/>
    <col min="57" max="57" width="2.6640625" style="219" customWidth="1"/>
    <col min="58" max="61" width="13" style="219" customWidth="1"/>
    <col min="62" max="62" width="5.1640625" style="219" customWidth="1"/>
    <col min="63" max="108" width="8.83203125" style="219" customWidth="1"/>
    <col min="109" max="16384" width="9.1640625" style="219"/>
  </cols>
  <sheetData>
    <row r="2" spans="1:62" ht="20">
      <c r="A2" s="120"/>
      <c r="B2" s="9">
        <v>2011</v>
      </c>
      <c r="C2" s="9" t="str">
        <f>INDEX(Region.codes[Description],MATCH(B3,Region.codes[Code],0))&amp;" energy ("&amp;Preferences.energy&amp;")"</f>
        <v>Global energy (EJ)</v>
      </c>
      <c r="E2" s="99" t="s">
        <v>350</v>
      </c>
      <c r="H2" s="57"/>
    </row>
    <row r="3" spans="1:62" ht="15">
      <c r="A3" s="120"/>
      <c r="B3" s="15" t="s">
        <v>360</v>
      </c>
      <c r="H3" s="57"/>
    </row>
    <row r="4" spans="1:62" ht="15">
      <c r="E4" s="458" t="s">
        <v>406</v>
      </c>
      <c r="F4" s="458"/>
      <c r="G4" s="458"/>
      <c r="H4" s="458"/>
      <c r="I4" s="458"/>
      <c r="J4" s="458"/>
      <c r="K4" s="458"/>
      <c r="L4" s="458"/>
      <c r="M4" s="458"/>
      <c r="N4" s="458"/>
      <c r="O4" s="458"/>
      <c r="P4" s="458"/>
      <c r="Q4" s="458"/>
      <c r="R4" s="458"/>
      <c r="S4" s="458"/>
      <c r="T4" s="391"/>
      <c r="V4" s="459" t="s">
        <v>407</v>
      </c>
      <c r="W4" s="459"/>
      <c r="X4" s="459"/>
      <c r="Y4" s="459"/>
      <c r="Z4" s="459"/>
      <c r="AA4" s="459"/>
      <c r="AB4" s="459"/>
      <c r="AC4" s="459"/>
      <c r="AD4" s="459"/>
      <c r="AE4" s="459"/>
      <c r="AF4" s="459"/>
      <c r="AG4" s="459"/>
      <c r="AH4" s="459"/>
      <c r="AI4" s="459"/>
      <c r="AJ4" s="459"/>
      <c r="AK4" s="459"/>
      <c r="AL4" s="459"/>
      <c r="AM4" s="459"/>
      <c r="AN4" s="459"/>
      <c r="AO4" s="459"/>
      <c r="AQ4" s="460" t="s">
        <v>408</v>
      </c>
      <c r="AR4" s="460"/>
      <c r="AS4" s="460"/>
      <c r="AT4" s="460"/>
      <c r="AU4" s="460"/>
      <c r="AV4" s="460"/>
      <c r="AW4" s="460"/>
      <c r="AX4" s="460"/>
      <c r="AY4" s="460"/>
      <c r="AZ4" s="460"/>
      <c r="BA4" s="460"/>
      <c r="BB4" s="460"/>
      <c r="BC4" s="460"/>
      <c r="BD4" s="460"/>
      <c r="BF4" s="461" t="s">
        <v>409</v>
      </c>
      <c r="BG4" s="461"/>
      <c r="BH4" s="461"/>
    </row>
    <row r="5" spans="1:62" ht="56">
      <c r="B5" s="48"/>
      <c r="C5" s="286"/>
      <c r="E5" s="382" t="str">
        <f>INDEX(Regional.energy[[Description]:[Description]],MATCH(E6,Regional.energy[[Regional energy code]:[Regional energy code]],0))</f>
        <v>Global Road transport</v>
      </c>
      <c r="F5" s="382" t="str">
        <f>INDEX(Regional.energy[[Description]:[Description]],MATCH(F6,Regional.energy[[Regional energy code]:[Regional energy code]],0))</f>
        <v>Global Rail transport</v>
      </c>
      <c r="G5" s="382" t="str">
        <f>INDEX(Regional.energy[[Description]:[Description]],MATCH(G6,Regional.energy[[Regional energy code]:[Regional energy code]],0))</f>
        <v>Global Aviation transport</v>
      </c>
      <c r="H5" s="382" t="str">
        <f>INDEX(Regional.energy[[Description]:[Description]],MATCH(H6,Regional.energy[[Regional energy code]:[Regional energy code]],0))</f>
        <v>Global Water transport</v>
      </c>
      <c r="I5" s="382" t="str">
        <f>INDEX(Regional.energy[[Description]:[Description]],MATCH(I6,Regional.energy[[Regional energy code]:[Regional energy code]],0))</f>
        <v>Global Products</v>
      </c>
      <c r="J5" s="382" t="str">
        <f>INDEX(Regional.energy[[Description]:[Description]],MATCH(J6,Regional.energy[[Regional energy code]:[Regional energy code]],0))</f>
        <v>Global Materials</v>
      </c>
      <c r="K5" s="382" t="str">
        <f>INDEX(Regional.energy[[Description]:[Description]],MATCH(K6,Regional.energy[[Regional energy code]:[Regional energy code]],0))</f>
        <v>Global Raw resources</v>
      </c>
      <c r="L5" s="382" t="str">
        <f>INDEX(Regional.energy[[Description]:[Description]],MATCH(L6,Regional.energy[[Regional energy code]:[Regional energy code]],0))</f>
        <v>Global Heating and cooling</v>
      </c>
      <c r="M5" s="382" t="str">
        <f>INDEX(Regional.energy[[Description]:[Description]],MATCH(M6,Regional.energy[[Regional energy code]:[Regional energy code]],0))</f>
        <v>Global Lighting &amp; appliances</v>
      </c>
      <c r="N5" s="382" t="str">
        <f>INDEX(Regional.energy[[Description]:[Description]],MATCH(N6,Regional.energy[[Regional energy code]:[Regional energy code]],0))</f>
        <v>Global Cooking</v>
      </c>
      <c r="O5" s="382" t="str">
        <f>INDEX(Regional.energy[[Description]:[Description]],MATCH(O6,Regional.energy[[Regional energy code]:[Regional energy code]],0))</f>
        <v>Global Non-residential</v>
      </c>
      <c r="P5" s="382" t="str">
        <f>INDEX(Regional.energy[[Description]:[Description]],MATCH(P6,Regional.energy[[Regional energy code]:[Regional energy code]],0))</f>
        <v>Global Energy for agricultural production</v>
      </c>
      <c r="Q5" s="382" t="str">
        <f>INDEX(Regional.energy[[Description]:[Description]],MATCH(Q6,Regional.energy[[Regional energy code]:[Regional energy code]],0))</f>
        <v>Global People's energy usage in living</v>
      </c>
      <c r="R5" s="382" t="str">
        <f>INDEX(Regional.energy[[Description]:[Description]],MATCH(R6,Regional.energy[[Regional energy code]:[Regional energy code]],0))</f>
        <v>Global Animal's energy usage</v>
      </c>
      <c r="S5" s="383" t="str">
        <f>INDEX(Regional.energy[[Description]:[Description]],MATCH(S6,Regional.energy[[Regional energy code]:[Regional energy code]],0))</f>
        <v>Global Geosequestration and storage of CO2</v>
      </c>
      <c r="T5" s="383" t="s">
        <v>638</v>
      </c>
      <c r="U5" s="48"/>
      <c r="V5" s="384" t="str">
        <f>INDEX(Regional.energy[[Description]:[Description]],MATCH(V6,Regional.energy[[Regional energy code]:[Regional energy code]],0))</f>
        <v>Global Electricity (delivered to end user)</v>
      </c>
      <c r="W5" s="384" t="str">
        <f>INDEX(Regional.energy[[Description]:[Description]],MATCH(W6,Regional.energy[[Regional energy code]:[Regional energy code]],0))</f>
        <v>Global Electricity (supplied to grid)</v>
      </c>
      <c r="X5" s="384" t="str">
        <f>INDEX(Regional.energy[[Description]:[Description]],MATCH(X6,Regional.energy[[Regional energy code]:[Regional energy code]],0))</f>
        <v>Global Solid hydrocarbons</v>
      </c>
      <c r="Y5" s="384" t="str">
        <f>INDEX(Regional.energy[[Description]:[Description]],MATCH(Y6,Regional.energy[[Regional energy code]:[Regional energy code]],0))</f>
        <v>Global Liquid hydrocarbons</v>
      </c>
      <c r="Z5" s="384" t="str">
        <f>INDEX(Regional.energy[[Description]:[Description]],MATCH(Z6,Regional.energy[[Regional energy code]:[Regional energy code]],0))</f>
        <v>Global Gaseous hydrocarbons</v>
      </c>
      <c r="AA5" s="384" t="str">
        <f>INDEX(Regional.energy[[Description]:[Description]],MATCH(AA6,Regional.energy[[Regional energy code]:[Regional energy code]],0))</f>
        <v>Global Coal and fossil waste</v>
      </c>
      <c r="AB5" s="384" t="str">
        <f>INDEX(Regional.energy[[Description]:[Description]],MATCH(AB6,Regional.energy[[Regional energy code]:[Regional energy code]],0))</f>
        <v>Global Oil and petroleum products</v>
      </c>
      <c r="AC5" s="384" t="str">
        <f>INDEX(Regional.energy[[Description]:[Description]],MATCH(AC6,Regional.energy[[Regional energy code]:[Regional energy code]],0))</f>
        <v>Global Natural gas</v>
      </c>
      <c r="AD5" s="384" t="str">
        <f>INDEX(Regional.energy[[Description]:[Description]],MATCH(AD6,Regional.energy[[Regional energy code]:[Regional energy code]],0))</f>
        <v>Global Meat</v>
      </c>
      <c r="AE5" s="384" t="str">
        <f>INDEX(Regional.energy[[Description]:[Description]],MATCH(AE6,Regional.energy[[Regional energy code]:[Regional energy code]],0))</f>
        <v>Global Food crops</v>
      </c>
      <c r="AF5" s="384" t="str">
        <f>INDEX(Regional.energy[[Description]:[Description]],MATCH(AF6,Regional.energy[[Regional energy code]:[Regional energy code]],0))</f>
        <v>Global Energy crops</v>
      </c>
      <c r="AG5" s="384" t="str">
        <f>INDEX(Regional.energy[[Description]:[Description]],MATCH(AG6,Regional.energy[[Regional energy code]:[Regional energy code]],0))</f>
        <v>Global Other crops</v>
      </c>
      <c r="AH5" s="384" t="str">
        <f>INDEX(Regional.energy[[Description]:[Description]],MATCH(AH6,Regional.energy[[Regional energy code]:[Regional energy code]],0))</f>
        <v>Global Dry biomass and waste</v>
      </c>
      <c r="AI5" s="384" t="str">
        <f>INDEX(Regional.energy[[Description]:[Description]],MATCH(AI6,Regional.energy[[Regional energy code]:[Regional energy code]],0))</f>
        <v>Global Wet biomass and waste</v>
      </c>
      <c r="AJ5" s="384" t="str">
        <f>INDEX(Regional.energy[[Description]:[Description]],MATCH(AJ6,Regional.energy[[Regional energy code]:[Regional energy code]],0))</f>
        <v>Global Gaseous waste</v>
      </c>
      <c r="AK5" s="384" t="str">
        <f>INDEX(Regional.energy[[Description]:[Description]],MATCH(AK6,Regional.energy[[Regional energy code]:[Regional energy code]],0))</f>
        <v>Global Grass</v>
      </c>
      <c r="AL5" s="384" t="str">
        <f>INDEX(Regional.energy[[Description]:[Description]],MATCH(AL6,Regional.energy[[Regional energy code]:[Regional energy code]],0))</f>
        <v>Global Heat transport</v>
      </c>
      <c r="AM5" s="384" t="str">
        <f>INDEX(Regional.energy[[Description]:[Description]],MATCH(AM6,Regional.energy[[Regional energy code]:[Regional energy code]],0))</f>
        <v>Global Solar thermal</v>
      </c>
      <c r="AN5" s="384" t="str">
        <f>INDEX(Regional.energy[[Description]:[Description]],MATCH(AN6,Regional.energy[[Regional energy code]:[Regional energy code]],0))</f>
        <v>Global H2</v>
      </c>
      <c r="AO5" s="384" t="s">
        <v>410</v>
      </c>
      <c r="AP5" s="48"/>
      <c r="AQ5" s="385" t="str">
        <f>INDEX(Regional.energy[[Description]:[Description]],MATCH(AQ6,Regional.energy[[Regional energy code]:[Regional energy code]],0))</f>
        <v xml:space="preserve">Global Coal reserves </v>
      </c>
      <c r="AR5" s="385" t="str">
        <f>INDEX(Regional.energy[[Description]:[Description]],MATCH(AR6,Regional.energy[[Regional energy code]:[Regional energy code]],0))</f>
        <v xml:space="preserve">Global Oil reserves </v>
      </c>
      <c r="AS5" s="385" t="str">
        <f>INDEX(Regional.energy[[Description]:[Description]],MATCH(AS6,Regional.energy[[Regional energy code]:[Regional energy code]],0))</f>
        <v xml:space="preserve">Global Gas reserves </v>
      </c>
      <c r="AT5" s="385" t="str">
        <f>INDEX(Regional.energy[[Description]:[Description]],MATCH(AT6,Regional.energy[[Regional energy code]:[Regional energy code]],0))</f>
        <v>Global Nuclear fission</v>
      </c>
      <c r="AU5" s="385" t="str">
        <f>INDEX(Regional.energy[[Description]:[Description]],MATCH(AU6,Regional.energy[[Regional energy code]:[Regional energy code]],0))</f>
        <v>Global Solar</v>
      </c>
      <c r="AV5" s="385" t="str">
        <f>INDEX(Regional.energy[[Description]:[Description]],MATCH(AV6,Regional.energy[[Regional energy code]:[Regional energy code]],0))</f>
        <v>Global Wind</v>
      </c>
      <c r="AW5" s="385" t="str">
        <f>INDEX(Regional.energy[[Description]:[Description]],MATCH(AW6,Regional.energy[[Regional energy code]:[Regional energy code]],0))</f>
        <v>Global Tidal</v>
      </c>
      <c r="AX5" s="385" t="str">
        <f>INDEX(Regional.energy[[Description]:[Description]],MATCH(AX6,Regional.energy[[Regional energy code]:[Regional energy code]],0))</f>
        <v>Global Wave</v>
      </c>
      <c r="AY5" s="385" t="str">
        <f>INDEX(Regional.energy[[Description]:[Description]],MATCH(AY6,Regional.energy[[Regional energy code]:[Regional energy code]],0))</f>
        <v>Global Geothermal</v>
      </c>
      <c r="AZ5" s="385" t="str">
        <f>INDEX(Regional.energy[[Description]:[Description]],MATCH(AZ6,Regional.energy[[Regional energy code]:[Regional energy code]],0))</f>
        <v>Global Hydro</v>
      </c>
      <c r="BA5" s="385" t="str">
        <f>INDEX(Regional.energy[[Description]:[Description]],MATCH(BA6,Regional.energy[[Regional energy code]:[Regional energy code]],0))</f>
        <v>Global Environmental heat</v>
      </c>
      <c r="BB5" s="385" t="str">
        <f>INDEX(Regional.energy[[Description]:[Description]],MATCH(BB6,Regional.energy[[Regional energy code]:[Regional energy code]],0))</f>
        <v>Global Agricultural produce</v>
      </c>
      <c r="BC5" s="385" t="str">
        <f>INDEX(Regional.energy[[Description]:[Description]],MATCH(BC6,Regional.energy[[Regional energy code]:[Regional energy code]],0))</f>
        <v>Global Waste</v>
      </c>
      <c r="BD5" s="386" t="s">
        <v>411</v>
      </c>
      <c r="BE5" s="48"/>
      <c r="BF5" s="387" t="str">
        <f>INDEX(Regional.energy[[Description]:[Description]],MATCH(BF6,Regional.energy[[Regional energy code]:[Regional energy code]],0))</f>
        <v>Global Conversion losses</v>
      </c>
      <c r="BG5" s="387" t="str">
        <f>INDEX(Regional.energy[[Description]:[Description]],MATCH(BG6,Regional.energy[[Regional energy code]:[Regional energy code]],0))</f>
        <v>Global Distribution losses and own use</v>
      </c>
      <c r="BH5" s="388" t="s">
        <v>420</v>
      </c>
      <c r="BI5" s="389" t="str">
        <f>INDEX(Regional.energy[[Description]:[Description]],MATCH(BI6,Regional.energy[[Regional energy code]:[Regional energy code]],0))</f>
        <v>Global Unallocated</v>
      </c>
      <c r="BJ5" s="48"/>
    </row>
    <row r="6" spans="1:62">
      <c r="C6" s="219" t="s">
        <v>637</v>
      </c>
      <c r="D6" s="219" t="s">
        <v>414</v>
      </c>
      <c r="E6" s="121" t="str">
        <f>$B$3&amp;"."&amp;E7</f>
        <v>G.T.01</v>
      </c>
      <c r="F6" s="121" t="str">
        <f t="shared" ref="F6:S6" si="0">$B$3&amp;"."&amp;F7</f>
        <v>G.T.02</v>
      </c>
      <c r="G6" s="121" t="str">
        <f t="shared" si="0"/>
        <v>G.T.03</v>
      </c>
      <c r="H6" s="121" t="str">
        <f t="shared" si="0"/>
        <v>G.T.04</v>
      </c>
      <c r="I6" s="121" t="str">
        <f t="shared" si="0"/>
        <v>G.M.01</v>
      </c>
      <c r="J6" s="121" t="str">
        <f t="shared" si="0"/>
        <v>G.M.02</v>
      </c>
      <c r="K6" s="121" t="str">
        <f t="shared" si="0"/>
        <v>G.M.03</v>
      </c>
      <c r="L6" s="121" t="str">
        <f t="shared" si="0"/>
        <v>G.B.01</v>
      </c>
      <c r="M6" s="121" t="str">
        <f t="shared" si="0"/>
        <v>G.B.02</v>
      </c>
      <c r="N6" s="121" t="str">
        <f t="shared" si="0"/>
        <v>G.B.03</v>
      </c>
      <c r="O6" s="121" t="str">
        <f>$B$3&amp;"."&amp;O7</f>
        <v>G.B.04</v>
      </c>
      <c r="P6" s="121" t="str">
        <f t="shared" si="0"/>
        <v>G.F.01</v>
      </c>
      <c r="Q6" s="121" t="str">
        <f t="shared" si="0"/>
        <v>G.P.01</v>
      </c>
      <c r="R6" s="121" t="str">
        <f t="shared" si="0"/>
        <v>G.A.01</v>
      </c>
      <c r="S6" s="121" t="str">
        <f t="shared" si="0"/>
        <v>G.G.01</v>
      </c>
      <c r="T6" s="163"/>
      <c r="V6" s="152" t="str">
        <f>$B$3&amp;"."&amp;V7</f>
        <v>G.E.01</v>
      </c>
      <c r="W6" s="152" t="str">
        <f t="shared" ref="W6:AN6" si="1">$B$3&amp;"."&amp;W7</f>
        <v>G.E.02</v>
      </c>
      <c r="X6" s="152" t="str">
        <f t="shared" si="1"/>
        <v>G.C.01</v>
      </c>
      <c r="Y6" s="152" t="str">
        <f t="shared" si="1"/>
        <v>G.C.02</v>
      </c>
      <c r="Z6" s="152" t="str">
        <f t="shared" si="1"/>
        <v>G.C.03</v>
      </c>
      <c r="AA6" s="152" t="str">
        <f t="shared" si="1"/>
        <v>G.FF.01</v>
      </c>
      <c r="AB6" s="152" t="str">
        <f t="shared" si="1"/>
        <v>G.FF.02</v>
      </c>
      <c r="AC6" s="152" t="str">
        <f t="shared" si="1"/>
        <v>G.FF.03</v>
      </c>
      <c r="AD6" s="152" t="str">
        <f t="shared" si="1"/>
        <v>G.BM.01</v>
      </c>
      <c r="AE6" s="152" t="str">
        <f t="shared" si="1"/>
        <v>G.BM.02</v>
      </c>
      <c r="AF6" s="152" t="str">
        <f t="shared" si="1"/>
        <v>G.BM.03</v>
      </c>
      <c r="AG6" s="152" t="str">
        <f t="shared" si="1"/>
        <v>G.BM.04</v>
      </c>
      <c r="AH6" s="152" t="str">
        <f t="shared" si="1"/>
        <v>G.BM.05</v>
      </c>
      <c r="AI6" s="152" t="str">
        <f t="shared" si="1"/>
        <v>G.BM.06</v>
      </c>
      <c r="AJ6" s="152" t="str">
        <f t="shared" si="1"/>
        <v>G.BM.07</v>
      </c>
      <c r="AK6" s="152" t="str">
        <f t="shared" si="1"/>
        <v>G.BM.08</v>
      </c>
      <c r="AL6" s="152" t="str">
        <f>$B$3&amp;"."&amp;AL7</f>
        <v>G.H.01</v>
      </c>
      <c r="AM6" s="152" t="str">
        <f t="shared" si="1"/>
        <v>G.H.02</v>
      </c>
      <c r="AN6" s="152" t="str">
        <f t="shared" si="1"/>
        <v>G.HY.01</v>
      </c>
      <c r="AO6" s="152"/>
      <c r="AQ6" s="21" t="str">
        <f>$B$3&amp;"."&amp;AQ7</f>
        <v>G.Q.01</v>
      </c>
      <c r="AR6" s="21" t="str">
        <f t="shared" ref="AR6:BC6" si="2">$B$3&amp;"."&amp;AR7</f>
        <v>G.Q.02</v>
      </c>
      <c r="AS6" s="21" t="str">
        <f t="shared" si="2"/>
        <v>G.Q.03</v>
      </c>
      <c r="AT6" s="21" t="str">
        <f t="shared" si="2"/>
        <v>G.N.01</v>
      </c>
      <c r="AU6" s="21" t="str">
        <f t="shared" si="2"/>
        <v>G.R.01</v>
      </c>
      <c r="AV6" s="21" t="str">
        <f t="shared" si="2"/>
        <v>G.R.02</v>
      </c>
      <c r="AW6" s="21" t="str">
        <f t="shared" si="2"/>
        <v>G.R.03</v>
      </c>
      <c r="AX6" s="21" t="str">
        <f t="shared" si="2"/>
        <v>G.R.04</v>
      </c>
      <c r="AY6" s="21" t="str">
        <f t="shared" si="2"/>
        <v>G.R.05</v>
      </c>
      <c r="AZ6" s="21" t="str">
        <f t="shared" si="2"/>
        <v>G.R.06</v>
      </c>
      <c r="BA6" s="21" t="str">
        <f t="shared" si="2"/>
        <v>G.R.07</v>
      </c>
      <c r="BB6" s="21" t="str">
        <f t="shared" si="2"/>
        <v>G.R.08</v>
      </c>
      <c r="BC6" s="21" t="str">
        <f t="shared" si="2"/>
        <v>G.R.09</v>
      </c>
      <c r="BD6" s="21"/>
      <c r="BF6" s="49" t="str">
        <f t="shared" ref="BF6:BI6" si="3">$B$3&amp;"."&amp;BF7</f>
        <v>G.L.01</v>
      </c>
      <c r="BG6" s="49" t="str">
        <f t="shared" si="3"/>
        <v>G.L.02</v>
      </c>
      <c r="BH6" s="49"/>
      <c r="BI6" s="219" t="str">
        <f t="shared" si="3"/>
        <v>G.U.01</v>
      </c>
    </row>
    <row r="7" spans="1:62" ht="18" customHeight="1">
      <c r="E7" s="121" t="s">
        <v>526</v>
      </c>
      <c r="F7" s="121" t="s">
        <v>527</v>
      </c>
      <c r="G7" s="121" t="s">
        <v>528</v>
      </c>
      <c r="H7" s="121" t="s">
        <v>529</v>
      </c>
      <c r="I7" s="121" t="s">
        <v>530</v>
      </c>
      <c r="J7" s="121" t="s">
        <v>531</v>
      </c>
      <c r="K7" s="121" t="s">
        <v>532</v>
      </c>
      <c r="L7" s="121" t="s">
        <v>533</v>
      </c>
      <c r="M7" s="121" t="s">
        <v>534</v>
      </c>
      <c r="N7" s="121" t="s">
        <v>535</v>
      </c>
      <c r="O7" s="121" t="s">
        <v>2514</v>
      </c>
      <c r="P7" s="121" t="s">
        <v>536</v>
      </c>
      <c r="Q7" s="121" t="s">
        <v>569</v>
      </c>
      <c r="R7" s="121" t="s">
        <v>558</v>
      </c>
      <c r="S7" s="121" t="s">
        <v>537</v>
      </c>
      <c r="T7" s="121"/>
      <c r="V7" s="152" t="s">
        <v>544</v>
      </c>
      <c r="W7" s="152" t="s">
        <v>545</v>
      </c>
      <c r="X7" s="152" t="s">
        <v>541</v>
      </c>
      <c r="Y7" s="152" t="s">
        <v>542</v>
      </c>
      <c r="Z7" s="152" t="s">
        <v>543</v>
      </c>
      <c r="AA7" s="152" t="s">
        <v>538</v>
      </c>
      <c r="AB7" s="152" t="s">
        <v>539</v>
      </c>
      <c r="AC7" s="152" t="s">
        <v>540</v>
      </c>
      <c r="AD7" s="152" t="s">
        <v>548</v>
      </c>
      <c r="AE7" s="152" t="s">
        <v>549</v>
      </c>
      <c r="AF7" s="152" t="s">
        <v>550</v>
      </c>
      <c r="AG7" s="152" t="s">
        <v>551</v>
      </c>
      <c r="AH7" s="152" t="s">
        <v>780</v>
      </c>
      <c r="AI7" s="152" t="s">
        <v>781</v>
      </c>
      <c r="AJ7" s="152" t="s">
        <v>1213</v>
      </c>
      <c r="AK7" s="152" t="s">
        <v>1329</v>
      </c>
      <c r="AL7" s="152" t="s">
        <v>546</v>
      </c>
      <c r="AM7" s="152" t="s">
        <v>547</v>
      </c>
      <c r="AN7" s="152" t="s">
        <v>552</v>
      </c>
      <c r="AO7" s="152"/>
      <c r="AQ7" s="21" t="s">
        <v>514</v>
      </c>
      <c r="AR7" s="21" t="s">
        <v>515</v>
      </c>
      <c r="AS7" s="21" t="s">
        <v>516</v>
      </c>
      <c r="AT7" s="21" t="s">
        <v>517</v>
      </c>
      <c r="AU7" s="21" t="s">
        <v>518</v>
      </c>
      <c r="AV7" s="21" t="s">
        <v>519</v>
      </c>
      <c r="AW7" s="21" t="s">
        <v>520</v>
      </c>
      <c r="AX7" s="21" t="s">
        <v>521</v>
      </c>
      <c r="AY7" s="21" t="s">
        <v>522</v>
      </c>
      <c r="AZ7" s="21" t="s">
        <v>523</v>
      </c>
      <c r="BA7" s="21" t="s">
        <v>524</v>
      </c>
      <c r="BB7" s="21" t="s">
        <v>525</v>
      </c>
      <c r="BC7" s="21" t="s">
        <v>1335</v>
      </c>
      <c r="BD7" s="21"/>
      <c r="BF7" s="49" t="s">
        <v>555</v>
      </c>
      <c r="BG7" s="49" t="s">
        <v>556</v>
      </c>
      <c r="BH7" s="49"/>
      <c r="BI7" s="219" t="s">
        <v>557</v>
      </c>
    </row>
    <row r="8" spans="1:62" ht="20">
      <c r="B8" s="9" t="s">
        <v>291</v>
      </c>
      <c r="E8" s="121"/>
      <c r="F8" s="121"/>
      <c r="G8" s="121"/>
      <c r="H8" s="121"/>
      <c r="I8" s="121"/>
      <c r="J8" s="121"/>
      <c r="K8" s="121"/>
      <c r="L8" s="121"/>
      <c r="M8" s="121"/>
      <c r="N8" s="121"/>
      <c r="O8" s="121"/>
      <c r="P8" s="121"/>
      <c r="Q8" s="121"/>
      <c r="R8" s="121"/>
      <c r="S8" s="121"/>
      <c r="T8" s="121"/>
      <c r="V8" s="152"/>
      <c r="W8" s="152"/>
      <c r="X8" s="152"/>
      <c r="Y8" s="152"/>
      <c r="Z8" s="152"/>
      <c r="AA8" s="152"/>
      <c r="AB8" s="152"/>
      <c r="AC8" s="152"/>
      <c r="AD8" s="152"/>
      <c r="AE8" s="152"/>
      <c r="AF8" s="152"/>
      <c r="AG8" s="152"/>
      <c r="AH8" s="152"/>
      <c r="AI8" s="152"/>
      <c r="AJ8" s="152"/>
      <c r="AK8" s="152"/>
      <c r="AL8" s="152"/>
      <c r="AM8" s="152"/>
      <c r="AN8" s="152"/>
      <c r="AO8" s="152"/>
      <c r="AQ8" s="21"/>
      <c r="AR8" s="21"/>
      <c r="AS8" s="21"/>
      <c r="AT8" s="21"/>
      <c r="AU8" s="21"/>
      <c r="AV8" s="21"/>
      <c r="AW8" s="21"/>
      <c r="AX8" s="21"/>
      <c r="AY8" s="21"/>
      <c r="AZ8" s="21"/>
      <c r="BA8" s="21"/>
      <c r="BB8" s="21"/>
      <c r="BC8" s="21"/>
      <c r="BD8" s="21"/>
      <c r="BF8" s="49"/>
      <c r="BG8" s="49"/>
      <c r="BH8" s="49"/>
    </row>
    <row r="9" spans="1:62">
      <c r="B9" s="54"/>
      <c r="C9" s="54"/>
      <c r="D9" s="54"/>
      <c r="E9" s="121"/>
      <c r="F9" s="121"/>
      <c r="G9" s="121"/>
      <c r="H9" s="121"/>
      <c r="I9" s="121"/>
      <c r="J9" s="121"/>
      <c r="K9" s="121"/>
      <c r="L9" s="121"/>
      <c r="M9" s="121"/>
      <c r="N9" s="121"/>
      <c r="O9" s="121"/>
      <c r="P9" s="121"/>
      <c r="Q9" s="121"/>
      <c r="R9" s="121"/>
      <c r="S9" s="121"/>
      <c r="T9" s="121"/>
      <c r="U9" s="54"/>
      <c r="V9" s="152"/>
      <c r="W9" s="152"/>
      <c r="X9" s="152"/>
      <c r="Y9" s="152"/>
      <c r="Z9" s="152"/>
      <c r="AA9" s="152"/>
      <c r="AB9" s="152"/>
      <c r="AC9" s="152"/>
      <c r="AD9" s="152"/>
      <c r="AE9" s="152"/>
      <c r="AF9" s="152"/>
      <c r="AG9" s="152"/>
      <c r="AH9" s="152"/>
      <c r="AI9" s="152"/>
      <c r="AJ9" s="152"/>
      <c r="AK9" s="152"/>
      <c r="AL9" s="152"/>
      <c r="AM9" s="152"/>
      <c r="AN9" s="152"/>
      <c r="AO9" s="152"/>
      <c r="AP9" s="54"/>
      <c r="AQ9" s="21"/>
      <c r="AR9" s="21"/>
      <c r="AS9" s="21"/>
      <c r="AT9" s="21"/>
      <c r="AU9" s="21"/>
      <c r="AV9" s="21"/>
      <c r="AW9" s="21"/>
      <c r="AX9" s="21"/>
      <c r="AY9" s="21"/>
      <c r="AZ9" s="21"/>
      <c r="BA9" s="21"/>
      <c r="BB9" s="21"/>
      <c r="BC9" s="21"/>
      <c r="BD9" s="21"/>
      <c r="BE9" s="54"/>
      <c r="BF9" s="49"/>
      <c r="BG9" s="49"/>
      <c r="BH9" s="49"/>
      <c r="BJ9" s="54"/>
    </row>
    <row r="10" spans="1:62" ht="15">
      <c r="B10" s="105" t="s">
        <v>631</v>
      </c>
      <c r="C10" s="15" t="str">
        <f>INDEX(Regional.sectors[Description],MATCH($B$3&amp;"."&amp;B10,Regional.sectors[Code],0))</f>
        <v>Global Transport</v>
      </c>
      <c r="D10" s="219" t="s">
        <v>414</v>
      </c>
      <c r="E10" s="121"/>
      <c r="F10" s="121"/>
      <c r="G10" s="121"/>
      <c r="H10" s="121"/>
      <c r="I10" s="121"/>
      <c r="J10" s="121"/>
      <c r="K10" s="121"/>
      <c r="L10" s="121"/>
      <c r="M10" s="121"/>
      <c r="N10" s="121"/>
      <c r="O10" s="121"/>
      <c r="P10" s="121"/>
      <c r="Q10" s="121"/>
      <c r="R10" s="121"/>
      <c r="S10" s="121"/>
      <c r="T10" s="121"/>
      <c r="U10" s="54"/>
      <c r="V10" s="152"/>
      <c r="W10" s="152"/>
      <c r="X10" s="152"/>
      <c r="Y10" s="152"/>
      <c r="Z10" s="152"/>
      <c r="AA10" s="152"/>
      <c r="AB10" s="152"/>
      <c r="AC10" s="152"/>
      <c r="AD10" s="152"/>
      <c r="AE10" s="152"/>
      <c r="AF10" s="152"/>
      <c r="AG10" s="152"/>
      <c r="AH10" s="152"/>
      <c r="AI10" s="152"/>
      <c r="AJ10" s="152"/>
      <c r="AK10" s="152"/>
      <c r="AL10" s="152"/>
      <c r="AM10" s="152"/>
      <c r="AN10" s="152"/>
      <c r="AO10" s="152"/>
      <c r="AP10" s="54"/>
      <c r="AQ10" s="21"/>
      <c r="AR10" s="21"/>
      <c r="AS10" s="21"/>
      <c r="AT10" s="21"/>
      <c r="AU10" s="21"/>
      <c r="AV10" s="21"/>
      <c r="AW10" s="21"/>
      <c r="AX10" s="21"/>
      <c r="AY10" s="21"/>
      <c r="AZ10" s="21"/>
      <c r="BA10" s="21"/>
      <c r="BB10" s="21"/>
      <c r="BC10" s="21"/>
      <c r="BD10" s="21"/>
      <c r="BE10" s="54"/>
      <c r="BF10" s="49"/>
      <c r="BG10" s="49"/>
      <c r="BH10" s="49"/>
      <c r="BJ10" s="58"/>
    </row>
    <row r="11" spans="1:62" ht="15">
      <c r="B11" s="105"/>
      <c r="C11" s="15"/>
      <c r="E11" s="121"/>
      <c r="F11" s="121"/>
      <c r="G11" s="121"/>
      <c r="H11" s="121"/>
      <c r="I11" s="121"/>
      <c r="J11" s="121"/>
      <c r="K11" s="121"/>
      <c r="L11" s="121"/>
      <c r="M11" s="121"/>
      <c r="N11" s="121"/>
      <c r="O11" s="121"/>
      <c r="P11" s="121"/>
      <c r="Q11" s="121"/>
      <c r="R11" s="121"/>
      <c r="S11" s="121"/>
      <c r="T11" s="121"/>
      <c r="U11" s="58"/>
      <c r="V11" s="152"/>
      <c r="W11" s="152"/>
      <c r="X11" s="152"/>
      <c r="Y11" s="152"/>
      <c r="Z11" s="152"/>
      <c r="AA11" s="152"/>
      <c r="AB11" s="152"/>
      <c r="AC11" s="152"/>
      <c r="AD11" s="152"/>
      <c r="AE11" s="152"/>
      <c r="AF11" s="152"/>
      <c r="AG11" s="152"/>
      <c r="AH11" s="152"/>
      <c r="AI11" s="152"/>
      <c r="AJ11" s="152"/>
      <c r="AK11" s="152"/>
      <c r="AL11" s="152"/>
      <c r="AM11" s="152"/>
      <c r="AN11" s="152"/>
      <c r="AO11" s="152"/>
      <c r="AP11" s="58"/>
      <c r="AQ11" s="21"/>
      <c r="AR11" s="21"/>
      <c r="AS11" s="21"/>
      <c r="AT11" s="21"/>
      <c r="AU11" s="21"/>
      <c r="AV11" s="21"/>
      <c r="AW11" s="21"/>
      <c r="AX11" s="21"/>
      <c r="AY11" s="21"/>
      <c r="AZ11" s="21"/>
      <c r="BA11" s="21"/>
      <c r="BB11" s="21"/>
      <c r="BC11" s="21"/>
      <c r="BD11" s="21"/>
      <c r="BE11" s="58"/>
      <c r="BF11" s="49"/>
      <c r="BG11" s="49"/>
      <c r="BH11" s="49"/>
      <c r="BJ11" s="58"/>
    </row>
    <row r="12" spans="1:62" s="54" customFormat="1">
      <c r="A12" s="133"/>
      <c r="B12" s="176"/>
      <c r="C12" s="187" t="s">
        <v>2410</v>
      </c>
      <c r="E12" s="121"/>
      <c r="F12" s="121"/>
      <c r="G12" s="121"/>
      <c r="H12" s="121"/>
      <c r="I12" s="121"/>
      <c r="J12" s="121"/>
      <c r="K12" s="121"/>
      <c r="L12" s="121"/>
      <c r="M12" s="121"/>
      <c r="N12" s="121"/>
      <c r="O12" s="121"/>
      <c r="P12" s="121"/>
      <c r="Q12" s="121"/>
      <c r="R12" s="121"/>
      <c r="S12" s="121"/>
      <c r="T12" s="121"/>
      <c r="U12" s="58"/>
      <c r="V12" s="152"/>
      <c r="W12" s="152"/>
      <c r="X12" s="152"/>
      <c r="Y12" s="152"/>
      <c r="Z12" s="152"/>
      <c r="AA12" s="152"/>
      <c r="AB12" s="152"/>
      <c r="AC12" s="152"/>
      <c r="AD12" s="152"/>
      <c r="AE12" s="152"/>
      <c r="AF12" s="152"/>
      <c r="AG12" s="152"/>
      <c r="AH12" s="152"/>
      <c r="AI12" s="152"/>
      <c r="AJ12" s="152"/>
      <c r="AK12" s="152"/>
      <c r="AL12" s="152"/>
      <c r="AM12" s="152"/>
      <c r="AN12" s="152"/>
      <c r="AO12" s="152"/>
      <c r="AP12" s="58"/>
      <c r="AQ12" s="21"/>
      <c r="AR12" s="21"/>
      <c r="AS12" s="21"/>
      <c r="AT12" s="21"/>
      <c r="AU12" s="21"/>
      <c r="AV12" s="21"/>
      <c r="AW12" s="21"/>
      <c r="AX12" s="21"/>
      <c r="AY12" s="21"/>
      <c r="AZ12" s="21"/>
      <c r="BA12" s="21"/>
      <c r="BB12" s="21"/>
      <c r="BC12" s="21"/>
      <c r="BD12" s="21"/>
      <c r="BE12" s="58"/>
      <c r="BF12" s="49"/>
      <c r="BG12" s="49"/>
      <c r="BH12" s="49"/>
      <c r="BI12" s="219"/>
      <c r="BJ12" s="108"/>
    </row>
    <row r="13" spans="1:62" s="54" customFormat="1">
      <c r="A13" s="133"/>
      <c r="B13" s="176" t="s">
        <v>2367</v>
      </c>
      <c r="C13" s="114" t="str">
        <f>INDEX(Regional.Technologies[Description],MATCH($B$3&amp;"."&amp;B13,Regional.Technologies[Code],0))</f>
        <v>Global walk.passenger.urban</v>
      </c>
      <c r="E13" s="121"/>
      <c r="F13" s="121"/>
      <c r="G13" s="121"/>
      <c r="H13" s="121"/>
      <c r="I13" s="121"/>
      <c r="J13" s="121"/>
      <c r="K13" s="121"/>
      <c r="L13" s="121"/>
      <c r="M13" s="121"/>
      <c r="N13" s="121"/>
      <c r="O13" s="121"/>
      <c r="P13" s="121"/>
      <c r="Q13" s="121"/>
      <c r="R13" s="121"/>
      <c r="S13" s="121"/>
      <c r="T13" s="121"/>
      <c r="U13" s="58"/>
      <c r="V13" s="152"/>
      <c r="W13" s="152"/>
      <c r="X13" s="152"/>
      <c r="Y13" s="152"/>
      <c r="Z13" s="152"/>
      <c r="AA13" s="152"/>
      <c r="AB13" s="152"/>
      <c r="AC13" s="152"/>
      <c r="AD13" s="152"/>
      <c r="AE13" s="152"/>
      <c r="AF13" s="152"/>
      <c r="AG13" s="152"/>
      <c r="AH13" s="152"/>
      <c r="AI13" s="152"/>
      <c r="AJ13" s="152"/>
      <c r="AK13" s="152"/>
      <c r="AL13" s="152"/>
      <c r="AM13" s="152"/>
      <c r="AN13" s="152"/>
      <c r="AO13" s="152"/>
      <c r="AP13" s="58"/>
      <c r="AQ13" s="21"/>
      <c r="AR13" s="21"/>
      <c r="AS13" s="21"/>
      <c r="AT13" s="21"/>
      <c r="AU13" s="21"/>
      <c r="AV13" s="21"/>
      <c r="AW13" s="21"/>
      <c r="AX13" s="21"/>
      <c r="AY13" s="21"/>
      <c r="AZ13" s="21"/>
      <c r="BA13" s="21"/>
      <c r="BB13" s="21"/>
      <c r="BC13" s="21"/>
      <c r="BD13" s="21"/>
      <c r="BE13" s="108"/>
      <c r="BF13" s="49"/>
      <c r="BG13" s="49"/>
      <c r="BH13" s="49"/>
      <c r="BI13" s="219"/>
      <c r="BJ13" s="108"/>
    </row>
    <row r="14" spans="1:62" s="54" customFormat="1">
      <c r="A14" s="133"/>
      <c r="B14" s="176" t="s">
        <v>2047</v>
      </c>
      <c r="C14" s="114" t="str">
        <f>INDEX(Regional.Technologies[Description],MATCH($B$3&amp;"."&amp;B14,Regional.Technologies[Code],0))</f>
        <v>Global bike.passenger.urban</v>
      </c>
      <c r="E14" s="121"/>
      <c r="F14" s="121"/>
      <c r="G14" s="121"/>
      <c r="H14" s="121"/>
      <c r="I14" s="121"/>
      <c r="J14" s="121"/>
      <c r="K14" s="121"/>
      <c r="L14" s="121"/>
      <c r="M14" s="121"/>
      <c r="N14" s="121"/>
      <c r="O14" s="121"/>
      <c r="P14" s="121"/>
      <c r="Q14" s="121"/>
      <c r="R14" s="121"/>
      <c r="S14" s="121"/>
      <c r="T14" s="121"/>
      <c r="U14" s="58"/>
      <c r="V14" s="152"/>
      <c r="W14" s="152"/>
      <c r="X14" s="152"/>
      <c r="Y14" s="152"/>
      <c r="Z14" s="152"/>
      <c r="AA14" s="152"/>
      <c r="AB14" s="152"/>
      <c r="AC14" s="152"/>
      <c r="AD14" s="152"/>
      <c r="AE14" s="152"/>
      <c r="AF14" s="152"/>
      <c r="AG14" s="152"/>
      <c r="AH14" s="152"/>
      <c r="AI14" s="152"/>
      <c r="AJ14" s="152"/>
      <c r="AK14" s="152"/>
      <c r="AL14" s="152"/>
      <c r="AM14" s="152"/>
      <c r="AN14" s="152"/>
      <c r="AO14" s="152"/>
      <c r="AP14" s="58"/>
      <c r="AQ14" s="21"/>
      <c r="AR14" s="21"/>
      <c r="AS14" s="21"/>
      <c r="AT14" s="21"/>
      <c r="AU14" s="21"/>
      <c r="AV14" s="21"/>
      <c r="AW14" s="21"/>
      <c r="AX14" s="21"/>
      <c r="AY14" s="21"/>
      <c r="AZ14" s="21"/>
      <c r="BA14" s="21"/>
      <c r="BB14" s="21"/>
      <c r="BC14" s="21"/>
      <c r="BD14" s="21"/>
      <c r="BE14" s="108"/>
      <c r="BF14" s="49"/>
      <c r="BG14" s="49"/>
      <c r="BH14" s="49"/>
      <c r="BI14" s="219"/>
      <c r="BJ14" s="108"/>
    </row>
    <row r="15" spans="1:62" s="54" customFormat="1">
      <c r="A15" s="133"/>
      <c r="B15" s="176" t="s">
        <v>2022</v>
      </c>
      <c r="C15" s="114" t="str">
        <f>INDEX(Regional.Technologies[Description],MATCH($B$3&amp;"."&amp;B15,Regional.Technologies[Code],0))</f>
        <v>Global motorbike.passenger.urban.fuel</v>
      </c>
      <c r="E15" s="121"/>
      <c r="F15" s="121"/>
      <c r="G15" s="121"/>
      <c r="H15" s="121"/>
      <c r="I15" s="121"/>
      <c r="J15" s="121"/>
      <c r="K15" s="121"/>
      <c r="L15" s="121"/>
      <c r="M15" s="121"/>
      <c r="N15" s="121"/>
      <c r="O15" s="121"/>
      <c r="P15" s="121"/>
      <c r="Q15" s="121"/>
      <c r="R15" s="121"/>
      <c r="S15" s="121"/>
      <c r="T15" s="121"/>
      <c r="U15" s="58"/>
      <c r="V15" s="152"/>
      <c r="W15" s="152"/>
      <c r="X15" s="152"/>
      <c r="Y15" s="152"/>
      <c r="Z15" s="152"/>
      <c r="AA15" s="152"/>
      <c r="AB15" s="152"/>
      <c r="AC15" s="152"/>
      <c r="AD15" s="152"/>
      <c r="AE15" s="152"/>
      <c r="AF15" s="152"/>
      <c r="AG15" s="152"/>
      <c r="AH15" s="152"/>
      <c r="AI15" s="152"/>
      <c r="AJ15" s="152"/>
      <c r="AK15" s="152"/>
      <c r="AL15" s="152"/>
      <c r="AM15" s="152"/>
      <c r="AN15" s="152"/>
      <c r="AO15" s="152"/>
      <c r="AP15" s="58"/>
      <c r="AQ15" s="21"/>
      <c r="AR15" s="21"/>
      <c r="AS15" s="21"/>
      <c r="AT15" s="21"/>
      <c r="AU15" s="21"/>
      <c r="AV15" s="21"/>
      <c r="AW15" s="21"/>
      <c r="AX15" s="21"/>
      <c r="AY15" s="21"/>
      <c r="AZ15" s="21"/>
      <c r="BA15" s="21"/>
      <c r="BB15" s="21"/>
      <c r="BC15" s="21"/>
      <c r="BD15" s="21"/>
      <c r="BE15" s="108"/>
      <c r="BF15" s="49"/>
      <c r="BG15" s="49"/>
      <c r="BH15" s="49"/>
      <c r="BI15" s="219"/>
      <c r="BJ15" s="108"/>
    </row>
    <row r="16" spans="1:62" s="54" customFormat="1">
      <c r="A16" s="133"/>
      <c r="B16" s="176" t="s">
        <v>2023</v>
      </c>
      <c r="C16" s="114" t="str">
        <f>INDEX(Regional.Technologies[Description],MATCH($B$3&amp;"."&amp;B16,Regional.Technologies[Code],0))</f>
        <v>Global motorbike.passenger.urban.elec</v>
      </c>
      <c r="E16" s="121"/>
      <c r="F16" s="121"/>
      <c r="G16" s="121"/>
      <c r="H16" s="121"/>
      <c r="I16" s="121"/>
      <c r="J16" s="121"/>
      <c r="K16" s="121"/>
      <c r="L16" s="121"/>
      <c r="M16" s="121"/>
      <c r="N16" s="121"/>
      <c r="O16" s="121"/>
      <c r="P16" s="121"/>
      <c r="Q16" s="121"/>
      <c r="R16" s="121"/>
      <c r="S16" s="121"/>
      <c r="T16" s="121"/>
      <c r="U16" s="58"/>
      <c r="V16" s="152"/>
      <c r="W16" s="152"/>
      <c r="X16" s="152"/>
      <c r="Y16" s="152"/>
      <c r="Z16" s="152"/>
      <c r="AA16" s="152"/>
      <c r="AB16" s="152"/>
      <c r="AC16" s="152"/>
      <c r="AD16" s="152"/>
      <c r="AE16" s="152"/>
      <c r="AF16" s="152"/>
      <c r="AG16" s="152"/>
      <c r="AH16" s="152"/>
      <c r="AI16" s="152"/>
      <c r="AJ16" s="152"/>
      <c r="AK16" s="152"/>
      <c r="AL16" s="152"/>
      <c r="AM16" s="152"/>
      <c r="AN16" s="152"/>
      <c r="AO16" s="152"/>
      <c r="AP16" s="58"/>
      <c r="AQ16" s="21"/>
      <c r="AR16" s="21"/>
      <c r="AS16" s="21"/>
      <c r="AT16" s="21"/>
      <c r="AU16" s="21"/>
      <c r="AV16" s="21"/>
      <c r="AW16" s="21"/>
      <c r="AX16" s="21"/>
      <c r="AY16" s="21"/>
      <c r="AZ16" s="21"/>
      <c r="BA16" s="21"/>
      <c r="BB16" s="21"/>
      <c r="BC16" s="21"/>
      <c r="BD16" s="21"/>
      <c r="BE16" s="108"/>
      <c r="BF16" s="49"/>
      <c r="BG16" s="49"/>
      <c r="BH16" s="49"/>
      <c r="BI16" s="219"/>
      <c r="BJ16" s="108"/>
    </row>
    <row r="17" spans="1:62" s="54" customFormat="1">
      <c r="A17" s="133"/>
      <c r="B17" s="176" t="s">
        <v>2027</v>
      </c>
      <c r="C17" s="114" t="str">
        <f>INDEX(Regional.Technologies[Description],MATCH($B$3&amp;"."&amp;B17,Regional.Technologies[Code],0))</f>
        <v>Global car.passenger.urban.fuel</v>
      </c>
      <c r="E17" s="121"/>
      <c r="F17" s="121"/>
      <c r="G17" s="121"/>
      <c r="H17" s="121"/>
      <c r="I17" s="121"/>
      <c r="J17" s="121"/>
      <c r="K17" s="121"/>
      <c r="L17" s="121"/>
      <c r="M17" s="121"/>
      <c r="N17" s="121"/>
      <c r="O17" s="121"/>
      <c r="P17" s="121"/>
      <c r="Q17" s="121"/>
      <c r="R17" s="121"/>
      <c r="S17" s="121"/>
      <c r="T17" s="121"/>
      <c r="U17" s="58"/>
      <c r="V17" s="152"/>
      <c r="W17" s="152"/>
      <c r="X17" s="152"/>
      <c r="Y17" s="152"/>
      <c r="Z17" s="152"/>
      <c r="AA17" s="152"/>
      <c r="AB17" s="152"/>
      <c r="AC17" s="152"/>
      <c r="AD17" s="152"/>
      <c r="AE17" s="152"/>
      <c r="AF17" s="152"/>
      <c r="AG17" s="152"/>
      <c r="AH17" s="152"/>
      <c r="AI17" s="152"/>
      <c r="AJ17" s="152"/>
      <c r="AK17" s="152"/>
      <c r="AL17" s="152"/>
      <c r="AM17" s="152"/>
      <c r="AN17" s="152"/>
      <c r="AO17" s="152"/>
      <c r="AP17" s="58"/>
      <c r="AQ17" s="21"/>
      <c r="AR17" s="21"/>
      <c r="AS17" s="21"/>
      <c r="AT17" s="21"/>
      <c r="AU17" s="21"/>
      <c r="AV17" s="21"/>
      <c r="AW17" s="21"/>
      <c r="AX17" s="21"/>
      <c r="AY17" s="21"/>
      <c r="AZ17" s="21"/>
      <c r="BA17" s="21"/>
      <c r="BB17" s="21"/>
      <c r="BC17" s="21"/>
      <c r="BD17" s="21"/>
      <c r="BE17" s="108"/>
      <c r="BF17" s="49"/>
      <c r="BG17" s="49"/>
      <c r="BH17" s="49"/>
      <c r="BI17" s="219"/>
      <c r="BJ17" s="108"/>
    </row>
    <row r="18" spans="1:62" s="54" customFormat="1">
      <c r="A18" s="133"/>
      <c r="B18" s="176" t="s">
        <v>2028</v>
      </c>
      <c r="C18" s="114" t="str">
        <f>INDEX(Regional.Technologies[Description],MATCH($B$3&amp;"."&amp;B18,Regional.Technologies[Code],0))</f>
        <v>Global car.passenger.urban.PH</v>
      </c>
      <c r="E18" s="121"/>
      <c r="F18" s="121"/>
      <c r="G18" s="121"/>
      <c r="H18" s="121"/>
      <c r="I18" s="121"/>
      <c r="J18" s="121"/>
      <c r="K18" s="121"/>
      <c r="L18" s="121"/>
      <c r="M18" s="121"/>
      <c r="N18" s="121"/>
      <c r="O18" s="121"/>
      <c r="P18" s="121"/>
      <c r="Q18" s="121"/>
      <c r="R18" s="121"/>
      <c r="S18" s="121"/>
      <c r="T18" s="121"/>
      <c r="U18" s="58"/>
      <c r="V18" s="152"/>
      <c r="W18" s="152"/>
      <c r="X18" s="152"/>
      <c r="Y18" s="152"/>
      <c r="Z18" s="152"/>
      <c r="AA18" s="152"/>
      <c r="AB18" s="152"/>
      <c r="AC18" s="152"/>
      <c r="AD18" s="152"/>
      <c r="AE18" s="152"/>
      <c r="AF18" s="152"/>
      <c r="AG18" s="152"/>
      <c r="AH18" s="152"/>
      <c r="AI18" s="152"/>
      <c r="AJ18" s="152"/>
      <c r="AK18" s="152"/>
      <c r="AL18" s="152"/>
      <c r="AM18" s="152"/>
      <c r="AN18" s="152"/>
      <c r="AO18" s="152"/>
      <c r="AP18" s="58"/>
      <c r="AQ18" s="21"/>
      <c r="AR18" s="21"/>
      <c r="AS18" s="21"/>
      <c r="AT18" s="21"/>
      <c r="AU18" s="21"/>
      <c r="AV18" s="21"/>
      <c r="AW18" s="21"/>
      <c r="AX18" s="21"/>
      <c r="AY18" s="21"/>
      <c r="AZ18" s="21"/>
      <c r="BA18" s="21"/>
      <c r="BB18" s="21"/>
      <c r="BC18" s="21"/>
      <c r="BD18" s="21"/>
      <c r="BE18" s="108"/>
      <c r="BF18" s="49"/>
      <c r="BG18" s="49"/>
      <c r="BH18" s="49"/>
      <c r="BI18" s="219"/>
      <c r="BJ18" s="108"/>
    </row>
    <row r="19" spans="1:62" s="54" customFormat="1">
      <c r="A19" s="133"/>
      <c r="B19" s="176" t="s">
        <v>2028</v>
      </c>
      <c r="C19" s="114" t="str">
        <f>INDEX(Regional.Technologies[Description],MATCH($B$3&amp;"."&amp;B19,Regional.Technologies[Code],0))</f>
        <v>Global car.passenger.urban.PH</v>
      </c>
      <c r="E19" s="121"/>
      <c r="F19" s="121"/>
      <c r="G19" s="121"/>
      <c r="H19" s="121"/>
      <c r="I19" s="121"/>
      <c r="J19" s="121"/>
      <c r="K19" s="121"/>
      <c r="L19" s="121"/>
      <c r="M19" s="121"/>
      <c r="N19" s="121"/>
      <c r="O19" s="121"/>
      <c r="P19" s="121"/>
      <c r="Q19" s="121"/>
      <c r="R19" s="121"/>
      <c r="S19" s="121"/>
      <c r="T19" s="121"/>
      <c r="U19" s="58"/>
      <c r="V19" s="152"/>
      <c r="W19" s="152"/>
      <c r="X19" s="152"/>
      <c r="Y19" s="152"/>
      <c r="Z19" s="152"/>
      <c r="AA19" s="152"/>
      <c r="AB19" s="152"/>
      <c r="AC19" s="152"/>
      <c r="AD19" s="152"/>
      <c r="AE19" s="152"/>
      <c r="AF19" s="152"/>
      <c r="AG19" s="152"/>
      <c r="AH19" s="152"/>
      <c r="AI19" s="152"/>
      <c r="AJ19" s="152"/>
      <c r="AK19" s="152"/>
      <c r="AL19" s="152"/>
      <c r="AM19" s="152"/>
      <c r="AN19" s="152"/>
      <c r="AO19" s="152"/>
      <c r="AP19" s="58"/>
      <c r="AQ19" s="21"/>
      <c r="AR19" s="21"/>
      <c r="AS19" s="21"/>
      <c r="AT19" s="21"/>
      <c r="AU19" s="21"/>
      <c r="AV19" s="21"/>
      <c r="AW19" s="21"/>
      <c r="AX19" s="21"/>
      <c r="AY19" s="21"/>
      <c r="AZ19" s="21"/>
      <c r="BA19" s="21"/>
      <c r="BB19" s="21"/>
      <c r="BC19" s="21"/>
      <c r="BD19" s="21"/>
      <c r="BE19" s="108"/>
      <c r="BF19" s="49"/>
      <c r="BG19" s="49"/>
      <c r="BH19" s="49"/>
      <c r="BI19" s="219"/>
      <c r="BJ19" s="108"/>
    </row>
    <row r="20" spans="1:62" s="54" customFormat="1">
      <c r="A20" s="133"/>
      <c r="B20" s="176" t="s">
        <v>2029</v>
      </c>
      <c r="C20" s="114" t="str">
        <f>INDEX(Regional.Technologies[Description],MATCH($B$3&amp;"."&amp;B20,Regional.Technologies[Code],0))</f>
        <v>Global car.passenger.urban.EV</v>
      </c>
      <c r="E20" s="121"/>
      <c r="F20" s="121"/>
      <c r="G20" s="121"/>
      <c r="H20" s="121"/>
      <c r="I20" s="121"/>
      <c r="J20" s="121"/>
      <c r="K20" s="121"/>
      <c r="L20" s="121"/>
      <c r="M20" s="121"/>
      <c r="N20" s="121"/>
      <c r="O20" s="121"/>
      <c r="P20" s="121"/>
      <c r="Q20" s="121"/>
      <c r="R20" s="121"/>
      <c r="S20" s="121"/>
      <c r="T20" s="121"/>
      <c r="U20" s="58"/>
      <c r="V20" s="152"/>
      <c r="W20" s="152"/>
      <c r="X20" s="152"/>
      <c r="Y20" s="152"/>
      <c r="Z20" s="152"/>
      <c r="AA20" s="152"/>
      <c r="AB20" s="152"/>
      <c r="AC20" s="152"/>
      <c r="AD20" s="152"/>
      <c r="AE20" s="152"/>
      <c r="AF20" s="152"/>
      <c r="AG20" s="152"/>
      <c r="AH20" s="152"/>
      <c r="AI20" s="152"/>
      <c r="AJ20" s="152"/>
      <c r="AK20" s="152"/>
      <c r="AL20" s="152"/>
      <c r="AM20" s="152"/>
      <c r="AN20" s="152"/>
      <c r="AO20" s="152"/>
      <c r="AP20" s="58"/>
      <c r="AQ20" s="21"/>
      <c r="AR20" s="21"/>
      <c r="AS20" s="21"/>
      <c r="AT20" s="21"/>
      <c r="AU20" s="21"/>
      <c r="AV20" s="21"/>
      <c r="AW20" s="21"/>
      <c r="AX20" s="21"/>
      <c r="AY20" s="21"/>
      <c r="AZ20" s="21"/>
      <c r="BA20" s="21"/>
      <c r="BB20" s="21"/>
      <c r="BC20" s="21"/>
      <c r="BD20" s="21"/>
      <c r="BE20" s="108"/>
      <c r="BF20" s="49"/>
      <c r="BG20" s="49"/>
      <c r="BH20" s="49"/>
      <c r="BI20" s="219"/>
      <c r="BJ20" s="108"/>
    </row>
    <row r="21" spans="1:62" s="54" customFormat="1">
      <c r="A21" s="133"/>
      <c r="B21" s="176" t="s">
        <v>2049</v>
      </c>
      <c r="C21" s="114" t="str">
        <f>INDEX(Regional.Technologies[Description],MATCH($B$3&amp;"."&amp;B21,Regional.Technologies[Code],0))</f>
        <v>Global car.passenger.urban.H2</v>
      </c>
      <c r="E21" s="121"/>
      <c r="F21" s="121"/>
      <c r="G21" s="121"/>
      <c r="H21" s="121"/>
      <c r="I21" s="121"/>
      <c r="J21" s="121"/>
      <c r="K21" s="121"/>
      <c r="L21" s="121"/>
      <c r="M21" s="121"/>
      <c r="N21" s="121"/>
      <c r="O21" s="121"/>
      <c r="P21" s="121"/>
      <c r="Q21" s="121"/>
      <c r="R21" s="121"/>
      <c r="S21" s="121"/>
      <c r="T21" s="121"/>
      <c r="U21" s="58"/>
      <c r="V21" s="152"/>
      <c r="W21" s="152"/>
      <c r="X21" s="152"/>
      <c r="Y21" s="152"/>
      <c r="Z21" s="152"/>
      <c r="AA21" s="152"/>
      <c r="AB21" s="152"/>
      <c r="AC21" s="152"/>
      <c r="AD21" s="152"/>
      <c r="AE21" s="152"/>
      <c r="AF21" s="152"/>
      <c r="AG21" s="152"/>
      <c r="AH21" s="152"/>
      <c r="AI21" s="152"/>
      <c r="AJ21" s="152"/>
      <c r="AK21" s="152"/>
      <c r="AL21" s="152"/>
      <c r="AM21" s="152"/>
      <c r="AN21" s="152"/>
      <c r="AO21" s="152"/>
      <c r="AP21" s="58"/>
      <c r="AQ21" s="21"/>
      <c r="AR21" s="21"/>
      <c r="AS21" s="21"/>
      <c r="AT21" s="21"/>
      <c r="AU21" s="21"/>
      <c r="AV21" s="21"/>
      <c r="AW21" s="21"/>
      <c r="AX21" s="21"/>
      <c r="AY21" s="21"/>
      <c r="AZ21" s="21"/>
      <c r="BA21" s="21"/>
      <c r="BB21" s="21"/>
      <c r="BC21" s="21"/>
      <c r="BD21" s="21"/>
      <c r="BE21" s="108"/>
      <c r="BF21" s="49"/>
      <c r="BG21" s="49"/>
      <c r="BH21" s="49"/>
      <c r="BI21" s="219"/>
      <c r="BJ21" s="108"/>
    </row>
    <row r="22" spans="1:62" s="54" customFormat="1">
      <c r="A22" s="133"/>
      <c r="B22" s="176" t="s">
        <v>2030</v>
      </c>
      <c r="C22" s="114" t="str">
        <f>INDEX(Regional.Technologies[Description],MATCH($B$3&amp;"."&amp;B22,Regional.Technologies[Code],0))</f>
        <v>Global bus.passenger.urban.fuel</v>
      </c>
      <c r="E22" s="121"/>
      <c r="F22" s="121"/>
      <c r="G22" s="121"/>
      <c r="H22" s="121"/>
      <c r="I22" s="121"/>
      <c r="J22" s="121"/>
      <c r="K22" s="121"/>
      <c r="L22" s="121"/>
      <c r="M22" s="121"/>
      <c r="N22" s="121"/>
      <c r="O22" s="121"/>
      <c r="P22" s="121"/>
      <c r="Q22" s="121"/>
      <c r="R22" s="121"/>
      <c r="S22" s="121"/>
      <c r="T22" s="121"/>
      <c r="U22" s="58"/>
      <c r="V22" s="152"/>
      <c r="W22" s="152"/>
      <c r="X22" s="152"/>
      <c r="Y22" s="152"/>
      <c r="Z22" s="152"/>
      <c r="AA22" s="152"/>
      <c r="AB22" s="152"/>
      <c r="AC22" s="152"/>
      <c r="AD22" s="152"/>
      <c r="AE22" s="152"/>
      <c r="AF22" s="152"/>
      <c r="AG22" s="152"/>
      <c r="AH22" s="152"/>
      <c r="AI22" s="152"/>
      <c r="AJ22" s="152"/>
      <c r="AK22" s="152"/>
      <c r="AL22" s="152"/>
      <c r="AM22" s="152"/>
      <c r="AN22" s="152"/>
      <c r="AO22" s="152"/>
      <c r="AP22" s="58"/>
      <c r="AQ22" s="21"/>
      <c r="AR22" s="21"/>
      <c r="AS22" s="21"/>
      <c r="AT22" s="21"/>
      <c r="AU22" s="21"/>
      <c r="AV22" s="21"/>
      <c r="AW22" s="21"/>
      <c r="AX22" s="21"/>
      <c r="AY22" s="21"/>
      <c r="AZ22" s="21"/>
      <c r="BA22" s="21"/>
      <c r="BB22" s="21"/>
      <c r="BC22" s="21"/>
      <c r="BD22" s="21"/>
      <c r="BE22" s="108"/>
      <c r="BF22" s="49"/>
      <c r="BG22" s="49"/>
      <c r="BH22" s="49"/>
      <c r="BI22" s="219"/>
      <c r="BJ22" s="108"/>
    </row>
    <row r="23" spans="1:62" s="54" customFormat="1">
      <c r="A23" s="133"/>
      <c r="B23" s="176" t="s">
        <v>2031</v>
      </c>
      <c r="C23" s="114" t="str">
        <f>INDEX(Regional.Technologies[Description],MATCH($B$3&amp;"."&amp;B23,Regional.Technologies[Code],0))</f>
        <v>Global bus.passenger.urban.PH</v>
      </c>
      <c r="E23" s="121"/>
      <c r="F23" s="121"/>
      <c r="G23" s="121"/>
      <c r="H23" s="121"/>
      <c r="I23" s="121"/>
      <c r="J23" s="121"/>
      <c r="K23" s="121"/>
      <c r="L23" s="121"/>
      <c r="M23" s="121"/>
      <c r="N23" s="121"/>
      <c r="O23" s="121"/>
      <c r="P23" s="121"/>
      <c r="Q23" s="121"/>
      <c r="R23" s="121"/>
      <c r="S23" s="121"/>
      <c r="T23" s="121"/>
      <c r="U23" s="58"/>
      <c r="V23" s="152"/>
      <c r="W23" s="152"/>
      <c r="X23" s="152"/>
      <c r="Y23" s="152"/>
      <c r="Z23" s="152"/>
      <c r="AA23" s="152"/>
      <c r="AB23" s="152"/>
      <c r="AC23" s="152"/>
      <c r="AD23" s="152"/>
      <c r="AE23" s="152"/>
      <c r="AF23" s="152"/>
      <c r="AG23" s="152"/>
      <c r="AH23" s="152"/>
      <c r="AI23" s="152"/>
      <c r="AJ23" s="152"/>
      <c r="AK23" s="152"/>
      <c r="AL23" s="152"/>
      <c r="AM23" s="152"/>
      <c r="AN23" s="152"/>
      <c r="AO23" s="152"/>
      <c r="AP23" s="58"/>
      <c r="AQ23" s="21"/>
      <c r="AR23" s="21"/>
      <c r="AS23" s="21"/>
      <c r="AT23" s="21"/>
      <c r="AU23" s="21"/>
      <c r="AV23" s="21"/>
      <c r="AW23" s="21"/>
      <c r="AX23" s="21"/>
      <c r="AY23" s="21"/>
      <c r="AZ23" s="21"/>
      <c r="BA23" s="21"/>
      <c r="BB23" s="21"/>
      <c r="BC23" s="21"/>
      <c r="BD23" s="21"/>
      <c r="BE23" s="108"/>
      <c r="BF23" s="49"/>
      <c r="BG23" s="49"/>
      <c r="BH23" s="49"/>
      <c r="BI23" s="219"/>
      <c r="BJ23" s="108"/>
    </row>
    <row r="24" spans="1:62" s="54" customFormat="1">
      <c r="A24" s="133"/>
      <c r="B24" s="176" t="s">
        <v>2031</v>
      </c>
      <c r="C24" s="114" t="str">
        <f>INDEX(Regional.Technologies[Description],MATCH($B$3&amp;"."&amp;B24,Regional.Technologies[Code],0))</f>
        <v>Global bus.passenger.urban.PH</v>
      </c>
      <c r="E24" s="121"/>
      <c r="F24" s="121"/>
      <c r="G24" s="121"/>
      <c r="H24" s="121"/>
      <c r="I24" s="121"/>
      <c r="J24" s="121"/>
      <c r="K24" s="121"/>
      <c r="L24" s="121"/>
      <c r="M24" s="121"/>
      <c r="N24" s="121"/>
      <c r="O24" s="121"/>
      <c r="P24" s="121"/>
      <c r="Q24" s="121"/>
      <c r="R24" s="121"/>
      <c r="S24" s="121"/>
      <c r="T24" s="121"/>
      <c r="U24" s="58"/>
      <c r="V24" s="152"/>
      <c r="W24" s="152"/>
      <c r="X24" s="152"/>
      <c r="Y24" s="152"/>
      <c r="Z24" s="152"/>
      <c r="AA24" s="152"/>
      <c r="AB24" s="152"/>
      <c r="AC24" s="152"/>
      <c r="AD24" s="152"/>
      <c r="AE24" s="152"/>
      <c r="AF24" s="152"/>
      <c r="AG24" s="152"/>
      <c r="AH24" s="152"/>
      <c r="AI24" s="152"/>
      <c r="AJ24" s="152"/>
      <c r="AK24" s="152"/>
      <c r="AL24" s="152"/>
      <c r="AM24" s="152"/>
      <c r="AN24" s="152"/>
      <c r="AO24" s="152"/>
      <c r="AP24" s="58"/>
      <c r="AQ24" s="21"/>
      <c r="AR24" s="21"/>
      <c r="AS24" s="21"/>
      <c r="AT24" s="21"/>
      <c r="AU24" s="21"/>
      <c r="AV24" s="21"/>
      <c r="AW24" s="21"/>
      <c r="AX24" s="21"/>
      <c r="AY24" s="21"/>
      <c r="AZ24" s="21"/>
      <c r="BA24" s="21"/>
      <c r="BB24" s="21"/>
      <c r="BC24" s="21"/>
      <c r="BD24" s="21"/>
      <c r="BE24" s="108"/>
      <c r="BF24" s="49"/>
      <c r="BG24" s="49"/>
      <c r="BH24" s="49"/>
      <c r="BI24" s="219"/>
      <c r="BJ24" s="108"/>
    </row>
    <row r="25" spans="1:62" s="54" customFormat="1">
      <c r="A25" s="133"/>
      <c r="B25" s="176" t="s">
        <v>2032</v>
      </c>
      <c r="C25" s="114" t="str">
        <f>INDEX(Regional.Technologies[Description],MATCH($B$3&amp;"."&amp;B25,Regional.Technologies[Code],0))</f>
        <v>Global bus.passenger.urban.EV</v>
      </c>
      <c r="E25" s="121"/>
      <c r="F25" s="121"/>
      <c r="G25" s="121"/>
      <c r="H25" s="121"/>
      <c r="I25" s="121"/>
      <c r="J25" s="121"/>
      <c r="K25" s="121"/>
      <c r="L25" s="121"/>
      <c r="M25" s="121"/>
      <c r="N25" s="121"/>
      <c r="O25" s="121"/>
      <c r="P25" s="121"/>
      <c r="Q25" s="121"/>
      <c r="R25" s="121"/>
      <c r="S25" s="121"/>
      <c r="T25" s="121"/>
      <c r="U25" s="58"/>
      <c r="V25" s="152"/>
      <c r="W25" s="152"/>
      <c r="X25" s="152"/>
      <c r="Y25" s="152"/>
      <c r="Z25" s="152"/>
      <c r="AA25" s="152"/>
      <c r="AB25" s="152"/>
      <c r="AC25" s="152"/>
      <c r="AD25" s="152"/>
      <c r="AE25" s="152"/>
      <c r="AF25" s="152"/>
      <c r="AG25" s="152"/>
      <c r="AH25" s="152"/>
      <c r="AI25" s="152"/>
      <c r="AJ25" s="152"/>
      <c r="AK25" s="152"/>
      <c r="AL25" s="152"/>
      <c r="AM25" s="152"/>
      <c r="AN25" s="152"/>
      <c r="AO25" s="152"/>
      <c r="AP25" s="58"/>
      <c r="AQ25" s="21"/>
      <c r="AR25" s="21"/>
      <c r="AS25" s="21"/>
      <c r="AT25" s="21"/>
      <c r="AU25" s="21"/>
      <c r="AV25" s="21"/>
      <c r="AW25" s="21"/>
      <c r="AX25" s="21"/>
      <c r="AY25" s="21"/>
      <c r="AZ25" s="21"/>
      <c r="BA25" s="21"/>
      <c r="BB25" s="21"/>
      <c r="BC25" s="21"/>
      <c r="BD25" s="21"/>
      <c r="BE25" s="108"/>
      <c r="BF25" s="49"/>
      <c r="BG25" s="49"/>
      <c r="BH25" s="49"/>
      <c r="BI25" s="219"/>
      <c r="BJ25" s="108"/>
    </row>
    <row r="26" spans="1:62" s="54" customFormat="1">
      <c r="A26" s="133"/>
      <c r="B26" s="176" t="s">
        <v>2050</v>
      </c>
      <c r="C26" s="114" t="str">
        <f>INDEX(Regional.Technologies[Description],MATCH($B$3&amp;"."&amp;B26,Regional.Technologies[Code],0))</f>
        <v>Global bus.passenger.urban.H2</v>
      </c>
      <c r="E26" s="121"/>
      <c r="F26" s="121"/>
      <c r="G26" s="121"/>
      <c r="H26" s="121"/>
      <c r="I26" s="121"/>
      <c r="J26" s="121"/>
      <c r="K26" s="121"/>
      <c r="L26" s="121"/>
      <c r="M26" s="121"/>
      <c r="N26" s="121"/>
      <c r="O26" s="121"/>
      <c r="P26" s="121"/>
      <c r="Q26" s="121"/>
      <c r="R26" s="121"/>
      <c r="S26" s="121"/>
      <c r="T26" s="121"/>
      <c r="U26" s="58"/>
      <c r="V26" s="152"/>
      <c r="W26" s="152"/>
      <c r="X26" s="152"/>
      <c r="Y26" s="152"/>
      <c r="Z26" s="152"/>
      <c r="AA26" s="152"/>
      <c r="AB26" s="152"/>
      <c r="AC26" s="152"/>
      <c r="AD26" s="152"/>
      <c r="AE26" s="152"/>
      <c r="AF26" s="152"/>
      <c r="AG26" s="152"/>
      <c r="AH26" s="152"/>
      <c r="AI26" s="152"/>
      <c r="AJ26" s="152"/>
      <c r="AK26" s="152"/>
      <c r="AL26" s="152"/>
      <c r="AM26" s="152"/>
      <c r="AN26" s="152"/>
      <c r="AO26" s="152"/>
      <c r="AP26" s="58"/>
      <c r="AQ26" s="21"/>
      <c r="AR26" s="21"/>
      <c r="AS26" s="21"/>
      <c r="AT26" s="21"/>
      <c r="AU26" s="21"/>
      <c r="AV26" s="21"/>
      <c r="AW26" s="21"/>
      <c r="AX26" s="21"/>
      <c r="AY26" s="21"/>
      <c r="AZ26" s="21"/>
      <c r="BA26" s="21"/>
      <c r="BB26" s="21"/>
      <c r="BC26" s="21"/>
      <c r="BD26" s="21"/>
      <c r="BE26" s="108"/>
      <c r="BF26" s="49"/>
      <c r="BG26" s="49"/>
      <c r="BH26" s="49"/>
      <c r="BI26" s="219"/>
      <c r="BJ26" s="108"/>
    </row>
    <row r="27" spans="1:62" s="54" customFormat="1">
      <c r="A27" s="133"/>
      <c r="B27" s="176" t="s">
        <v>2033</v>
      </c>
      <c r="C27" s="114" t="str">
        <f>INDEX(Regional.Technologies[Description],MATCH($B$3&amp;"."&amp;B27,Regional.Technologies[Code],0))</f>
        <v>Global train.passenger.urban.fuel</v>
      </c>
      <c r="E27" s="121"/>
      <c r="F27" s="121"/>
      <c r="G27" s="121"/>
      <c r="H27" s="121"/>
      <c r="I27" s="121"/>
      <c r="J27" s="121"/>
      <c r="K27" s="121"/>
      <c r="L27" s="121"/>
      <c r="M27" s="121"/>
      <c r="N27" s="121"/>
      <c r="O27" s="121"/>
      <c r="P27" s="121"/>
      <c r="Q27" s="121"/>
      <c r="R27" s="121"/>
      <c r="S27" s="121"/>
      <c r="T27" s="121"/>
      <c r="U27" s="58"/>
      <c r="V27" s="152"/>
      <c r="W27" s="152"/>
      <c r="X27" s="152"/>
      <c r="Y27" s="152"/>
      <c r="Z27" s="152"/>
      <c r="AA27" s="152"/>
      <c r="AB27" s="152"/>
      <c r="AC27" s="152"/>
      <c r="AD27" s="152"/>
      <c r="AE27" s="152"/>
      <c r="AF27" s="152"/>
      <c r="AG27" s="152"/>
      <c r="AH27" s="152"/>
      <c r="AI27" s="152"/>
      <c r="AJ27" s="152"/>
      <c r="AK27" s="152"/>
      <c r="AL27" s="152"/>
      <c r="AM27" s="152"/>
      <c r="AN27" s="152"/>
      <c r="AO27" s="152"/>
      <c r="AP27" s="58"/>
      <c r="AQ27" s="21"/>
      <c r="AR27" s="21"/>
      <c r="AS27" s="21"/>
      <c r="AT27" s="21"/>
      <c r="AU27" s="21"/>
      <c r="AV27" s="21"/>
      <c r="AW27" s="21"/>
      <c r="AX27" s="21"/>
      <c r="AY27" s="21"/>
      <c r="AZ27" s="21"/>
      <c r="BA27" s="21"/>
      <c r="BB27" s="21"/>
      <c r="BC27" s="21"/>
      <c r="BD27" s="21"/>
      <c r="BE27" s="108"/>
      <c r="BF27" s="49"/>
      <c r="BG27" s="49"/>
      <c r="BH27" s="49"/>
      <c r="BI27" s="219"/>
      <c r="BJ27" s="108"/>
    </row>
    <row r="28" spans="1:62" s="54" customFormat="1">
      <c r="A28" s="133"/>
      <c r="B28" s="176" t="s">
        <v>2044</v>
      </c>
      <c r="C28" s="114" t="str">
        <f>INDEX(Regional.Technologies[Description],MATCH($B$3&amp;"."&amp;B28,Regional.Technologies[Code],0))</f>
        <v>Global train.passenger.urban.elec</v>
      </c>
      <c r="E28" s="121"/>
      <c r="F28" s="121"/>
      <c r="G28" s="121"/>
      <c r="H28" s="121"/>
      <c r="I28" s="121"/>
      <c r="J28" s="121"/>
      <c r="K28" s="121"/>
      <c r="L28" s="121"/>
      <c r="M28" s="121"/>
      <c r="N28" s="121"/>
      <c r="O28" s="121"/>
      <c r="P28" s="121"/>
      <c r="Q28" s="121"/>
      <c r="R28" s="121"/>
      <c r="S28" s="121"/>
      <c r="T28" s="121"/>
      <c r="U28" s="58"/>
      <c r="V28" s="152"/>
      <c r="W28" s="152"/>
      <c r="X28" s="152"/>
      <c r="Y28" s="152"/>
      <c r="Z28" s="152"/>
      <c r="AA28" s="152"/>
      <c r="AB28" s="152"/>
      <c r="AC28" s="152"/>
      <c r="AD28" s="152"/>
      <c r="AE28" s="152"/>
      <c r="AF28" s="152"/>
      <c r="AG28" s="152"/>
      <c r="AH28" s="152"/>
      <c r="AI28" s="152"/>
      <c r="AJ28" s="152"/>
      <c r="AK28" s="152"/>
      <c r="AL28" s="152"/>
      <c r="AM28" s="152"/>
      <c r="AN28" s="152"/>
      <c r="AO28" s="152"/>
      <c r="AP28" s="58"/>
      <c r="AQ28" s="21"/>
      <c r="AR28" s="21"/>
      <c r="AS28" s="21"/>
      <c r="AT28" s="21"/>
      <c r="AU28" s="21"/>
      <c r="AV28" s="21"/>
      <c r="AW28" s="21"/>
      <c r="AX28" s="21"/>
      <c r="AY28" s="21"/>
      <c r="AZ28" s="21"/>
      <c r="BA28" s="21"/>
      <c r="BB28" s="21"/>
      <c r="BC28" s="21"/>
      <c r="BD28" s="21"/>
      <c r="BE28" s="108"/>
      <c r="BF28" s="49"/>
      <c r="BG28" s="49"/>
      <c r="BH28" s="49"/>
      <c r="BI28" s="219"/>
      <c r="BJ28" s="108"/>
    </row>
    <row r="29" spans="1:62" s="54" customFormat="1">
      <c r="A29" s="133"/>
      <c r="B29" s="176"/>
      <c r="C29" s="114"/>
      <c r="E29" s="121"/>
      <c r="F29" s="121"/>
      <c r="G29" s="121"/>
      <c r="H29" s="121"/>
      <c r="I29" s="121"/>
      <c r="J29" s="121"/>
      <c r="K29" s="121"/>
      <c r="L29" s="121"/>
      <c r="M29" s="121"/>
      <c r="N29" s="121"/>
      <c r="O29" s="121"/>
      <c r="P29" s="121"/>
      <c r="Q29" s="121"/>
      <c r="R29" s="121"/>
      <c r="S29" s="121"/>
      <c r="T29" s="121"/>
      <c r="U29" s="108"/>
      <c r="V29" s="152"/>
      <c r="W29" s="152"/>
      <c r="X29" s="152"/>
      <c r="Y29" s="152"/>
      <c r="Z29" s="152"/>
      <c r="AA29" s="152"/>
      <c r="AB29" s="152"/>
      <c r="AC29" s="152"/>
      <c r="AD29" s="152"/>
      <c r="AE29" s="152"/>
      <c r="AF29" s="152"/>
      <c r="AG29" s="152"/>
      <c r="AH29" s="152"/>
      <c r="AI29" s="152"/>
      <c r="AJ29" s="152"/>
      <c r="AK29" s="152"/>
      <c r="AL29" s="152"/>
      <c r="AM29" s="152"/>
      <c r="AN29" s="152"/>
      <c r="AO29" s="152"/>
      <c r="AP29" s="108"/>
      <c r="AQ29" s="21"/>
      <c r="AR29" s="21"/>
      <c r="AS29" s="21"/>
      <c r="AT29" s="21"/>
      <c r="AU29" s="21"/>
      <c r="AV29" s="21"/>
      <c r="AW29" s="21"/>
      <c r="AX29" s="21"/>
      <c r="AY29" s="21"/>
      <c r="AZ29" s="21"/>
      <c r="BA29" s="21"/>
      <c r="BB29" s="21"/>
      <c r="BC29" s="21"/>
      <c r="BD29" s="21"/>
      <c r="BE29" s="108"/>
      <c r="BF29" s="49"/>
      <c r="BG29" s="49"/>
      <c r="BH29" s="49"/>
      <c r="BI29" s="219"/>
      <c r="BJ29" s="108"/>
    </row>
    <row r="30" spans="1:62" s="54" customFormat="1">
      <c r="A30" s="133"/>
      <c r="B30" s="176"/>
      <c r="C30" s="187" t="s">
        <v>2411</v>
      </c>
      <c r="E30" s="121"/>
      <c r="F30" s="121"/>
      <c r="G30" s="121"/>
      <c r="H30" s="121"/>
      <c r="I30" s="121"/>
      <c r="J30" s="121"/>
      <c r="K30" s="121"/>
      <c r="L30" s="121"/>
      <c r="M30" s="121"/>
      <c r="N30" s="121"/>
      <c r="O30" s="121"/>
      <c r="P30" s="121"/>
      <c r="Q30" s="121"/>
      <c r="R30" s="121"/>
      <c r="S30" s="121"/>
      <c r="T30" s="121"/>
      <c r="U30" s="58"/>
      <c r="V30" s="152"/>
      <c r="W30" s="152"/>
      <c r="X30" s="152"/>
      <c r="Y30" s="152"/>
      <c r="Z30" s="152"/>
      <c r="AA30" s="152"/>
      <c r="AB30" s="152"/>
      <c r="AC30" s="152"/>
      <c r="AD30" s="152"/>
      <c r="AE30" s="152"/>
      <c r="AF30" s="152"/>
      <c r="AG30" s="152"/>
      <c r="AH30" s="152"/>
      <c r="AI30" s="152"/>
      <c r="AJ30" s="152"/>
      <c r="AK30" s="152"/>
      <c r="AL30" s="152"/>
      <c r="AM30" s="152"/>
      <c r="AN30" s="152"/>
      <c r="AO30" s="152"/>
      <c r="AP30" s="58"/>
      <c r="AQ30" s="21"/>
      <c r="AR30" s="21"/>
      <c r="AS30" s="21"/>
      <c r="AT30" s="21"/>
      <c r="AU30" s="21"/>
      <c r="AV30" s="21"/>
      <c r="AW30" s="21"/>
      <c r="AX30" s="21"/>
      <c r="AY30" s="21"/>
      <c r="AZ30" s="21"/>
      <c r="BA30" s="21"/>
      <c r="BB30" s="21"/>
      <c r="BC30" s="21"/>
      <c r="BD30" s="21"/>
      <c r="BE30" s="58"/>
      <c r="BF30" s="49"/>
      <c r="BG30" s="49"/>
      <c r="BH30" s="49"/>
      <c r="BI30" s="219"/>
      <c r="BJ30" s="108"/>
    </row>
    <row r="31" spans="1:62" s="54" customFormat="1">
      <c r="A31" s="133"/>
      <c r="B31" s="176" t="s">
        <v>2368</v>
      </c>
      <c r="C31" s="114" t="str">
        <f>INDEX(Regional.Technologies[Description],MATCH($B$3&amp;"."&amp;B31,Regional.Technologies[Code],0))</f>
        <v>Global walk.passenger.rural</v>
      </c>
      <c r="E31" s="121"/>
      <c r="F31" s="121"/>
      <c r="G31" s="121"/>
      <c r="H31" s="121"/>
      <c r="I31" s="121"/>
      <c r="J31" s="121"/>
      <c r="K31" s="121"/>
      <c r="L31" s="121"/>
      <c r="M31" s="121"/>
      <c r="N31" s="121"/>
      <c r="O31" s="121"/>
      <c r="P31" s="121"/>
      <c r="Q31" s="121"/>
      <c r="R31" s="121"/>
      <c r="S31" s="121"/>
      <c r="T31" s="121"/>
      <c r="U31" s="108"/>
      <c r="V31" s="152"/>
      <c r="W31" s="152"/>
      <c r="X31" s="152"/>
      <c r="Y31" s="152"/>
      <c r="Z31" s="152"/>
      <c r="AA31" s="152"/>
      <c r="AB31" s="152"/>
      <c r="AC31" s="152"/>
      <c r="AD31" s="152"/>
      <c r="AE31" s="152"/>
      <c r="AF31" s="152"/>
      <c r="AG31" s="152"/>
      <c r="AH31" s="152"/>
      <c r="AI31" s="152"/>
      <c r="AJ31" s="152"/>
      <c r="AK31" s="152"/>
      <c r="AL31" s="152"/>
      <c r="AM31" s="152"/>
      <c r="AN31" s="152"/>
      <c r="AO31" s="152"/>
      <c r="AP31" s="108"/>
      <c r="AQ31" s="21"/>
      <c r="AR31" s="21"/>
      <c r="AS31" s="21"/>
      <c r="AT31" s="21"/>
      <c r="AU31" s="21"/>
      <c r="AV31" s="21"/>
      <c r="AW31" s="21"/>
      <c r="AX31" s="21"/>
      <c r="AY31" s="21"/>
      <c r="AZ31" s="21"/>
      <c r="BA31" s="21"/>
      <c r="BB31" s="21"/>
      <c r="BC31" s="21"/>
      <c r="BD31" s="21"/>
      <c r="BE31" s="108"/>
      <c r="BF31" s="49"/>
      <c r="BG31" s="49"/>
      <c r="BH31" s="49"/>
      <c r="BI31" s="219"/>
      <c r="BJ31" s="108"/>
    </row>
    <row r="32" spans="1:62" s="54" customFormat="1">
      <c r="A32" s="133"/>
      <c r="B32" s="176" t="s">
        <v>2048</v>
      </c>
      <c r="C32" s="114" t="str">
        <f>INDEX(Regional.Technologies[Description],MATCH($B$3&amp;"."&amp;B32,Regional.Technologies[Code],0))</f>
        <v>Global bike.passenger.rural</v>
      </c>
      <c r="E32" s="121"/>
      <c r="F32" s="121"/>
      <c r="G32" s="121"/>
      <c r="H32" s="121"/>
      <c r="I32" s="121"/>
      <c r="J32" s="121"/>
      <c r="K32" s="121"/>
      <c r="L32" s="121"/>
      <c r="M32" s="121"/>
      <c r="N32" s="121"/>
      <c r="O32" s="121"/>
      <c r="P32" s="121"/>
      <c r="Q32" s="121"/>
      <c r="R32" s="121"/>
      <c r="S32" s="121"/>
      <c r="T32" s="121"/>
      <c r="U32" s="108"/>
      <c r="V32" s="152"/>
      <c r="W32" s="152"/>
      <c r="X32" s="152"/>
      <c r="Y32" s="152"/>
      <c r="Z32" s="152"/>
      <c r="AA32" s="152"/>
      <c r="AB32" s="152"/>
      <c r="AC32" s="152"/>
      <c r="AD32" s="152"/>
      <c r="AE32" s="152"/>
      <c r="AF32" s="152"/>
      <c r="AG32" s="152"/>
      <c r="AH32" s="152"/>
      <c r="AI32" s="152"/>
      <c r="AJ32" s="152"/>
      <c r="AK32" s="152"/>
      <c r="AL32" s="152"/>
      <c r="AM32" s="152"/>
      <c r="AN32" s="152"/>
      <c r="AO32" s="152"/>
      <c r="AP32" s="108"/>
      <c r="AQ32" s="21"/>
      <c r="AR32" s="21"/>
      <c r="AS32" s="21"/>
      <c r="AT32" s="21"/>
      <c r="AU32" s="21"/>
      <c r="AV32" s="21"/>
      <c r="AW32" s="21"/>
      <c r="AX32" s="21"/>
      <c r="AY32" s="21"/>
      <c r="AZ32" s="21"/>
      <c r="BA32" s="21"/>
      <c r="BB32" s="21"/>
      <c r="BC32" s="21"/>
      <c r="BD32" s="21"/>
      <c r="BE32" s="108"/>
      <c r="BF32" s="49"/>
      <c r="BG32" s="49"/>
      <c r="BH32" s="49"/>
      <c r="BI32" s="219"/>
      <c r="BJ32" s="108"/>
    </row>
    <row r="33" spans="1:62" s="54" customFormat="1">
      <c r="A33" s="133"/>
      <c r="B33" s="176" t="s">
        <v>2025</v>
      </c>
      <c r="C33" s="114" t="str">
        <f>INDEX(Regional.Technologies[Description],MATCH($B$3&amp;"."&amp;B33,Regional.Technologies[Code],0))</f>
        <v>Global motorbike.passenger.rural.fuel</v>
      </c>
      <c r="E33" s="121"/>
      <c r="F33" s="121"/>
      <c r="G33" s="121"/>
      <c r="H33" s="121"/>
      <c r="I33" s="121"/>
      <c r="J33" s="121"/>
      <c r="K33" s="121"/>
      <c r="L33" s="121"/>
      <c r="M33" s="121"/>
      <c r="N33" s="121"/>
      <c r="O33" s="121"/>
      <c r="P33" s="121"/>
      <c r="Q33" s="121"/>
      <c r="R33" s="121"/>
      <c r="S33" s="121"/>
      <c r="T33" s="121"/>
      <c r="U33" s="108"/>
      <c r="V33" s="152"/>
      <c r="W33" s="152"/>
      <c r="X33" s="152"/>
      <c r="Y33" s="152"/>
      <c r="Z33" s="152"/>
      <c r="AA33" s="152"/>
      <c r="AB33" s="152"/>
      <c r="AC33" s="152"/>
      <c r="AD33" s="152"/>
      <c r="AE33" s="152"/>
      <c r="AF33" s="152"/>
      <c r="AG33" s="152"/>
      <c r="AH33" s="152"/>
      <c r="AI33" s="152"/>
      <c r="AJ33" s="152"/>
      <c r="AK33" s="152"/>
      <c r="AL33" s="152"/>
      <c r="AM33" s="152"/>
      <c r="AN33" s="152"/>
      <c r="AO33" s="152"/>
      <c r="AP33" s="108"/>
      <c r="AQ33" s="21"/>
      <c r="AR33" s="21"/>
      <c r="AS33" s="21"/>
      <c r="AT33" s="21"/>
      <c r="AU33" s="21"/>
      <c r="AV33" s="21"/>
      <c r="AW33" s="21"/>
      <c r="AX33" s="21"/>
      <c r="AY33" s="21"/>
      <c r="AZ33" s="21"/>
      <c r="BA33" s="21"/>
      <c r="BB33" s="21"/>
      <c r="BC33" s="21"/>
      <c r="BD33" s="21"/>
      <c r="BE33" s="108"/>
      <c r="BF33" s="49"/>
      <c r="BG33" s="49"/>
      <c r="BH33" s="49"/>
      <c r="BI33" s="219"/>
      <c r="BJ33" s="108"/>
    </row>
    <row r="34" spans="1:62" s="54" customFormat="1">
      <c r="A34" s="133"/>
      <c r="B34" s="176" t="s">
        <v>2026</v>
      </c>
      <c r="C34" s="114" t="str">
        <f>INDEX(Regional.Technologies[Description],MATCH($B$3&amp;"."&amp;B34,Regional.Technologies[Code],0))</f>
        <v>Global motorbike.passenger.rural.elec</v>
      </c>
      <c r="E34" s="121"/>
      <c r="F34" s="121"/>
      <c r="G34" s="121"/>
      <c r="H34" s="121"/>
      <c r="I34" s="121"/>
      <c r="J34" s="121"/>
      <c r="K34" s="121"/>
      <c r="L34" s="121"/>
      <c r="M34" s="121"/>
      <c r="N34" s="121"/>
      <c r="O34" s="121"/>
      <c r="P34" s="121"/>
      <c r="Q34" s="121"/>
      <c r="R34" s="121"/>
      <c r="S34" s="121"/>
      <c r="T34" s="121"/>
      <c r="U34" s="108"/>
      <c r="V34" s="152"/>
      <c r="W34" s="152"/>
      <c r="X34" s="152"/>
      <c r="Y34" s="152"/>
      <c r="Z34" s="152"/>
      <c r="AA34" s="152"/>
      <c r="AB34" s="152"/>
      <c r="AC34" s="152"/>
      <c r="AD34" s="152"/>
      <c r="AE34" s="152"/>
      <c r="AF34" s="152"/>
      <c r="AG34" s="152"/>
      <c r="AH34" s="152"/>
      <c r="AI34" s="152"/>
      <c r="AJ34" s="152"/>
      <c r="AK34" s="152"/>
      <c r="AL34" s="152"/>
      <c r="AM34" s="152"/>
      <c r="AN34" s="152"/>
      <c r="AO34" s="152"/>
      <c r="AP34" s="108"/>
      <c r="AQ34" s="21"/>
      <c r="AR34" s="21"/>
      <c r="AS34" s="21"/>
      <c r="AT34" s="21"/>
      <c r="AU34" s="21"/>
      <c r="AV34" s="21"/>
      <c r="AW34" s="21"/>
      <c r="AX34" s="21"/>
      <c r="AY34" s="21"/>
      <c r="AZ34" s="21"/>
      <c r="BA34" s="21"/>
      <c r="BB34" s="21"/>
      <c r="BC34" s="21"/>
      <c r="BD34" s="21"/>
      <c r="BE34" s="108"/>
      <c r="BF34" s="49"/>
      <c r="BG34" s="49"/>
      <c r="BH34" s="49"/>
      <c r="BI34" s="219"/>
      <c r="BJ34" s="108"/>
    </row>
    <row r="35" spans="1:62" s="54" customFormat="1">
      <c r="A35" s="133"/>
      <c r="B35" s="176" t="s">
        <v>2037</v>
      </c>
      <c r="C35" s="114" t="str">
        <f>INDEX(Regional.Technologies[Description],MATCH($B$3&amp;"."&amp;B35,Regional.Technologies[Code],0))</f>
        <v>Global car.passenger.rural.fuel</v>
      </c>
      <c r="E35" s="121"/>
      <c r="F35" s="121"/>
      <c r="G35" s="121"/>
      <c r="H35" s="121"/>
      <c r="I35" s="121"/>
      <c r="J35" s="121"/>
      <c r="K35" s="121"/>
      <c r="L35" s="121"/>
      <c r="M35" s="121"/>
      <c r="N35" s="121"/>
      <c r="O35" s="121"/>
      <c r="P35" s="121"/>
      <c r="Q35" s="121"/>
      <c r="R35" s="121"/>
      <c r="S35" s="121"/>
      <c r="T35" s="121"/>
      <c r="U35" s="108"/>
      <c r="V35" s="152"/>
      <c r="W35" s="152"/>
      <c r="X35" s="152"/>
      <c r="Y35" s="152"/>
      <c r="Z35" s="152"/>
      <c r="AA35" s="152"/>
      <c r="AB35" s="152"/>
      <c r="AC35" s="152"/>
      <c r="AD35" s="152"/>
      <c r="AE35" s="152"/>
      <c r="AF35" s="152"/>
      <c r="AG35" s="152"/>
      <c r="AH35" s="152"/>
      <c r="AI35" s="152"/>
      <c r="AJ35" s="152"/>
      <c r="AK35" s="152"/>
      <c r="AL35" s="152"/>
      <c r="AM35" s="152"/>
      <c r="AN35" s="152"/>
      <c r="AO35" s="152"/>
      <c r="AP35" s="108"/>
      <c r="AQ35" s="21"/>
      <c r="AR35" s="21"/>
      <c r="AS35" s="21"/>
      <c r="AT35" s="21"/>
      <c r="AU35" s="21"/>
      <c r="AV35" s="21"/>
      <c r="AW35" s="21"/>
      <c r="AX35" s="21"/>
      <c r="AY35" s="21"/>
      <c r="AZ35" s="21"/>
      <c r="BA35" s="21"/>
      <c r="BB35" s="21"/>
      <c r="BC35" s="21"/>
      <c r="BD35" s="21"/>
      <c r="BE35" s="108"/>
      <c r="BF35" s="49"/>
      <c r="BG35" s="49"/>
      <c r="BH35" s="49"/>
      <c r="BI35" s="219"/>
      <c r="BJ35" s="108"/>
    </row>
    <row r="36" spans="1:62" s="54" customFormat="1">
      <c r="A36" s="133"/>
      <c r="B36" s="176" t="s">
        <v>2038</v>
      </c>
      <c r="C36" s="114" t="str">
        <f>INDEX(Regional.Technologies[Description],MATCH($B$3&amp;"."&amp;B36,Regional.Technologies[Code],0))</f>
        <v>Global car.passenger.rural.PH</v>
      </c>
      <c r="E36" s="121"/>
      <c r="F36" s="121"/>
      <c r="G36" s="121"/>
      <c r="H36" s="121"/>
      <c r="I36" s="121"/>
      <c r="J36" s="121"/>
      <c r="K36" s="121"/>
      <c r="L36" s="121"/>
      <c r="M36" s="121"/>
      <c r="N36" s="121"/>
      <c r="O36" s="121"/>
      <c r="P36" s="121"/>
      <c r="Q36" s="121"/>
      <c r="R36" s="121"/>
      <c r="S36" s="121"/>
      <c r="T36" s="121"/>
      <c r="U36" s="108"/>
      <c r="V36" s="152"/>
      <c r="W36" s="152"/>
      <c r="X36" s="152"/>
      <c r="Y36" s="152"/>
      <c r="Z36" s="152"/>
      <c r="AA36" s="152"/>
      <c r="AB36" s="152"/>
      <c r="AC36" s="152"/>
      <c r="AD36" s="152"/>
      <c r="AE36" s="152"/>
      <c r="AF36" s="152"/>
      <c r="AG36" s="152"/>
      <c r="AH36" s="152"/>
      <c r="AI36" s="152"/>
      <c r="AJ36" s="152"/>
      <c r="AK36" s="152"/>
      <c r="AL36" s="152"/>
      <c r="AM36" s="152"/>
      <c r="AN36" s="152"/>
      <c r="AO36" s="152"/>
      <c r="AP36" s="108"/>
      <c r="AQ36" s="21"/>
      <c r="AR36" s="21"/>
      <c r="AS36" s="21"/>
      <c r="AT36" s="21"/>
      <c r="AU36" s="21"/>
      <c r="AV36" s="21"/>
      <c r="AW36" s="21"/>
      <c r="AX36" s="21"/>
      <c r="AY36" s="21"/>
      <c r="AZ36" s="21"/>
      <c r="BA36" s="21"/>
      <c r="BB36" s="21"/>
      <c r="BC36" s="21"/>
      <c r="BD36" s="21"/>
      <c r="BE36" s="108"/>
      <c r="BF36" s="49"/>
      <c r="BG36" s="49"/>
      <c r="BH36" s="49"/>
      <c r="BI36" s="219"/>
      <c r="BJ36" s="108"/>
    </row>
    <row r="37" spans="1:62" s="54" customFormat="1">
      <c r="A37" s="133"/>
      <c r="B37" s="176" t="s">
        <v>2038</v>
      </c>
      <c r="C37" s="114" t="str">
        <f>INDEX(Regional.Technologies[Description],MATCH($B$3&amp;"."&amp;B37,Regional.Technologies[Code],0))</f>
        <v>Global car.passenger.rural.PH</v>
      </c>
      <c r="E37" s="121"/>
      <c r="F37" s="121"/>
      <c r="G37" s="121"/>
      <c r="H37" s="121"/>
      <c r="I37" s="121"/>
      <c r="J37" s="121"/>
      <c r="K37" s="121"/>
      <c r="L37" s="121"/>
      <c r="M37" s="121"/>
      <c r="N37" s="121"/>
      <c r="O37" s="121"/>
      <c r="P37" s="121"/>
      <c r="Q37" s="121"/>
      <c r="R37" s="121"/>
      <c r="S37" s="121"/>
      <c r="T37" s="121"/>
      <c r="U37" s="108"/>
      <c r="V37" s="152"/>
      <c r="W37" s="152"/>
      <c r="X37" s="152"/>
      <c r="Y37" s="152"/>
      <c r="Z37" s="152"/>
      <c r="AA37" s="152"/>
      <c r="AB37" s="152"/>
      <c r="AC37" s="152"/>
      <c r="AD37" s="152"/>
      <c r="AE37" s="152"/>
      <c r="AF37" s="152"/>
      <c r="AG37" s="152"/>
      <c r="AH37" s="152"/>
      <c r="AI37" s="152"/>
      <c r="AJ37" s="152"/>
      <c r="AK37" s="152"/>
      <c r="AL37" s="152"/>
      <c r="AM37" s="152"/>
      <c r="AN37" s="152"/>
      <c r="AO37" s="152"/>
      <c r="AP37" s="108"/>
      <c r="AQ37" s="21"/>
      <c r="AR37" s="21"/>
      <c r="AS37" s="21"/>
      <c r="AT37" s="21"/>
      <c r="AU37" s="21"/>
      <c r="AV37" s="21"/>
      <c r="AW37" s="21"/>
      <c r="AX37" s="21"/>
      <c r="AY37" s="21"/>
      <c r="AZ37" s="21"/>
      <c r="BA37" s="21"/>
      <c r="BB37" s="21"/>
      <c r="BC37" s="21"/>
      <c r="BD37" s="21"/>
      <c r="BE37" s="108"/>
      <c r="BF37" s="49"/>
      <c r="BG37" s="49"/>
      <c r="BH37" s="49"/>
      <c r="BI37" s="219"/>
      <c r="BJ37" s="108"/>
    </row>
    <row r="38" spans="1:62" s="54" customFormat="1">
      <c r="A38" s="133"/>
      <c r="B38" s="176" t="s">
        <v>2039</v>
      </c>
      <c r="C38" s="114" t="str">
        <f>INDEX(Regional.Technologies[Description],MATCH($B$3&amp;"."&amp;B38,Regional.Technologies[Code],0))</f>
        <v>Global car.passenger.rural.EV</v>
      </c>
      <c r="E38" s="121"/>
      <c r="F38" s="121"/>
      <c r="G38" s="121"/>
      <c r="H38" s="121"/>
      <c r="I38" s="121"/>
      <c r="J38" s="121"/>
      <c r="K38" s="121"/>
      <c r="L38" s="121"/>
      <c r="M38" s="121"/>
      <c r="N38" s="121"/>
      <c r="O38" s="121"/>
      <c r="P38" s="121"/>
      <c r="Q38" s="121"/>
      <c r="R38" s="121"/>
      <c r="S38" s="121"/>
      <c r="T38" s="121"/>
      <c r="U38" s="108"/>
      <c r="V38" s="152"/>
      <c r="W38" s="152"/>
      <c r="X38" s="152"/>
      <c r="Y38" s="152"/>
      <c r="Z38" s="152"/>
      <c r="AA38" s="152"/>
      <c r="AB38" s="152"/>
      <c r="AC38" s="152"/>
      <c r="AD38" s="152"/>
      <c r="AE38" s="152"/>
      <c r="AF38" s="152"/>
      <c r="AG38" s="152"/>
      <c r="AH38" s="152"/>
      <c r="AI38" s="152"/>
      <c r="AJ38" s="152"/>
      <c r="AK38" s="152"/>
      <c r="AL38" s="152"/>
      <c r="AM38" s="152"/>
      <c r="AN38" s="152"/>
      <c r="AO38" s="152"/>
      <c r="AP38" s="108"/>
      <c r="AQ38" s="21"/>
      <c r="AR38" s="21"/>
      <c r="AS38" s="21"/>
      <c r="AT38" s="21"/>
      <c r="AU38" s="21"/>
      <c r="AV38" s="21"/>
      <c r="AW38" s="21"/>
      <c r="AX38" s="21"/>
      <c r="AY38" s="21"/>
      <c r="AZ38" s="21"/>
      <c r="BA38" s="21"/>
      <c r="BB38" s="21"/>
      <c r="BC38" s="21"/>
      <c r="BD38" s="21"/>
      <c r="BE38" s="108"/>
      <c r="BF38" s="49"/>
      <c r="BG38" s="49"/>
      <c r="BH38" s="49"/>
      <c r="BI38" s="219"/>
      <c r="BJ38" s="108"/>
    </row>
    <row r="39" spans="1:62" s="54" customFormat="1">
      <c r="A39" s="133"/>
      <c r="B39" s="176" t="s">
        <v>2051</v>
      </c>
      <c r="C39" s="114" t="str">
        <f>INDEX(Regional.Technologies[Description],MATCH($B$3&amp;"."&amp;B39,Regional.Technologies[Code],0))</f>
        <v>Global car.passenger.rural.H2</v>
      </c>
      <c r="E39" s="121"/>
      <c r="F39" s="121"/>
      <c r="G39" s="121"/>
      <c r="H39" s="121"/>
      <c r="I39" s="121"/>
      <c r="J39" s="121"/>
      <c r="K39" s="121"/>
      <c r="L39" s="121"/>
      <c r="M39" s="121"/>
      <c r="N39" s="121"/>
      <c r="O39" s="121"/>
      <c r="P39" s="121"/>
      <c r="Q39" s="121"/>
      <c r="R39" s="121"/>
      <c r="S39" s="121"/>
      <c r="T39" s="121"/>
      <c r="U39" s="108"/>
      <c r="V39" s="152"/>
      <c r="W39" s="152"/>
      <c r="X39" s="152"/>
      <c r="Y39" s="152"/>
      <c r="Z39" s="152"/>
      <c r="AA39" s="152"/>
      <c r="AB39" s="152"/>
      <c r="AC39" s="152"/>
      <c r="AD39" s="152"/>
      <c r="AE39" s="152"/>
      <c r="AF39" s="152"/>
      <c r="AG39" s="152"/>
      <c r="AH39" s="152"/>
      <c r="AI39" s="152"/>
      <c r="AJ39" s="152"/>
      <c r="AK39" s="152"/>
      <c r="AL39" s="152"/>
      <c r="AM39" s="152"/>
      <c r="AN39" s="152"/>
      <c r="AO39" s="152"/>
      <c r="AP39" s="108"/>
      <c r="AQ39" s="21"/>
      <c r="AR39" s="21"/>
      <c r="AS39" s="21"/>
      <c r="AT39" s="21"/>
      <c r="AU39" s="21"/>
      <c r="AV39" s="21"/>
      <c r="AW39" s="21"/>
      <c r="AX39" s="21"/>
      <c r="AY39" s="21"/>
      <c r="AZ39" s="21"/>
      <c r="BA39" s="21"/>
      <c r="BB39" s="21"/>
      <c r="BC39" s="21"/>
      <c r="BD39" s="21"/>
      <c r="BE39" s="108"/>
      <c r="BF39" s="49"/>
      <c r="BG39" s="49"/>
      <c r="BH39" s="49"/>
      <c r="BI39" s="219"/>
      <c r="BJ39" s="108"/>
    </row>
    <row r="40" spans="1:62" s="54" customFormat="1">
      <c r="A40" s="133"/>
      <c r="B40" s="176" t="s">
        <v>2034</v>
      </c>
      <c r="C40" s="114" t="str">
        <f>INDEX(Regional.Technologies[Description],MATCH($B$3&amp;"."&amp;B40,Regional.Technologies[Code],0))</f>
        <v>Global bus.passenger.rural.fuel</v>
      </c>
      <c r="E40" s="121"/>
      <c r="F40" s="121"/>
      <c r="G40" s="121"/>
      <c r="H40" s="121"/>
      <c r="I40" s="121"/>
      <c r="J40" s="121"/>
      <c r="K40" s="121"/>
      <c r="L40" s="121"/>
      <c r="M40" s="121"/>
      <c r="N40" s="121"/>
      <c r="O40" s="121"/>
      <c r="P40" s="121"/>
      <c r="Q40" s="121"/>
      <c r="R40" s="121"/>
      <c r="S40" s="121"/>
      <c r="T40" s="121"/>
      <c r="U40" s="108"/>
      <c r="V40" s="152"/>
      <c r="W40" s="152"/>
      <c r="X40" s="152"/>
      <c r="Y40" s="152"/>
      <c r="Z40" s="152"/>
      <c r="AA40" s="152"/>
      <c r="AB40" s="152"/>
      <c r="AC40" s="152"/>
      <c r="AD40" s="152"/>
      <c r="AE40" s="152"/>
      <c r="AF40" s="152"/>
      <c r="AG40" s="152"/>
      <c r="AH40" s="152"/>
      <c r="AI40" s="152"/>
      <c r="AJ40" s="152"/>
      <c r="AK40" s="152"/>
      <c r="AL40" s="152"/>
      <c r="AM40" s="152"/>
      <c r="AN40" s="152"/>
      <c r="AO40" s="152"/>
      <c r="AP40" s="108"/>
      <c r="AQ40" s="21"/>
      <c r="AR40" s="21"/>
      <c r="AS40" s="21"/>
      <c r="AT40" s="21"/>
      <c r="AU40" s="21"/>
      <c r="AV40" s="21"/>
      <c r="AW40" s="21"/>
      <c r="AX40" s="21"/>
      <c r="AY40" s="21"/>
      <c r="AZ40" s="21"/>
      <c r="BA40" s="21"/>
      <c r="BB40" s="21"/>
      <c r="BC40" s="21"/>
      <c r="BD40" s="21"/>
      <c r="BE40" s="108"/>
      <c r="BF40" s="49"/>
      <c r="BG40" s="49"/>
      <c r="BH40" s="49"/>
      <c r="BI40" s="219"/>
      <c r="BJ40" s="108"/>
    </row>
    <row r="41" spans="1:62" s="54" customFormat="1">
      <c r="A41" s="133"/>
      <c r="B41" s="176" t="s">
        <v>2035</v>
      </c>
      <c r="C41" s="114" t="str">
        <f>INDEX(Regional.Technologies[Description],MATCH($B$3&amp;"."&amp;B41,Regional.Technologies[Code],0))</f>
        <v>Global bus.passenger.rural.PH</v>
      </c>
      <c r="E41" s="121"/>
      <c r="F41" s="121"/>
      <c r="G41" s="121"/>
      <c r="H41" s="121"/>
      <c r="I41" s="121"/>
      <c r="J41" s="121"/>
      <c r="K41" s="121"/>
      <c r="L41" s="121"/>
      <c r="M41" s="121"/>
      <c r="N41" s="121"/>
      <c r="O41" s="121"/>
      <c r="P41" s="121"/>
      <c r="Q41" s="121"/>
      <c r="R41" s="121"/>
      <c r="S41" s="121"/>
      <c r="T41" s="121"/>
      <c r="U41" s="108"/>
      <c r="V41" s="152"/>
      <c r="W41" s="152"/>
      <c r="X41" s="152"/>
      <c r="Y41" s="152"/>
      <c r="Z41" s="152"/>
      <c r="AA41" s="152"/>
      <c r="AB41" s="152"/>
      <c r="AC41" s="152"/>
      <c r="AD41" s="152"/>
      <c r="AE41" s="152"/>
      <c r="AF41" s="152"/>
      <c r="AG41" s="152"/>
      <c r="AH41" s="152"/>
      <c r="AI41" s="152"/>
      <c r="AJ41" s="152"/>
      <c r="AK41" s="152"/>
      <c r="AL41" s="152"/>
      <c r="AM41" s="152"/>
      <c r="AN41" s="152"/>
      <c r="AO41" s="152"/>
      <c r="AP41" s="108"/>
      <c r="AQ41" s="21"/>
      <c r="AR41" s="21"/>
      <c r="AS41" s="21"/>
      <c r="AT41" s="21"/>
      <c r="AU41" s="21"/>
      <c r="AV41" s="21"/>
      <c r="AW41" s="21"/>
      <c r="AX41" s="21"/>
      <c r="AY41" s="21"/>
      <c r="AZ41" s="21"/>
      <c r="BA41" s="21"/>
      <c r="BB41" s="21"/>
      <c r="BC41" s="21"/>
      <c r="BD41" s="21"/>
      <c r="BE41" s="108"/>
      <c r="BF41" s="49"/>
      <c r="BG41" s="49"/>
      <c r="BH41" s="49"/>
      <c r="BI41" s="219"/>
      <c r="BJ41" s="108"/>
    </row>
    <row r="42" spans="1:62" s="54" customFormat="1">
      <c r="A42" s="133"/>
      <c r="B42" s="176" t="s">
        <v>2035</v>
      </c>
      <c r="C42" s="114" t="str">
        <f>INDEX(Regional.Technologies[Description],MATCH($B$3&amp;"."&amp;B42,Regional.Technologies[Code],0))</f>
        <v>Global bus.passenger.rural.PH</v>
      </c>
      <c r="E42" s="121"/>
      <c r="F42" s="121"/>
      <c r="G42" s="121"/>
      <c r="H42" s="121"/>
      <c r="I42" s="121"/>
      <c r="J42" s="121"/>
      <c r="K42" s="121"/>
      <c r="L42" s="121"/>
      <c r="M42" s="121"/>
      <c r="N42" s="121"/>
      <c r="O42" s="121"/>
      <c r="P42" s="121"/>
      <c r="Q42" s="121"/>
      <c r="R42" s="121"/>
      <c r="S42" s="121"/>
      <c r="T42" s="121"/>
      <c r="U42" s="108"/>
      <c r="V42" s="152"/>
      <c r="W42" s="152"/>
      <c r="X42" s="152"/>
      <c r="Y42" s="152"/>
      <c r="Z42" s="152"/>
      <c r="AA42" s="152"/>
      <c r="AB42" s="152"/>
      <c r="AC42" s="152"/>
      <c r="AD42" s="152"/>
      <c r="AE42" s="152"/>
      <c r="AF42" s="152"/>
      <c r="AG42" s="152"/>
      <c r="AH42" s="152"/>
      <c r="AI42" s="152"/>
      <c r="AJ42" s="152"/>
      <c r="AK42" s="152"/>
      <c r="AL42" s="152"/>
      <c r="AM42" s="152"/>
      <c r="AN42" s="152"/>
      <c r="AO42" s="152"/>
      <c r="AP42" s="108"/>
      <c r="AQ42" s="21"/>
      <c r="AR42" s="21"/>
      <c r="AS42" s="21"/>
      <c r="AT42" s="21"/>
      <c r="AU42" s="21"/>
      <c r="AV42" s="21"/>
      <c r="AW42" s="21"/>
      <c r="AX42" s="21"/>
      <c r="AY42" s="21"/>
      <c r="AZ42" s="21"/>
      <c r="BA42" s="21"/>
      <c r="BB42" s="21"/>
      <c r="BC42" s="21"/>
      <c r="BD42" s="21"/>
      <c r="BE42" s="108"/>
      <c r="BF42" s="49"/>
      <c r="BG42" s="49"/>
      <c r="BH42" s="49"/>
      <c r="BI42" s="219"/>
      <c r="BJ42" s="108"/>
    </row>
    <row r="43" spans="1:62" s="54" customFormat="1">
      <c r="A43" s="133"/>
      <c r="B43" s="176" t="s">
        <v>2036</v>
      </c>
      <c r="C43" s="114" t="str">
        <f>INDEX(Regional.Technologies[Description],MATCH($B$3&amp;"."&amp;B43,Regional.Technologies[Code],0))</f>
        <v>Global bus.passenger.rural.EV</v>
      </c>
      <c r="E43" s="121"/>
      <c r="F43" s="121"/>
      <c r="G43" s="121"/>
      <c r="H43" s="121"/>
      <c r="I43" s="121"/>
      <c r="J43" s="121"/>
      <c r="K43" s="121"/>
      <c r="L43" s="121"/>
      <c r="M43" s="121"/>
      <c r="N43" s="121"/>
      <c r="O43" s="121"/>
      <c r="P43" s="121"/>
      <c r="Q43" s="121"/>
      <c r="R43" s="121"/>
      <c r="S43" s="121"/>
      <c r="T43" s="121"/>
      <c r="U43" s="108"/>
      <c r="V43" s="152"/>
      <c r="W43" s="152"/>
      <c r="X43" s="152"/>
      <c r="Y43" s="152"/>
      <c r="Z43" s="152"/>
      <c r="AA43" s="152"/>
      <c r="AB43" s="152"/>
      <c r="AC43" s="152"/>
      <c r="AD43" s="152"/>
      <c r="AE43" s="152"/>
      <c r="AF43" s="152"/>
      <c r="AG43" s="152"/>
      <c r="AH43" s="152"/>
      <c r="AI43" s="152"/>
      <c r="AJ43" s="152"/>
      <c r="AK43" s="152"/>
      <c r="AL43" s="152"/>
      <c r="AM43" s="152"/>
      <c r="AN43" s="152"/>
      <c r="AO43" s="152"/>
      <c r="AP43" s="108"/>
      <c r="AQ43" s="21"/>
      <c r="AR43" s="21"/>
      <c r="AS43" s="21"/>
      <c r="AT43" s="21"/>
      <c r="AU43" s="21"/>
      <c r="AV43" s="21"/>
      <c r="AW43" s="21"/>
      <c r="AX43" s="21"/>
      <c r="AY43" s="21"/>
      <c r="AZ43" s="21"/>
      <c r="BA43" s="21"/>
      <c r="BB43" s="21"/>
      <c r="BC43" s="21"/>
      <c r="BD43" s="21"/>
      <c r="BE43" s="108"/>
      <c r="BF43" s="49"/>
      <c r="BG43" s="49"/>
      <c r="BH43" s="49"/>
      <c r="BI43" s="219"/>
      <c r="BJ43" s="108"/>
    </row>
    <row r="44" spans="1:62" s="54" customFormat="1">
      <c r="A44" s="133"/>
      <c r="B44" s="176" t="s">
        <v>2052</v>
      </c>
      <c r="C44" s="114" t="str">
        <f>INDEX(Regional.Technologies[Description],MATCH($B$3&amp;"."&amp;B44,Regional.Technologies[Code],0))</f>
        <v>Global bus.passenger.rural.H2</v>
      </c>
      <c r="E44" s="121"/>
      <c r="F44" s="121"/>
      <c r="G44" s="121"/>
      <c r="H44" s="121"/>
      <c r="I44" s="121"/>
      <c r="J44" s="121"/>
      <c r="K44" s="121"/>
      <c r="L44" s="121"/>
      <c r="M44" s="121"/>
      <c r="N44" s="121"/>
      <c r="O44" s="121"/>
      <c r="P44" s="121"/>
      <c r="Q44" s="121"/>
      <c r="R44" s="121"/>
      <c r="S44" s="121"/>
      <c r="T44" s="121"/>
      <c r="U44" s="108"/>
      <c r="V44" s="152"/>
      <c r="W44" s="152"/>
      <c r="X44" s="152"/>
      <c r="Y44" s="152"/>
      <c r="Z44" s="152"/>
      <c r="AA44" s="152"/>
      <c r="AB44" s="152"/>
      <c r="AC44" s="152"/>
      <c r="AD44" s="152"/>
      <c r="AE44" s="152"/>
      <c r="AF44" s="152"/>
      <c r="AG44" s="152"/>
      <c r="AH44" s="152"/>
      <c r="AI44" s="152"/>
      <c r="AJ44" s="152"/>
      <c r="AK44" s="152"/>
      <c r="AL44" s="152"/>
      <c r="AM44" s="152"/>
      <c r="AN44" s="152"/>
      <c r="AO44" s="152"/>
      <c r="AP44" s="108"/>
      <c r="AQ44" s="21"/>
      <c r="AR44" s="21"/>
      <c r="AS44" s="21"/>
      <c r="AT44" s="21"/>
      <c r="AU44" s="21"/>
      <c r="AV44" s="21"/>
      <c r="AW44" s="21"/>
      <c r="AX44" s="21"/>
      <c r="AY44" s="21"/>
      <c r="AZ44" s="21"/>
      <c r="BA44" s="21"/>
      <c r="BB44" s="21"/>
      <c r="BC44" s="21"/>
      <c r="BD44" s="21"/>
      <c r="BE44" s="108"/>
      <c r="BF44" s="49"/>
      <c r="BG44" s="49"/>
      <c r="BH44" s="49"/>
      <c r="BI44" s="219"/>
      <c r="BJ44" s="108"/>
    </row>
    <row r="45" spans="1:62" s="54" customFormat="1">
      <c r="A45" s="133"/>
      <c r="B45" s="176" t="s">
        <v>2040</v>
      </c>
      <c r="C45" s="114" t="str">
        <f>INDEX(Regional.Technologies[Description],MATCH($B$3&amp;"."&amp;B45,Regional.Technologies[Code],0))</f>
        <v>Global train.passenger.rural.fuel</v>
      </c>
      <c r="E45" s="121"/>
      <c r="F45" s="121"/>
      <c r="G45" s="121"/>
      <c r="H45" s="121"/>
      <c r="I45" s="121"/>
      <c r="J45" s="121"/>
      <c r="K45" s="121"/>
      <c r="L45" s="121"/>
      <c r="M45" s="121"/>
      <c r="N45" s="121"/>
      <c r="O45" s="121"/>
      <c r="P45" s="121"/>
      <c r="Q45" s="121"/>
      <c r="R45" s="121"/>
      <c r="S45" s="121"/>
      <c r="T45" s="121"/>
      <c r="U45" s="108"/>
      <c r="V45" s="152"/>
      <c r="W45" s="152"/>
      <c r="X45" s="152"/>
      <c r="Y45" s="152"/>
      <c r="Z45" s="152"/>
      <c r="AA45" s="152"/>
      <c r="AB45" s="152"/>
      <c r="AC45" s="152"/>
      <c r="AD45" s="152"/>
      <c r="AE45" s="152"/>
      <c r="AF45" s="152"/>
      <c r="AG45" s="152"/>
      <c r="AH45" s="152"/>
      <c r="AI45" s="152"/>
      <c r="AJ45" s="152"/>
      <c r="AK45" s="152"/>
      <c r="AL45" s="152"/>
      <c r="AM45" s="152"/>
      <c r="AN45" s="152"/>
      <c r="AO45" s="152"/>
      <c r="AP45" s="108"/>
      <c r="AQ45" s="21"/>
      <c r="AR45" s="21"/>
      <c r="AS45" s="21"/>
      <c r="AT45" s="21"/>
      <c r="AU45" s="21"/>
      <c r="AV45" s="21"/>
      <c r="AW45" s="21"/>
      <c r="AX45" s="21"/>
      <c r="AY45" s="21"/>
      <c r="AZ45" s="21"/>
      <c r="BA45" s="21"/>
      <c r="BB45" s="21"/>
      <c r="BC45" s="21"/>
      <c r="BD45" s="21"/>
      <c r="BE45" s="108"/>
      <c r="BF45" s="49"/>
      <c r="BG45" s="49"/>
      <c r="BH45" s="49"/>
      <c r="BI45" s="219"/>
      <c r="BJ45" s="108"/>
    </row>
    <row r="46" spans="1:62" s="54" customFormat="1">
      <c r="A46" s="133"/>
      <c r="B46" s="176" t="s">
        <v>2045</v>
      </c>
      <c r="C46" s="114" t="str">
        <f>INDEX(Regional.Technologies[Description],MATCH($B$3&amp;"."&amp;B46,Regional.Technologies[Code],0))</f>
        <v>Global train.passenger.rural.elec</v>
      </c>
      <c r="E46" s="121"/>
      <c r="F46" s="121"/>
      <c r="G46" s="121"/>
      <c r="H46" s="121"/>
      <c r="I46" s="121"/>
      <c r="J46" s="121"/>
      <c r="K46" s="121"/>
      <c r="L46" s="121"/>
      <c r="M46" s="121"/>
      <c r="N46" s="121"/>
      <c r="O46" s="121"/>
      <c r="P46" s="121"/>
      <c r="Q46" s="121"/>
      <c r="R46" s="121"/>
      <c r="S46" s="121"/>
      <c r="T46" s="121"/>
      <c r="U46" s="108"/>
      <c r="V46" s="152"/>
      <c r="W46" s="152"/>
      <c r="X46" s="152"/>
      <c r="Y46" s="152"/>
      <c r="Z46" s="152"/>
      <c r="AA46" s="152"/>
      <c r="AB46" s="152"/>
      <c r="AC46" s="152"/>
      <c r="AD46" s="152"/>
      <c r="AE46" s="152"/>
      <c r="AF46" s="152"/>
      <c r="AG46" s="152"/>
      <c r="AH46" s="152"/>
      <c r="AI46" s="152"/>
      <c r="AJ46" s="152"/>
      <c r="AK46" s="152"/>
      <c r="AL46" s="152"/>
      <c r="AM46" s="152"/>
      <c r="AN46" s="152"/>
      <c r="AO46" s="152"/>
      <c r="AP46" s="108"/>
      <c r="AQ46" s="21"/>
      <c r="AR46" s="21"/>
      <c r="AS46" s="21"/>
      <c r="AT46" s="21"/>
      <c r="AU46" s="21"/>
      <c r="AV46" s="21"/>
      <c r="AW46" s="21"/>
      <c r="AX46" s="21"/>
      <c r="AY46" s="21"/>
      <c r="AZ46" s="21"/>
      <c r="BA46" s="21"/>
      <c r="BB46" s="21"/>
      <c r="BC46" s="21"/>
      <c r="BD46" s="21"/>
      <c r="BE46" s="108"/>
      <c r="BF46" s="49"/>
      <c r="BG46" s="49"/>
      <c r="BH46" s="49"/>
      <c r="BI46" s="219"/>
      <c r="BJ46" s="108"/>
    </row>
    <row r="47" spans="1:62" s="54" customFormat="1">
      <c r="A47" s="133"/>
      <c r="B47" s="176"/>
      <c r="C47" s="114"/>
      <c r="E47" s="121"/>
      <c r="F47" s="121"/>
      <c r="G47" s="121"/>
      <c r="H47" s="121"/>
      <c r="I47" s="121"/>
      <c r="J47" s="121"/>
      <c r="K47" s="121"/>
      <c r="L47" s="121"/>
      <c r="M47" s="121"/>
      <c r="N47" s="121"/>
      <c r="O47" s="121"/>
      <c r="P47" s="121"/>
      <c r="Q47" s="121"/>
      <c r="R47" s="121"/>
      <c r="S47" s="121"/>
      <c r="T47" s="121"/>
      <c r="U47" s="108"/>
      <c r="V47" s="152"/>
      <c r="W47" s="152"/>
      <c r="X47" s="152"/>
      <c r="Y47" s="152"/>
      <c r="Z47" s="152"/>
      <c r="AA47" s="152"/>
      <c r="AB47" s="152"/>
      <c r="AC47" s="152"/>
      <c r="AD47" s="152"/>
      <c r="AE47" s="152"/>
      <c r="AF47" s="152"/>
      <c r="AG47" s="152"/>
      <c r="AH47" s="152"/>
      <c r="AI47" s="152"/>
      <c r="AJ47" s="152"/>
      <c r="AK47" s="152"/>
      <c r="AL47" s="152"/>
      <c r="AM47" s="152"/>
      <c r="AN47" s="152"/>
      <c r="AO47" s="152"/>
      <c r="AP47" s="108"/>
      <c r="AQ47" s="21"/>
      <c r="AR47" s="21"/>
      <c r="AS47" s="21"/>
      <c r="AT47" s="21"/>
      <c r="AU47" s="21"/>
      <c r="AV47" s="21"/>
      <c r="AW47" s="21"/>
      <c r="AX47" s="21"/>
      <c r="AY47" s="21"/>
      <c r="AZ47" s="21"/>
      <c r="BA47" s="21"/>
      <c r="BB47" s="21"/>
      <c r="BC47" s="21"/>
      <c r="BD47" s="21"/>
      <c r="BE47" s="108"/>
      <c r="BF47" s="49"/>
      <c r="BG47" s="49"/>
      <c r="BH47" s="49"/>
      <c r="BI47" s="219"/>
      <c r="BJ47" s="108"/>
    </row>
    <row r="48" spans="1:62" s="54" customFormat="1">
      <c r="A48" s="133"/>
      <c r="B48" s="176"/>
      <c r="C48" s="187" t="s">
        <v>2024</v>
      </c>
      <c r="E48" s="121"/>
      <c r="F48" s="121"/>
      <c r="G48" s="121"/>
      <c r="H48" s="121"/>
      <c r="I48" s="121"/>
      <c r="J48" s="121"/>
      <c r="K48" s="121"/>
      <c r="L48" s="121"/>
      <c r="M48" s="121"/>
      <c r="N48" s="121"/>
      <c r="O48" s="121"/>
      <c r="P48" s="121"/>
      <c r="Q48" s="121"/>
      <c r="R48" s="121"/>
      <c r="S48" s="121"/>
      <c r="T48" s="121"/>
      <c r="U48" s="58"/>
      <c r="V48" s="152"/>
      <c r="W48" s="152"/>
      <c r="X48" s="152"/>
      <c r="Y48" s="152"/>
      <c r="Z48" s="152"/>
      <c r="AA48" s="152"/>
      <c r="AB48" s="152"/>
      <c r="AC48" s="152"/>
      <c r="AD48" s="152"/>
      <c r="AE48" s="152"/>
      <c r="AF48" s="152"/>
      <c r="AG48" s="152"/>
      <c r="AH48" s="152"/>
      <c r="AI48" s="152"/>
      <c r="AJ48" s="152"/>
      <c r="AK48" s="152"/>
      <c r="AL48" s="152"/>
      <c r="AM48" s="152"/>
      <c r="AN48" s="152"/>
      <c r="AO48" s="152"/>
      <c r="AP48" s="58"/>
      <c r="AQ48" s="21"/>
      <c r="AR48" s="21"/>
      <c r="AS48" s="21"/>
      <c r="AT48" s="21"/>
      <c r="AU48" s="21"/>
      <c r="AV48" s="21"/>
      <c r="AW48" s="21"/>
      <c r="AX48" s="21"/>
      <c r="AY48" s="21"/>
      <c r="AZ48" s="21"/>
      <c r="BA48" s="21"/>
      <c r="BB48" s="21"/>
      <c r="BC48" s="21"/>
      <c r="BD48" s="21"/>
      <c r="BE48" s="58"/>
      <c r="BF48" s="49"/>
      <c r="BG48" s="49"/>
      <c r="BH48" s="49"/>
      <c r="BI48" s="219"/>
      <c r="BJ48" s="108"/>
    </row>
    <row r="49" spans="1:62" s="54" customFormat="1">
      <c r="A49" s="133"/>
      <c r="B49" s="176" t="s">
        <v>2041</v>
      </c>
      <c r="C49" s="114" t="str">
        <f>INDEX(Regional.Technologies[Description],MATCH($B$3&amp;"."&amp;B49,Regional.Technologies[Code],0))</f>
        <v>Global plane.passenger.international.fuel</v>
      </c>
      <c r="E49" s="121"/>
      <c r="F49" s="121"/>
      <c r="G49" s="121"/>
      <c r="H49" s="121"/>
      <c r="I49" s="121"/>
      <c r="J49" s="121"/>
      <c r="K49" s="121"/>
      <c r="L49" s="121"/>
      <c r="M49" s="121"/>
      <c r="N49" s="121"/>
      <c r="O49" s="121"/>
      <c r="P49" s="121"/>
      <c r="Q49" s="121"/>
      <c r="R49" s="121"/>
      <c r="S49" s="121"/>
      <c r="T49" s="121"/>
      <c r="U49" s="108"/>
      <c r="V49" s="152"/>
      <c r="W49" s="152"/>
      <c r="X49" s="152"/>
      <c r="Y49" s="152"/>
      <c r="Z49" s="152"/>
      <c r="AA49" s="152"/>
      <c r="AB49" s="152"/>
      <c r="AC49" s="152"/>
      <c r="AD49" s="152"/>
      <c r="AE49" s="152"/>
      <c r="AF49" s="152"/>
      <c r="AG49" s="152"/>
      <c r="AH49" s="152"/>
      <c r="AI49" s="152"/>
      <c r="AJ49" s="152"/>
      <c r="AK49" s="152"/>
      <c r="AL49" s="152"/>
      <c r="AM49" s="152"/>
      <c r="AN49" s="152"/>
      <c r="AO49" s="152"/>
      <c r="AP49" s="108"/>
      <c r="AQ49" s="21"/>
      <c r="AR49" s="21"/>
      <c r="AS49" s="21"/>
      <c r="AT49" s="21"/>
      <c r="AU49" s="21"/>
      <c r="AV49" s="21"/>
      <c r="AW49" s="21"/>
      <c r="AX49" s="21"/>
      <c r="AY49" s="21"/>
      <c r="AZ49" s="21"/>
      <c r="BA49" s="21"/>
      <c r="BB49" s="21"/>
      <c r="BC49" s="21"/>
      <c r="BD49" s="21"/>
      <c r="BE49" s="108"/>
      <c r="BF49" s="49"/>
      <c r="BG49" s="49"/>
      <c r="BH49" s="49"/>
      <c r="BI49" s="219"/>
      <c r="BJ49" s="108"/>
    </row>
    <row r="50" spans="1:62" s="54" customFormat="1">
      <c r="A50" s="133"/>
      <c r="B50" s="176" t="s">
        <v>2369</v>
      </c>
      <c r="C50" s="114" t="str">
        <f>INDEX(Regional.Technologies[Description],MATCH($B$3&amp;"."&amp;B50,Regional.Technologies[Code],0))</f>
        <v>Global plane.passenger.international.H2</v>
      </c>
      <c r="E50" s="121"/>
      <c r="F50" s="121"/>
      <c r="G50" s="121"/>
      <c r="H50" s="121"/>
      <c r="I50" s="121"/>
      <c r="J50" s="121"/>
      <c r="K50" s="121"/>
      <c r="L50" s="121"/>
      <c r="M50" s="121"/>
      <c r="N50" s="121"/>
      <c r="O50" s="121"/>
      <c r="P50" s="121"/>
      <c r="Q50" s="121"/>
      <c r="R50" s="121"/>
      <c r="S50" s="121"/>
      <c r="T50" s="121"/>
      <c r="U50" s="108"/>
      <c r="V50" s="152"/>
      <c r="W50" s="152"/>
      <c r="X50" s="152"/>
      <c r="Y50" s="152"/>
      <c r="Z50" s="152"/>
      <c r="AA50" s="152"/>
      <c r="AB50" s="152"/>
      <c r="AC50" s="152"/>
      <c r="AD50" s="152"/>
      <c r="AE50" s="152"/>
      <c r="AF50" s="152"/>
      <c r="AG50" s="152"/>
      <c r="AH50" s="152"/>
      <c r="AI50" s="152"/>
      <c r="AJ50" s="152"/>
      <c r="AK50" s="152"/>
      <c r="AL50" s="152"/>
      <c r="AM50" s="152"/>
      <c r="AN50" s="152"/>
      <c r="AO50" s="152"/>
      <c r="AP50" s="108"/>
      <c r="AQ50" s="21"/>
      <c r="AR50" s="21"/>
      <c r="AS50" s="21"/>
      <c r="AT50" s="21"/>
      <c r="AU50" s="21"/>
      <c r="AV50" s="21"/>
      <c r="AW50" s="21"/>
      <c r="AX50" s="21"/>
      <c r="AY50" s="21"/>
      <c r="AZ50" s="21"/>
      <c r="BA50" s="21"/>
      <c r="BB50" s="21"/>
      <c r="BC50" s="21"/>
      <c r="BD50" s="21"/>
      <c r="BE50" s="108"/>
      <c r="BF50" s="49"/>
      <c r="BG50" s="49"/>
      <c r="BH50" s="49"/>
      <c r="BI50" s="219"/>
      <c r="BJ50" s="108"/>
    </row>
    <row r="51" spans="1:62" s="54" customFormat="1">
      <c r="A51" s="133"/>
      <c r="B51" s="176" t="s">
        <v>2042</v>
      </c>
      <c r="C51" s="114" t="str">
        <f>INDEX(Regional.Technologies[Description],MATCH($B$3&amp;"."&amp;B51,Regional.Technologies[Code],0))</f>
        <v>Global ship.passenger.international.fuel</v>
      </c>
      <c r="E51" s="121"/>
      <c r="F51" s="121"/>
      <c r="G51" s="121"/>
      <c r="H51" s="121"/>
      <c r="I51" s="121"/>
      <c r="J51" s="121"/>
      <c r="K51" s="121"/>
      <c r="L51" s="121"/>
      <c r="M51" s="121"/>
      <c r="N51" s="121"/>
      <c r="O51" s="121"/>
      <c r="P51" s="121"/>
      <c r="Q51" s="121"/>
      <c r="R51" s="121"/>
      <c r="S51" s="121"/>
      <c r="T51" s="121"/>
      <c r="U51" s="108"/>
      <c r="V51" s="152"/>
      <c r="W51" s="152"/>
      <c r="X51" s="152"/>
      <c r="Y51" s="152"/>
      <c r="Z51" s="152"/>
      <c r="AA51" s="152"/>
      <c r="AB51" s="152"/>
      <c r="AC51" s="152"/>
      <c r="AD51" s="152"/>
      <c r="AE51" s="152"/>
      <c r="AF51" s="152"/>
      <c r="AG51" s="152"/>
      <c r="AH51" s="152"/>
      <c r="AI51" s="152"/>
      <c r="AJ51" s="152"/>
      <c r="AK51" s="152"/>
      <c r="AL51" s="152"/>
      <c r="AM51" s="152"/>
      <c r="AN51" s="152"/>
      <c r="AO51" s="152"/>
      <c r="AP51" s="108"/>
      <c r="AQ51" s="21"/>
      <c r="AR51" s="21"/>
      <c r="AS51" s="21"/>
      <c r="AT51" s="21"/>
      <c r="AU51" s="21"/>
      <c r="AV51" s="21"/>
      <c r="AW51" s="21"/>
      <c r="AX51" s="21"/>
      <c r="AY51" s="21"/>
      <c r="AZ51" s="21"/>
      <c r="BA51" s="21"/>
      <c r="BB51" s="21"/>
      <c r="BC51" s="21"/>
      <c r="BD51" s="21"/>
      <c r="BE51" s="108"/>
      <c r="BF51" s="49"/>
      <c r="BG51" s="49"/>
      <c r="BH51" s="49"/>
      <c r="BI51" s="219"/>
      <c r="BJ51" s="108"/>
    </row>
    <row r="52" spans="1:62" s="54" customFormat="1">
      <c r="A52" s="133"/>
      <c r="B52" s="176" t="s">
        <v>2370</v>
      </c>
      <c r="C52" s="114" t="str">
        <f>INDEX(Regional.Technologies[Description],MATCH($B$3&amp;"."&amp;B52,Regional.Technologies[Code],0))</f>
        <v>Global ship.passenger.international.H2</v>
      </c>
      <c r="E52" s="121"/>
      <c r="F52" s="121"/>
      <c r="G52" s="121"/>
      <c r="H52" s="121"/>
      <c r="I52" s="121"/>
      <c r="J52" s="121"/>
      <c r="K52" s="121"/>
      <c r="L52" s="121"/>
      <c r="M52" s="121"/>
      <c r="N52" s="121"/>
      <c r="O52" s="121"/>
      <c r="P52" s="121"/>
      <c r="Q52" s="121"/>
      <c r="R52" s="121"/>
      <c r="S52" s="121"/>
      <c r="T52" s="121"/>
      <c r="U52" s="108"/>
      <c r="V52" s="152"/>
      <c r="W52" s="152"/>
      <c r="X52" s="152"/>
      <c r="Y52" s="152"/>
      <c r="Z52" s="152"/>
      <c r="AA52" s="152"/>
      <c r="AB52" s="152"/>
      <c r="AC52" s="152"/>
      <c r="AD52" s="152"/>
      <c r="AE52" s="152"/>
      <c r="AF52" s="152"/>
      <c r="AG52" s="152"/>
      <c r="AH52" s="152"/>
      <c r="AI52" s="152"/>
      <c r="AJ52" s="152"/>
      <c r="AK52" s="152"/>
      <c r="AL52" s="152"/>
      <c r="AM52" s="152"/>
      <c r="AN52" s="152"/>
      <c r="AO52" s="152"/>
      <c r="AP52" s="108"/>
      <c r="AQ52" s="21"/>
      <c r="AR52" s="21"/>
      <c r="AS52" s="21"/>
      <c r="AT52" s="21"/>
      <c r="AU52" s="21"/>
      <c r="AV52" s="21"/>
      <c r="AW52" s="21"/>
      <c r="AX52" s="21"/>
      <c r="AY52" s="21"/>
      <c r="AZ52" s="21"/>
      <c r="BA52" s="21"/>
      <c r="BB52" s="21"/>
      <c r="BC52" s="21"/>
      <c r="BD52" s="21"/>
      <c r="BE52" s="108"/>
      <c r="BF52" s="49"/>
      <c r="BG52" s="49"/>
      <c r="BH52" s="49"/>
      <c r="BI52" s="219"/>
      <c r="BJ52" s="108"/>
    </row>
    <row r="53" spans="1:62" s="54" customFormat="1">
      <c r="A53" s="133"/>
      <c r="B53" s="176" t="s">
        <v>2043</v>
      </c>
      <c r="C53" s="114" t="str">
        <f>INDEX(Regional.Technologies[Description],MATCH($B$3&amp;"."&amp;B53,Regional.Technologies[Code],0))</f>
        <v>Global train.passenger.international.fuel</v>
      </c>
      <c r="E53" s="121"/>
      <c r="F53" s="121"/>
      <c r="G53" s="121"/>
      <c r="H53" s="121"/>
      <c r="I53" s="121"/>
      <c r="J53" s="121"/>
      <c r="K53" s="121"/>
      <c r="L53" s="121"/>
      <c r="M53" s="121"/>
      <c r="N53" s="121"/>
      <c r="O53" s="121"/>
      <c r="P53" s="121"/>
      <c r="Q53" s="121"/>
      <c r="R53" s="121"/>
      <c r="S53" s="121"/>
      <c r="T53" s="121"/>
      <c r="U53" s="108"/>
      <c r="V53" s="152"/>
      <c r="W53" s="152"/>
      <c r="X53" s="152"/>
      <c r="Y53" s="152"/>
      <c r="Z53" s="152"/>
      <c r="AA53" s="152"/>
      <c r="AB53" s="152"/>
      <c r="AC53" s="152"/>
      <c r="AD53" s="152"/>
      <c r="AE53" s="152"/>
      <c r="AF53" s="152"/>
      <c r="AG53" s="152"/>
      <c r="AH53" s="152"/>
      <c r="AI53" s="152"/>
      <c r="AJ53" s="152"/>
      <c r="AK53" s="152"/>
      <c r="AL53" s="152"/>
      <c r="AM53" s="152"/>
      <c r="AN53" s="152"/>
      <c r="AO53" s="152"/>
      <c r="AP53" s="108"/>
      <c r="AQ53" s="21"/>
      <c r="AR53" s="21"/>
      <c r="AS53" s="21"/>
      <c r="AT53" s="21"/>
      <c r="AU53" s="21"/>
      <c r="AV53" s="21"/>
      <c r="AW53" s="21"/>
      <c r="AX53" s="21"/>
      <c r="AY53" s="21"/>
      <c r="AZ53" s="21"/>
      <c r="BA53" s="21"/>
      <c r="BB53" s="21"/>
      <c r="BC53" s="21"/>
      <c r="BD53" s="21"/>
      <c r="BE53" s="108"/>
      <c r="BF53" s="49"/>
      <c r="BG53" s="49"/>
      <c r="BH53" s="49"/>
      <c r="BI53" s="219"/>
      <c r="BJ53" s="108"/>
    </row>
    <row r="54" spans="1:62" s="54" customFormat="1">
      <c r="A54" s="133"/>
      <c r="B54" s="176" t="s">
        <v>2046</v>
      </c>
      <c r="C54" s="114" t="str">
        <f>INDEX(Regional.Technologies[Description],MATCH($B$3&amp;"."&amp;B54,Regional.Technologies[Code],0))</f>
        <v>Global train.passenger.international.elec</v>
      </c>
      <c r="E54" s="121"/>
      <c r="F54" s="121"/>
      <c r="G54" s="121"/>
      <c r="H54" s="121"/>
      <c r="I54" s="121"/>
      <c r="J54" s="121"/>
      <c r="K54" s="121"/>
      <c r="L54" s="121"/>
      <c r="M54" s="121"/>
      <c r="N54" s="121"/>
      <c r="O54" s="121"/>
      <c r="P54" s="121"/>
      <c r="Q54" s="121"/>
      <c r="R54" s="121"/>
      <c r="S54" s="121"/>
      <c r="T54" s="121"/>
      <c r="U54" s="108"/>
      <c r="V54" s="152"/>
      <c r="W54" s="152"/>
      <c r="X54" s="152"/>
      <c r="Y54" s="152"/>
      <c r="Z54" s="152"/>
      <c r="AA54" s="152"/>
      <c r="AB54" s="152"/>
      <c r="AC54" s="152"/>
      <c r="AD54" s="152"/>
      <c r="AE54" s="152"/>
      <c r="AF54" s="152"/>
      <c r="AG54" s="152"/>
      <c r="AH54" s="152"/>
      <c r="AI54" s="152"/>
      <c r="AJ54" s="152"/>
      <c r="AK54" s="152"/>
      <c r="AL54" s="152"/>
      <c r="AM54" s="152"/>
      <c r="AN54" s="152"/>
      <c r="AO54" s="152"/>
      <c r="AP54" s="108"/>
      <c r="AQ54" s="21"/>
      <c r="AR54" s="21"/>
      <c r="AS54" s="21"/>
      <c r="AT54" s="21"/>
      <c r="AU54" s="21"/>
      <c r="AV54" s="21"/>
      <c r="AW54" s="21"/>
      <c r="AX54" s="21"/>
      <c r="AY54" s="21"/>
      <c r="AZ54" s="21"/>
      <c r="BA54" s="21"/>
      <c r="BB54" s="21"/>
      <c r="BC54" s="21"/>
      <c r="BD54" s="21"/>
      <c r="BE54" s="108"/>
      <c r="BF54" s="49"/>
      <c r="BG54" s="49"/>
      <c r="BH54" s="49"/>
      <c r="BI54" s="219"/>
      <c r="BJ54" s="108"/>
    </row>
    <row r="55" spans="1:62" s="54" customFormat="1">
      <c r="A55" s="133"/>
      <c r="B55" s="176"/>
      <c r="E55" s="121"/>
      <c r="F55" s="121"/>
      <c r="G55" s="121"/>
      <c r="H55" s="121"/>
      <c r="I55" s="121"/>
      <c r="J55" s="121"/>
      <c r="K55" s="121"/>
      <c r="L55" s="121"/>
      <c r="M55" s="121"/>
      <c r="N55" s="121"/>
      <c r="O55" s="121"/>
      <c r="P55" s="121"/>
      <c r="Q55" s="121"/>
      <c r="R55" s="121"/>
      <c r="S55" s="121"/>
      <c r="T55" s="121"/>
      <c r="U55" s="108"/>
      <c r="V55" s="152"/>
      <c r="W55" s="152"/>
      <c r="X55" s="152"/>
      <c r="Y55" s="152"/>
      <c r="Z55" s="152"/>
      <c r="AA55" s="152"/>
      <c r="AB55" s="152"/>
      <c r="AC55" s="152"/>
      <c r="AD55" s="152"/>
      <c r="AE55" s="152"/>
      <c r="AF55" s="152"/>
      <c r="AG55" s="152"/>
      <c r="AH55" s="152"/>
      <c r="AI55" s="152"/>
      <c r="AJ55" s="152"/>
      <c r="AK55" s="152"/>
      <c r="AL55" s="152"/>
      <c r="AM55" s="152"/>
      <c r="AN55" s="152"/>
      <c r="AO55" s="152"/>
      <c r="AP55" s="108"/>
      <c r="AQ55" s="21"/>
      <c r="AR55" s="21"/>
      <c r="AS55" s="21"/>
      <c r="AT55" s="21"/>
      <c r="AU55" s="21"/>
      <c r="AV55" s="21"/>
      <c r="AW55" s="21"/>
      <c r="AX55" s="21"/>
      <c r="AY55" s="21"/>
      <c r="AZ55" s="21"/>
      <c r="BA55" s="21"/>
      <c r="BB55" s="21"/>
      <c r="BC55" s="21"/>
      <c r="BD55" s="21"/>
      <c r="BE55" s="108"/>
      <c r="BF55" s="49"/>
      <c r="BG55" s="49"/>
      <c r="BH55" s="49"/>
      <c r="BI55" s="219"/>
      <c r="BJ55" s="108"/>
    </row>
    <row r="56" spans="1:62" s="54" customFormat="1">
      <c r="A56" s="133"/>
      <c r="B56" s="176"/>
      <c r="C56" s="219" t="s">
        <v>2412</v>
      </c>
      <c r="E56" s="121"/>
      <c r="F56" s="121"/>
      <c r="G56" s="121"/>
      <c r="H56" s="121"/>
      <c r="I56" s="121"/>
      <c r="J56" s="121"/>
      <c r="K56" s="121"/>
      <c r="L56" s="121"/>
      <c r="M56" s="121"/>
      <c r="N56" s="121"/>
      <c r="O56" s="121"/>
      <c r="P56" s="121"/>
      <c r="Q56" s="121"/>
      <c r="R56" s="121"/>
      <c r="S56" s="121"/>
      <c r="T56" s="121"/>
      <c r="U56" s="108"/>
      <c r="V56" s="152"/>
      <c r="W56" s="152"/>
      <c r="X56" s="152"/>
      <c r="Y56" s="152"/>
      <c r="Z56" s="152"/>
      <c r="AA56" s="152"/>
      <c r="AB56" s="152"/>
      <c r="AC56" s="152"/>
      <c r="AD56" s="152"/>
      <c r="AE56" s="152"/>
      <c r="AF56" s="152"/>
      <c r="AG56" s="152"/>
      <c r="AH56" s="152"/>
      <c r="AI56" s="152"/>
      <c r="AJ56" s="152"/>
      <c r="AK56" s="152"/>
      <c r="AL56" s="152"/>
      <c r="AM56" s="152"/>
      <c r="AN56" s="152"/>
      <c r="AO56" s="152"/>
      <c r="AP56" s="108"/>
      <c r="AQ56" s="21"/>
      <c r="AR56" s="21"/>
      <c r="AS56" s="21"/>
      <c r="AT56" s="21"/>
      <c r="AU56" s="21"/>
      <c r="AV56" s="21"/>
      <c r="AW56" s="21"/>
      <c r="AX56" s="21"/>
      <c r="AY56" s="21"/>
      <c r="AZ56" s="21"/>
      <c r="BA56" s="21"/>
      <c r="BB56" s="21"/>
      <c r="BC56" s="21"/>
      <c r="BD56" s="21"/>
      <c r="BE56" s="108"/>
      <c r="BF56" s="49"/>
      <c r="BG56" s="49"/>
      <c r="BH56" s="49"/>
      <c r="BI56" s="219"/>
      <c r="BJ56" s="108"/>
    </row>
    <row r="57" spans="1:62" s="54" customFormat="1">
      <c r="A57" s="133"/>
      <c r="B57" s="176" t="s">
        <v>2371</v>
      </c>
      <c r="C57" s="114" t="str">
        <f>INDEX(Regional.Technologies[Description],MATCH($B$3&amp;"."&amp;B57,Regional.Technologies[Code],0))</f>
        <v>Global light.truck.domestic.fuel</v>
      </c>
      <c r="E57" s="121"/>
      <c r="F57" s="121"/>
      <c r="G57" s="121"/>
      <c r="H57" s="121"/>
      <c r="I57" s="121"/>
      <c r="J57" s="121"/>
      <c r="K57" s="121"/>
      <c r="L57" s="121"/>
      <c r="M57" s="121"/>
      <c r="N57" s="121"/>
      <c r="O57" s="121"/>
      <c r="P57" s="121"/>
      <c r="Q57" s="121"/>
      <c r="R57" s="121"/>
      <c r="S57" s="121"/>
      <c r="T57" s="121"/>
      <c r="U57" s="108"/>
      <c r="V57" s="152"/>
      <c r="W57" s="152"/>
      <c r="X57" s="152"/>
      <c r="Y57" s="152"/>
      <c r="Z57" s="152"/>
      <c r="AA57" s="152"/>
      <c r="AB57" s="152"/>
      <c r="AC57" s="152"/>
      <c r="AD57" s="152"/>
      <c r="AE57" s="152"/>
      <c r="AF57" s="152"/>
      <c r="AG57" s="152"/>
      <c r="AH57" s="152"/>
      <c r="AI57" s="152"/>
      <c r="AJ57" s="152"/>
      <c r="AK57" s="152"/>
      <c r="AL57" s="152"/>
      <c r="AM57" s="152"/>
      <c r="AN57" s="152"/>
      <c r="AO57" s="152"/>
      <c r="AP57" s="108"/>
      <c r="AQ57" s="21"/>
      <c r="AR57" s="21"/>
      <c r="AS57" s="21"/>
      <c r="AT57" s="21"/>
      <c r="AU57" s="21"/>
      <c r="AV57" s="21"/>
      <c r="AW57" s="21"/>
      <c r="AX57" s="21"/>
      <c r="AY57" s="21"/>
      <c r="AZ57" s="21"/>
      <c r="BA57" s="21"/>
      <c r="BB57" s="21"/>
      <c r="BC57" s="21"/>
      <c r="BD57" s="21"/>
      <c r="BE57" s="108"/>
      <c r="BF57" s="49"/>
      <c r="BG57" s="49"/>
      <c r="BH57" s="49"/>
      <c r="BI57" s="219"/>
      <c r="BJ57" s="108"/>
    </row>
    <row r="58" spans="1:62" s="54" customFormat="1">
      <c r="A58" s="133"/>
      <c r="B58" s="176" t="s">
        <v>2372</v>
      </c>
      <c r="C58" s="114" t="str">
        <f>INDEX(Regional.Technologies[Description],MATCH($B$3&amp;"."&amp;B58,Regional.Technologies[Code],0))</f>
        <v>Global light.truck.domestic.PH</v>
      </c>
      <c r="E58" s="121"/>
      <c r="F58" s="121"/>
      <c r="G58" s="121"/>
      <c r="H58" s="121"/>
      <c r="I58" s="121"/>
      <c r="J58" s="121"/>
      <c r="K58" s="121"/>
      <c r="L58" s="121"/>
      <c r="M58" s="121"/>
      <c r="N58" s="121"/>
      <c r="O58" s="121"/>
      <c r="P58" s="121"/>
      <c r="Q58" s="121"/>
      <c r="R58" s="121"/>
      <c r="S58" s="121"/>
      <c r="T58" s="121"/>
      <c r="U58" s="108"/>
      <c r="V58" s="152"/>
      <c r="W58" s="152"/>
      <c r="X58" s="152"/>
      <c r="Y58" s="152"/>
      <c r="Z58" s="152"/>
      <c r="AA58" s="152"/>
      <c r="AB58" s="152"/>
      <c r="AC58" s="152"/>
      <c r="AD58" s="152"/>
      <c r="AE58" s="152"/>
      <c r="AF58" s="152"/>
      <c r="AG58" s="152"/>
      <c r="AH58" s="152"/>
      <c r="AI58" s="152"/>
      <c r="AJ58" s="152"/>
      <c r="AK58" s="152"/>
      <c r="AL58" s="152"/>
      <c r="AM58" s="152"/>
      <c r="AN58" s="152"/>
      <c r="AO58" s="152"/>
      <c r="AP58" s="108"/>
      <c r="AQ58" s="21"/>
      <c r="AR58" s="21"/>
      <c r="AS58" s="21"/>
      <c r="AT58" s="21"/>
      <c r="AU58" s="21"/>
      <c r="AV58" s="21"/>
      <c r="AW58" s="21"/>
      <c r="AX58" s="21"/>
      <c r="AY58" s="21"/>
      <c r="AZ58" s="21"/>
      <c r="BA58" s="21"/>
      <c r="BB58" s="21"/>
      <c r="BC58" s="21"/>
      <c r="BD58" s="21"/>
      <c r="BE58" s="108"/>
      <c r="BF58" s="49"/>
      <c r="BG58" s="49"/>
      <c r="BH58" s="49"/>
      <c r="BI58" s="219"/>
      <c r="BJ58" s="108"/>
    </row>
    <row r="59" spans="1:62" s="54" customFormat="1">
      <c r="A59" s="133"/>
      <c r="B59" s="176" t="s">
        <v>2372</v>
      </c>
      <c r="C59" s="114" t="str">
        <f>INDEX(Regional.Technologies[Description],MATCH($B$3&amp;"."&amp;B59,Regional.Technologies[Code],0))</f>
        <v>Global light.truck.domestic.PH</v>
      </c>
      <c r="E59" s="121"/>
      <c r="F59" s="121"/>
      <c r="G59" s="121"/>
      <c r="H59" s="121"/>
      <c r="I59" s="121"/>
      <c r="J59" s="121"/>
      <c r="K59" s="121"/>
      <c r="L59" s="121"/>
      <c r="M59" s="121"/>
      <c r="N59" s="121"/>
      <c r="O59" s="121"/>
      <c r="P59" s="121"/>
      <c r="Q59" s="121"/>
      <c r="R59" s="121"/>
      <c r="S59" s="121"/>
      <c r="T59" s="121"/>
      <c r="U59" s="108"/>
      <c r="V59" s="152"/>
      <c r="W59" s="152"/>
      <c r="X59" s="152"/>
      <c r="Y59" s="152"/>
      <c r="Z59" s="152"/>
      <c r="AA59" s="152"/>
      <c r="AB59" s="152"/>
      <c r="AC59" s="152"/>
      <c r="AD59" s="152"/>
      <c r="AE59" s="152"/>
      <c r="AF59" s="152"/>
      <c r="AG59" s="152"/>
      <c r="AH59" s="152"/>
      <c r="AI59" s="152"/>
      <c r="AJ59" s="152"/>
      <c r="AK59" s="152"/>
      <c r="AL59" s="152"/>
      <c r="AM59" s="152"/>
      <c r="AN59" s="152"/>
      <c r="AO59" s="152"/>
      <c r="AP59" s="108"/>
      <c r="AQ59" s="21"/>
      <c r="AR59" s="21"/>
      <c r="AS59" s="21"/>
      <c r="AT59" s="21"/>
      <c r="AU59" s="21"/>
      <c r="AV59" s="21"/>
      <c r="AW59" s="21"/>
      <c r="AX59" s="21"/>
      <c r="AY59" s="21"/>
      <c r="AZ59" s="21"/>
      <c r="BA59" s="21"/>
      <c r="BB59" s="21"/>
      <c r="BC59" s="21"/>
      <c r="BD59" s="21"/>
      <c r="BE59" s="108"/>
      <c r="BF59" s="49"/>
      <c r="BG59" s="49"/>
      <c r="BH59" s="49"/>
      <c r="BI59" s="219"/>
      <c r="BJ59" s="108"/>
    </row>
    <row r="60" spans="1:62" s="54" customFormat="1">
      <c r="A60" s="133"/>
      <c r="B60" s="176" t="s">
        <v>2373</v>
      </c>
      <c r="C60" s="114" t="str">
        <f>INDEX(Regional.Technologies[Description],MATCH($B$3&amp;"."&amp;B60,Regional.Technologies[Code],0))</f>
        <v>Global light.truck.domestic.EV</v>
      </c>
      <c r="E60" s="121"/>
      <c r="F60" s="121"/>
      <c r="G60" s="121"/>
      <c r="H60" s="121"/>
      <c r="I60" s="121"/>
      <c r="J60" s="121"/>
      <c r="K60" s="121"/>
      <c r="L60" s="121"/>
      <c r="M60" s="121"/>
      <c r="N60" s="121"/>
      <c r="O60" s="121"/>
      <c r="P60" s="121"/>
      <c r="Q60" s="121"/>
      <c r="R60" s="121"/>
      <c r="S60" s="121"/>
      <c r="T60" s="121"/>
      <c r="U60" s="108"/>
      <c r="V60" s="152"/>
      <c r="W60" s="152"/>
      <c r="X60" s="152"/>
      <c r="Y60" s="152"/>
      <c r="Z60" s="152"/>
      <c r="AA60" s="152"/>
      <c r="AB60" s="152"/>
      <c r="AC60" s="152"/>
      <c r="AD60" s="152"/>
      <c r="AE60" s="152"/>
      <c r="AF60" s="152"/>
      <c r="AG60" s="152"/>
      <c r="AH60" s="152"/>
      <c r="AI60" s="152"/>
      <c r="AJ60" s="152"/>
      <c r="AK60" s="152"/>
      <c r="AL60" s="152"/>
      <c r="AM60" s="152"/>
      <c r="AN60" s="152"/>
      <c r="AO60" s="152"/>
      <c r="AP60" s="108"/>
      <c r="AQ60" s="21"/>
      <c r="AR60" s="21"/>
      <c r="AS60" s="21"/>
      <c r="AT60" s="21"/>
      <c r="AU60" s="21"/>
      <c r="AV60" s="21"/>
      <c r="AW60" s="21"/>
      <c r="AX60" s="21"/>
      <c r="AY60" s="21"/>
      <c r="AZ60" s="21"/>
      <c r="BA60" s="21"/>
      <c r="BB60" s="21"/>
      <c r="BC60" s="21"/>
      <c r="BD60" s="21"/>
      <c r="BE60" s="108"/>
      <c r="BF60" s="49"/>
      <c r="BG60" s="49"/>
      <c r="BH60" s="49"/>
      <c r="BI60" s="219"/>
      <c r="BJ60" s="108"/>
    </row>
    <row r="61" spans="1:62" s="54" customFormat="1">
      <c r="A61" s="133"/>
      <c r="B61" s="176" t="s">
        <v>2374</v>
      </c>
      <c r="C61" s="114" t="str">
        <f>INDEX(Regional.Technologies[Description],MATCH($B$3&amp;"."&amp;B61,Regional.Technologies[Code],0))</f>
        <v>Global light.truck.domestic.H2</v>
      </c>
      <c r="E61" s="121"/>
      <c r="F61" s="121"/>
      <c r="G61" s="121"/>
      <c r="H61" s="121"/>
      <c r="I61" s="121"/>
      <c r="J61" s="121"/>
      <c r="K61" s="121"/>
      <c r="L61" s="121"/>
      <c r="M61" s="121"/>
      <c r="N61" s="121"/>
      <c r="O61" s="121"/>
      <c r="P61" s="121"/>
      <c r="Q61" s="121"/>
      <c r="R61" s="121"/>
      <c r="S61" s="121"/>
      <c r="T61" s="121"/>
      <c r="U61" s="108"/>
      <c r="V61" s="152"/>
      <c r="W61" s="152"/>
      <c r="X61" s="152"/>
      <c r="Y61" s="152"/>
      <c r="Z61" s="152"/>
      <c r="AA61" s="152"/>
      <c r="AB61" s="152"/>
      <c r="AC61" s="152"/>
      <c r="AD61" s="152"/>
      <c r="AE61" s="152"/>
      <c r="AF61" s="152"/>
      <c r="AG61" s="152"/>
      <c r="AH61" s="152"/>
      <c r="AI61" s="152"/>
      <c r="AJ61" s="152"/>
      <c r="AK61" s="152"/>
      <c r="AL61" s="152"/>
      <c r="AM61" s="152"/>
      <c r="AN61" s="152"/>
      <c r="AO61" s="152"/>
      <c r="AP61" s="108"/>
      <c r="AQ61" s="21"/>
      <c r="AR61" s="21"/>
      <c r="AS61" s="21"/>
      <c r="AT61" s="21"/>
      <c r="AU61" s="21"/>
      <c r="AV61" s="21"/>
      <c r="AW61" s="21"/>
      <c r="AX61" s="21"/>
      <c r="AY61" s="21"/>
      <c r="AZ61" s="21"/>
      <c r="BA61" s="21"/>
      <c r="BB61" s="21"/>
      <c r="BC61" s="21"/>
      <c r="BD61" s="21"/>
      <c r="BE61" s="108"/>
      <c r="BF61" s="49"/>
      <c r="BG61" s="49"/>
      <c r="BH61" s="49"/>
      <c r="BI61" s="219"/>
      <c r="BJ61" s="108"/>
    </row>
    <row r="62" spans="1:62" s="54" customFormat="1">
      <c r="A62" s="133"/>
      <c r="B62" s="176" t="s">
        <v>2375</v>
      </c>
      <c r="C62" s="114" t="str">
        <f>INDEX(Regional.Technologies[Description],MATCH($B$3&amp;"."&amp;B62,Regional.Technologies[Code],0))</f>
        <v>Global heavy.truck.domestic.fuel</v>
      </c>
      <c r="E62" s="121"/>
      <c r="F62" s="121"/>
      <c r="G62" s="121"/>
      <c r="H62" s="121"/>
      <c r="I62" s="121"/>
      <c r="J62" s="121"/>
      <c r="K62" s="121"/>
      <c r="L62" s="121"/>
      <c r="M62" s="121"/>
      <c r="N62" s="121"/>
      <c r="O62" s="121"/>
      <c r="P62" s="121"/>
      <c r="Q62" s="121"/>
      <c r="R62" s="121"/>
      <c r="S62" s="121"/>
      <c r="T62" s="121"/>
      <c r="U62" s="108"/>
      <c r="V62" s="152"/>
      <c r="W62" s="152"/>
      <c r="X62" s="152"/>
      <c r="Y62" s="152"/>
      <c r="Z62" s="152"/>
      <c r="AA62" s="152"/>
      <c r="AB62" s="152"/>
      <c r="AC62" s="152"/>
      <c r="AD62" s="152"/>
      <c r="AE62" s="152"/>
      <c r="AF62" s="152"/>
      <c r="AG62" s="152"/>
      <c r="AH62" s="152"/>
      <c r="AI62" s="152"/>
      <c r="AJ62" s="152"/>
      <c r="AK62" s="152"/>
      <c r="AL62" s="152"/>
      <c r="AM62" s="152"/>
      <c r="AN62" s="152"/>
      <c r="AO62" s="152"/>
      <c r="AP62" s="108"/>
      <c r="AQ62" s="21"/>
      <c r="AR62" s="21"/>
      <c r="AS62" s="21"/>
      <c r="AT62" s="21"/>
      <c r="AU62" s="21"/>
      <c r="AV62" s="21"/>
      <c r="AW62" s="21"/>
      <c r="AX62" s="21"/>
      <c r="AY62" s="21"/>
      <c r="AZ62" s="21"/>
      <c r="BA62" s="21"/>
      <c r="BB62" s="21"/>
      <c r="BC62" s="21"/>
      <c r="BD62" s="21"/>
      <c r="BE62" s="108"/>
      <c r="BF62" s="49"/>
      <c r="BG62" s="49"/>
      <c r="BH62" s="49"/>
      <c r="BI62" s="219"/>
      <c r="BJ62" s="108"/>
    </row>
    <row r="63" spans="1:62" s="54" customFormat="1">
      <c r="A63" s="133"/>
      <c r="B63" s="176" t="s">
        <v>2376</v>
      </c>
      <c r="C63" s="114" t="str">
        <f>INDEX(Regional.Technologies[Description],MATCH($B$3&amp;"."&amp;B63,Regional.Technologies[Code],0))</f>
        <v>Global heavy.truck.domestic.PH</v>
      </c>
      <c r="E63" s="121"/>
      <c r="F63" s="121"/>
      <c r="G63" s="121"/>
      <c r="H63" s="121"/>
      <c r="I63" s="121"/>
      <c r="J63" s="121"/>
      <c r="K63" s="121"/>
      <c r="L63" s="121"/>
      <c r="M63" s="121"/>
      <c r="N63" s="121"/>
      <c r="O63" s="121"/>
      <c r="P63" s="121"/>
      <c r="Q63" s="121"/>
      <c r="R63" s="121"/>
      <c r="S63" s="121"/>
      <c r="T63" s="121"/>
      <c r="U63" s="108"/>
      <c r="V63" s="152"/>
      <c r="W63" s="152"/>
      <c r="X63" s="152"/>
      <c r="Y63" s="152"/>
      <c r="Z63" s="152"/>
      <c r="AA63" s="152"/>
      <c r="AB63" s="152"/>
      <c r="AC63" s="152"/>
      <c r="AD63" s="152"/>
      <c r="AE63" s="152"/>
      <c r="AF63" s="152"/>
      <c r="AG63" s="152"/>
      <c r="AH63" s="152"/>
      <c r="AI63" s="152"/>
      <c r="AJ63" s="152"/>
      <c r="AK63" s="152"/>
      <c r="AL63" s="152"/>
      <c r="AM63" s="152"/>
      <c r="AN63" s="152"/>
      <c r="AO63" s="152"/>
      <c r="AP63" s="108"/>
      <c r="AQ63" s="21"/>
      <c r="AR63" s="21"/>
      <c r="AS63" s="21"/>
      <c r="AT63" s="21"/>
      <c r="AU63" s="21"/>
      <c r="AV63" s="21"/>
      <c r="AW63" s="21"/>
      <c r="AX63" s="21"/>
      <c r="AY63" s="21"/>
      <c r="AZ63" s="21"/>
      <c r="BA63" s="21"/>
      <c r="BB63" s="21"/>
      <c r="BC63" s="21"/>
      <c r="BD63" s="21"/>
      <c r="BE63" s="108"/>
      <c r="BF63" s="49"/>
      <c r="BG63" s="49"/>
      <c r="BH63" s="49"/>
      <c r="BI63" s="219"/>
      <c r="BJ63" s="108"/>
    </row>
    <row r="64" spans="1:62" s="54" customFormat="1">
      <c r="A64" s="133"/>
      <c r="B64" s="176" t="s">
        <v>2376</v>
      </c>
      <c r="C64" s="114" t="str">
        <f>INDEX(Regional.Technologies[Description],MATCH($B$3&amp;"."&amp;B64,Regional.Technologies[Code],0))</f>
        <v>Global heavy.truck.domestic.PH</v>
      </c>
      <c r="E64" s="121"/>
      <c r="F64" s="121"/>
      <c r="G64" s="121"/>
      <c r="H64" s="121"/>
      <c r="I64" s="121"/>
      <c r="J64" s="121"/>
      <c r="K64" s="121"/>
      <c r="L64" s="121"/>
      <c r="M64" s="121"/>
      <c r="N64" s="121"/>
      <c r="O64" s="121"/>
      <c r="P64" s="121"/>
      <c r="Q64" s="121"/>
      <c r="R64" s="121"/>
      <c r="S64" s="121"/>
      <c r="T64" s="121"/>
      <c r="U64" s="108"/>
      <c r="V64" s="152"/>
      <c r="W64" s="152"/>
      <c r="X64" s="152"/>
      <c r="Y64" s="152"/>
      <c r="Z64" s="152"/>
      <c r="AA64" s="152"/>
      <c r="AB64" s="152"/>
      <c r="AC64" s="152"/>
      <c r="AD64" s="152"/>
      <c r="AE64" s="152"/>
      <c r="AF64" s="152"/>
      <c r="AG64" s="152"/>
      <c r="AH64" s="152"/>
      <c r="AI64" s="152"/>
      <c r="AJ64" s="152"/>
      <c r="AK64" s="152"/>
      <c r="AL64" s="152"/>
      <c r="AM64" s="152"/>
      <c r="AN64" s="152"/>
      <c r="AO64" s="152"/>
      <c r="AP64" s="108"/>
      <c r="AQ64" s="21"/>
      <c r="AR64" s="21"/>
      <c r="AS64" s="21"/>
      <c r="AT64" s="21"/>
      <c r="AU64" s="21"/>
      <c r="AV64" s="21"/>
      <c r="AW64" s="21"/>
      <c r="AX64" s="21"/>
      <c r="AY64" s="21"/>
      <c r="AZ64" s="21"/>
      <c r="BA64" s="21"/>
      <c r="BB64" s="21"/>
      <c r="BC64" s="21"/>
      <c r="BD64" s="21"/>
      <c r="BE64" s="108"/>
      <c r="BF64" s="49"/>
      <c r="BG64" s="49"/>
      <c r="BH64" s="49"/>
      <c r="BI64" s="219"/>
      <c r="BJ64" s="108"/>
    </row>
    <row r="65" spans="1:62" s="54" customFormat="1">
      <c r="A65" s="133"/>
      <c r="B65" s="176" t="s">
        <v>2377</v>
      </c>
      <c r="C65" s="114" t="str">
        <f>INDEX(Regional.Technologies[Description],MATCH($B$3&amp;"."&amp;B65,Regional.Technologies[Code],0))</f>
        <v>Global heavy.truck.domestic.EV</v>
      </c>
      <c r="E65" s="121"/>
      <c r="F65" s="121"/>
      <c r="G65" s="121"/>
      <c r="H65" s="121"/>
      <c r="I65" s="121"/>
      <c r="J65" s="121"/>
      <c r="K65" s="121"/>
      <c r="L65" s="121"/>
      <c r="M65" s="121"/>
      <c r="N65" s="121"/>
      <c r="O65" s="121"/>
      <c r="P65" s="121"/>
      <c r="Q65" s="121"/>
      <c r="R65" s="121"/>
      <c r="S65" s="121"/>
      <c r="T65" s="121"/>
      <c r="U65" s="108"/>
      <c r="V65" s="152"/>
      <c r="W65" s="152"/>
      <c r="X65" s="152"/>
      <c r="Y65" s="152"/>
      <c r="Z65" s="152"/>
      <c r="AA65" s="152"/>
      <c r="AB65" s="152"/>
      <c r="AC65" s="152"/>
      <c r="AD65" s="152"/>
      <c r="AE65" s="152"/>
      <c r="AF65" s="152"/>
      <c r="AG65" s="152"/>
      <c r="AH65" s="152"/>
      <c r="AI65" s="152"/>
      <c r="AJ65" s="152"/>
      <c r="AK65" s="152"/>
      <c r="AL65" s="152"/>
      <c r="AM65" s="152"/>
      <c r="AN65" s="152"/>
      <c r="AO65" s="152"/>
      <c r="AP65" s="108"/>
      <c r="AQ65" s="21"/>
      <c r="AR65" s="21"/>
      <c r="AS65" s="21"/>
      <c r="AT65" s="21"/>
      <c r="AU65" s="21"/>
      <c r="AV65" s="21"/>
      <c r="AW65" s="21"/>
      <c r="AX65" s="21"/>
      <c r="AY65" s="21"/>
      <c r="AZ65" s="21"/>
      <c r="BA65" s="21"/>
      <c r="BB65" s="21"/>
      <c r="BC65" s="21"/>
      <c r="BD65" s="21"/>
      <c r="BE65" s="108"/>
      <c r="BF65" s="49"/>
      <c r="BG65" s="49"/>
      <c r="BH65" s="49"/>
      <c r="BI65" s="219"/>
      <c r="BJ65" s="108"/>
    </row>
    <row r="66" spans="1:62" s="54" customFormat="1">
      <c r="A66" s="133"/>
      <c r="B66" s="176" t="s">
        <v>2378</v>
      </c>
      <c r="C66" s="114" t="str">
        <f>INDEX(Regional.Technologies[Description],MATCH($B$3&amp;"."&amp;B66,Regional.Technologies[Code],0))</f>
        <v>Global heavy.truck.domestic.H2</v>
      </c>
      <c r="E66" s="121"/>
      <c r="F66" s="121"/>
      <c r="G66" s="121"/>
      <c r="H66" s="121"/>
      <c r="I66" s="121"/>
      <c r="J66" s="121"/>
      <c r="K66" s="121"/>
      <c r="L66" s="121"/>
      <c r="M66" s="121"/>
      <c r="N66" s="121"/>
      <c r="O66" s="121"/>
      <c r="P66" s="121"/>
      <c r="Q66" s="121"/>
      <c r="R66" s="121"/>
      <c r="S66" s="121"/>
      <c r="T66" s="121"/>
      <c r="U66" s="108"/>
      <c r="V66" s="152"/>
      <c r="W66" s="152"/>
      <c r="X66" s="152"/>
      <c r="Y66" s="152"/>
      <c r="Z66" s="152"/>
      <c r="AA66" s="152"/>
      <c r="AB66" s="152"/>
      <c r="AC66" s="152"/>
      <c r="AD66" s="152"/>
      <c r="AE66" s="152"/>
      <c r="AF66" s="152"/>
      <c r="AG66" s="152"/>
      <c r="AH66" s="152"/>
      <c r="AI66" s="152"/>
      <c r="AJ66" s="152"/>
      <c r="AK66" s="152"/>
      <c r="AL66" s="152"/>
      <c r="AM66" s="152"/>
      <c r="AN66" s="152"/>
      <c r="AO66" s="152"/>
      <c r="AP66" s="108"/>
      <c r="AQ66" s="21"/>
      <c r="AR66" s="21"/>
      <c r="AS66" s="21"/>
      <c r="AT66" s="21"/>
      <c r="AU66" s="21"/>
      <c r="AV66" s="21"/>
      <c r="AW66" s="21"/>
      <c r="AX66" s="21"/>
      <c r="AY66" s="21"/>
      <c r="AZ66" s="21"/>
      <c r="BA66" s="21"/>
      <c r="BB66" s="21"/>
      <c r="BC66" s="21"/>
      <c r="BD66" s="21"/>
      <c r="BE66" s="108"/>
      <c r="BF66" s="49"/>
      <c r="BG66" s="49"/>
      <c r="BH66" s="49"/>
      <c r="BI66" s="219"/>
      <c r="BJ66" s="108"/>
    </row>
    <row r="67" spans="1:62" s="54" customFormat="1">
      <c r="A67" s="133"/>
      <c r="B67" s="176" t="s">
        <v>2379</v>
      </c>
      <c r="C67" s="114" t="str">
        <f>INDEX(Regional.Technologies[Description],MATCH($B$3&amp;"."&amp;B67,Regional.Technologies[Code],0))</f>
        <v>Global train.freight.domestic.fuel</v>
      </c>
      <c r="E67" s="121"/>
      <c r="F67" s="121"/>
      <c r="G67" s="121"/>
      <c r="H67" s="121"/>
      <c r="I67" s="121"/>
      <c r="J67" s="121"/>
      <c r="K67" s="121"/>
      <c r="L67" s="121"/>
      <c r="M67" s="121"/>
      <c r="N67" s="121"/>
      <c r="O67" s="121"/>
      <c r="P67" s="121"/>
      <c r="Q67" s="121"/>
      <c r="R67" s="121"/>
      <c r="S67" s="121"/>
      <c r="T67" s="121"/>
      <c r="U67" s="108"/>
      <c r="V67" s="152"/>
      <c r="W67" s="152"/>
      <c r="X67" s="152"/>
      <c r="Y67" s="152"/>
      <c r="Z67" s="152"/>
      <c r="AA67" s="152"/>
      <c r="AB67" s="152"/>
      <c r="AC67" s="152"/>
      <c r="AD67" s="152"/>
      <c r="AE67" s="152"/>
      <c r="AF67" s="152"/>
      <c r="AG67" s="152"/>
      <c r="AH67" s="152"/>
      <c r="AI67" s="152"/>
      <c r="AJ67" s="152"/>
      <c r="AK67" s="152"/>
      <c r="AL67" s="152"/>
      <c r="AM67" s="152"/>
      <c r="AN67" s="152"/>
      <c r="AO67" s="152"/>
      <c r="AP67" s="108"/>
      <c r="AQ67" s="21"/>
      <c r="AR67" s="21"/>
      <c r="AS67" s="21"/>
      <c r="AT67" s="21"/>
      <c r="AU67" s="21"/>
      <c r="AV67" s="21"/>
      <c r="AW67" s="21"/>
      <c r="AX67" s="21"/>
      <c r="AY67" s="21"/>
      <c r="AZ67" s="21"/>
      <c r="BA67" s="21"/>
      <c r="BB67" s="21"/>
      <c r="BC67" s="21"/>
      <c r="BD67" s="21"/>
      <c r="BE67" s="108"/>
      <c r="BF67" s="49"/>
      <c r="BG67" s="49"/>
      <c r="BH67" s="49"/>
      <c r="BI67" s="219"/>
      <c r="BJ67" s="108"/>
    </row>
    <row r="68" spans="1:62" s="54" customFormat="1">
      <c r="A68" s="133"/>
      <c r="B68" s="176" t="s">
        <v>2380</v>
      </c>
      <c r="C68" s="114" t="str">
        <f>INDEX(Regional.Technologies[Description],MATCH($B$3&amp;"."&amp;B68,Regional.Technologies[Code],0))</f>
        <v>Global train.freight.domestic.elec</v>
      </c>
      <c r="E68" s="121"/>
      <c r="F68" s="121"/>
      <c r="G68" s="121"/>
      <c r="H68" s="121"/>
      <c r="I68" s="121"/>
      <c r="J68" s="121"/>
      <c r="K68" s="121"/>
      <c r="L68" s="121"/>
      <c r="M68" s="121"/>
      <c r="N68" s="121"/>
      <c r="O68" s="121"/>
      <c r="P68" s="121"/>
      <c r="Q68" s="121"/>
      <c r="R68" s="121"/>
      <c r="S68" s="121"/>
      <c r="T68" s="121"/>
      <c r="U68" s="108"/>
      <c r="V68" s="152"/>
      <c r="W68" s="152"/>
      <c r="X68" s="152"/>
      <c r="Y68" s="152"/>
      <c r="Z68" s="152"/>
      <c r="AA68" s="152"/>
      <c r="AB68" s="152"/>
      <c r="AC68" s="152"/>
      <c r="AD68" s="152"/>
      <c r="AE68" s="152"/>
      <c r="AF68" s="152"/>
      <c r="AG68" s="152"/>
      <c r="AH68" s="152"/>
      <c r="AI68" s="152"/>
      <c r="AJ68" s="152"/>
      <c r="AK68" s="152"/>
      <c r="AL68" s="152"/>
      <c r="AM68" s="152"/>
      <c r="AN68" s="152"/>
      <c r="AO68" s="152"/>
      <c r="AP68" s="108"/>
      <c r="AQ68" s="21"/>
      <c r="AR68" s="21"/>
      <c r="AS68" s="21"/>
      <c r="AT68" s="21"/>
      <c r="AU68" s="21"/>
      <c r="AV68" s="21"/>
      <c r="AW68" s="21"/>
      <c r="AX68" s="21"/>
      <c r="AY68" s="21"/>
      <c r="AZ68" s="21"/>
      <c r="BA68" s="21"/>
      <c r="BB68" s="21"/>
      <c r="BC68" s="21"/>
      <c r="BD68" s="21"/>
      <c r="BE68" s="108"/>
      <c r="BF68" s="49"/>
      <c r="BG68" s="49"/>
      <c r="BH68" s="49"/>
      <c r="BI68" s="219"/>
      <c r="BJ68" s="108"/>
    </row>
    <row r="69" spans="1:62" s="54" customFormat="1">
      <c r="A69" s="133"/>
      <c r="B69" s="176" t="s">
        <v>2381</v>
      </c>
      <c r="C69" s="114" t="str">
        <f>INDEX(Regional.Technologies[Description],MATCH($B$3&amp;"."&amp;B69,Regional.Technologies[Code],0))</f>
        <v>Global ship.freight.domestic.fuel</v>
      </c>
      <c r="E69" s="121"/>
      <c r="F69" s="121"/>
      <c r="G69" s="121"/>
      <c r="H69" s="121"/>
      <c r="I69" s="121"/>
      <c r="J69" s="121"/>
      <c r="K69" s="121"/>
      <c r="L69" s="121"/>
      <c r="M69" s="121"/>
      <c r="N69" s="121"/>
      <c r="O69" s="121"/>
      <c r="P69" s="121"/>
      <c r="Q69" s="121"/>
      <c r="R69" s="121"/>
      <c r="S69" s="121"/>
      <c r="T69" s="121"/>
      <c r="U69" s="108"/>
      <c r="V69" s="152"/>
      <c r="W69" s="152"/>
      <c r="X69" s="152"/>
      <c r="Y69" s="152"/>
      <c r="Z69" s="152"/>
      <c r="AA69" s="152"/>
      <c r="AB69" s="152"/>
      <c r="AC69" s="152"/>
      <c r="AD69" s="152"/>
      <c r="AE69" s="152"/>
      <c r="AF69" s="152"/>
      <c r="AG69" s="152"/>
      <c r="AH69" s="152"/>
      <c r="AI69" s="152"/>
      <c r="AJ69" s="152"/>
      <c r="AK69" s="152"/>
      <c r="AL69" s="152"/>
      <c r="AM69" s="152"/>
      <c r="AN69" s="152"/>
      <c r="AO69" s="152"/>
      <c r="AP69" s="108"/>
      <c r="AQ69" s="21"/>
      <c r="AR69" s="21"/>
      <c r="AS69" s="21"/>
      <c r="AT69" s="21"/>
      <c r="AU69" s="21"/>
      <c r="AV69" s="21"/>
      <c r="AW69" s="21"/>
      <c r="AX69" s="21"/>
      <c r="AY69" s="21"/>
      <c r="AZ69" s="21"/>
      <c r="BA69" s="21"/>
      <c r="BB69" s="21"/>
      <c r="BC69" s="21"/>
      <c r="BD69" s="21"/>
      <c r="BE69" s="108"/>
      <c r="BF69" s="49"/>
      <c r="BG69" s="49"/>
      <c r="BH69" s="49"/>
      <c r="BI69" s="219"/>
      <c r="BJ69" s="108"/>
    </row>
    <row r="70" spans="1:62">
      <c r="B70" s="176" t="s">
        <v>2382</v>
      </c>
      <c r="C70" s="114" t="str">
        <f>INDEX(Regional.Technologies[Description],MATCH($B$3&amp;"."&amp;B70,Regional.Technologies[Code],0))</f>
        <v>Global ship.freight.domestic.H2</v>
      </c>
      <c r="E70" s="121"/>
      <c r="F70" s="121"/>
      <c r="G70" s="121"/>
      <c r="H70" s="121"/>
      <c r="I70" s="121"/>
      <c r="J70" s="121"/>
      <c r="K70" s="121"/>
      <c r="L70" s="121"/>
      <c r="M70" s="121"/>
      <c r="N70" s="121"/>
      <c r="O70" s="121"/>
      <c r="P70" s="121"/>
      <c r="Q70" s="121"/>
      <c r="R70" s="121"/>
      <c r="S70" s="121"/>
      <c r="T70" s="121"/>
      <c r="U70" s="58"/>
      <c r="V70" s="152"/>
      <c r="W70" s="152"/>
      <c r="X70" s="152"/>
      <c r="Y70" s="152"/>
      <c r="Z70" s="152"/>
      <c r="AA70" s="152"/>
      <c r="AB70" s="152"/>
      <c r="AC70" s="152"/>
      <c r="AD70" s="152"/>
      <c r="AE70" s="152"/>
      <c r="AF70" s="152"/>
      <c r="AG70" s="152"/>
      <c r="AH70" s="152"/>
      <c r="AI70" s="152"/>
      <c r="AJ70" s="152"/>
      <c r="AK70" s="152"/>
      <c r="AL70" s="152"/>
      <c r="AM70" s="152"/>
      <c r="AN70" s="152"/>
      <c r="AO70" s="152"/>
      <c r="AP70" s="58"/>
      <c r="AQ70" s="21"/>
      <c r="AR70" s="21"/>
      <c r="AS70" s="21"/>
      <c r="AT70" s="21"/>
      <c r="AU70" s="21"/>
      <c r="AV70" s="21"/>
      <c r="AW70" s="21"/>
      <c r="AX70" s="21"/>
      <c r="AY70" s="21"/>
      <c r="AZ70" s="21"/>
      <c r="BA70" s="21"/>
      <c r="BB70" s="21"/>
      <c r="BC70" s="21"/>
      <c r="BD70" s="21"/>
      <c r="BE70" s="58"/>
      <c r="BF70" s="49"/>
      <c r="BG70" s="49"/>
      <c r="BH70" s="49"/>
      <c r="BJ70" s="58"/>
    </row>
    <row r="71" spans="1:62">
      <c r="E71" s="121"/>
      <c r="F71" s="121"/>
      <c r="G71" s="121"/>
      <c r="H71" s="121"/>
      <c r="I71" s="121"/>
      <c r="J71" s="121"/>
      <c r="K71" s="121"/>
      <c r="L71" s="121"/>
      <c r="M71" s="121"/>
      <c r="N71" s="121"/>
      <c r="O71" s="121"/>
      <c r="P71" s="121"/>
      <c r="Q71" s="121"/>
      <c r="R71" s="121"/>
      <c r="S71" s="121"/>
      <c r="T71" s="121"/>
      <c r="U71" s="58"/>
      <c r="V71" s="152"/>
      <c r="W71" s="152"/>
      <c r="X71" s="152"/>
      <c r="Y71" s="152"/>
      <c r="Z71" s="152"/>
      <c r="AA71" s="152"/>
      <c r="AB71" s="152"/>
      <c r="AC71" s="152"/>
      <c r="AD71" s="152"/>
      <c r="AE71" s="152"/>
      <c r="AF71" s="152"/>
      <c r="AG71" s="152"/>
      <c r="AH71" s="152"/>
      <c r="AI71" s="152"/>
      <c r="AJ71" s="152"/>
      <c r="AK71" s="152"/>
      <c r="AL71" s="152"/>
      <c r="AM71" s="152"/>
      <c r="AN71" s="152"/>
      <c r="AO71" s="152"/>
      <c r="AP71" s="58"/>
      <c r="AQ71" s="21"/>
      <c r="AR71" s="21"/>
      <c r="AS71" s="21"/>
      <c r="AT71" s="21"/>
      <c r="AU71" s="21"/>
      <c r="AV71" s="21"/>
      <c r="AW71" s="21"/>
      <c r="AX71" s="21"/>
      <c r="AY71" s="21"/>
      <c r="AZ71" s="21"/>
      <c r="BA71" s="21"/>
      <c r="BB71" s="21"/>
      <c r="BC71" s="21"/>
      <c r="BD71" s="21"/>
      <c r="BE71" s="58"/>
      <c r="BF71" s="49"/>
      <c r="BG71" s="49"/>
      <c r="BH71" s="49"/>
      <c r="BJ71" s="58"/>
    </row>
    <row r="72" spans="1:62">
      <c r="C72" s="219" t="s">
        <v>2413</v>
      </c>
      <c r="E72" s="121"/>
      <c r="F72" s="121"/>
      <c r="G72" s="121"/>
      <c r="H72" s="121"/>
      <c r="I72" s="121"/>
      <c r="J72" s="121"/>
      <c r="K72" s="121"/>
      <c r="L72" s="121"/>
      <c r="M72" s="121"/>
      <c r="N72" s="121"/>
      <c r="O72" s="121"/>
      <c r="P72" s="121"/>
      <c r="Q72" s="121"/>
      <c r="R72" s="121"/>
      <c r="S72" s="121"/>
      <c r="T72" s="121"/>
      <c r="U72" s="58"/>
      <c r="V72" s="152"/>
      <c r="W72" s="152"/>
      <c r="X72" s="152"/>
      <c r="Y72" s="152"/>
      <c r="Z72" s="152"/>
      <c r="AA72" s="152"/>
      <c r="AB72" s="152"/>
      <c r="AC72" s="152"/>
      <c r="AD72" s="152"/>
      <c r="AE72" s="152"/>
      <c r="AF72" s="152"/>
      <c r="AG72" s="152"/>
      <c r="AH72" s="152"/>
      <c r="AI72" s="152"/>
      <c r="AJ72" s="152"/>
      <c r="AK72" s="152"/>
      <c r="AL72" s="152"/>
      <c r="AM72" s="152"/>
      <c r="AN72" s="152"/>
      <c r="AO72" s="152"/>
      <c r="AP72" s="58"/>
      <c r="AQ72" s="21"/>
      <c r="AR72" s="21"/>
      <c r="AS72" s="21"/>
      <c r="AT72" s="21"/>
      <c r="AU72" s="21"/>
      <c r="AV72" s="21"/>
      <c r="AW72" s="21"/>
      <c r="AX72" s="21"/>
      <c r="AY72" s="21"/>
      <c r="AZ72" s="21"/>
      <c r="BA72" s="21"/>
      <c r="BB72" s="21"/>
      <c r="BC72" s="21"/>
      <c r="BD72" s="21"/>
      <c r="BE72" s="58"/>
      <c r="BF72" s="49"/>
      <c r="BG72" s="49"/>
      <c r="BH72" s="49"/>
      <c r="BJ72" s="58"/>
    </row>
    <row r="73" spans="1:62">
      <c r="B73" s="176" t="s">
        <v>2383</v>
      </c>
      <c r="C73" s="114" t="str">
        <f>INDEX(Regional.Technologies[Description],MATCH($B$3&amp;"."&amp;B73,Regional.Technologies[Code],0))</f>
        <v>Global heavy.truck.international.fuel</v>
      </c>
      <c r="E73" s="121"/>
      <c r="F73" s="121"/>
      <c r="G73" s="121"/>
      <c r="H73" s="121"/>
      <c r="I73" s="121"/>
      <c r="J73" s="121"/>
      <c r="K73" s="121"/>
      <c r="L73" s="121"/>
      <c r="M73" s="121"/>
      <c r="N73" s="121"/>
      <c r="O73" s="121"/>
      <c r="P73" s="121"/>
      <c r="Q73" s="121"/>
      <c r="R73" s="121"/>
      <c r="S73" s="121"/>
      <c r="T73" s="121"/>
      <c r="U73" s="58"/>
      <c r="V73" s="152"/>
      <c r="W73" s="152"/>
      <c r="X73" s="152"/>
      <c r="Y73" s="152"/>
      <c r="Z73" s="152"/>
      <c r="AA73" s="152"/>
      <c r="AB73" s="152"/>
      <c r="AC73" s="152"/>
      <c r="AD73" s="152"/>
      <c r="AE73" s="152"/>
      <c r="AF73" s="152"/>
      <c r="AG73" s="152"/>
      <c r="AH73" s="152"/>
      <c r="AI73" s="152"/>
      <c r="AJ73" s="152"/>
      <c r="AK73" s="152"/>
      <c r="AL73" s="152"/>
      <c r="AM73" s="152"/>
      <c r="AN73" s="152"/>
      <c r="AO73" s="152"/>
      <c r="AP73" s="58"/>
      <c r="AQ73" s="21"/>
      <c r="AR73" s="21"/>
      <c r="AS73" s="21"/>
      <c r="AT73" s="21"/>
      <c r="AU73" s="21"/>
      <c r="AV73" s="21"/>
      <c r="AW73" s="21"/>
      <c r="AX73" s="21"/>
      <c r="AY73" s="21"/>
      <c r="AZ73" s="21"/>
      <c r="BA73" s="21"/>
      <c r="BB73" s="21"/>
      <c r="BC73" s="21"/>
      <c r="BD73" s="21"/>
      <c r="BE73" s="58"/>
      <c r="BF73" s="49"/>
      <c r="BG73" s="49"/>
      <c r="BH73" s="49"/>
      <c r="BJ73" s="58"/>
    </row>
    <row r="74" spans="1:62">
      <c r="B74" s="176" t="s">
        <v>2384</v>
      </c>
      <c r="C74" s="114" t="str">
        <f>INDEX(Regional.Technologies[Description],MATCH($B$3&amp;"."&amp;B74,Regional.Technologies[Code],0))</f>
        <v>Global heavy.truck.international.PH</v>
      </c>
      <c r="E74" s="121"/>
      <c r="F74" s="121"/>
      <c r="G74" s="121"/>
      <c r="H74" s="121"/>
      <c r="I74" s="121"/>
      <c r="J74" s="121"/>
      <c r="K74" s="121"/>
      <c r="L74" s="121"/>
      <c r="M74" s="121"/>
      <c r="N74" s="121"/>
      <c r="O74" s="121"/>
      <c r="P74" s="121"/>
      <c r="Q74" s="121"/>
      <c r="R74" s="121"/>
      <c r="S74" s="121"/>
      <c r="T74" s="121"/>
      <c r="U74" s="58"/>
      <c r="V74" s="152"/>
      <c r="W74" s="152"/>
      <c r="X74" s="152"/>
      <c r="Y74" s="152"/>
      <c r="Z74" s="152"/>
      <c r="AA74" s="152"/>
      <c r="AB74" s="152"/>
      <c r="AC74" s="152"/>
      <c r="AD74" s="152"/>
      <c r="AE74" s="152"/>
      <c r="AF74" s="152"/>
      <c r="AG74" s="152"/>
      <c r="AH74" s="152"/>
      <c r="AI74" s="152"/>
      <c r="AJ74" s="152"/>
      <c r="AK74" s="152"/>
      <c r="AL74" s="152"/>
      <c r="AM74" s="152"/>
      <c r="AN74" s="152"/>
      <c r="AO74" s="152"/>
      <c r="AP74" s="58"/>
      <c r="AQ74" s="21"/>
      <c r="AR74" s="21"/>
      <c r="AS74" s="21"/>
      <c r="AT74" s="21"/>
      <c r="AU74" s="21"/>
      <c r="AV74" s="21"/>
      <c r="AW74" s="21"/>
      <c r="AX74" s="21"/>
      <c r="AY74" s="21"/>
      <c r="AZ74" s="21"/>
      <c r="BA74" s="21"/>
      <c r="BB74" s="21"/>
      <c r="BC74" s="21"/>
      <c r="BD74" s="21"/>
      <c r="BE74" s="58"/>
      <c r="BF74" s="49"/>
      <c r="BG74" s="49"/>
      <c r="BH74" s="49"/>
      <c r="BJ74" s="58"/>
    </row>
    <row r="75" spans="1:62">
      <c r="B75" s="176" t="s">
        <v>2384</v>
      </c>
      <c r="C75" s="114" t="str">
        <f>INDEX(Regional.Technologies[Description],MATCH($B$3&amp;"."&amp;B75,Regional.Technologies[Code],0))</f>
        <v>Global heavy.truck.international.PH</v>
      </c>
      <c r="E75" s="121"/>
      <c r="F75" s="121"/>
      <c r="G75" s="121"/>
      <c r="H75" s="121"/>
      <c r="I75" s="121"/>
      <c r="J75" s="121"/>
      <c r="K75" s="121"/>
      <c r="L75" s="121"/>
      <c r="M75" s="121"/>
      <c r="N75" s="121"/>
      <c r="O75" s="121"/>
      <c r="P75" s="121"/>
      <c r="Q75" s="121"/>
      <c r="R75" s="121"/>
      <c r="S75" s="121"/>
      <c r="T75" s="121"/>
      <c r="U75" s="58"/>
      <c r="V75" s="152"/>
      <c r="W75" s="152"/>
      <c r="X75" s="152"/>
      <c r="Y75" s="152"/>
      <c r="Z75" s="152"/>
      <c r="AA75" s="152"/>
      <c r="AB75" s="152"/>
      <c r="AC75" s="152"/>
      <c r="AD75" s="152"/>
      <c r="AE75" s="152"/>
      <c r="AF75" s="152"/>
      <c r="AG75" s="152"/>
      <c r="AH75" s="152"/>
      <c r="AI75" s="152"/>
      <c r="AJ75" s="152"/>
      <c r="AK75" s="152"/>
      <c r="AL75" s="152"/>
      <c r="AM75" s="152"/>
      <c r="AN75" s="152"/>
      <c r="AO75" s="152"/>
      <c r="AP75" s="58"/>
      <c r="AQ75" s="21"/>
      <c r="AR75" s="21"/>
      <c r="AS75" s="21"/>
      <c r="AT75" s="21"/>
      <c r="AU75" s="21"/>
      <c r="AV75" s="21"/>
      <c r="AW75" s="21"/>
      <c r="AX75" s="21"/>
      <c r="AY75" s="21"/>
      <c r="AZ75" s="21"/>
      <c r="BA75" s="21"/>
      <c r="BB75" s="21"/>
      <c r="BC75" s="21"/>
      <c r="BD75" s="21"/>
      <c r="BE75" s="58"/>
      <c r="BF75" s="49"/>
      <c r="BG75" s="49"/>
      <c r="BH75" s="49"/>
      <c r="BJ75" s="58"/>
    </row>
    <row r="76" spans="1:62">
      <c r="B76" s="176" t="s">
        <v>2385</v>
      </c>
      <c r="C76" s="114" t="str">
        <f>INDEX(Regional.Technologies[Description],MATCH($B$3&amp;"."&amp;B76,Regional.Technologies[Code],0))</f>
        <v>Global heavy.truck.international.EV</v>
      </c>
      <c r="E76" s="121"/>
      <c r="F76" s="121"/>
      <c r="G76" s="121"/>
      <c r="H76" s="121"/>
      <c r="I76" s="121"/>
      <c r="J76" s="121"/>
      <c r="K76" s="121"/>
      <c r="L76" s="121"/>
      <c r="M76" s="121"/>
      <c r="N76" s="121"/>
      <c r="O76" s="121"/>
      <c r="P76" s="121"/>
      <c r="Q76" s="121"/>
      <c r="R76" s="121"/>
      <c r="S76" s="121"/>
      <c r="T76" s="121"/>
      <c r="U76" s="58"/>
      <c r="V76" s="152"/>
      <c r="W76" s="152"/>
      <c r="X76" s="152"/>
      <c r="Y76" s="152"/>
      <c r="Z76" s="152"/>
      <c r="AA76" s="152"/>
      <c r="AB76" s="152"/>
      <c r="AC76" s="152"/>
      <c r="AD76" s="152"/>
      <c r="AE76" s="152"/>
      <c r="AF76" s="152"/>
      <c r="AG76" s="152"/>
      <c r="AH76" s="152"/>
      <c r="AI76" s="152"/>
      <c r="AJ76" s="152"/>
      <c r="AK76" s="152"/>
      <c r="AL76" s="152"/>
      <c r="AM76" s="152"/>
      <c r="AN76" s="152"/>
      <c r="AO76" s="152"/>
      <c r="AP76" s="58"/>
      <c r="AQ76" s="21"/>
      <c r="AR76" s="21"/>
      <c r="AS76" s="21"/>
      <c r="AT76" s="21"/>
      <c r="AU76" s="21"/>
      <c r="AV76" s="21"/>
      <c r="AW76" s="21"/>
      <c r="AX76" s="21"/>
      <c r="AY76" s="21"/>
      <c r="AZ76" s="21"/>
      <c r="BA76" s="21"/>
      <c r="BB76" s="21"/>
      <c r="BC76" s="21"/>
      <c r="BD76" s="21"/>
      <c r="BE76" s="58"/>
      <c r="BF76" s="49"/>
      <c r="BG76" s="49"/>
      <c r="BH76" s="49"/>
      <c r="BJ76" s="58"/>
    </row>
    <row r="77" spans="1:62">
      <c r="B77" s="176" t="s">
        <v>2386</v>
      </c>
      <c r="C77" s="114" t="str">
        <f>INDEX(Regional.Technologies[Description],MATCH($B$3&amp;"."&amp;B77,Regional.Technologies[Code],0))</f>
        <v>Global heavy.truck.international.H2</v>
      </c>
      <c r="E77" s="121"/>
      <c r="F77" s="121"/>
      <c r="G77" s="121"/>
      <c r="H77" s="121"/>
      <c r="I77" s="121"/>
      <c r="J77" s="121"/>
      <c r="K77" s="121"/>
      <c r="L77" s="121"/>
      <c r="M77" s="121"/>
      <c r="N77" s="121"/>
      <c r="O77" s="121"/>
      <c r="P77" s="121"/>
      <c r="Q77" s="121"/>
      <c r="R77" s="121"/>
      <c r="S77" s="121"/>
      <c r="T77" s="121"/>
      <c r="U77" s="58"/>
      <c r="V77" s="152"/>
      <c r="W77" s="152"/>
      <c r="X77" s="152"/>
      <c r="Y77" s="152"/>
      <c r="Z77" s="152"/>
      <c r="AA77" s="152"/>
      <c r="AB77" s="152"/>
      <c r="AC77" s="152"/>
      <c r="AD77" s="152"/>
      <c r="AE77" s="152"/>
      <c r="AF77" s="152"/>
      <c r="AG77" s="152"/>
      <c r="AH77" s="152"/>
      <c r="AI77" s="152"/>
      <c r="AJ77" s="152"/>
      <c r="AK77" s="152"/>
      <c r="AL77" s="152"/>
      <c r="AM77" s="152"/>
      <c r="AN77" s="152"/>
      <c r="AO77" s="152"/>
      <c r="AP77" s="58"/>
      <c r="AQ77" s="21"/>
      <c r="AR77" s="21"/>
      <c r="AS77" s="21"/>
      <c r="AT77" s="21"/>
      <c r="AU77" s="21"/>
      <c r="AV77" s="21"/>
      <c r="AW77" s="21"/>
      <c r="AX77" s="21"/>
      <c r="AY77" s="21"/>
      <c r="AZ77" s="21"/>
      <c r="BA77" s="21"/>
      <c r="BB77" s="21"/>
      <c r="BC77" s="21"/>
      <c r="BD77" s="21"/>
      <c r="BE77" s="58"/>
      <c r="BF77" s="49"/>
      <c r="BG77" s="49"/>
      <c r="BH77" s="49"/>
      <c r="BJ77" s="58"/>
    </row>
    <row r="78" spans="1:62">
      <c r="B78" s="176" t="s">
        <v>2387</v>
      </c>
      <c r="C78" s="114" t="str">
        <f>INDEX(Regional.Technologies[Description],MATCH($B$3&amp;"."&amp;B78,Regional.Technologies[Code],0))</f>
        <v>Global train.freight.international.fuel</v>
      </c>
      <c r="E78" s="121"/>
      <c r="F78" s="121"/>
      <c r="G78" s="121"/>
      <c r="H78" s="121"/>
      <c r="I78" s="121"/>
      <c r="J78" s="121"/>
      <c r="K78" s="121"/>
      <c r="L78" s="121"/>
      <c r="M78" s="121"/>
      <c r="N78" s="121"/>
      <c r="O78" s="121"/>
      <c r="P78" s="121"/>
      <c r="Q78" s="121"/>
      <c r="R78" s="121"/>
      <c r="S78" s="121"/>
      <c r="T78" s="121"/>
      <c r="U78" s="58"/>
      <c r="V78" s="152"/>
      <c r="W78" s="152"/>
      <c r="X78" s="152"/>
      <c r="Y78" s="152"/>
      <c r="Z78" s="152"/>
      <c r="AA78" s="152"/>
      <c r="AB78" s="152"/>
      <c r="AC78" s="152"/>
      <c r="AD78" s="152"/>
      <c r="AE78" s="152"/>
      <c r="AF78" s="152"/>
      <c r="AG78" s="152"/>
      <c r="AH78" s="152"/>
      <c r="AI78" s="152"/>
      <c r="AJ78" s="152"/>
      <c r="AK78" s="152"/>
      <c r="AL78" s="152"/>
      <c r="AM78" s="152"/>
      <c r="AN78" s="152"/>
      <c r="AO78" s="152"/>
      <c r="AP78" s="58"/>
      <c r="AQ78" s="21"/>
      <c r="AR78" s="21"/>
      <c r="AS78" s="21"/>
      <c r="AT78" s="21"/>
      <c r="AU78" s="21"/>
      <c r="AV78" s="21"/>
      <c r="AW78" s="21"/>
      <c r="AX78" s="21"/>
      <c r="AY78" s="21"/>
      <c r="AZ78" s="21"/>
      <c r="BA78" s="21"/>
      <c r="BB78" s="21"/>
      <c r="BC78" s="21"/>
      <c r="BD78" s="21"/>
      <c r="BE78" s="58"/>
      <c r="BF78" s="49"/>
      <c r="BG78" s="49"/>
      <c r="BH78" s="49"/>
      <c r="BJ78" s="58"/>
    </row>
    <row r="79" spans="1:62">
      <c r="B79" s="176" t="s">
        <v>2388</v>
      </c>
      <c r="C79" s="114" t="str">
        <f>INDEX(Regional.Technologies[Description],MATCH($B$3&amp;"."&amp;B79,Regional.Technologies[Code],0))</f>
        <v>Global train.freight.international.elec</v>
      </c>
      <c r="E79" s="121"/>
      <c r="F79" s="121"/>
      <c r="G79" s="121"/>
      <c r="H79" s="121"/>
      <c r="I79" s="121"/>
      <c r="J79" s="121"/>
      <c r="K79" s="121"/>
      <c r="L79" s="121"/>
      <c r="M79" s="121"/>
      <c r="N79" s="121"/>
      <c r="O79" s="121"/>
      <c r="P79" s="121"/>
      <c r="Q79" s="121"/>
      <c r="R79" s="121"/>
      <c r="S79" s="121"/>
      <c r="T79" s="121"/>
      <c r="U79" s="58"/>
      <c r="V79" s="152"/>
      <c r="W79" s="152"/>
      <c r="X79" s="152"/>
      <c r="Y79" s="152"/>
      <c r="Z79" s="152"/>
      <c r="AA79" s="152"/>
      <c r="AB79" s="152"/>
      <c r="AC79" s="152"/>
      <c r="AD79" s="152"/>
      <c r="AE79" s="152"/>
      <c r="AF79" s="152"/>
      <c r="AG79" s="152"/>
      <c r="AH79" s="152"/>
      <c r="AI79" s="152"/>
      <c r="AJ79" s="152"/>
      <c r="AK79" s="152"/>
      <c r="AL79" s="152"/>
      <c r="AM79" s="152"/>
      <c r="AN79" s="152"/>
      <c r="AO79" s="152"/>
      <c r="AP79" s="58"/>
      <c r="AQ79" s="21"/>
      <c r="AR79" s="21"/>
      <c r="AS79" s="21"/>
      <c r="AT79" s="21"/>
      <c r="AU79" s="21"/>
      <c r="AV79" s="21"/>
      <c r="AW79" s="21"/>
      <c r="AX79" s="21"/>
      <c r="AY79" s="21"/>
      <c r="AZ79" s="21"/>
      <c r="BA79" s="21"/>
      <c r="BB79" s="21"/>
      <c r="BC79" s="21"/>
      <c r="BD79" s="21"/>
      <c r="BE79" s="58"/>
      <c r="BF79" s="49"/>
      <c r="BG79" s="49"/>
      <c r="BH79" s="49"/>
      <c r="BJ79" s="58"/>
    </row>
    <row r="80" spans="1:62">
      <c r="B80" s="176" t="s">
        <v>2389</v>
      </c>
      <c r="C80" s="114" t="str">
        <f>INDEX(Regional.Technologies[Description],MATCH($B$3&amp;"."&amp;B80,Regional.Technologies[Code],0))</f>
        <v>Global ship.freight.international.fuel</v>
      </c>
      <c r="E80" s="121"/>
      <c r="F80" s="121"/>
      <c r="G80" s="121"/>
      <c r="H80" s="121"/>
      <c r="I80" s="121"/>
      <c r="J80" s="121"/>
      <c r="K80" s="121"/>
      <c r="L80" s="121"/>
      <c r="M80" s="121"/>
      <c r="N80" s="121"/>
      <c r="O80" s="121"/>
      <c r="P80" s="121"/>
      <c r="Q80" s="121"/>
      <c r="R80" s="121"/>
      <c r="S80" s="121"/>
      <c r="T80" s="121"/>
      <c r="U80" s="58"/>
      <c r="V80" s="152"/>
      <c r="W80" s="152"/>
      <c r="X80" s="152"/>
      <c r="Y80" s="152"/>
      <c r="Z80" s="152"/>
      <c r="AA80" s="152"/>
      <c r="AB80" s="152"/>
      <c r="AC80" s="152"/>
      <c r="AD80" s="152"/>
      <c r="AE80" s="152"/>
      <c r="AF80" s="152"/>
      <c r="AG80" s="152"/>
      <c r="AH80" s="152"/>
      <c r="AI80" s="152"/>
      <c r="AJ80" s="152"/>
      <c r="AK80" s="152"/>
      <c r="AL80" s="152"/>
      <c r="AM80" s="152"/>
      <c r="AN80" s="152"/>
      <c r="AO80" s="152"/>
      <c r="AP80" s="58"/>
      <c r="AQ80" s="21"/>
      <c r="AR80" s="21"/>
      <c r="AS80" s="21"/>
      <c r="AT80" s="21"/>
      <c r="AU80" s="21"/>
      <c r="AV80" s="21"/>
      <c r="AW80" s="21"/>
      <c r="AX80" s="21"/>
      <c r="AY80" s="21"/>
      <c r="AZ80" s="21"/>
      <c r="BA80" s="21"/>
      <c r="BB80" s="21"/>
      <c r="BC80" s="21"/>
      <c r="BD80" s="21"/>
      <c r="BE80" s="58"/>
      <c r="BF80" s="49"/>
      <c r="BG80" s="49"/>
      <c r="BH80" s="49"/>
      <c r="BJ80" s="58"/>
    </row>
    <row r="81" spans="1:62">
      <c r="B81" s="176" t="s">
        <v>2390</v>
      </c>
      <c r="C81" s="114" t="str">
        <f>INDEX(Regional.Technologies[Description],MATCH($B$3&amp;"."&amp;B81,Regional.Technologies[Code],0))</f>
        <v>Global ship.freight.international.H2</v>
      </c>
      <c r="E81" s="121"/>
      <c r="F81" s="121"/>
      <c r="G81" s="121"/>
      <c r="H81" s="121"/>
      <c r="I81" s="121"/>
      <c r="J81" s="121"/>
      <c r="K81" s="121"/>
      <c r="L81" s="121"/>
      <c r="M81" s="121"/>
      <c r="N81" s="121"/>
      <c r="O81" s="121"/>
      <c r="P81" s="121"/>
      <c r="Q81" s="121"/>
      <c r="R81" s="121"/>
      <c r="S81" s="121"/>
      <c r="T81" s="121"/>
      <c r="U81" s="58"/>
      <c r="V81" s="152"/>
      <c r="W81" s="152"/>
      <c r="X81" s="152"/>
      <c r="Y81" s="152"/>
      <c r="Z81" s="152"/>
      <c r="AA81" s="152"/>
      <c r="AB81" s="152"/>
      <c r="AC81" s="152"/>
      <c r="AD81" s="152"/>
      <c r="AE81" s="152"/>
      <c r="AF81" s="152"/>
      <c r="AG81" s="152"/>
      <c r="AH81" s="152"/>
      <c r="AI81" s="152"/>
      <c r="AJ81" s="152"/>
      <c r="AK81" s="152"/>
      <c r="AL81" s="152"/>
      <c r="AM81" s="152"/>
      <c r="AN81" s="152"/>
      <c r="AO81" s="152"/>
      <c r="AP81" s="58"/>
      <c r="AQ81" s="21"/>
      <c r="AR81" s="21"/>
      <c r="AS81" s="21"/>
      <c r="AT81" s="21"/>
      <c r="AU81" s="21"/>
      <c r="AV81" s="21"/>
      <c r="AW81" s="21"/>
      <c r="AX81" s="21"/>
      <c r="AY81" s="21"/>
      <c r="AZ81" s="21"/>
      <c r="BA81" s="21"/>
      <c r="BB81" s="21"/>
      <c r="BC81" s="21"/>
      <c r="BD81" s="21"/>
      <c r="BE81" s="58"/>
      <c r="BF81" s="49"/>
      <c r="BG81" s="49"/>
      <c r="BH81" s="49"/>
      <c r="BJ81" s="58"/>
    </row>
    <row r="82" spans="1:62">
      <c r="B82" s="176" t="s">
        <v>2391</v>
      </c>
      <c r="C82" s="114" t="str">
        <f>INDEX(Regional.Technologies[Description],MATCH($B$3&amp;"."&amp;B82,Regional.Technologies[Code],0))</f>
        <v>Global plane.freight.international.fuel</v>
      </c>
      <c r="E82" s="121"/>
      <c r="F82" s="121"/>
      <c r="G82" s="121"/>
      <c r="H82" s="121"/>
      <c r="I82" s="121"/>
      <c r="J82" s="121"/>
      <c r="K82" s="121"/>
      <c r="L82" s="121"/>
      <c r="M82" s="121"/>
      <c r="N82" s="121"/>
      <c r="O82" s="121"/>
      <c r="P82" s="121"/>
      <c r="Q82" s="121"/>
      <c r="R82" s="121"/>
      <c r="S82" s="121"/>
      <c r="T82" s="121"/>
      <c r="U82" s="58"/>
      <c r="V82" s="152"/>
      <c r="W82" s="152"/>
      <c r="X82" s="152"/>
      <c r="Y82" s="152"/>
      <c r="Z82" s="152"/>
      <c r="AA82" s="152"/>
      <c r="AB82" s="152"/>
      <c r="AC82" s="152"/>
      <c r="AD82" s="152"/>
      <c r="AE82" s="152"/>
      <c r="AF82" s="152"/>
      <c r="AG82" s="152"/>
      <c r="AH82" s="152"/>
      <c r="AI82" s="152"/>
      <c r="AJ82" s="152"/>
      <c r="AK82" s="152"/>
      <c r="AL82" s="152"/>
      <c r="AM82" s="152"/>
      <c r="AN82" s="152"/>
      <c r="AO82" s="152"/>
      <c r="AP82" s="58"/>
      <c r="AQ82" s="21"/>
      <c r="AR82" s="21"/>
      <c r="AS82" s="21"/>
      <c r="AT82" s="21"/>
      <c r="AU82" s="21"/>
      <c r="AV82" s="21"/>
      <c r="AW82" s="21"/>
      <c r="AX82" s="21"/>
      <c r="AY82" s="21"/>
      <c r="AZ82" s="21"/>
      <c r="BA82" s="21"/>
      <c r="BB82" s="21"/>
      <c r="BC82" s="21"/>
      <c r="BD82" s="21"/>
      <c r="BE82" s="58"/>
      <c r="BF82" s="49"/>
      <c r="BG82" s="49"/>
      <c r="BH82" s="49"/>
      <c r="BJ82" s="58"/>
    </row>
    <row r="83" spans="1:62">
      <c r="B83" s="176" t="s">
        <v>2392</v>
      </c>
      <c r="C83" s="114" t="str">
        <f>INDEX(Regional.Technologies[Description],MATCH($B$3&amp;"."&amp;B83,Regional.Technologies[Code],0))</f>
        <v>Global plane.freight.international.H2</v>
      </c>
      <c r="E83" s="121"/>
      <c r="F83" s="121"/>
      <c r="G83" s="121"/>
      <c r="H83" s="121"/>
      <c r="I83" s="121"/>
      <c r="J83" s="121"/>
      <c r="K83" s="121"/>
      <c r="L83" s="121"/>
      <c r="M83" s="121"/>
      <c r="N83" s="121"/>
      <c r="O83" s="121"/>
      <c r="P83" s="121"/>
      <c r="Q83" s="121"/>
      <c r="R83" s="121"/>
      <c r="S83" s="121"/>
      <c r="T83" s="121"/>
      <c r="U83" s="58"/>
      <c r="V83" s="152"/>
      <c r="W83" s="152"/>
      <c r="X83" s="152"/>
      <c r="Y83" s="152"/>
      <c r="Z83" s="152"/>
      <c r="AA83" s="152"/>
      <c r="AB83" s="152"/>
      <c r="AC83" s="152"/>
      <c r="AD83" s="152"/>
      <c r="AE83" s="152"/>
      <c r="AF83" s="152"/>
      <c r="AG83" s="152"/>
      <c r="AH83" s="152"/>
      <c r="AI83" s="152"/>
      <c r="AJ83" s="152"/>
      <c r="AK83" s="152"/>
      <c r="AL83" s="152"/>
      <c r="AM83" s="152"/>
      <c r="AN83" s="152"/>
      <c r="AO83" s="152"/>
      <c r="AP83" s="58"/>
      <c r="AQ83" s="21"/>
      <c r="AR83" s="21"/>
      <c r="AS83" s="21"/>
      <c r="AT83" s="21"/>
      <c r="AU83" s="21"/>
      <c r="AV83" s="21"/>
      <c r="AW83" s="21"/>
      <c r="AX83" s="21"/>
      <c r="AY83" s="21"/>
      <c r="AZ83" s="21"/>
      <c r="BA83" s="21"/>
      <c r="BB83" s="21"/>
      <c r="BC83" s="21"/>
      <c r="BD83" s="21"/>
      <c r="BE83" s="58"/>
      <c r="BF83" s="49"/>
      <c r="BG83" s="49"/>
      <c r="BH83" s="49"/>
      <c r="BJ83" s="58"/>
    </row>
    <row r="84" spans="1:62">
      <c r="E84" s="121"/>
      <c r="F84" s="121"/>
      <c r="G84" s="121"/>
      <c r="H84" s="121"/>
      <c r="I84" s="121"/>
      <c r="J84" s="121"/>
      <c r="K84" s="121"/>
      <c r="L84" s="121"/>
      <c r="M84" s="121"/>
      <c r="N84" s="121"/>
      <c r="O84" s="121"/>
      <c r="P84" s="121"/>
      <c r="Q84" s="121"/>
      <c r="R84" s="121"/>
      <c r="S84" s="121"/>
      <c r="T84" s="121"/>
      <c r="U84" s="58"/>
      <c r="V84" s="152"/>
      <c r="W84" s="152"/>
      <c r="X84" s="152"/>
      <c r="Y84" s="152"/>
      <c r="Z84" s="152"/>
      <c r="AA84" s="152"/>
      <c r="AB84" s="152"/>
      <c r="AC84" s="152"/>
      <c r="AD84" s="152"/>
      <c r="AE84" s="152"/>
      <c r="AF84" s="152"/>
      <c r="AG84" s="152"/>
      <c r="AH84" s="152"/>
      <c r="AI84" s="152"/>
      <c r="AJ84" s="152"/>
      <c r="AK84" s="152"/>
      <c r="AL84" s="152"/>
      <c r="AM84" s="152"/>
      <c r="AN84" s="152"/>
      <c r="AO84" s="152"/>
      <c r="AP84" s="58"/>
      <c r="AQ84" s="21"/>
      <c r="AR84" s="21"/>
      <c r="AS84" s="21"/>
      <c r="AT84" s="21"/>
      <c r="AU84" s="21"/>
      <c r="AV84" s="21"/>
      <c r="AW84" s="21"/>
      <c r="AX84" s="21"/>
      <c r="AY84" s="21"/>
      <c r="AZ84" s="21"/>
      <c r="BA84" s="21"/>
      <c r="BB84" s="21"/>
      <c r="BC84" s="21"/>
      <c r="BD84" s="21"/>
      <c r="BE84" s="58"/>
      <c r="BF84" s="49"/>
      <c r="BG84" s="49"/>
      <c r="BH84" s="49"/>
      <c r="BJ84" s="58"/>
    </row>
    <row r="85" spans="1:62" s="54" customFormat="1">
      <c r="A85" s="133"/>
      <c r="E85" s="121"/>
      <c r="F85" s="121"/>
      <c r="G85" s="121"/>
      <c r="H85" s="121"/>
      <c r="I85" s="121"/>
      <c r="J85" s="121"/>
      <c r="K85" s="121"/>
      <c r="L85" s="121"/>
      <c r="M85" s="121"/>
      <c r="N85" s="121"/>
      <c r="O85" s="121"/>
      <c r="P85" s="121"/>
      <c r="Q85" s="121"/>
      <c r="R85" s="121"/>
      <c r="S85" s="121"/>
      <c r="T85" s="121"/>
      <c r="U85" s="108"/>
      <c r="V85" s="152"/>
      <c r="W85" s="152"/>
      <c r="X85" s="152"/>
      <c r="Y85" s="152"/>
      <c r="Z85" s="152"/>
      <c r="AA85" s="152"/>
      <c r="AB85" s="152"/>
      <c r="AC85" s="152"/>
      <c r="AD85" s="152"/>
      <c r="AE85" s="152"/>
      <c r="AF85" s="152"/>
      <c r="AG85" s="152"/>
      <c r="AH85" s="152"/>
      <c r="AI85" s="152"/>
      <c r="AJ85" s="152"/>
      <c r="AK85" s="152"/>
      <c r="AL85" s="152"/>
      <c r="AM85" s="152"/>
      <c r="AN85" s="152"/>
      <c r="AO85" s="152"/>
      <c r="AP85" s="108"/>
      <c r="AQ85" s="21"/>
      <c r="AR85" s="21"/>
      <c r="AS85" s="21"/>
      <c r="AT85" s="21"/>
      <c r="AU85" s="21"/>
      <c r="AV85" s="21"/>
      <c r="AW85" s="21"/>
      <c r="AX85" s="21"/>
      <c r="AY85" s="21"/>
      <c r="AZ85" s="21"/>
      <c r="BA85" s="21"/>
      <c r="BB85" s="21"/>
      <c r="BC85" s="21"/>
      <c r="BD85" s="21"/>
      <c r="BE85" s="108"/>
      <c r="BF85" s="49"/>
      <c r="BG85" s="49"/>
      <c r="BH85" s="49"/>
      <c r="BI85" s="219"/>
      <c r="BJ85" s="108"/>
    </row>
    <row r="86" spans="1:62" ht="15">
      <c r="B86" s="105">
        <v>20</v>
      </c>
      <c r="C86" s="15" t="str">
        <f>INDEX(Regional.sectors[Description],MATCH($B$3&amp;"."&amp;B86,Regional.sectors[Code],0))</f>
        <v>Global Buildings</v>
      </c>
      <c r="D86" s="219" t="s">
        <v>414</v>
      </c>
      <c r="E86" s="121"/>
      <c r="F86" s="121"/>
      <c r="G86" s="121"/>
      <c r="H86" s="121"/>
      <c r="I86" s="121"/>
      <c r="J86" s="121"/>
      <c r="K86" s="121"/>
      <c r="L86" s="121"/>
      <c r="M86" s="121"/>
      <c r="N86" s="121"/>
      <c r="O86" s="121"/>
      <c r="P86" s="121"/>
      <c r="Q86" s="121"/>
      <c r="R86" s="121"/>
      <c r="S86" s="121"/>
      <c r="T86" s="121"/>
      <c r="U86" s="108"/>
      <c r="V86" s="152"/>
      <c r="W86" s="152"/>
      <c r="X86" s="152"/>
      <c r="Y86" s="152"/>
      <c r="Z86" s="152"/>
      <c r="AA86" s="152"/>
      <c r="AB86" s="152"/>
      <c r="AC86" s="152"/>
      <c r="AD86" s="152"/>
      <c r="AE86" s="152"/>
      <c r="AF86" s="152"/>
      <c r="AG86" s="152"/>
      <c r="AH86" s="152"/>
      <c r="AI86" s="152"/>
      <c r="AJ86" s="152"/>
      <c r="AK86" s="152"/>
      <c r="AL86" s="152"/>
      <c r="AM86" s="152"/>
      <c r="AN86" s="152"/>
      <c r="AO86" s="152"/>
      <c r="AP86" s="108"/>
      <c r="AQ86" s="21"/>
      <c r="AR86" s="21"/>
      <c r="AS86" s="21"/>
      <c r="AT86" s="21"/>
      <c r="AU86" s="21"/>
      <c r="AV86" s="21"/>
      <c r="AW86" s="21"/>
      <c r="AX86" s="21"/>
      <c r="AY86" s="21"/>
      <c r="AZ86" s="21"/>
      <c r="BA86" s="21"/>
      <c r="BB86" s="21"/>
      <c r="BC86" s="21"/>
      <c r="BD86" s="21"/>
      <c r="BE86" s="108"/>
      <c r="BF86" s="49"/>
      <c r="BG86" s="49"/>
      <c r="BH86" s="49"/>
      <c r="BJ86" s="58"/>
    </row>
    <row r="87" spans="1:62" s="54" customFormat="1">
      <c r="A87" s="133"/>
      <c r="B87" s="106"/>
      <c r="E87" s="121"/>
      <c r="F87" s="121"/>
      <c r="G87" s="121"/>
      <c r="H87" s="121"/>
      <c r="I87" s="121"/>
      <c r="J87" s="121"/>
      <c r="K87" s="121"/>
      <c r="L87" s="121"/>
      <c r="M87" s="121"/>
      <c r="N87" s="121"/>
      <c r="O87" s="121"/>
      <c r="P87" s="121"/>
      <c r="Q87" s="121"/>
      <c r="R87" s="121"/>
      <c r="S87" s="121"/>
      <c r="T87" s="121"/>
      <c r="U87" s="108"/>
      <c r="V87" s="152"/>
      <c r="W87" s="152"/>
      <c r="X87" s="152"/>
      <c r="Y87" s="152"/>
      <c r="Z87" s="152"/>
      <c r="AA87" s="152"/>
      <c r="AB87" s="152"/>
      <c r="AC87" s="152"/>
      <c r="AD87" s="152"/>
      <c r="AE87" s="152"/>
      <c r="AF87" s="152"/>
      <c r="AG87" s="152"/>
      <c r="AH87" s="152"/>
      <c r="AI87" s="152"/>
      <c r="AJ87" s="152"/>
      <c r="AK87" s="152"/>
      <c r="AL87" s="152"/>
      <c r="AM87" s="152"/>
      <c r="AN87" s="152"/>
      <c r="AO87" s="152"/>
      <c r="AP87" s="108"/>
      <c r="AQ87" s="21"/>
      <c r="AR87" s="21"/>
      <c r="AS87" s="21"/>
      <c r="AT87" s="21"/>
      <c r="AU87" s="21"/>
      <c r="AV87" s="21"/>
      <c r="AW87" s="21"/>
      <c r="AX87" s="21"/>
      <c r="AY87" s="21"/>
      <c r="AZ87" s="21"/>
      <c r="BA87" s="21"/>
      <c r="BB87" s="21"/>
      <c r="BC87" s="21"/>
      <c r="BD87" s="21"/>
      <c r="BE87" s="108"/>
      <c r="BF87" s="49"/>
      <c r="BG87" s="49"/>
      <c r="BH87" s="49"/>
      <c r="BI87" s="219"/>
      <c r="BJ87" s="108"/>
    </row>
    <row r="88" spans="1:62" s="54" customFormat="1">
      <c r="A88" s="133"/>
      <c r="B88" s="106"/>
      <c r="C88" s="46" t="s">
        <v>1357</v>
      </c>
      <c r="E88" s="121"/>
      <c r="F88" s="121"/>
      <c r="G88" s="121"/>
      <c r="H88" s="121"/>
      <c r="I88" s="121"/>
      <c r="J88" s="121"/>
      <c r="K88" s="121"/>
      <c r="L88" s="121"/>
      <c r="M88" s="121"/>
      <c r="N88" s="121"/>
      <c r="O88" s="121"/>
      <c r="P88" s="121"/>
      <c r="Q88" s="121"/>
      <c r="R88" s="121"/>
      <c r="S88" s="121"/>
      <c r="T88" s="121"/>
      <c r="U88" s="108"/>
      <c r="V88" s="152"/>
      <c r="W88" s="152"/>
      <c r="X88" s="152"/>
      <c r="Y88" s="152"/>
      <c r="Z88" s="152"/>
      <c r="AA88" s="152"/>
      <c r="AB88" s="152"/>
      <c r="AC88" s="152"/>
      <c r="AD88" s="152"/>
      <c r="AE88" s="152"/>
      <c r="AF88" s="152"/>
      <c r="AG88" s="152"/>
      <c r="AH88" s="152"/>
      <c r="AI88" s="152"/>
      <c r="AJ88" s="152"/>
      <c r="AK88" s="152"/>
      <c r="AL88" s="152"/>
      <c r="AM88" s="152"/>
      <c r="AN88" s="152"/>
      <c r="AO88" s="152"/>
      <c r="AP88" s="108"/>
      <c r="AQ88" s="21"/>
      <c r="AR88" s="21"/>
      <c r="AS88" s="21"/>
      <c r="AT88" s="21"/>
      <c r="AU88" s="21"/>
      <c r="AV88" s="21"/>
      <c r="AW88" s="21"/>
      <c r="AX88" s="21"/>
      <c r="AY88" s="21"/>
      <c r="AZ88" s="21"/>
      <c r="BA88" s="21"/>
      <c r="BB88" s="21"/>
      <c r="BC88" s="21"/>
      <c r="BD88" s="21"/>
      <c r="BE88" s="108"/>
      <c r="BF88" s="49"/>
      <c r="BG88" s="49"/>
      <c r="BH88" s="49"/>
      <c r="BI88" s="219"/>
      <c r="BJ88" s="108"/>
    </row>
    <row r="89" spans="1:62" s="54" customFormat="1">
      <c r="A89" s="133"/>
      <c r="B89" s="106"/>
      <c r="E89" s="121"/>
      <c r="F89" s="121"/>
      <c r="G89" s="121"/>
      <c r="H89" s="121"/>
      <c r="I89" s="121"/>
      <c r="J89" s="121"/>
      <c r="K89" s="121"/>
      <c r="L89" s="121"/>
      <c r="M89" s="121"/>
      <c r="N89" s="121"/>
      <c r="O89" s="121"/>
      <c r="P89" s="121"/>
      <c r="Q89" s="121"/>
      <c r="R89" s="121"/>
      <c r="S89" s="121"/>
      <c r="T89" s="121"/>
      <c r="U89" s="108"/>
      <c r="V89" s="152"/>
      <c r="W89" s="152"/>
      <c r="X89" s="152"/>
      <c r="Y89" s="152"/>
      <c r="Z89" s="152"/>
      <c r="AA89" s="152"/>
      <c r="AB89" s="152"/>
      <c r="AC89" s="152"/>
      <c r="AD89" s="152"/>
      <c r="AE89" s="152"/>
      <c r="AF89" s="152"/>
      <c r="AG89" s="152"/>
      <c r="AH89" s="152"/>
      <c r="AI89" s="152"/>
      <c r="AJ89" s="152"/>
      <c r="AK89" s="152"/>
      <c r="AL89" s="152"/>
      <c r="AM89" s="152"/>
      <c r="AN89" s="152"/>
      <c r="AO89" s="152"/>
      <c r="AP89" s="108"/>
      <c r="AQ89" s="21"/>
      <c r="AR89" s="21"/>
      <c r="AS89" s="21"/>
      <c r="AT89" s="21"/>
      <c r="AU89" s="21"/>
      <c r="AV89" s="21"/>
      <c r="AW89" s="21"/>
      <c r="AX89" s="21"/>
      <c r="AY89" s="21"/>
      <c r="AZ89" s="21"/>
      <c r="BA89" s="21"/>
      <c r="BB89" s="21"/>
      <c r="BC89" s="21"/>
      <c r="BD89" s="21"/>
      <c r="BE89" s="108"/>
      <c r="BF89" s="49"/>
      <c r="BG89" s="49"/>
      <c r="BH89" s="49"/>
      <c r="BI89" s="219"/>
      <c r="BJ89" s="108"/>
    </row>
    <row r="90" spans="1:62" s="54" customFormat="1">
      <c r="A90" s="133"/>
      <c r="B90" s="106"/>
      <c r="C90" s="187" t="s">
        <v>1355</v>
      </c>
      <c r="E90" s="121"/>
      <c r="F90" s="121"/>
      <c r="G90" s="121"/>
      <c r="H90" s="121"/>
      <c r="I90" s="121"/>
      <c r="J90" s="121"/>
      <c r="K90" s="121"/>
      <c r="L90" s="121"/>
      <c r="M90" s="121"/>
      <c r="N90" s="121"/>
      <c r="O90" s="121"/>
      <c r="P90" s="121"/>
      <c r="Q90" s="121"/>
      <c r="R90" s="121"/>
      <c r="S90" s="121"/>
      <c r="T90" s="121"/>
      <c r="U90" s="108"/>
      <c r="V90" s="152"/>
      <c r="W90" s="152"/>
      <c r="X90" s="152"/>
      <c r="Y90" s="152"/>
      <c r="Z90" s="152"/>
      <c r="AA90" s="152"/>
      <c r="AB90" s="152"/>
      <c r="AC90" s="152"/>
      <c r="AD90" s="152"/>
      <c r="AE90" s="152"/>
      <c r="AF90" s="152"/>
      <c r="AG90" s="152"/>
      <c r="AH90" s="152"/>
      <c r="AI90" s="152"/>
      <c r="AJ90" s="152"/>
      <c r="AK90" s="152"/>
      <c r="AL90" s="152"/>
      <c r="AM90" s="152"/>
      <c r="AN90" s="152"/>
      <c r="AO90" s="152"/>
      <c r="AP90" s="108"/>
      <c r="AQ90" s="21"/>
      <c r="AR90" s="21"/>
      <c r="AS90" s="21"/>
      <c r="AT90" s="21"/>
      <c r="AU90" s="21"/>
      <c r="AV90" s="21"/>
      <c r="AW90" s="21"/>
      <c r="AX90" s="21"/>
      <c r="AY90" s="21"/>
      <c r="AZ90" s="21"/>
      <c r="BA90" s="21"/>
      <c r="BB90" s="21"/>
      <c r="BC90" s="21"/>
      <c r="BD90" s="21"/>
      <c r="BE90" s="108"/>
      <c r="BF90" s="49"/>
      <c r="BG90" s="49"/>
      <c r="BH90" s="49"/>
      <c r="BI90" s="219"/>
      <c r="BJ90" s="108"/>
    </row>
    <row r="91" spans="1:62" s="54" customFormat="1">
      <c r="A91" s="133"/>
      <c r="B91" s="176"/>
      <c r="C91" s="114" t="s">
        <v>1337</v>
      </c>
      <c r="E91" s="121"/>
      <c r="F91" s="121"/>
      <c r="G91" s="121"/>
      <c r="H91" s="121"/>
      <c r="I91" s="121"/>
      <c r="J91" s="121"/>
      <c r="K91" s="121"/>
      <c r="L91" s="121"/>
      <c r="M91" s="121"/>
      <c r="N91" s="121"/>
      <c r="O91" s="121"/>
      <c r="P91" s="121"/>
      <c r="Q91" s="121"/>
      <c r="R91" s="121"/>
      <c r="S91" s="121"/>
      <c r="T91" s="121"/>
      <c r="U91" s="108"/>
      <c r="V91" s="152"/>
      <c r="W91" s="152"/>
      <c r="X91" s="152"/>
      <c r="Y91" s="152"/>
      <c r="Z91" s="152"/>
      <c r="AA91" s="152"/>
      <c r="AB91" s="152"/>
      <c r="AC91" s="152"/>
      <c r="AD91" s="152"/>
      <c r="AE91" s="152"/>
      <c r="AF91" s="152"/>
      <c r="AG91" s="152"/>
      <c r="AH91" s="152"/>
      <c r="AI91" s="152"/>
      <c r="AJ91" s="152"/>
      <c r="AK91" s="152"/>
      <c r="AL91" s="152"/>
      <c r="AM91" s="152"/>
      <c r="AN91" s="152"/>
      <c r="AO91" s="152"/>
      <c r="AP91" s="108"/>
      <c r="AQ91" s="21"/>
      <c r="AR91" s="21"/>
      <c r="AS91" s="21"/>
      <c r="AT91" s="21"/>
      <c r="AU91" s="21"/>
      <c r="AV91" s="21"/>
      <c r="AW91" s="21"/>
      <c r="AX91" s="21"/>
      <c r="AY91" s="21"/>
      <c r="AZ91" s="21"/>
      <c r="BA91" s="21"/>
      <c r="BB91" s="21"/>
      <c r="BC91" s="21"/>
      <c r="BD91" s="21"/>
      <c r="BE91" s="108"/>
      <c r="BF91" s="49"/>
      <c r="BG91" s="49"/>
      <c r="BH91" s="49"/>
      <c r="BI91" s="219"/>
      <c r="BJ91" s="108"/>
    </row>
    <row r="92" spans="1:62" s="54" customFormat="1">
      <c r="A92" s="133"/>
      <c r="B92" s="176"/>
      <c r="C92" s="114" t="s">
        <v>1338</v>
      </c>
      <c r="E92" s="121"/>
      <c r="F92" s="121"/>
      <c r="G92" s="121"/>
      <c r="H92" s="121"/>
      <c r="I92" s="121"/>
      <c r="J92" s="121"/>
      <c r="K92" s="121"/>
      <c r="L92" s="121"/>
      <c r="M92" s="121"/>
      <c r="N92" s="121"/>
      <c r="O92" s="121"/>
      <c r="P92" s="121"/>
      <c r="Q92" s="121"/>
      <c r="R92" s="121"/>
      <c r="S92" s="121"/>
      <c r="T92" s="121"/>
      <c r="U92" s="108"/>
      <c r="V92" s="152"/>
      <c r="W92" s="152"/>
      <c r="X92" s="152"/>
      <c r="Y92" s="152"/>
      <c r="Z92" s="152"/>
      <c r="AA92" s="152"/>
      <c r="AB92" s="152"/>
      <c r="AC92" s="152"/>
      <c r="AD92" s="152"/>
      <c r="AE92" s="152"/>
      <c r="AF92" s="152"/>
      <c r="AG92" s="152"/>
      <c r="AH92" s="152"/>
      <c r="AI92" s="152"/>
      <c r="AJ92" s="152"/>
      <c r="AK92" s="152"/>
      <c r="AL92" s="152"/>
      <c r="AM92" s="152"/>
      <c r="AN92" s="152"/>
      <c r="AO92" s="152"/>
      <c r="AP92" s="108"/>
      <c r="AQ92" s="21"/>
      <c r="AR92" s="21"/>
      <c r="AS92" s="21"/>
      <c r="AT92" s="21"/>
      <c r="AU92" s="21"/>
      <c r="AV92" s="21"/>
      <c r="AW92" s="21"/>
      <c r="AX92" s="21"/>
      <c r="AY92" s="21"/>
      <c r="AZ92" s="21"/>
      <c r="BA92" s="21"/>
      <c r="BB92" s="21"/>
      <c r="BC92" s="21"/>
      <c r="BD92" s="21"/>
      <c r="BE92" s="108"/>
      <c r="BF92" s="49"/>
      <c r="BG92" s="49"/>
      <c r="BH92" s="49"/>
      <c r="BI92" s="219"/>
      <c r="BJ92" s="108"/>
    </row>
    <row r="93" spans="1:62" s="54" customFormat="1">
      <c r="A93" s="133"/>
      <c r="B93" s="176"/>
      <c r="C93" s="114" t="s">
        <v>1339</v>
      </c>
      <c r="E93" s="121"/>
      <c r="F93" s="121"/>
      <c r="G93" s="121"/>
      <c r="H93" s="121"/>
      <c r="I93" s="121"/>
      <c r="J93" s="121"/>
      <c r="K93" s="121"/>
      <c r="L93" s="121"/>
      <c r="M93" s="121"/>
      <c r="N93" s="121"/>
      <c r="O93" s="121"/>
      <c r="P93" s="121"/>
      <c r="Q93" s="121"/>
      <c r="R93" s="121"/>
      <c r="S93" s="121"/>
      <c r="T93" s="121"/>
      <c r="U93" s="108"/>
      <c r="V93" s="152"/>
      <c r="W93" s="152"/>
      <c r="X93" s="152"/>
      <c r="Y93" s="152"/>
      <c r="Z93" s="152"/>
      <c r="AA93" s="152"/>
      <c r="AB93" s="152"/>
      <c r="AC93" s="152"/>
      <c r="AD93" s="152"/>
      <c r="AE93" s="152"/>
      <c r="AF93" s="152"/>
      <c r="AG93" s="152"/>
      <c r="AH93" s="152"/>
      <c r="AI93" s="152"/>
      <c r="AJ93" s="152"/>
      <c r="AK93" s="152"/>
      <c r="AL93" s="152"/>
      <c r="AM93" s="152"/>
      <c r="AN93" s="152"/>
      <c r="AO93" s="152"/>
      <c r="AP93" s="108"/>
      <c r="AQ93" s="21"/>
      <c r="AR93" s="21"/>
      <c r="AS93" s="21"/>
      <c r="AT93" s="21"/>
      <c r="AU93" s="21"/>
      <c r="AV93" s="21"/>
      <c r="AW93" s="21"/>
      <c r="AX93" s="21"/>
      <c r="AY93" s="21"/>
      <c r="AZ93" s="21"/>
      <c r="BA93" s="21"/>
      <c r="BB93" s="21"/>
      <c r="BC93" s="21"/>
      <c r="BD93" s="21"/>
      <c r="BE93" s="108"/>
      <c r="BF93" s="49"/>
      <c r="BG93" s="49"/>
      <c r="BH93" s="49"/>
      <c r="BI93" s="219"/>
      <c r="BJ93" s="108"/>
    </row>
    <row r="94" spans="1:62" s="54" customFormat="1">
      <c r="A94" s="133"/>
      <c r="B94" s="176"/>
      <c r="C94" s="114" t="s">
        <v>1340</v>
      </c>
      <c r="E94" s="121"/>
      <c r="F94" s="121"/>
      <c r="G94" s="121"/>
      <c r="H94" s="121"/>
      <c r="I94" s="121"/>
      <c r="J94" s="121"/>
      <c r="K94" s="121"/>
      <c r="L94" s="121"/>
      <c r="M94" s="121"/>
      <c r="N94" s="121"/>
      <c r="O94" s="121"/>
      <c r="P94" s="121"/>
      <c r="Q94" s="121"/>
      <c r="R94" s="121"/>
      <c r="S94" s="121"/>
      <c r="T94" s="121"/>
      <c r="U94" s="108"/>
      <c r="V94" s="152"/>
      <c r="W94" s="152"/>
      <c r="X94" s="152"/>
      <c r="Y94" s="152"/>
      <c r="Z94" s="152"/>
      <c r="AA94" s="152"/>
      <c r="AB94" s="152"/>
      <c r="AC94" s="152"/>
      <c r="AD94" s="152"/>
      <c r="AE94" s="152"/>
      <c r="AF94" s="152"/>
      <c r="AG94" s="152"/>
      <c r="AH94" s="152"/>
      <c r="AI94" s="152"/>
      <c r="AJ94" s="152"/>
      <c r="AK94" s="152"/>
      <c r="AL94" s="152"/>
      <c r="AM94" s="152"/>
      <c r="AN94" s="152"/>
      <c r="AO94" s="152"/>
      <c r="AP94" s="108"/>
      <c r="AQ94" s="21"/>
      <c r="AR94" s="21"/>
      <c r="AS94" s="21"/>
      <c r="AT94" s="21"/>
      <c r="AU94" s="21"/>
      <c r="AV94" s="21"/>
      <c r="AW94" s="21"/>
      <c r="AX94" s="21"/>
      <c r="AY94" s="21"/>
      <c r="AZ94" s="21"/>
      <c r="BA94" s="21"/>
      <c r="BB94" s="21"/>
      <c r="BC94" s="21"/>
      <c r="BD94" s="21"/>
      <c r="BE94" s="108"/>
      <c r="BF94" s="49"/>
      <c r="BG94" s="49"/>
      <c r="BH94" s="49"/>
      <c r="BI94" s="219"/>
      <c r="BJ94" s="108"/>
    </row>
    <row r="95" spans="1:62" s="54" customFormat="1">
      <c r="A95" s="133"/>
      <c r="B95" s="176"/>
      <c r="C95" s="114" t="s">
        <v>1341</v>
      </c>
      <c r="E95" s="121"/>
      <c r="F95" s="121"/>
      <c r="G95" s="121"/>
      <c r="H95" s="121"/>
      <c r="I95" s="121"/>
      <c r="J95" s="121"/>
      <c r="K95" s="121"/>
      <c r="L95" s="121"/>
      <c r="M95" s="121"/>
      <c r="N95" s="121"/>
      <c r="O95" s="121"/>
      <c r="P95" s="121"/>
      <c r="Q95" s="121"/>
      <c r="R95" s="121"/>
      <c r="S95" s="121"/>
      <c r="T95" s="121"/>
      <c r="U95" s="108"/>
      <c r="V95" s="152"/>
      <c r="W95" s="152"/>
      <c r="X95" s="152"/>
      <c r="Y95" s="152"/>
      <c r="Z95" s="152"/>
      <c r="AA95" s="152"/>
      <c r="AB95" s="152"/>
      <c r="AC95" s="152"/>
      <c r="AD95" s="152"/>
      <c r="AE95" s="152"/>
      <c r="AF95" s="152"/>
      <c r="AG95" s="152"/>
      <c r="AH95" s="152"/>
      <c r="AI95" s="152"/>
      <c r="AJ95" s="152"/>
      <c r="AK95" s="152"/>
      <c r="AL95" s="152"/>
      <c r="AM95" s="152"/>
      <c r="AN95" s="152"/>
      <c r="AO95" s="152"/>
      <c r="AP95" s="108"/>
      <c r="AQ95" s="21"/>
      <c r="AR95" s="21"/>
      <c r="AS95" s="21"/>
      <c r="AT95" s="21"/>
      <c r="AU95" s="21"/>
      <c r="AV95" s="21"/>
      <c r="AW95" s="21"/>
      <c r="AX95" s="21"/>
      <c r="AY95" s="21"/>
      <c r="AZ95" s="21"/>
      <c r="BA95" s="21"/>
      <c r="BB95" s="21"/>
      <c r="BC95" s="21"/>
      <c r="BD95" s="21"/>
      <c r="BE95" s="108"/>
      <c r="BF95" s="49"/>
      <c r="BG95" s="49"/>
      <c r="BH95" s="49"/>
      <c r="BI95" s="219"/>
      <c r="BJ95" s="108"/>
    </row>
    <row r="96" spans="1:62" s="54" customFormat="1">
      <c r="A96" s="133"/>
      <c r="B96" s="176"/>
      <c r="C96" s="114"/>
      <c r="E96" s="121"/>
      <c r="F96" s="121"/>
      <c r="G96" s="121"/>
      <c r="H96" s="121"/>
      <c r="I96" s="121"/>
      <c r="J96" s="121"/>
      <c r="K96" s="121"/>
      <c r="L96" s="121"/>
      <c r="M96" s="121"/>
      <c r="N96" s="121"/>
      <c r="O96" s="121"/>
      <c r="P96" s="121"/>
      <c r="Q96" s="121"/>
      <c r="R96" s="121"/>
      <c r="S96" s="121"/>
      <c r="T96" s="121"/>
      <c r="U96" s="108"/>
      <c r="V96" s="152"/>
      <c r="W96" s="152"/>
      <c r="X96" s="152"/>
      <c r="Y96" s="152"/>
      <c r="Z96" s="152"/>
      <c r="AA96" s="152"/>
      <c r="AB96" s="152"/>
      <c r="AC96" s="152"/>
      <c r="AD96" s="152"/>
      <c r="AE96" s="152"/>
      <c r="AF96" s="152"/>
      <c r="AG96" s="152"/>
      <c r="AH96" s="152"/>
      <c r="AI96" s="152"/>
      <c r="AJ96" s="152"/>
      <c r="AK96" s="152"/>
      <c r="AL96" s="152"/>
      <c r="AM96" s="152"/>
      <c r="AN96" s="152"/>
      <c r="AO96" s="152"/>
      <c r="AP96" s="108"/>
      <c r="AQ96" s="21"/>
      <c r="AR96" s="21"/>
      <c r="AS96" s="21"/>
      <c r="AT96" s="21"/>
      <c r="AU96" s="21"/>
      <c r="AV96" s="21"/>
      <c r="AW96" s="21"/>
      <c r="AX96" s="21"/>
      <c r="AY96" s="21"/>
      <c r="AZ96" s="21"/>
      <c r="BA96" s="21"/>
      <c r="BB96" s="21"/>
      <c r="BC96" s="21"/>
      <c r="BD96" s="21"/>
      <c r="BE96" s="108"/>
      <c r="BF96" s="49"/>
      <c r="BG96" s="49"/>
      <c r="BH96" s="49"/>
      <c r="BI96" s="219"/>
      <c r="BJ96" s="108"/>
    </row>
    <row r="97" spans="1:62" s="54" customFormat="1">
      <c r="A97" s="133"/>
      <c r="B97" s="176"/>
      <c r="C97" s="187" t="s">
        <v>1352</v>
      </c>
      <c r="E97" s="121"/>
      <c r="F97" s="121"/>
      <c r="G97" s="121"/>
      <c r="H97" s="121"/>
      <c r="I97" s="121"/>
      <c r="J97" s="121"/>
      <c r="K97" s="121"/>
      <c r="L97" s="121"/>
      <c r="M97" s="121"/>
      <c r="N97" s="121"/>
      <c r="O97" s="121"/>
      <c r="P97" s="121"/>
      <c r="Q97" s="121"/>
      <c r="R97" s="121"/>
      <c r="S97" s="121"/>
      <c r="T97" s="121"/>
      <c r="U97" s="108"/>
      <c r="V97" s="152"/>
      <c r="W97" s="152"/>
      <c r="X97" s="152"/>
      <c r="Y97" s="152"/>
      <c r="Z97" s="152"/>
      <c r="AA97" s="152"/>
      <c r="AB97" s="152"/>
      <c r="AC97" s="152"/>
      <c r="AD97" s="152"/>
      <c r="AE97" s="152"/>
      <c r="AF97" s="152"/>
      <c r="AG97" s="152"/>
      <c r="AH97" s="152"/>
      <c r="AI97" s="152"/>
      <c r="AJ97" s="152"/>
      <c r="AK97" s="152"/>
      <c r="AL97" s="152"/>
      <c r="AM97" s="152"/>
      <c r="AN97" s="152"/>
      <c r="AO97" s="152"/>
      <c r="AP97" s="108"/>
      <c r="AQ97" s="21"/>
      <c r="AR97" s="21"/>
      <c r="AS97" s="21"/>
      <c r="AT97" s="21"/>
      <c r="AU97" s="21"/>
      <c r="AV97" s="21"/>
      <c r="AW97" s="21"/>
      <c r="AX97" s="21"/>
      <c r="AY97" s="21"/>
      <c r="AZ97" s="21"/>
      <c r="BA97" s="21"/>
      <c r="BB97" s="21"/>
      <c r="BC97" s="21"/>
      <c r="BD97" s="21"/>
      <c r="BE97" s="108"/>
      <c r="BF97" s="49"/>
      <c r="BG97" s="49"/>
      <c r="BH97" s="49"/>
      <c r="BI97" s="219"/>
      <c r="BJ97" s="108"/>
    </row>
    <row r="98" spans="1:62" s="54" customFormat="1">
      <c r="A98" s="133"/>
      <c r="B98" s="176"/>
      <c r="C98" s="114" t="s">
        <v>1347</v>
      </c>
      <c r="E98" s="121"/>
      <c r="F98" s="121"/>
      <c r="G98" s="121"/>
      <c r="H98" s="121"/>
      <c r="I98" s="121"/>
      <c r="J98" s="121"/>
      <c r="K98" s="121"/>
      <c r="L98" s="121"/>
      <c r="M98" s="121"/>
      <c r="N98" s="121"/>
      <c r="O98" s="121"/>
      <c r="P98" s="121"/>
      <c r="Q98" s="121"/>
      <c r="R98" s="121"/>
      <c r="S98" s="121"/>
      <c r="T98" s="121"/>
      <c r="U98" s="108"/>
      <c r="V98" s="152"/>
      <c r="W98" s="152"/>
      <c r="X98" s="152"/>
      <c r="Y98" s="152"/>
      <c r="Z98" s="152"/>
      <c r="AA98" s="152"/>
      <c r="AB98" s="152"/>
      <c r="AC98" s="152"/>
      <c r="AD98" s="152"/>
      <c r="AE98" s="152"/>
      <c r="AF98" s="152"/>
      <c r="AG98" s="152"/>
      <c r="AH98" s="152"/>
      <c r="AI98" s="152"/>
      <c r="AJ98" s="152"/>
      <c r="AK98" s="152"/>
      <c r="AL98" s="152"/>
      <c r="AM98" s="152"/>
      <c r="AN98" s="152"/>
      <c r="AO98" s="152"/>
      <c r="AP98" s="108"/>
      <c r="AQ98" s="21"/>
      <c r="AR98" s="21"/>
      <c r="AS98" s="21"/>
      <c r="AT98" s="21"/>
      <c r="AU98" s="21"/>
      <c r="AV98" s="21"/>
      <c r="AW98" s="21"/>
      <c r="AX98" s="21"/>
      <c r="AY98" s="21"/>
      <c r="AZ98" s="21"/>
      <c r="BA98" s="21"/>
      <c r="BB98" s="21"/>
      <c r="BC98" s="21"/>
      <c r="BD98" s="21"/>
      <c r="BE98" s="108"/>
      <c r="BF98" s="49"/>
      <c r="BG98" s="49"/>
      <c r="BH98" s="49"/>
      <c r="BI98" s="219"/>
      <c r="BJ98" s="108"/>
    </row>
    <row r="99" spans="1:62" s="54" customFormat="1">
      <c r="A99" s="133"/>
      <c r="B99" s="176"/>
      <c r="C99" s="114"/>
      <c r="E99" s="121"/>
      <c r="F99" s="121"/>
      <c r="G99" s="121"/>
      <c r="H99" s="121"/>
      <c r="I99" s="121"/>
      <c r="J99" s="121"/>
      <c r="K99" s="121"/>
      <c r="L99" s="121"/>
      <c r="M99" s="121"/>
      <c r="N99" s="121"/>
      <c r="O99" s="121"/>
      <c r="P99" s="121"/>
      <c r="Q99" s="121"/>
      <c r="R99" s="121"/>
      <c r="S99" s="121"/>
      <c r="T99" s="121"/>
      <c r="U99" s="108"/>
      <c r="V99" s="152"/>
      <c r="W99" s="152"/>
      <c r="X99" s="152"/>
      <c r="Y99" s="152"/>
      <c r="Z99" s="152"/>
      <c r="AA99" s="152"/>
      <c r="AB99" s="152"/>
      <c r="AC99" s="152"/>
      <c r="AD99" s="152"/>
      <c r="AE99" s="152"/>
      <c r="AF99" s="152"/>
      <c r="AG99" s="152"/>
      <c r="AH99" s="152"/>
      <c r="AI99" s="152"/>
      <c r="AJ99" s="152"/>
      <c r="AK99" s="152"/>
      <c r="AL99" s="152"/>
      <c r="AM99" s="152"/>
      <c r="AN99" s="152"/>
      <c r="AO99" s="152"/>
      <c r="AP99" s="108"/>
      <c r="AQ99" s="21"/>
      <c r="AR99" s="21"/>
      <c r="AS99" s="21"/>
      <c r="AT99" s="21"/>
      <c r="AU99" s="21"/>
      <c r="AV99" s="21"/>
      <c r="AW99" s="21"/>
      <c r="AX99" s="21"/>
      <c r="AY99" s="21"/>
      <c r="AZ99" s="21"/>
      <c r="BA99" s="21"/>
      <c r="BB99" s="21"/>
      <c r="BC99" s="21"/>
      <c r="BD99" s="21"/>
      <c r="BE99" s="108"/>
      <c r="BF99" s="49"/>
      <c r="BG99" s="49"/>
      <c r="BH99" s="49"/>
      <c r="BI99" s="219"/>
      <c r="BJ99" s="108"/>
    </row>
    <row r="100" spans="1:62" s="54" customFormat="1">
      <c r="A100" s="133"/>
      <c r="B100" s="176"/>
      <c r="C100" s="187" t="s">
        <v>1358</v>
      </c>
      <c r="E100" s="121"/>
      <c r="F100" s="121"/>
      <c r="G100" s="121"/>
      <c r="H100" s="121"/>
      <c r="I100" s="121"/>
      <c r="J100" s="121"/>
      <c r="K100" s="121"/>
      <c r="L100" s="121"/>
      <c r="M100" s="121"/>
      <c r="N100" s="121"/>
      <c r="O100" s="121"/>
      <c r="P100" s="121"/>
      <c r="Q100" s="121"/>
      <c r="R100" s="121"/>
      <c r="S100" s="121"/>
      <c r="T100" s="121"/>
      <c r="U100" s="108"/>
      <c r="V100" s="152"/>
      <c r="W100" s="152"/>
      <c r="X100" s="152"/>
      <c r="Y100" s="152"/>
      <c r="Z100" s="152"/>
      <c r="AA100" s="152"/>
      <c r="AB100" s="152"/>
      <c r="AC100" s="152"/>
      <c r="AD100" s="152"/>
      <c r="AE100" s="152"/>
      <c r="AF100" s="152"/>
      <c r="AG100" s="152"/>
      <c r="AH100" s="152"/>
      <c r="AI100" s="152"/>
      <c r="AJ100" s="152"/>
      <c r="AK100" s="152"/>
      <c r="AL100" s="152"/>
      <c r="AM100" s="152"/>
      <c r="AN100" s="152"/>
      <c r="AO100" s="152"/>
      <c r="AP100" s="108"/>
      <c r="AQ100" s="21"/>
      <c r="AR100" s="21"/>
      <c r="AS100" s="21"/>
      <c r="AT100" s="21"/>
      <c r="AU100" s="21"/>
      <c r="AV100" s="21"/>
      <c r="AW100" s="21"/>
      <c r="AX100" s="21"/>
      <c r="AY100" s="21"/>
      <c r="AZ100" s="21"/>
      <c r="BA100" s="21"/>
      <c r="BB100" s="21"/>
      <c r="BC100" s="21"/>
      <c r="BD100" s="21"/>
      <c r="BE100" s="108"/>
      <c r="BF100" s="49"/>
      <c r="BG100" s="49"/>
      <c r="BH100" s="49"/>
      <c r="BI100" s="219"/>
      <c r="BJ100" s="108"/>
    </row>
    <row r="101" spans="1:62" s="54" customFormat="1">
      <c r="A101" s="133"/>
      <c r="B101" s="176"/>
      <c r="C101" s="114" t="s">
        <v>2518</v>
      </c>
      <c r="E101" s="121"/>
      <c r="F101" s="121"/>
      <c r="G101" s="121"/>
      <c r="H101" s="121"/>
      <c r="I101" s="121"/>
      <c r="J101" s="121"/>
      <c r="K101" s="121"/>
      <c r="L101" s="121"/>
      <c r="M101" s="121"/>
      <c r="N101" s="121"/>
      <c r="O101" s="121"/>
      <c r="P101" s="121"/>
      <c r="Q101" s="121"/>
      <c r="R101" s="121"/>
      <c r="S101" s="121"/>
      <c r="T101" s="121"/>
      <c r="U101" s="108"/>
      <c r="V101" s="152"/>
      <c r="W101" s="152"/>
      <c r="X101" s="152"/>
      <c r="Y101" s="152"/>
      <c r="Z101" s="152"/>
      <c r="AA101" s="152"/>
      <c r="AB101" s="152"/>
      <c r="AC101" s="152"/>
      <c r="AD101" s="152"/>
      <c r="AE101" s="152"/>
      <c r="AF101" s="152"/>
      <c r="AG101" s="152"/>
      <c r="AH101" s="152"/>
      <c r="AI101" s="152"/>
      <c r="AJ101" s="152"/>
      <c r="AK101" s="152"/>
      <c r="AL101" s="152"/>
      <c r="AM101" s="152"/>
      <c r="AN101" s="152"/>
      <c r="AO101" s="152"/>
      <c r="AP101" s="108"/>
      <c r="AQ101" s="21"/>
      <c r="AR101" s="21"/>
      <c r="AS101" s="21"/>
      <c r="AT101" s="21"/>
      <c r="AU101" s="21"/>
      <c r="AV101" s="21"/>
      <c r="AW101" s="21"/>
      <c r="AX101" s="21"/>
      <c r="AY101" s="21"/>
      <c r="AZ101" s="21"/>
      <c r="BA101" s="21"/>
      <c r="BB101" s="21"/>
      <c r="BC101" s="21"/>
      <c r="BD101" s="21"/>
      <c r="BE101" s="108"/>
      <c r="BF101" s="49"/>
      <c r="BG101" s="49"/>
      <c r="BH101" s="49"/>
      <c r="BI101" s="219"/>
      <c r="BJ101" s="108"/>
    </row>
    <row r="102" spans="1:62" s="54" customFormat="1">
      <c r="A102" s="133"/>
      <c r="B102" s="176"/>
      <c r="C102" s="114"/>
      <c r="E102" s="121"/>
      <c r="F102" s="121"/>
      <c r="G102" s="121"/>
      <c r="H102" s="121"/>
      <c r="I102" s="121"/>
      <c r="J102" s="121"/>
      <c r="K102" s="121"/>
      <c r="L102" s="121"/>
      <c r="M102" s="121"/>
      <c r="N102" s="121"/>
      <c r="O102" s="121"/>
      <c r="P102" s="121"/>
      <c r="Q102" s="121"/>
      <c r="R102" s="121"/>
      <c r="S102" s="121"/>
      <c r="T102" s="121"/>
      <c r="U102" s="108"/>
      <c r="V102" s="152"/>
      <c r="W102" s="152"/>
      <c r="X102" s="152"/>
      <c r="Y102" s="152"/>
      <c r="Z102" s="152"/>
      <c r="AA102" s="152"/>
      <c r="AB102" s="152"/>
      <c r="AC102" s="152"/>
      <c r="AD102" s="152"/>
      <c r="AE102" s="152"/>
      <c r="AF102" s="152"/>
      <c r="AG102" s="152"/>
      <c r="AH102" s="152"/>
      <c r="AI102" s="152"/>
      <c r="AJ102" s="152"/>
      <c r="AK102" s="152"/>
      <c r="AL102" s="152"/>
      <c r="AM102" s="152"/>
      <c r="AN102" s="152"/>
      <c r="AO102" s="152"/>
      <c r="AP102" s="108"/>
      <c r="AQ102" s="21"/>
      <c r="AR102" s="21"/>
      <c r="AS102" s="21"/>
      <c r="AT102" s="21"/>
      <c r="AU102" s="21"/>
      <c r="AV102" s="21"/>
      <c r="AW102" s="21"/>
      <c r="AX102" s="21"/>
      <c r="AY102" s="21"/>
      <c r="AZ102" s="21"/>
      <c r="BA102" s="21"/>
      <c r="BB102" s="21"/>
      <c r="BC102" s="21"/>
      <c r="BD102" s="21"/>
      <c r="BE102" s="108"/>
      <c r="BF102" s="49"/>
      <c r="BG102" s="49"/>
      <c r="BH102" s="49"/>
      <c r="BI102" s="219"/>
      <c r="BJ102" s="108"/>
    </row>
    <row r="103" spans="1:62" s="54" customFormat="1">
      <c r="A103" s="133"/>
      <c r="B103" s="176"/>
      <c r="C103" s="187" t="s">
        <v>1359</v>
      </c>
      <c r="E103" s="121"/>
      <c r="F103" s="121"/>
      <c r="G103" s="121"/>
      <c r="H103" s="121"/>
      <c r="I103" s="121"/>
      <c r="J103" s="121"/>
      <c r="K103" s="121"/>
      <c r="L103" s="121"/>
      <c r="M103" s="121"/>
      <c r="N103" s="121"/>
      <c r="O103" s="121"/>
      <c r="P103" s="121"/>
      <c r="Q103" s="121"/>
      <c r="R103" s="121"/>
      <c r="S103" s="121"/>
      <c r="T103" s="121"/>
      <c r="U103" s="108"/>
      <c r="V103" s="152"/>
      <c r="W103" s="152"/>
      <c r="X103" s="152"/>
      <c r="Y103" s="152"/>
      <c r="Z103" s="152"/>
      <c r="AA103" s="152"/>
      <c r="AB103" s="152"/>
      <c r="AC103" s="152"/>
      <c r="AD103" s="152"/>
      <c r="AE103" s="152"/>
      <c r="AF103" s="152"/>
      <c r="AG103" s="152"/>
      <c r="AH103" s="152"/>
      <c r="AI103" s="152"/>
      <c r="AJ103" s="152"/>
      <c r="AK103" s="152"/>
      <c r="AL103" s="152"/>
      <c r="AM103" s="152"/>
      <c r="AN103" s="152"/>
      <c r="AO103" s="152"/>
      <c r="AP103" s="108"/>
      <c r="AQ103" s="21"/>
      <c r="AR103" s="21"/>
      <c r="AS103" s="21"/>
      <c r="AT103" s="21"/>
      <c r="AU103" s="21"/>
      <c r="AV103" s="21"/>
      <c r="AW103" s="21"/>
      <c r="AX103" s="21"/>
      <c r="AY103" s="21"/>
      <c r="AZ103" s="21"/>
      <c r="BA103" s="21"/>
      <c r="BB103" s="21"/>
      <c r="BC103" s="21"/>
      <c r="BD103" s="21"/>
      <c r="BE103" s="108"/>
      <c r="BF103" s="49"/>
      <c r="BG103" s="49"/>
      <c r="BH103" s="49"/>
      <c r="BI103" s="219"/>
      <c r="BJ103" s="108"/>
    </row>
    <row r="104" spans="1:62" s="54" customFormat="1">
      <c r="A104" s="133"/>
      <c r="B104" s="176"/>
      <c r="C104" s="114" t="s">
        <v>2519</v>
      </c>
      <c r="E104" s="121"/>
      <c r="F104" s="121"/>
      <c r="G104" s="121"/>
      <c r="H104" s="121"/>
      <c r="I104" s="121"/>
      <c r="J104" s="121"/>
      <c r="K104" s="121"/>
      <c r="L104" s="121"/>
      <c r="M104" s="121"/>
      <c r="N104" s="121"/>
      <c r="O104" s="121"/>
      <c r="P104" s="121"/>
      <c r="Q104" s="121"/>
      <c r="R104" s="121"/>
      <c r="S104" s="121"/>
      <c r="T104" s="121"/>
      <c r="U104" s="108"/>
      <c r="V104" s="152"/>
      <c r="W104" s="152"/>
      <c r="X104" s="152"/>
      <c r="Y104" s="152"/>
      <c r="Z104" s="152"/>
      <c r="AA104" s="152"/>
      <c r="AB104" s="152"/>
      <c r="AC104" s="152"/>
      <c r="AD104" s="152"/>
      <c r="AE104" s="152"/>
      <c r="AF104" s="152"/>
      <c r="AG104" s="152"/>
      <c r="AH104" s="152"/>
      <c r="AI104" s="152"/>
      <c r="AJ104" s="152"/>
      <c r="AK104" s="152"/>
      <c r="AL104" s="152"/>
      <c r="AM104" s="152"/>
      <c r="AN104" s="152"/>
      <c r="AO104" s="152"/>
      <c r="AP104" s="108"/>
      <c r="AQ104" s="21"/>
      <c r="AR104" s="21"/>
      <c r="AS104" s="21"/>
      <c r="AT104" s="21"/>
      <c r="AU104" s="21"/>
      <c r="AV104" s="21"/>
      <c r="AW104" s="21"/>
      <c r="AX104" s="21"/>
      <c r="AY104" s="21"/>
      <c r="AZ104" s="21"/>
      <c r="BA104" s="21"/>
      <c r="BB104" s="21"/>
      <c r="BC104" s="21"/>
      <c r="BD104" s="21"/>
      <c r="BE104" s="108"/>
      <c r="BF104" s="49"/>
      <c r="BG104" s="49"/>
      <c r="BH104" s="49"/>
      <c r="BI104" s="219"/>
      <c r="BJ104" s="108"/>
    </row>
    <row r="105" spans="1:62" s="54" customFormat="1">
      <c r="A105" s="133"/>
      <c r="B105" s="176"/>
      <c r="C105" s="168"/>
      <c r="E105" s="121"/>
      <c r="F105" s="121"/>
      <c r="G105" s="121"/>
      <c r="H105" s="121"/>
      <c r="I105" s="121"/>
      <c r="J105" s="121"/>
      <c r="K105" s="121"/>
      <c r="L105" s="121"/>
      <c r="M105" s="121"/>
      <c r="N105" s="121"/>
      <c r="O105" s="121"/>
      <c r="P105" s="121"/>
      <c r="Q105" s="121"/>
      <c r="R105" s="121"/>
      <c r="S105" s="121"/>
      <c r="T105" s="121"/>
      <c r="U105" s="108"/>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08"/>
      <c r="AQ105" s="21"/>
      <c r="AR105" s="21"/>
      <c r="AS105" s="21"/>
      <c r="AT105" s="21"/>
      <c r="AU105" s="21"/>
      <c r="AV105" s="21"/>
      <c r="AW105" s="21"/>
      <c r="AX105" s="21"/>
      <c r="AY105" s="21"/>
      <c r="AZ105" s="21"/>
      <c r="BA105" s="21"/>
      <c r="BB105" s="21"/>
      <c r="BC105" s="21"/>
      <c r="BD105" s="21"/>
      <c r="BE105" s="108"/>
      <c r="BF105" s="49"/>
      <c r="BG105" s="49"/>
      <c r="BH105" s="49"/>
      <c r="BI105" s="219"/>
      <c r="BJ105" s="108"/>
    </row>
    <row r="106" spans="1:62" s="54" customFormat="1">
      <c r="A106" s="133"/>
      <c r="B106" s="176"/>
      <c r="C106" s="187" t="s">
        <v>1356</v>
      </c>
      <c r="E106" s="121"/>
      <c r="F106" s="121"/>
      <c r="G106" s="121"/>
      <c r="H106" s="121"/>
      <c r="I106" s="121"/>
      <c r="J106" s="121"/>
      <c r="K106" s="121"/>
      <c r="L106" s="121"/>
      <c r="M106" s="121"/>
      <c r="N106" s="121"/>
      <c r="O106" s="121"/>
      <c r="P106" s="121"/>
      <c r="Q106" s="121"/>
      <c r="R106" s="121"/>
      <c r="S106" s="121"/>
      <c r="T106" s="121"/>
      <c r="U106" s="108"/>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08"/>
      <c r="AQ106" s="21"/>
      <c r="AR106" s="21"/>
      <c r="AS106" s="21"/>
      <c r="AT106" s="21"/>
      <c r="AU106" s="21"/>
      <c r="AV106" s="21"/>
      <c r="AW106" s="21"/>
      <c r="AX106" s="21"/>
      <c r="AY106" s="21"/>
      <c r="AZ106" s="21"/>
      <c r="BA106" s="21"/>
      <c r="BB106" s="21"/>
      <c r="BC106" s="21"/>
      <c r="BD106" s="21"/>
      <c r="BE106" s="108"/>
      <c r="BF106" s="49"/>
      <c r="BG106" s="49"/>
      <c r="BH106" s="49"/>
      <c r="BI106" s="219"/>
      <c r="BJ106" s="108"/>
    </row>
    <row r="107" spans="1:62" s="54" customFormat="1">
      <c r="A107" s="133"/>
      <c r="B107" s="176"/>
      <c r="C107" s="114" t="s">
        <v>2520</v>
      </c>
      <c r="E107" s="121"/>
      <c r="F107" s="121"/>
      <c r="G107" s="121"/>
      <c r="H107" s="121"/>
      <c r="I107" s="121"/>
      <c r="J107" s="121"/>
      <c r="K107" s="121"/>
      <c r="L107" s="121"/>
      <c r="M107" s="121"/>
      <c r="N107" s="121"/>
      <c r="O107" s="121"/>
      <c r="P107" s="121"/>
      <c r="Q107" s="121"/>
      <c r="R107" s="121"/>
      <c r="S107" s="121"/>
      <c r="T107" s="121"/>
      <c r="U107" s="108"/>
      <c r="V107" s="152"/>
      <c r="W107" s="152"/>
      <c r="X107" s="152"/>
      <c r="Y107" s="152"/>
      <c r="Z107" s="152"/>
      <c r="AA107" s="152"/>
      <c r="AB107" s="152"/>
      <c r="AC107" s="152"/>
      <c r="AD107" s="152"/>
      <c r="AE107" s="152"/>
      <c r="AF107" s="152"/>
      <c r="AG107" s="152"/>
      <c r="AH107" s="152"/>
      <c r="AI107" s="152"/>
      <c r="AJ107" s="152"/>
      <c r="AK107" s="152"/>
      <c r="AL107" s="152"/>
      <c r="AM107" s="152"/>
      <c r="AN107" s="152"/>
      <c r="AO107" s="152"/>
      <c r="AP107" s="108"/>
      <c r="AQ107" s="21"/>
      <c r="AR107" s="21"/>
      <c r="AS107" s="21"/>
      <c r="AT107" s="21"/>
      <c r="AU107" s="21"/>
      <c r="AV107" s="21"/>
      <c r="AW107" s="21"/>
      <c r="AX107" s="21"/>
      <c r="AY107" s="21"/>
      <c r="AZ107" s="21"/>
      <c r="BA107" s="21"/>
      <c r="BB107" s="21"/>
      <c r="BC107" s="21"/>
      <c r="BD107" s="21"/>
      <c r="BE107" s="108"/>
      <c r="BF107" s="49"/>
      <c r="BG107" s="49"/>
      <c r="BH107" s="49"/>
      <c r="BI107" s="219"/>
      <c r="BJ107" s="108"/>
    </row>
    <row r="108" spans="1:62" s="54" customFormat="1">
      <c r="A108" s="133"/>
      <c r="B108" s="176"/>
      <c r="C108" s="114"/>
      <c r="E108" s="121"/>
      <c r="F108" s="121"/>
      <c r="G108" s="121"/>
      <c r="H108" s="121"/>
      <c r="I108" s="121"/>
      <c r="J108" s="121"/>
      <c r="K108" s="121"/>
      <c r="L108" s="121"/>
      <c r="M108" s="121"/>
      <c r="N108" s="121"/>
      <c r="O108" s="121"/>
      <c r="P108" s="121"/>
      <c r="Q108" s="121"/>
      <c r="R108" s="121"/>
      <c r="S108" s="121"/>
      <c r="T108" s="121"/>
      <c r="U108" s="108"/>
      <c r="V108" s="152"/>
      <c r="W108" s="152"/>
      <c r="X108" s="152"/>
      <c r="Y108" s="152"/>
      <c r="Z108" s="152"/>
      <c r="AA108" s="152"/>
      <c r="AB108" s="152"/>
      <c r="AC108" s="152"/>
      <c r="AD108" s="152"/>
      <c r="AE108" s="152"/>
      <c r="AF108" s="152"/>
      <c r="AG108" s="152"/>
      <c r="AH108" s="152"/>
      <c r="AI108" s="152"/>
      <c r="AJ108" s="152"/>
      <c r="AK108" s="152"/>
      <c r="AL108" s="152"/>
      <c r="AM108" s="152"/>
      <c r="AN108" s="152"/>
      <c r="AO108" s="152"/>
      <c r="AP108" s="108"/>
      <c r="AQ108" s="21"/>
      <c r="AR108" s="21"/>
      <c r="AS108" s="21"/>
      <c r="AT108" s="21"/>
      <c r="AU108" s="21"/>
      <c r="AV108" s="21"/>
      <c r="AW108" s="21"/>
      <c r="AX108" s="21"/>
      <c r="AY108" s="21"/>
      <c r="AZ108" s="21"/>
      <c r="BA108" s="21"/>
      <c r="BB108" s="21"/>
      <c r="BC108" s="21"/>
      <c r="BD108" s="21"/>
      <c r="BE108" s="108"/>
      <c r="BF108" s="49"/>
      <c r="BG108" s="49"/>
      <c r="BH108" s="49"/>
      <c r="BI108" s="219"/>
      <c r="BJ108" s="108"/>
    </row>
    <row r="109" spans="1:62" s="54" customFormat="1">
      <c r="A109" s="133"/>
      <c r="B109" s="176"/>
      <c r="C109" s="168"/>
      <c r="E109" s="121"/>
      <c r="F109" s="121"/>
      <c r="G109" s="121"/>
      <c r="H109" s="121"/>
      <c r="I109" s="121"/>
      <c r="J109" s="121"/>
      <c r="K109" s="121"/>
      <c r="L109" s="121"/>
      <c r="M109" s="121"/>
      <c r="N109" s="121"/>
      <c r="O109" s="121"/>
      <c r="P109" s="121"/>
      <c r="Q109" s="121"/>
      <c r="R109" s="121"/>
      <c r="S109" s="121"/>
      <c r="T109" s="121"/>
      <c r="U109" s="108"/>
      <c r="V109" s="152"/>
      <c r="W109" s="152"/>
      <c r="X109" s="152"/>
      <c r="Y109" s="152"/>
      <c r="Z109" s="152"/>
      <c r="AA109" s="152"/>
      <c r="AB109" s="152"/>
      <c r="AC109" s="152"/>
      <c r="AD109" s="152"/>
      <c r="AE109" s="152"/>
      <c r="AF109" s="152"/>
      <c r="AG109" s="152"/>
      <c r="AH109" s="152"/>
      <c r="AI109" s="152"/>
      <c r="AJ109" s="152"/>
      <c r="AK109" s="152"/>
      <c r="AL109" s="152"/>
      <c r="AM109" s="152"/>
      <c r="AN109" s="152"/>
      <c r="AO109" s="152"/>
      <c r="AP109" s="108"/>
      <c r="AQ109" s="21"/>
      <c r="AR109" s="21"/>
      <c r="AS109" s="21"/>
      <c r="AT109" s="21"/>
      <c r="AU109" s="21"/>
      <c r="AV109" s="21"/>
      <c r="AW109" s="21"/>
      <c r="AX109" s="21"/>
      <c r="AY109" s="21"/>
      <c r="AZ109" s="21"/>
      <c r="BA109" s="21"/>
      <c r="BB109" s="21"/>
      <c r="BC109" s="21"/>
      <c r="BD109" s="21"/>
      <c r="BE109" s="108"/>
      <c r="BF109" s="49"/>
      <c r="BG109" s="49"/>
      <c r="BH109" s="49"/>
      <c r="BI109" s="219"/>
      <c r="BJ109" s="108"/>
    </row>
    <row r="110" spans="1:62" s="54" customFormat="1">
      <c r="A110" s="133"/>
      <c r="B110" s="176"/>
      <c r="C110" s="46" t="s">
        <v>1360</v>
      </c>
      <c r="E110" s="121"/>
      <c r="F110" s="121"/>
      <c r="G110" s="121"/>
      <c r="H110" s="121"/>
      <c r="I110" s="121"/>
      <c r="J110" s="121"/>
      <c r="K110" s="121"/>
      <c r="L110" s="121"/>
      <c r="M110" s="121"/>
      <c r="N110" s="121"/>
      <c r="O110" s="121"/>
      <c r="P110" s="121"/>
      <c r="Q110" s="121"/>
      <c r="R110" s="121"/>
      <c r="S110" s="121"/>
      <c r="T110" s="121"/>
      <c r="U110" s="108"/>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08"/>
      <c r="AQ110" s="21"/>
      <c r="AR110" s="21"/>
      <c r="AS110" s="21"/>
      <c r="AT110" s="21"/>
      <c r="AU110" s="21"/>
      <c r="AV110" s="21"/>
      <c r="AW110" s="21"/>
      <c r="AX110" s="21"/>
      <c r="AY110" s="21"/>
      <c r="AZ110" s="21"/>
      <c r="BA110" s="21"/>
      <c r="BB110" s="21"/>
      <c r="BC110" s="21"/>
      <c r="BD110" s="21"/>
      <c r="BE110" s="108"/>
      <c r="BF110" s="49"/>
      <c r="BG110" s="49"/>
      <c r="BH110" s="49"/>
      <c r="BI110" s="219"/>
      <c r="BJ110" s="108"/>
    </row>
    <row r="111" spans="1:62" s="54" customFormat="1">
      <c r="A111" s="133"/>
      <c r="B111" s="176"/>
      <c r="C111" s="46"/>
      <c r="E111" s="121"/>
      <c r="F111" s="121"/>
      <c r="G111" s="121"/>
      <c r="H111" s="121"/>
      <c r="I111" s="121"/>
      <c r="J111" s="121"/>
      <c r="K111" s="121"/>
      <c r="L111" s="121"/>
      <c r="M111" s="121"/>
      <c r="N111" s="121"/>
      <c r="O111" s="121"/>
      <c r="P111" s="121"/>
      <c r="Q111" s="121"/>
      <c r="R111" s="121"/>
      <c r="S111" s="121"/>
      <c r="T111" s="121"/>
      <c r="U111" s="108"/>
      <c r="V111" s="152"/>
      <c r="W111" s="152"/>
      <c r="X111" s="152"/>
      <c r="Y111" s="152"/>
      <c r="Z111" s="152"/>
      <c r="AA111" s="152"/>
      <c r="AB111" s="152"/>
      <c r="AC111" s="152"/>
      <c r="AD111" s="152"/>
      <c r="AE111" s="152"/>
      <c r="AF111" s="152"/>
      <c r="AG111" s="152"/>
      <c r="AH111" s="152"/>
      <c r="AI111" s="152"/>
      <c r="AJ111" s="152"/>
      <c r="AK111" s="152"/>
      <c r="AL111" s="152"/>
      <c r="AM111" s="152"/>
      <c r="AN111" s="152"/>
      <c r="AO111" s="152"/>
      <c r="AP111" s="108"/>
      <c r="AQ111" s="21"/>
      <c r="AR111" s="21"/>
      <c r="AS111" s="21"/>
      <c r="AT111" s="21"/>
      <c r="AU111" s="21"/>
      <c r="AV111" s="21"/>
      <c r="AW111" s="21"/>
      <c r="AX111" s="21"/>
      <c r="AY111" s="21"/>
      <c r="AZ111" s="21"/>
      <c r="BA111" s="21"/>
      <c r="BB111" s="21"/>
      <c r="BC111" s="21"/>
      <c r="BD111" s="21"/>
      <c r="BE111" s="108"/>
      <c r="BF111" s="49"/>
      <c r="BG111" s="49"/>
      <c r="BH111" s="49"/>
      <c r="BI111" s="219"/>
      <c r="BJ111" s="108"/>
    </row>
    <row r="112" spans="1:62" s="54" customFormat="1">
      <c r="A112" s="133"/>
      <c r="B112" s="176"/>
      <c r="C112" s="187" t="s">
        <v>1354</v>
      </c>
      <c r="E112" s="121"/>
      <c r="F112" s="121"/>
      <c r="G112" s="121"/>
      <c r="H112" s="121"/>
      <c r="I112" s="121"/>
      <c r="J112" s="121"/>
      <c r="K112" s="121"/>
      <c r="L112" s="121"/>
      <c r="M112" s="121"/>
      <c r="N112" s="121"/>
      <c r="O112" s="121"/>
      <c r="P112" s="121"/>
      <c r="Q112" s="121"/>
      <c r="R112" s="121"/>
      <c r="S112" s="121"/>
      <c r="T112" s="121"/>
      <c r="U112" s="108"/>
      <c r="V112" s="152"/>
      <c r="W112" s="152"/>
      <c r="X112" s="152"/>
      <c r="Y112" s="152"/>
      <c r="Z112" s="152"/>
      <c r="AA112" s="152"/>
      <c r="AB112" s="152"/>
      <c r="AC112" s="152"/>
      <c r="AD112" s="152"/>
      <c r="AE112" s="152"/>
      <c r="AF112" s="152"/>
      <c r="AG112" s="152"/>
      <c r="AH112" s="152"/>
      <c r="AI112" s="152"/>
      <c r="AJ112" s="152"/>
      <c r="AK112" s="152"/>
      <c r="AL112" s="152"/>
      <c r="AM112" s="152"/>
      <c r="AN112" s="152"/>
      <c r="AO112" s="152"/>
      <c r="AP112" s="108"/>
      <c r="AQ112" s="21"/>
      <c r="AR112" s="21"/>
      <c r="AS112" s="21"/>
      <c r="AT112" s="21"/>
      <c r="AU112" s="21"/>
      <c r="AV112" s="21"/>
      <c r="AW112" s="21"/>
      <c r="AX112" s="21"/>
      <c r="AY112" s="21"/>
      <c r="AZ112" s="21"/>
      <c r="BA112" s="21"/>
      <c r="BB112" s="21"/>
      <c r="BC112" s="21"/>
      <c r="BD112" s="21"/>
      <c r="BE112" s="108"/>
      <c r="BF112" s="49"/>
      <c r="BG112" s="49"/>
      <c r="BH112" s="49"/>
      <c r="BI112" s="219"/>
      <c r="BJ112" s="108"/>
    </row>
    <row r="113" spans="1:62" s="54" customFormat="1">
      <c r="A113" s="133"/>
      <c r="B113" s="176"/>
      <c r="C113" s="114" t="s">
        <v>1342</v>
      </c>
      <c r="E113" s="121"/>
      <c r="F113" s="121"/>
      <c r="G113" s="121"/>
      <c r="H113" s="121"/>
      <c r="I113" s="121"/>
      <c r="J113" s="121"/>
      <c r="K113" s="121"/>
      <c r="L113" s="121"/>
      <c r="M113" s="121"/>
      <c r="N113" s="121"/>
      <c r="O113" s="121"/>
      <c r="P113" s="121"/>
      <c r="Q113" s="121"/>
      <c r="R113" s="121"/>
      <c r="S113" s="121"/>
      <c r="T113" s="121"/>
      <c r="U113" s="108"/>
      <c r="V113" s="152"/>
      <c r="W113" s="152"/>
      <c r="X113" s="152"/>
      <c r="Y113" s="152"/>
      <c r="Z113" s="152"/>
      <c r="AA113" s="152"/>
      <c r="AB113" s="152"/>
      <c r="AC113" s="152"/>
      <c r="AD113" s="152"/>
      <c r="AE113" s="152"/>
      <c r="AF113" s="152"/>
      <c r="AG113" s="152"/>
      <c r="AH113" s="152"/>
      <c r="AI113" s="152"/>
      <c r="AJ113" s="152"/>
      <c r="AK113" s="152"/>
      <c r="AL113" s="152"/>
      <c r="AM113" s="152"/>
      <c r="AN113" s="152"/>
      <c r="AO113" s="152"/>
      <c r="AP113" s="108"/>
      <c r="AQ113" s="21"/>
      <c r="AR113" s="21"/>
      <c r="AS113" s="21"/>
      <c r="AT113" s="21"/>
      <c r="AU113" s="21"/>
      <c r="AV113" s="21"/>
      <c r="AW113" s="21"/>
      <c r="AX113" s="21"/>
      <c r="AY113" s="21"/>
      <c r="AZ113" s="21"/>
      <c r="BA113" s="21"/>
      <c r="BB113" s="21"/>
      <c r="BC113" s="21"/>
      <c r="BD113" s="21"/>
      <c r="BE113" s="108"/>
      <c r="BF113" s="49"/>
      <c r="BG113" s="49"/>
      <c r="BH113" s="49"/>
      <c r="BI113" s="219"/>
      <c r="BJ113" s="108"/>
    </row>
    <row r="114" spans="1:62" s="54" customFormat="1">
      <c r="A114" s="133"/>
      <c r="B114" s="176"/>
      <c r="C114" s="114" t="s">
        <v>1343</v>
      </c>
      <c r="E114" s="121"/>
      <c r="F114" s="121"/>
      <c r="G114" s="121"/>
      <c r="H114" s="121"/>
      <c r="I114" s="121"/>
      <c r="J114" s="121"/>
      <c r="K114" s="121"/>
      <c r="L114" s="121"/>
      <c r="M114" s="121"/>
      <c r="N114" s="121"/>
      <c r="O114" s="121"/>
      <c r="P114" s="121"/>
      <c r="Q114" s="121"/>
      <c r="R114" s="121"/>
      <c r="S114" s="121"/>
      <c r="T114" s="121"/>
      <c r="U114" s="108"/>
      <c r="V114" s="152"/>
      <c r="W114" s="152"/>
      <c r="X114" s="152"/>
      <c r="Y114" s="152"/>
      <c r="Z114" s="152"/>
      <c r="AA114" s="152"/>
      <c r="AB114" s="152"/>
      <c r="AC114" s="152"/>
      <c r="AD114" s="152"/>
      <c r="AE114" s="152"/>
      <c r="AF114" s="152"/>
      <c r="AG114" s="152"/>
      <c r="AH114" s="152"/>
      <c r="AI114" s="152"/>
      <c r="AJ114" s="152"/>
      <c r="AK114" s="152"/>
      <c r="AL114" s="152"/>
      <c r="AM114" s="152"/>
      <c r="AN114" s="152"/>
      <c r="AO114" s="152"/>
      <c r="AP114" s="108"/>
      <c r="AQ114" s="21"/>
      <c r="AR114" s="21"/>
      <c r="AS114" s="21"/>
      <c r="AT114" s="21"/>
      <c r="AU114" s="21"/>
      <c r="AV114" s="21"/>
      <c r="AW114" s="21"/>
      <c r="AX114" s="21"/>
      <c r="AY114" s="21"/>
      <c r="AZ114" s="21"/>
      <c r="BA114" s="21"/>
      <c r="BB114" s="21"/>
      <c r="BC114" s="21"/>
      <c r="BD114" s="21"/>
      <c r="BE114" s="108"/>
      <c r="BF114" s="49"/>
      <c r="BG114" s="49"/>
      <c r="BH114" s="49"/>
      <c r="BI114" s="219"/>
      <c r="BJ114" s="108"/>
    </row>
    <row r="115" spans="1:62" s="54" customFormat="1">
      <c r="A115" s="133"/>
      <c r="B115" s="176"/>
      <c r="C115" s="114" t="s">
        <v>1344</v>
      </c>
      <c r="E115" s="121"/>
      <c r="F115" s="121"/>
      <c r="G115" s="121"/>
      <c r="H115" s="121"/>
      <c r="I115" s="121"/>
      <c r="J115" s="121"/>
      <c r="K115" s="121"/>
      <c r="L115" s="121"/>
      <c r="M115" s="121"/>
      <c r="N115" s="121"/>
      <c r="O115" s="121"/>
      <c r="P115" s="121"/>
      <c r="Q115" s="121"/>
      <c r="R115" s="121"/>
      <c r="S115" s="121"/>
      <c r="T115" s="121"/>
      <c r="U115" s="108"/>
      <c r="V115" s="152"/>
      <c r="W115" s="152"/>
      <c r="X115" s="152"/>
      <c r="Y115" s="152"/>
      <c r="Z115" s="152"/>
      <c r="AA115" s="152"/>
      <c r="AB115" s="152"/>
      <c r="AC115" s="152"/>
      <c r="AD115" s="152"/>
      <c r="AE115" s="152"/>
      <c r="AF115" s="152"/>
      <c r="AG115" s="152"/>
      <c r="AH115" s="152"/>
      <c r="AI115" s="152"/>
      <c r="AJ115" s="152"/>
      <c r="AK115" s="152"/>
      <c r="AL115" s="152"/>
      <c r="AM115" s="152"/>
      <c r="AN115" s="152"/>
      <c r="AO115" s="152"/>
      <c r="AP115" s="108"/>
      <c r="AQ115" s="21"/>
      <c r="AR115" s="21"/>
      <c r="AS115" s="21"/>
      <c r="AT115" s="21"/>
      <c r="AU115" s="21"/>
      <c r="AV115" s="21"/>
      <c r="AW115" s="21"/>
      <c r="AX115" s="21"/>
      <c r="AY115" s="21"/>
      <c r="AZ115" s="21"/>
      <c r="BA115" s="21"/>
      <c r="BB115" s="21"/>
      <c r="BC115" s="21"/>
      <c r="BD115" s="21"/>
      <c r="BE115" s="108"/>
      <c r="BF115" s="49"/>
      <c r="BG115" s="49"/>
      <c r="BH115" s="49"/>
      <c r="BI115" s="219"/>
      <c r="BJ115" s="108"/>
    </row>
    <row r="116" spans="1:62" s="54" customFormat="1">
      <c r="A116" s="133"/>
      <c r="B116" s="176"/>
      <c r="C116" s="114" t="s">
        <v>1345</v>
      </c>
      <c r="E116" s="121"/>
      <c r="F116" s="121"/>
      <c r="G116" s="121"/>
      <c r="H116" s="121"/>
      <c r="I116" s="121"/>
      <c r="J116" s="121"/>
      <c r="K116" s="121"/>
      <c r="L116" s="121"/>
      <c r="M116" s="121"/>
      <c r="N116" s="121"/>
      <c r="O116" s="121"/>
      <c r="P116" s="121"/>
      <c r="Q116" s="121"/>
      <c r="R116" s="121"/>
      <c r="S116" s="121"/>
      <c r="T116" s="121"/>
      <c r="U116" s="108"/>
      <c r="V116" s="152"/>
      <c r="W116" s="152"/>
      <c r="X116" s="152"/>
      <c r="Y116" s="152"/>
      <c r="Z116" s="152"/>
      <c r="AA116" s="152"/>
      <c r="AB116" s="152"/>
      <c r="AC116" s="152"/>
      <c r="AD116" s="152"/>
      <c r="AE116" s="152"/>
      <c r="AF116" s="152"/>
      <c r="AG116" s="152"/>
      <c r="AH116" s="152"/>
      <c r="AI116" s="152"/>
      <c r="AJ116" s="152"/>
      <c r="AK116" s="152"/>
      <c r="AL116" s="152"/>
      <c r="AM116" s="152"/>
      <c r="AN116" s="152"/>
      <c r="AO116" s="152"/>
      <c r="AP116" s="108"/>
      <c r="AQ116" s="21"/>
      <c r="AR116" s="21"/>
      <c r="AS116" s="21"/>
      <c r="AT116" s="21"/>
      <c r="AU116" s="21"/>
      <c r="AV116" s="21"/>
      <c r="AW116" s="21"/>
      <c r="AX116" s="21"/>
      <c r="AY116" s="21"/>
      <c r="AZ116" s="21"/>
      <c r="BA116" s="21"/>
      <c r="BB116" s="21"/>
      <c r="BC116" s="21"/>
      <c r="BD116" s="21"/>
      <c r="BE116" s="108"/>
      <c r="BF116" s="49"/>
      <c r="BG116" s="49"/>
      <c r="BH116" s="49"/>
      <c r="BI116" s="219"/>
      <c r="BJ116" s="108"/>
    </row>
    <row r="117" spans="1:62" s="54" customFormat="1">
      <c r="A117" s="133"/>
      <c r="B117" s="176"/>
      <c r="C117" s="114" t="s">
        <v>1346</v>
      </c>
      <c r="E117" s="121"/>
      <c r="F117" s="121"/>
      <c r="G117" s="121"/>
      <c r="H117" s="121"/>
      <c r="I117" s="121"/>
      <c r="J117" s="121"/>
      <c r="K117" s="121"/>
      <c r="L117" s="121"/>
      <c r="M117" s="121"/>
      <c r="N117" s="121"/>
      <c r="O117" s="121"/>
      <c r="P117" s="121"/>
      <c r="Q117" s="121"/>
      <c r="R117" s="121"/>
      <c r="S117" s="121"/>
      <c r="T117" s="121"/>
      <c r="U117" s="108"/>
      <c r="V117" s="152"/>
      <c r="W117" s="152"/>
      <c r="X117" s="152"/>
      <c r="Y117" s="152"/>
      <c r="Z117" s="152"/>
      <c r="AA117" s="152"/>
      <c r="AB117" s="152"/>
      <c r="AC117" s="152"/>
      <c r="AD117" s="152"/>
      <c r="AE117" s="152"/>
      <c r="AF117" s="152"/>
      <c r="AG117" s="152"/>
      <c r="AH117" s="152"/>
      <c r="AI117" s="152"/>
      <c r="AJ117" s="152"/>
      <c r="AK117" s="152"/>
      <c r="AL117" s="152"/>
      <c r="AM117" s="152"/>
      <c r="AN117" s="152"/>
      <c r="AO117" s="152"/>
      <c r="AP117" s="108"/>
      <c r="AQ117" s="21"/>
      <c r="AR117" s="21"/>
      <c r="AS117" s="21"/>
      <c r="AT117" s="21"/>
      <c r="AU117" s="21"/>
      <c r="AV117" s="21"/>
      <c r="AW117" s="21"/>
      <c r="AX117" s="21"/>
      <c r="AY117" s="21"/>
      <c r="AZ117" s="21"/>
      <c r="BA117" s="21"/>
      <c r="BB117" s="21"/>
      <c r="BC117" s="21"/>
      <c r="BD117" s="21"/>
      <c r="BE117" s="108"/>
      <c r="BF117" s="49"/>
      <c r="BG117" s="49"/>
      <c r="BH117" s="49"/>
      <c r="BI117" s="219"/>
      <c r="BJ117" s="108"/>
    </row>
    <row r="118" spans="1:62" s="54" customFormat="1">
      <c r="A118" s="133"/>
      <c r="B118" s="176"/>
      <c r="C118" s="114"/>
      <c r="E118" s="121"/>
      <c r="F118" s="121"/>
      <c r="G118" s="121"/>
      <c r="H118" s="121"/>
      <c r="I118" s="121"/>
      <c r="J118" s="121"/>
      <c r="K118" s="121"/>
      <c r="L118" s="121"/>
      <c r="M118" s="121"/>
      <c r="N118" s="121"/>
      <c r="O118" s="121"/>
      <c r="P118" s="121"/>
      <c r="Q118" s="121"/>
      <c r="R118" s="121"/>
      <c r="S118" s="121"/>
      <c r="T118" s="121"/>
      <c r="U118" s="108"/>
      <c r="V118" s="152"/>
      <c r="W118" s="152"/>
      <c r="X118" s="152"/>
      <c r="Y118" s="152"/>
      <c r="Z118" s="152"/>
      <c r="AA118" s="152"/>
      <c r="AB118" s="152"/>
      <c r="AC118" s="152"/>
      <c r="AD118" s="152"/>
      <c r="AE118" s="152"/>
      <c r="AF118" s="152"/>
      <c r="AG118" s="152"/>
      <c r="AH118" s="152"/>
      <c r="AI118" s="152"/>
      <c r="AJ118" s="152"/>
      <c r="AK118" s="152"/>
      <c r="AL118" s="152"/>
      <c r="AM118" s="152"/>
      <c r="AN118" s="152"/>
      <c r="AO118" s="152"/>
      <c r="AP118" s="108"/>
      <c r="AQ118" s="21"/>
      <c r="AR118" s="21"/>
      <c r="AS118" s="21"/>
      <c r="AT118" s="21"/>
      <c r="AU118" s="21"/>
      <c r="AV118" s="21"/>
      <c r="AW118" s="21"/>
      <c r="AX118" s="21"/>
      <c r="AY118" s="21"/>
      <c r="AZ118" s="21"/>
      <c r="BA118" s="21"/>
      <c r="BB118" s="21"/>
      <c r="BC118" s="21"/>
      <c r="BD118" s="21"/>
      <c r="BE118" s="108"/>
      <c r="BF118" s="49"/>
      <c r="BG118" s="49"/>
      <c r="BH118" s="49"/>
      <c r="BI118" s="219"/>
      <c r="BJ118" s="108"/>
    </row>
    <row r="119" spans="1:62" s="54" customFormat="1">
      <c r="A119" s="133"/>
      <c r="B119" s="176"/>
      <c r="C119" s="187" t="s">
        <v>1353</v>
      </c>
      <c r="E119" s="121"/>
      <c r="F119" s="121"/>
      <c r="G119" s="121"/>
      <c r="H119" s="121"/>
      <c r="I119" s="121"/>
      <c r="J119" s="121"/>
      <c r="K119" s="121"/>
      <c r="L119" s="121"/>
      <c r="M119" s="121"/>
      <c r="N119" s="121"/>
      <c r="O119" s="121"/>
      <c r="P119" s="121"/>
      <c r="Q119" s="121"/>
      <c r="R119" s="121"/>
      <c r="S119" s="121"/>
      <c r="T119" s="121"/>
      <c r="U119" s="108"/>
      <c r="V119" s="152"/>
      <c r="W119" s="152"/>
      <c r="X119" s="152"/>
      <c r="Y119" s="152"/>
      <c r="Z119" s="152"/>
      <c r="AA119" s="152"/>
      <c r="AB119" s="152"/>
      <c r="AC119" s="152"/>
      <c r="AD119" s="152"/>
      <c r="AE119" s="152"/>
      <c r="AF119" s="152"/>
      <c r="AG119" s="152"/>
      <c r="AH119" s="152"/>
      <c r="AI119" s="152"/>
      <c r="AJ119" s="152"/>
      <c r="AK119" s="152"/>
      <c r="AL119" s="152"/>
      <c r="AM119" s="152"/>
      <c r="AN119" s="152"/>
      <c r="AO119" s="152"/>
      <c r="AP119" s="108"/>
      <c r="AQ119" s="21"/>
      <c r="AR119" s="21"/>
      <c r="AS119" s="21"/>
      <c r="AT119" s="21"/>
      <c r="AU119" s="21"/>
      <c r="AV119" s="21"/>
      <c r="AW119" s="21"/>
      <c r="AX119" s="21"/>
      <c r="AY119" s="21"/>
      <c r="AZ119" s="21"/>
      <c r="BA119" s="21"/>
      <c r="BB119" s="21"/>
      <c r="BC119" s="21"/>
      <c r="BD119" s="21"/>
      <c r="BE119" s="108"/>
      <c r="BF119" s="49"/>
      <c r="BG119" s="49"/>
      <c r="BH119" s="49"/>
      <c r="BI119" s="219"/>
      <c r="BJ119" s="108"/>
    </row>
    <row r="120" spans="1:62">
      <c r="B120" s="176"/>
      <c r="C120" s="114" t="s">
        <v>1348</v>
      </c>
      <c r="E120" s="121"/>
      <c r="F120" s="121"/>
      <c r="G120" s="121"/>
      <c r="H120" s="121"/>
      <c r="I120" s="121"/>
      <c r="J120" s="121"/>
      <c r="K120" s="121"/>
      <c r="L120" s="121"/>
      <c r="M120" s="121"/>
      <c r="N120" s="121"/>
      <c r="O120" s="121"/>
      <c r="P120" s="121"/>
      <c r="Q120" s="121"/>
      <c r="R120" s="121"/>
      <c r="S120" s="121"/>
      <c r="T120" s="121"/>
      <c r="U120" s="58"/>
      <c r="V120" s="152"/>
      <c r="W120" s="152"/>
      <c r="X120" s="152"/>
      <c r="Y120" s="152"/>
      <c r="Z120" s="152"/>
      <c r="AA120" s="152"/>
      <c r="AB120" s="152"/>
      <c r="AC120" s="152"/>
      <c r="AD120" s="152"/>
      <c r="AE120" s="152"/>
      <c r="AF120" s="152"/>
      <c r="AG120" s="152"/>
      <c r="AH120" s="152"/>
      <c r="AI120" s="152"/>
      <c r="AJ120" s="152"/>
      <c r="AK120" s="152"/>
      <c r="AL120" s="152"/>
      <c r="AM120" s="152"/>
      <c r="AN120" s="152"/>
      <c r="AO120" s="152"/>
      <c r="AP120" s="58"/>
      <c r="AQ120" s="21"/>
      <c r="AR120" s="21"/>
      <c r="AS120" s="21"/>
      <c r="AT120" s="21"/>
      <c r="AU120" s="21"/>
      <c r="AV120" s="21"/>
      <c r="AW120" s="21"/>
      <c r="AX120" s="21"/>
      <c r="AY120" s="21"/>
      <c r="AZ120" s="21"/>
      <c r="BA120" s="21"/>
      <c r="BB120" s="21"/>
      <c r="BC120" s="21"/>
      <c r="BD120" s="21"/>
      <c r="BE120" s="58"/>
      <c r="BF120" s="49"/>
      <c r="BG120" s="49"/>
      <c r="BH120" s="49"/>
      <c r="BJ120" s="58"/>
    </row>
    <row r="121" spans="1:62" s="54" customFormat="1">
      <c r="A121" s="133"/>
      <c r="E121" s="121"/>
      <c r="F121" s="121"/>
      <c r="G121" s="121"/>
      <c r="H121" s="121"/>
      <c r="I121" s="121"/>
      <c r="J121" s="121"/>
      <c r="K121" s="121"/>
      <c r="L121" s="121"/>
      <c r="M121" s="121"/>
      <c r="N121" s="121"/>
      <c r="O121" s="121"/>
      <c r="P121" s="121"/>
      <c r="Q121" s="121"/>
      <c r="R121" s="121"/>
      <c r="S121" s="121"/>
      <c r="T121" s="121"/>
      <c r="U121" s="108"/>
      <c r="V121" s="152"/>
      <c r="W121" s="152"/>
      <c r="X121" s="152"/>
      <c r="Y121" s="152"/>
      <c r="Z121" s="152"/>
      <c r="AA121" s="152"/>
      <c r="AB121" s="152"/>
      <c r="AC121" s="152"/>
      <c r="AD121" s="152"/>
      <c r="AE121" s="152"/>
      <c r="AF121" s="152"/>
      <c r="AG121" s="152"/>
      <c r="AH121" s="152"/>
      <c r="AI121" s="152"/>
      <c r="AJ121" s="152"/>
      <c r="AK121" s="152"/>
      <c r="AL121" s="152"/>
      <c r="AM121" s="152"/>
      <c r="AN121" s="152"/>
      <c r="AO121" s="152"/>
      <c r="AP121" s="108"/>
      <c r="AQ121" s="21"/>
      <c r="AR121" s="21"/>
      <c r="AS121" s="21"/>
      <c r="AT121" s="21"/>
      <c r="AU121" s="21"/>
      <c r="AV121" s="21"/>
      <c r="AW121" s="21"/>
      <c r="AX121" s="21"/>
      <c r="AY121" s="21"/>
      <c r="AZ121" s="21"/>
      <c r="BA121" s="21"/>
      <c r="BB121" s="21"/>
      <c r="BC121" s="21"/>
      <c r="BD121" s="21"/>
      <c r="BE121" s="108"/>
      <c r="BF121" s="49"/>
      <c r="BG121" s="49"/>
      <c r="BH121" s="49"/>
      <c r="BI121" s="219"/>
      <c r="BJ121" s="108"/>
    </row>
    <row r="122" spans="1:62">
      <c r="C122" s="187" t="s">
        <v>1361</v>
      </c>
      <c r="E122" s="121"/>
      <c r="F122" s="121"/>
      <c r="G122" s="121"/>
      <c r="H122" s="121"/>
      <c r="I122" s="121"/>
      <c r="J122" s="121"/>
      <c r="K122" s="121"/>
      <c r="L122" s="121"/>
      <c r="M122" s="121"/>
      <c r="N122" s="121"/>
      <c r="O122" s="121"/>
      <c r="P122" s="121"/>
      <c r="Q122" s="121"/>
      <c r="R122" s="121"/>
      <c r="S122" s="121"/>
      <c r="T122" s="121"/>
      <c r="U122" s="58"/>
      <c r="V122" s="152"/>
      <c r="W122" s="152"/>
      <c r="X122" s="152"/>
      <c r="Y122" s="152"/>
      <c r="Z122" s="152"/>
      <c r="AA122" s="152"/>
      <c r="AB122" s="152"/>
      <c r="AC122" s="152"/>
      <c r="AD122" s="152"/>
      <c r="AE122" s="152"/>
      <c r="AF122" s="152"/>
      <c r="AG122" s="152"/>
      <c r="AH122" s="152"/>
      <c r="AI122" s="152"/>
      <c r="AJ122" s="152"/>
      <c r="AK122" s="152"/>
      <c r="AL122" s="152"/>
      <c r="AM122" s="152"/>
      <c r="AN122" s="152"/>
      <c r="AO122" s="152"/>
      <c r="AP122" s="58"/>
      <c r="AQ122" s="21"/>
      <c r="AR122" s="21"/>
      <c r="AS122" s="21"/>
      <c r="AT122" s="21"/>
      <c r="AU122" s="21"/>
      <c r="AV122" s="21"/>
      <c r="AW122" s="21"/>
      <c r="AX122" s="21"/>
      <c r="AY122" s="21"/>
      <c r="AZ122" s="21"/>
      <c r="BA122" s="21"/>
      <c r="BB122" s="21"/>
      <c r="BC122" s="21"/>
      <c r="BD122" s="21"/>
      <c r="BE122" s="58"/>
      <c r="BF122" s="49"/>
      <c r="BG122" s="49"/>
      <c r="BH122" s="49"/>
      <c r="BJ122" s="58"/>
    </row>
    <row r="123" spans="1:62">
      <c r="C123" s="114" t="s">
        <v>2521</v>
      </c>
      <c r="E123" s="121"/>
      <c r="F123" s="121"/>
      <c r="G123" s="121"/>
      <c r="H123" s="121"/>
      <c r="I123" s="121"/>
      <c r="J123" s="121"/>
      <c r="K123" s="121"/>
      <c r="L123" s="121"/>
      <c r="M123" s="121"/>
      <c r="N123" s="121"/>
      <c r="O123" s="121"/>
      <c r="P123" s="121"/>
      <c r="Q123" s="121"/>
      <c r="R123" s="121"/>
      <c r="S123" s="121"/>
      <c r="T123" s="121"/>
      <c r="U123" s="58"/>
      <c r="V123" s="152"/>
      <c r="W123" s="152"/>
      <c r="X123" s="152"/>
      <c r="Y123" s="152"/>
      <c r="Z123" s="152"/>
      <c r="AA123" s="152"/>
      <c r="AB123" s="152"/>
      <c r="AC123" s="152"/>
      <c r="AD123" s="152"/>
      <c r="AE123" s="152"/>
      <c r="AF123" s="152"/>
      <c r="AG123" s="152"/>
      <c r="AH123" s="152"/>
      <c r="AI123" s="152"/>
      <c r="AJ123" s="152"/>
      <c r="AK123" s="152"/>
      <c r="AL123" s="152"/>
      <c r="AM123" s="152"/>
      <c r="AN123" s="152"/>
      <c r="AO123" s="152"/>
      <c r="AP123" s="58"/>
      <c r="AQ123" s="21"/>
      <c r="AR123" s="21"/>
      <c r="AS123" s="21"/>
      <c r="AT123" s="21"/>
      <c r="AU123" s="21"/>
      <c r="AV123" s="21"/>
      <c r="AW123" s="21"/>
      <c r="AX123" s="21"/>
      <c r="AY123" s="21"/>
      <c r="AZ123" s="21"/>
      <c r="BA123" s="21"/>
      <c r="BB123" s="21"/>
      <c r="BC123" s="21"/>
      <c r="BD123" s="21"/>
      <c r="BE123" s="58"/>
      <c r="BF123" s="49"/>
      <c r="BG123" s="49"/>
      <c r="BH123" s="49"/>
      <c r="BJ123" s="58"/>
    </row>
    <row r="124" spans="1:62">
      <c r="C124" s="114"/>
      <c r="E124" s="121"/>
      <c r="F124" s="121"/>
      <c r="G124" s="121"/>
      <c r="H124" s="121"/>
      <c r="I124" s="121"/>
      <c r="J124" s="121"/>
      <c r="K124" s="121"/>
      <c r="L124" s="121"/>
      <c r="M124" s="121"/>
      <c r="N124" s="121"/>
      <c r="O124" s="121"/>
      <c r="P124" s="121"/>
      <c r="Q124" s="121"/>
      <c r="R124" s="121"/>
      <c r="S124" s="121"/>
      <c r="T124" s="121"/>
      <c r="U124" s="58"/>
      <c r="V124" s="152"/>
      <c r="W124" s="152"/>
      <c r="X124" s="152"/>
      <c r="Y124" s="152"/>
      <c r="Z124" s="152"/>
      <c r="AA124" s="152"/>
      <c r="AB124" s="152"/>
      <c r="AC124" s="152"/>
      <c r="AD124" s="152"/>
      <c r="AE124" s="152"/>
      <c r="AF124" s="152"/>
      <c r="AG124" s="152"/>
      <c r="AH124" s="152"/>
      <c r="AI124" s="152"/>
      <c r="AJ124" s="152"/>
      <c r="AK124" s="152"/>
      <c r="AL124" s="152"/>
      <c r="AM124" s="152"/>
      <c r="AN124" s="152"/>
      <c r="AO124" s="152"/>
      <c r="AP124" s="58"/>
      <c r="AQ124" s="21"/>
      <c r="AR124" s="21"/>
      <c r="AS124" s="21"/>
      <c r="AT124" s="21"/>
      <c r="AU124" s="21"/>
      <c r="AV124" s="21"/>
      <c r="AW124" s="21"/>
      <c r="AX124" s="21"/>
      <c r="AY124" s="21"/>
      <c r="AZ124" s="21"/>
      <c r="BA124" s="21"/>
      <c r="BB124" s="21"/>
      <c r="BC124" s="21"/>
      <c r="BD124" s="21"/>
      <c r="BE124" s="58"/>
      <c r="BF124" s="49"/>
      <c r="BG124" s="49"/>
      <c r="BH124" s="49"/>
      <c r="BJ124" s="58"/>
    </row>
    <row r="125" spans="1:62">
      <c r="C125" s="187" t="s">
        <v>1362</v>
      </c>
      <c r="E125" s="121"/>
      <c r="F125" s="121"/>
      <c r="G125" s="121"/>
      <c r="H125" s="121"/>
      <c r="I125" s="121"/>
      <c r="J125" s="121"/>
      <c r="K125" s="121"/>
      <c r="L125" s="121"/>
      <c r="M125" s="121"/>
      <c r="N125" s="121"/>
      <c r="O125" s="121"/>
      <c r="P125" s="121"/>
      <c r="Q125" s="121"/>
      <c r="R125" s="121"/>
      <c r="S125" s="121"/>
      <c r="T125" s="121"/>
      <c r="U125" s="58"/>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58"/>
      <c r="AQ125" s="21"/>
      <c r="AR125" s="21"/>
      <c r="AS125" s="21"/>
      <c r="AT125" s="21"/>
      <c r="AU125" s="21"/>
      <c r="AV125" s="21"/>
      <c r="AW125" s="21"/>
      <c r="AX125" s="21"/>
      <c r="AY125" s="21"/>
      <c r="AZ125" s="21"/>
      <c r="BA125" s="21"/>
      <c r="BB125" s="21"/>
      <c r="BC125" s="21"/>
      <c r="BD125" s="21"/>
      <c r="BE125" s="58"/>
      <c r="BF125" s="49"/>
      <c r="BG125" s="49"/>
      <c r="BH125" s="49"/>
      <c r="BJ125" s="58"/>
    </row>
    <row r="126" spans="1:62">
      <c r="C126" s="114" t="s">
        <v>2522</v>
      </c>
      <c r="E126" s="121"/>
      <c r="F126" s="121"/>
      <c r="G126" s="121"/>
      <c r="H126" s="121"/>
      <c r="I126" s="121"/>
      <c r="J126" s="121"/>
      <c r="K126" s="121"/>
      <c r="L126" s="121"/>
      <c r="M126" s="121"/>
      <c r="N126" s="121"/>
      <c r="O126" s="121"/>
      <c r="P126" s="121"/>
      <c r="Q126" s="121"/>
      <c r="R126" s="121"/>
      <c r="S126" s="121"/>
      <c r="T126" s="121"/>
      <c r="U126" s="58"/>
      <c r="V126" s="152"/>
      <c r="W126" s="152"/>
      <c r="X126" s="152"/>
      <c r="Y126" s="152"/>
      <c r="Z126" s="152"/>
      <c r="AA126" s="152"/>
      <c r="AB126" s="152"/>
      <c r="AC126" s="152"/>
      <c r="AD126" s="152"/>
      <c r="AE126" s="152"/>
      <c r="AF126" s="152"/>
      <c r="AG126" s="152"/>
      <c r="AH126" s="152"/>
      <c r="AI126" s="152"/>
      <c r="AJ126" s="152"/>
      <c r="AK126" s="152"/>
      <c r="AL126" s="152"/>
      <c r="AM126" s="152"/>
      <c r="AN126" s="152"/>
      <c r="AO126" s="152"/>
      <c r="AP126" s="58"/>
      <c r="AQ126" s="21"/>
      <c r="AR126" s="21"/>
      <c r="AS126" s="21"/>
      <c r="AT126" s="21"/>
      <c r="AU126" s="21"/>
      <c r="AV126" s="21"/>
      <c r="AW126" s="21"/>
      <c r="AX126" s="21"/>
      <c r="AY126" s="21"/>
      <c r="AZ126" s="21"/>
      <c r="BA126" s="21"/>
      <c r="BB126" s="21"/>
      <c r="BC126" s="21"/>
      <c r="BD126" s="21"/>
      <c r="BE126" s="58"/>
      <c r="BF126" s="49"/>
      <c r="BG126" s="49"/>
      <c r="BH126" s="49"/>
      <c r="BJ126" s="58"/>
    </row>
    <row r="127" spans="1:62">
      <c r="C127" s="168"/>
      <c r="E127" s="121"/>
      <c r="F127" s="121"/>
      <c r="G127" s="121"/>
      <c r="H127" s="121"/>
      <c r="I127" s="121"/>
      <c r="J127" s="121"/>
      <c r="K127" s="121"/>
      <c r="L127" s="121"/>
      <c r="M127" s="121"/>
      <c r="N127" s="121"/>
      <c r="O127" s="121"/>
      <c r="P127" s="121"/>
      <c r="Q127" s="121"/>
      <c r="R127" s="121"/>
      <c r="S127" s="121"/>
      <c r="T127" s="121"/>
      <c r="U127" s="58"/>
      <c r="V127" s="152"/>
      <c r="W127" s="152"/>
      <c r="X127" s="152"/>
      <c r="Y127" s="152"/>
      <c r="Z127" s="152"/>
      <c r="AA127" s="152"/>
      <c r="AB127" s="152"/>
      <c r="AC127" s="152"/>
      <c r="AD127" s="152"/>
      <c r="AE127" s="152"/>
      <c r="AF127" s="152"/>
      <c r="AG127" s="152"/>
      <c r="AH127" s="152"/>
      <c r="AI127" s="152"/>
      <c r="AJ127" s="152"/>
      <c r="AK127" s="152"/>
      <c r="AL127" s="152"/>
      <c r="AM127" s="152"/>
      <c r="AN127" s="152"/>
      <c r="AO127" s="152"/>
      <c r="AP127" s="58"/>
      <c r="AQ127" s="21"/>
      <c r="AR127" s="21"/>
      <c r="AS127" s="21"/>
      <c r="AT127" s="21"/>
      <c r="AU127" s="21"/>
      <c r="AV127" s="21"/>
      <c r="AW127" s="21"/>
      <c r="AX127" s="21"/>
      <c r="AY127" s="21"/>
      <c r="AZ127" s="21"/>
      <c r="BA127" s="21"/>
      <c r="BB127" s="21"/>
      <c r="BC127" s="21"/>
      <c r="BD127" s="21"/>
      <c r="BE127" s="58"/>
      <c r="BF127" s="49"/>
      <c r="BG127" s="49"/>
      <c r="BH127" s="49"/>
      <c r="BJ127" s="58"/>
    </row>
    <row r="128" spans="1:62" s="54" customFormat="1">
      <c r="A128" s="133"/>
      <c r="C128" s="187" t="s">
        <v>1363</v>
      </c>
      <c r="E128" s="121"/>
      <c r="F128" s="121"/>
      <c r="G128" s="121"/>
      <c r="H128" s="121"/>
      <c r="I128" s="121"/>
      <c r="J128" s="121"/>
      <c r="K128" s="121"/>
      <c r="L128" s="121"/>
      <c r="M128" s="121"/>
      <c r="N128" s="121"/>
      <c r="O128" s="121"/>
      <c r="P128" s="121"/>
      <c r="Q128" s="121"/>
      <c r="R128" s="121"/>
      <c r="S128" s="121"/>
      <c r="T128" s="121"/>
      <c r="U128" s="108"/>
      <c r="V128" s="152"/>
      <c r="W128" s="152"/>
      <c r="X128" s="152"/>
      <c r="Y128" s="152"/>
      <c r="Z128" s="152"/>
      <c r="AA128" s="152"/>
      <c r="AB128" s="152"/>
      <c r="AC128" s="152"/>
      <c r="AD128" s="152"/>
      <c r="AE128" s="152"/>
      <c r="AF128" s="152"/>
      <c r="AG128" s="152"/>
      <c r="AH128" s="152"/>
      <c r="AI128" s="152"/>
      <c r="AJ128" s="152"/>
      <c r="AK128" s="152"/>
      <c r="AL128" s="152"/>
      <c r="AM128" s="152"/>
      <c r="AN128" s="152"/>
      <c r="AO128" s="152"/>
      <c r="AP128" s="108"/>
      <c r="AQ128" s="21"/>
      <c r="AR128" s="21"/>
      <c r="AS128" s="21"/>
      <c r="AT128" s="21"/>
      <c r="AU128" s="21"/>
      <c r="AV128" s="21"/>
      <c r="AW128" s="21"/>
      <c r="AX128" s="21"/>
      <c r="AY128" s="21"/>
      <c r="AZ128" s="21"/>
      <c r="BA128" s="21"/>
      <c r="BB128" s="21"/>
      <c r="BC128" s="21"/>
      <c r="BD128" s="21"/>
      <c r="BE128" s="108"/>
      <c r="BF128" s="49"/>
      <c r="BG128" s="49"/>
      <c r="BH128" s="49"/>
      <c r="BI128" s="219"/>
      <c r="BJ128" s="108"/>
    </row>
    <row r="129" spans="1:62">
      <c r="C129" s="114" t="s">
        <v>2523</v>
      </c>
      <c r="E129" s="121"/>
      <c r="F129" s="121"/>
      <c r="G129" s="121"/>
      <c r="H129" s="121"/>
      <c r="I129" s="121"/>
      <c r="J129" s="121"/>
      <c r="K129" s="121"/>
      <c r="L129" s="121"/>
      <c r="M129" s="121"/>
      <c r="N129" s="121"/>
      <c r="O129" s="121"/>
      <c r="P129" s="121"/>
      <c r="Q129" s="121"/>
      <c r="R129" s="121"/>
      <c r="S129" s="121"/>
      <c r="T129" s="121"/>
      <c r="U129" s="58"/>
      <c r="V129" s="152"/>
      <c r="W129" s="152"/>
      <c r="X129" s="152"/>
      <c r="Y129" s="152"/>
      <c r="Z129" s="152"/>
      <c r="AA129" s="152"/>
      <c r="AB129" s="152"/>
      <c r="AC129" s="152"/>
      <c r="AD129" s="152"/>
      <c r="AE129" s="152"/>
      <c r="AF129" s="152"/>
      <c r="AG129" s="152"/>
      <c r="AH129" s="152"/>
      <c r="AI129" s="152"/>
      <c r="AJ129" s="152"/>
      <c r="AK129" s="152"/>
      <c r="AL129" s="152"/>
      <c r="AM129" s="152"/>
      <c r="AN129" s="152"/>
      <c r="AO129" s="152"/>
      <c r="AP129" s="58"/>
      <c r="AQ129" s="21"/>
      <c r="AR129" s="21"/>
      <c r="AS129" s="21"/>
      <c r="AT129" s="21"/>
      <c r="AU129" s="21"/>
      <c r="AV129" s="21"/>
      <c r="AW129" s="21"/>
      <c r="AX129" s="21"/>
      <c r="AY129" s="21"/>
      <c r="AZ129" s="21"/>
      <c r="BA129" s="21"/>
      <c r="BB129" s="21"/>
      <c r="BC129" s="21"/>
      <c r="BD129" s="21"/>
      <c r="BE129" s="58"/>
      <c r="BF129" s="49"/>
      <c r="BG129" s="49"/>
      <c r="BH129" s="49"/>
      <c r="BJ129" s="58"/>
    </row>
    <row r="130" spans="1:62" s="54" customFormat="1">
      <c r="A130" s="133"/>
      <c r="C130" s="114"/>
      <c r="E130" s="121"/>
      <c r="F130" s="121"/>
      <c r="G130" s="121"/>
      <c r="H130" s="121"/>
      <c r="I130" s="121"/>
      <c r="J130" s="121"/>
      <c r="K130" s="121"/>
      <c r="L130" s="121"/>
      <c r="M130" s="121"/>
      <c r="N130" s="121"/>
      <c r="O130" s="121"/>
      <c r="P130" s="121"/>
      <c r="Q130" s="121"/>
      <c r="R130" s="121"/>
      <c r="S130" s="121"/>
      <c r="T130" s="121"/>
      <c r="U130" s="108"/>
      <c r="V130" s="152"/>
      <c r="W130" s="152"/>
      <c r="X130" s="152"/>
      <c r="Y130" s="152"/>
      <c r="Z130" s="152"/>
      <c r="AA130" s="152"/>
      <c r="AB130" s="152"/>
      <c r="AC130" s="152"/>
      <c r="AD130" s="152"/>
      <c r="AE130" s="152"/>
      <c r="AF130" s="152"/>
      <c r="AG130" s="152"/>
      <c r="AH130" s="152"/>
      <c r="AI130" s="152"/>
      <c r="AJ130" s="152"/>
      <c r="AK130" s="152"/>
      <c r="AL130" s="152"/>
      <c r="AM130" s="152"/>
      <c r="AN130" s="152"/>
      <c r="AO130" s="152"/>
      <c r="AP130" s="108"/>
      <c r="AQ130" s="21"/>
      <c r="AR130" s="21"/>
      <c r="AS130" s="21"/>
      <c r="AT130" s="21"/>
      <c r="AU130" s="21"/>
      <c r="AV130" s="21"/>
      <c r="AW130" s="21"/>
      <c r="AX130" s="21"/>
      <c r="AY130" s="21"/>
      <c r="AZ130" s="21"/>
      <c r="BA130" s="21"/>
      <c r="BB130" s="21"/>
      <c r="BC130" s="21"/>
      <c r="BD130" s="21"/>
      <c r="BE130" s="108"/>
      <c r="BF130" s="49"/>
      <c r="BG130" s="49"/>
      <c r="BH130" s="49"/>
      <c r="BI130" s="219"/>
      <c r="BJ130" s="108"/>
    </row>
    <row r="131" spans="1:62" s="54" customFormat="1">
      <c r="A131" s="133"/>
      <c r="C131" s="114"/>
      <c r="E131" s="121"/>
      <c r="F131" s="121"/>
      <c r="G131" s="121"/>
      <c r="H131" s="121"/>
      <c r="I131" s="121"/>
      <c r="J131" s="121"/>
      <c r="K131" s="121"/>
      <c r="L131" s="121"/>
      <c r="M131" s="121"/>
      <c r="N131" s="121"/>
      <c r="O131" s="121"/>
      <c r="P131" s="121"/>
      <c r="Q131" s="121"/>
      <c r="R131" s="121"/>
      <c r="S131" s="121"/>
      <c r="T131" s="121"/>
      <c r="U131" s="108"/>
      <c r="V131" s="152"/>
      <c r="W131" s="152"/>
      <c r="X131" s="152"/>
      <c r="Y131" s="152"/>
      <c r="Z131" s="152"/>
      <c r="AA131" s="152"/>
      <c r="AB131" s="152"/>
      <c r="AC131" s="152"/>
      <c r="AD131" s="152"/>
      <c r="AE131" s="152"/>
      <c r="AF131" s="152"/>
      <c r="AG131" s="152"/>
      <c r="AH131" s="152"/>
      <c r="AI131" s="152"/>
      <c r="AJ131" s="152"/>
      <c r="AK131" s="152"/>
      <c r="AL131" s="152"/>
      <c r="AM131" s="152"/>
      <c r="AN131" s="152"/>
      <c r="AO131" s="152"/>
      <c r="AP131" s="108"/>
      <c r="AQ131" s="21"/>
      <c r="AR131" s="21"/>
      <c r="AS131" s="21"/>
      <c r="AT131" s="21"/>
      <c r="AU131" s="21"/>
      <c r="AV131" s="21"/>
      <c r="AW131" s="21"/>
      <c r="AX131" s="21"/>
      <c r="AY131" s="21"/>
      <c r="AZ131" s="21"/>
      <c r="BA131" s="21"/>
      <c r="BB131" s="21"/>
      <c r="BC131" s="21"/>
      <c r="BD131" s="21"/>
      <c r="BE131" s="108"/>
      <c r="BF131" s="49"/>
      <c r="BG131" s="49"/>
      <c r="BH131" s="49"/>
      <c r="BI131" s="219"/>
      <c r="BJ131" s="108"/>
    </row>
    <row r="132" spans="1:62">
      <c r="C132" s="46" t="s">
        <v>1364</v>
      </c>
      <c r="E132" s="121"/>
      <c r="F132" s="121"/>
      <c r="G132" s="121"/>
      <c r="H132" s="121"/>
      <c r="I132" s="121"/>
      <c r="J132" s="121"/>
      <c r="K132" s="121"/>
      <c r="L132" s="121"/>
      <c r="M132" s="121"/>
      <c r="N132" s="121"/>
      <c r="O132" s="121"/>
      <c r="P132" s="121"/>
      <c r="Q132" s="121"/>
      <c r="R132" s="121"/>
      <c r="S132" s="121"/>
      <c r="T132" s="121"/>
      <c r="U132" s="58"/>
      <c r="V132" s="152"/>
      <c r="W132" s="152"/>
      <c r="X132" s="152"/>
      <c r="Y132" s="152"/>
      <c r="Z132" s="152"/>
      <c r="AA132" s="152"/>
      <c r="AB132" s="152"/>
      <c r="AC132" s="152"/>
      <c r="AD132" s="152"/>
      <c r="AE132" s="152"/>
      <c r="AF132" s="152"/>
      <c r="AG132" s="152"/>
      <c r="AH132" s="152"/>
      <c r="AI132" s="152"/>
      <c r="AJ132" s="152"/>
      <c r="AK132" s="152"/>
      <c r="AL132" s="152"/>
      <c r="AM132" s="152"/>
      <c r="AN132" s="152"/>
      <c r="AO132" s="152"/>
      <c r="AP132" s="58"/>
      <c r="AQ132" s="21"/>
      <c r="AR132" s="21"/>
      <c r="AS132" s="21"/>
      <c r="AT132" s="21"/>
      <c r="AU132" s="21"/>
      <c r="AV132" s="21"/>
      <c r="AW132" s="21"/>
      <c r="AX132" s="21"/>
      <c r="AY132" s="21"/>
      <c r="AZ132" s="21"/>
      <c r="BA132" s="21"/>
      <c r="BB132" s="21"/>
      <c r="BC132" s="21"/>
      <c r="BD132" s="21"/>
      <c r="BE132" s="58"/>
      <c r="BF132" s="49"/>
      <c r="BG132" s="49"/>
      <c r="BH132" s="49"/>
      <c r="BJ132" s="58"/>
    </row>
    <row r="133" spans="1:62" s="54" customFormat="1">
      <c r="A133" s="133"/>
      <c r="E133" s="121"/>
      <c r="F133" s="121"/>
      <c r="G133" s="121"/>
      <c r="H133" s="121"/>
      <c r="I133" s="121"/>
      <c r="J133" s="121"/>
      <c r="K133" s="121"/>
      <c r="L133" s="121"/>
      <c r="M133" s="121"/>
      <c r="N133" s="121"/>
      <c r="O133" s="121"/>
      <c r="P133" s="121"/>
      <c r="Q133" s="121"/>
      <c r="R133" s="121"/>
      <c r="S133" s="121"/>
      <c r="T133" s="121"/>
      <c r="U133" s="108"/>
      <c r="V133" s="152"/>
      <c r="W133" s="152"/>
      <c r="X133" s="152"/>
      <c r="Y133" s="152"/>
      <c r="Z133" s="152"/>
      <c r="AA133" s="152"/>
      <c r="AB133" s="152"/>
      <c r="AC133" s="152"/>
      <c r="AD133" s="152"/>
      <c r="AE133" s="152"/>
      <c r="AF133" s="152"/>
      <c r="AG133" s="152"/>
      <c r="AH133" s="152"/>
      <c r="AI133" s="152"/>
      <c r="AJ133" s="152"/>
      <c r="AK133" s="152"/>
      <c r="AL133" s="152"/>
      <c r="AM133" s="152"/>
      <c r="AN133" s="152"/>
      <c r="AO133" s="152"/>
      <c r="AP133" s="108"/>
      <c r="AQ133" s="21"/>
      <c r="AR133" s="21"/>
      <c r="AS133" s="21"/>
      <c r="AT133" s="21"/>
      <c r="AU133" s="21"/>
      <c r="AV133" s="21"/>
      <c r="AW133" s="21"/>
      <c r="AX133" s="21"/>
      <c r="AY133" s="21"/>
      <c r="AZ133" s="21"/>
      <c r="BA133" s="21"/>
      <c r="BB133" s="21"/>
      <c r="BC133" s="21"/>
      <c r="BD133" s="21"/>
      <c r="BE133" s="108"/>
      <c r="BF133" s="49"/>
      <c r="BG133" s="49"/>
      <c r="BH133" s="49"/>
      <c r="BI133" s="219"/>
      <c r="BJ133" s="108"/>
    </row>
    <row r="134" spans="1:62" s="54" customFormat="1">
      <c r="A134" s="133"/>
      <c r="C134" s="187" t="s">
        <v>1366</v>
      </c>
      <c r="E134" s="121"/>
      <c r="F134" s="121"/>
      <c r="G134" s="121"/>
      <c r="H134" s="121"/>
      <c r="I134" s="121"/>
      <c r="J134" s="121"/>
      <c r="K134" s="121"/>
      <c r="L134" s="121"/>
      <c r="M134" s="121"/>
      <c r="N134" s="121"/>
      <c r="O134" s="121"/>
      <c r="P134" s="121"/>
      <c r="Q134" s="121"/>
      <c r="R134" s="121"/>
      <c r="S134" s="121"/>
      <c r="T134" s="121"/>
      <c r="U134" s="108"/>
      <c r="V134" s="152"/>
      <c r="W134" s="152"/>
      <c r="X134" s="152"/>
      <c r="Y134" s="152"/>
      <c r="Z134" s="152"/>
      <c r="AA134" s="152"/>
      <c r="AB134" s="152"/>
      <c r="AC134" s="152"/>
      <c r="AD134" s="152"/>
      <c r="AE134" s="152"/>
      <c r="AF134" s="152"/>
      <c r="AG134" s="152"/>
      <c r="AH134" s="152"/>
      <c r="AI134" s="152"/>
      <c r="AJ134" s="152"/>
      <c r="AK134" s="152"/>
      <c r="AL134" s="152"/>
      <c r="AM134" s="152"/>
      <c r="AN134" s="152"/>
      <c r="AO134" s="152"/>
      <c r="AP134" s="108"/>
      <c r="AQ134" s="21"/>
      <c r="AR134" s="21"/>
      <c r="AS134" s="21"/>
      <c r="AT134" s="21"/>
      <c r="AU134" s="21"/>
      <c r="AV134" s="21"/>
      <c r="AW134" s="21"/>
      <c r="AX134" s="21"/>
      <c r="AY134" s="21"/>
      <c r="AZ134" s="21"/>
      <c r="BA134" s="21"/>
      <c r="BB134" s="21"/>
      <c r="BC134" s="21"/>
      <c r="BD134" s="21"/>
      <c r="BE134" s="108"/>
      <c r="BF134" s="49"/>
      <c r="BG134" s="49"/>
      <c r="BH134" s="49"/>
      <c r="BI134" s="219"/>
      <c r="BJ134" s="108"/>
    </row>
    <row r="135" spans="1:62" s="54" customFormat="1">
      <c r="A135" s="133"/>
      <c r="C135" s="114" t="s">
        <v>2524</v>
      </c>
      <c r="E135" s="121"/>
      <c r="F135" s="121"/>
      <c r="G135" s="121"/>
      <c r="H135" s="121"/>
      <c r="I135" s="121"/>
      <c r="J135" s="121"/>
      <c r="K135" s="121"/>
      <c r="L135" s="121"/>
      <c r="M135" s="121"/>
      <c r="N135" s="121"/>
      <c r="O135" s="121"/>
      <c r="P135" s="121"/>
      <c r="Q135" s="121"/>
      <c r="R135" s="121"/>
      <c r="S135" s="121"/>
      <c r="T135" s="121"/>
      <c r="U135" s="108"/>
      <c r="V135" s="152"/>
      <c r="W135" s="152"/>
      <c r="X135" s="152"/>
      <c r="Y135" s="152"/>
      <c r="Z135" s="152"/>
      <c r="AA135" s="152"/>
      <c r="AB135" s="152"/>
      <c r="AC135" s="152"/>
      <c r="AD135" s="152"/>
      <c r="AE135" s="152"/>
      <c r="AF135" s="152"/>
      <c r="AG135" s="152"/>
      <c r="AH135" s="152"/>
      <c r="AI135" s="152"/>
      <c r="AJ135" s="152"/>
      <c r="AK135" s="152"/>
      <c r="AL135" s="152"/>
      <c r="AM135" s="152"/>
      <c r="AN135" s="152"/>
      <c r="AO135" s="152"/>
      <c r="AP135" s="108"/>
      <c r="AQ135" s="21"/>
      <c r="AR135" s="21"/>
      <c r="AS135" s="21"/>
      <c r="AT135" s="21"/>
      <c r="AU135" s="21"/>
      <c r="AV135" s="21"/>
      <c r="AW135" s="21"/>
      <c r="AX135" s="21"/>
      <c r="AY135" s="21"/>
      <c r="AZ135" s="21"/>
      <c r="BA135" s="21"/>
      <c r="BB135" s="21"/>
      <c r="BC135" s="21"/>
      <c r="BD135" s="21"/>
      <c r="BE135" s="108"/>
      <c r="BF135" s="49"/>
      <c r="BG135" s="49"/>
      <c r="BH135" s="49"/>
      <c r="BI135" s="219"/>
      <c r="BJ135" s="108"/>
    </row>
    <row r="136" spans="1:62" s="54" customFormat="1">
      <c r="A136" s="133"/>
      <c r="C136" s="168"/>
      <c r="E136" s="121"/>
      <c r="F136" s="121"/>
      <c r="G136" s="121"/>
      <c r="H136" s="121"/>
      <c r="I136" s="121"/>
      <c r="J136" s="121"/>
      <c r="K136" s="121"/>
      <c r="L136" s="121"/>
      <c r="M136" s="121"/>
      <c r="N136" s="121"/>
      <c r="O136" s="121"/>
      <c r="P136" s="121"/>
      <c r="Q136" s="121"/>
      <c r="R136" s="121"/>
      <c r="S136" s="121"/>
      <c r="T136" s="121"/>
      <c r="U136" s="108"/>
      <c r="V136" s="152"/>
      <c r="W136" s="152"/>
      <c r="X136" s="152"/>
      <c r="Y136" s="152"/>
      <c r="Z136" s="152"/>
      <c r="AA136" s="152"/>
      <c r="AB136" s="152"/>
      <c r="AC136" s="152"/>
      <c r="AD136" s="152"/>
      <c r="AE136" s="152"/>
      <c r="AF136" s="152"/>
      <c r="AG136" s="152"/>
      <c r="AH136" s="152"/>
      <c r="AI136" s="152"/>
      <c r="AJ136" s="152"/>
      <c r="AK136" s="152"/>
      <c r="AL136" s="152"/>
      <c r="AM136" s="152"/>
      <c r="AN136" s="152"/>
      <c r="AO136" s="152"/>
      <c r="AP136" s="108"/>
      <c r="AQ136" s="21"/>
      <c r="AR136" s="21"/>
      <c r="AS136" s="21"/>
      <c r="AT136" s="21"/>
      <c r="AU136" s="21"/>
      <c r="AV136" s="21"/>
      <c r="AW136" s="21"/>
      <c r="AX136" s="21"/>
      <c r="AY136" s="21"/>
      <c r="AZ136" s="21"/>
      <c r="BA136" s="21"/>
      <c r="BB136" s="21"/>
      <c r="BC136" s="21"/>
      <c r="BD136" s="21"/>
      <c r="BE136" s="108"/>
      <c r="BF136" s="49"/>
      <c r="BG136" s="49"/>
      <c r="BH136" s="49"/>
      <c r="BI136" s="219"/>
      <c r="BJ136" s="108"/>
    </row>
    <row r="137" spans="1:62" s="54" customFormat="1">
      <c r="A137" s="133"/>
      <c r="C137" s="187" t="s">
        <v>361</v>
      </c>
      <c r="E137" s="121"/>
      <c r="F137" s="121"/>
      <c r="G137" s="121"/>
      <c r="H137" s="121"/>
      <c r="I137" s="121"/>
      <c r="J137" s="121"/>
      <c r="K137" s="121"/>
      <c r="L137" s="121"/>
      <c r="M137" s="121"/>
      <c r="N137" s="121"/>
      <c r="O137" s="121"/>
      <c r="P137" s="121"/>
      <c r="Q137" s="121"/>
      <c r="R137" s="121"/>
      <c r="S137" s="121"/>
      <c r="T137" s="121"/>
      <c r="U137" s="108"/>
      <c r="V137" s="152"/>
      <c r="W137" s="152"/>
      <c r="X137" s="152"/>
      <c r="Y137" s="152"/>
      <c r="Z137" s="152"/>
      <c r="AA137" s="152"/>
      <c r="AB137" s="152"/>
      <c r="AC137" s="152"/>
      <c r="AD137" s="152"/>
      <c r="AE137" s="152"/>
      <c r="AF137" s="152"/>
      <c r="AG137" s="152"/>
      <c r="AH137" s="152"/>
      <c r="AI137" s="152"/>
      <c r="AJ137" s="152"/>
      <c r="AK137" s="152"/>
      <c r="AL137" s="152"/>
      <c r="AM137" s="152"/>
      <c r="AN137" s="152"/>
      <c r="AO137" s="152"/>
      <c r="AP137" s="108"/>
      <c r="AQ137" s="21"/>
      <c r="AR137" s="21"/>
      <c r="AS137" s="21"/>
      <c r="AT137" s="21"/>
      <c r="AU137" s="21"/>
      <c r="AV137" s="21"/>
      <c r="AW137" s="21"/>
      <c r="AX137" s="21"/>
      <c r="AY137" s="21"/>
      <c r="AZ137" s="21"/>
      <c r="BA137" s="21"/>
      <c r="BB137" s="21"/>
      <c r="BC137" s="21"/>
      <c r="BD137" s="21"/>
      <c r="BE137" s="108"/>
      <c r="BF137" s="49"/>
      <c r="BG137" s="49"/>
      <c r="BH137" s="49"/>
      <c r="BI137" s="219"/>
      <c r="BJ137" s="108"/>
    </row>
    <row r="138" spans="1:62" s="54" customFormat="1">
      <c r="A138" s="133"/>
      <c r="C138" s="114" t="s">
        <v>2525</v>
      </c>
      <c r="E138" s="121"/>
      <c r="F138" s="121"/>
      <c r="G138" s="121"/>
      <c r="H138" s="121"/>
      <c r="I138" s="121"/>
      <c r="J138" s="121"/>
      <c r="K138" s="121"/>
      <c r="L138" s="121"/>
      <c r="M138" s="121"/>
      <c r="N138" s="121"/>
      <c r="O138" s="121"/>
      <c r="P138" s="121"/>
      <c r="Q138" s="121"/>
      <c r="R138" s="121"/>
      <c r="S138" s="121"/>
      <c r="T138" s="121"/>
      <c r="U138" s="108"/>
      <c r="V138" s="152"/>
      <c r="W138" s="152"/>
      <c r="X138" s="152"/>
      <c r="Y138" s="152"/>
      <c r="Z138" s="152"/>
      <c r="AA138" s="152"/>
      <c r="AB138" s="152"/>
      <c r="AC138" s="152"/>
      <c r="AD138" s="152"/>
      <c r="AE138" s="152"/>
      <c r="AF138" s="152"/>
      <c r="AG138" s="152"/>
      <c r="AH138" s="152"/>
      <c r="AI138" s="152"/>
      <c r="AJ138" s="152"/>
      <c r="AK138" s="152"/>
      <c r="AL138" s="152"/>
      <c r="AM138" s="152"/>
      <c r="AN138" s="152"/>
      <c r="AO138" s="152"/>
      <c r="AP138" s="108"/>
      <c r="AQ138" s="21"/>
      <c r="AR138" s="21"/>
      <c r="AS138" s="21"/>
      <c r="AT138" s="21"/>
      <c r="AU138" s="21"/>
      <c r="AV138" s="21"/>
      <c r="AW138" s="21"/>
      <c r="AX138" s="21"/>
      <c r="AY138" s="21"/>
      <c r="AZ138" s="21"/>
      <c r="BA138" s="21"/>
      <c r="BB138" s="21"/>
      <c r="BC138" s="21"/>
      <c r="BD138" s="21"/>
      <c r="BE138" s="108"/>
      <c r="BF138" s="49"/>
      <c r="BG138" s="49"/>
      <c r="BH138" s="49"/>
      <c r="BI138" s="219"/>
      <c r="BJ138" s="108"/>
    </row>
    <row r="139" spans="1:62" s="54" customFormat="1">
      <c r="A139" s="133"/>
      <c r="C139" s="114"/>
      <c r="E139" s="121"/>
      <c r="F139" s="121"/>
      <c r="G139" s="121"/>
      <c r="H139" s="121"/>
      <c r="I139" s="121"/>
      <c r="J139" s="121"/>
      <c r="K139" s="121"/>
      <c r="L139" s="121"/>
      <c r="M139" s="121"/>
      <c r="N139" s="121"/>
      <c r="O139" s="121"/>
      <c r="P139" s="121"/>
      <c r="Q139" s="121"/>
      <c r="R139" s="121"/>
      <c r="S139" s="121"/>
      <c r="T139" s="121"/>
      <c r="U139" s="108"/>
      <c r="V139" s="152"/>
      <c r="W139" s="152"/>
      <c r="X139" s="152"/>
      <c r="Y139" s="152"/>
      <c r="Z139" s="152"/>
      <c r="AA139" s="152"/>
      <c r="AB139" s="152"/>
      <c r="AC139" s="152"/>
      <c r="AD139" s="152"/>
      <c r="AE139" s="152"/>
      <c r="AF139" s="152"/>
      <c r="AG139" s="152"/>
      <c r="AH139" s="152"/>
      <c r="AI139" s="152"/>
      <c r="AJ139" s="152"/>
      <c r="AK139" s="152"/>
      <c r="AL139" s="152"/>
      <c r="AM139" s="152"/>
      <c r="AN139" s="152"/>
      <c r="AO139" s="152"/>
      <c r="AP139" s="108"/>
      <c r="AQ139" s="21"/>
      <c r="AR139" s="21"/>
      <c r="AS139" s="21"/>
      <c r="AT139" s="21"/>
      <c r="AU139" s="21"/>
      <c r="AV139" s="21"/>
      <c r="AW139" s="21"/>
      <c r="AX139" s="21"/>
      <c r="AY139" s="21"/>
      <c r="AZ139" s="21"/>
      <c r="BA139" s="21"/>
      <c r="BB139" s="21"/>
      <c r="BC139" s="21"/>
      <c r="BD139" s="21"/>
      <c r="BE139" s="108"/>
      <c r="BF139" s="49"/>
      <c r="BG139" s="49"/>
      <c r="BH139" s="49"/>
      <c r="BI139" s="219"/>
      <c r="BJ139" s="108"/>
    </row>
    <row r="140" spans="1:62" s="54" customFormat="1">
      <c r="A140" s="133"/>
      <c r="C140" s="187" t="s">
        <v>1367</v>
      </c>
      <c r="E140" s="121"/>
      <c r="F140" s="121"/>
      <c r="G140" s="121"/>
      <c r="H140" s="121"/>
      <c r="I140" s="121"/>
      <c r="J140" s="121"/>
      <c r="K140" s="121"/>
      <c r="L140" s="121"/>
      <c r="M140" s="121"/>
      <c r="N140" s="121"/>
      <c r="O140" s="121"/>
      <c r="P140" s="121"/>
      <c r="Q140" s="121"/>
      <c r="R140" s="121"/>
      <c r="S140" s="121"/>
      <c r="T140" s="121"/>
      <c r="U140" s="108"/>
      <c r="V140" s="152"/>
      <c r="W140" s="152"/>
      <c r="X140" s="152"/>
      <c r="Y140" s="152"/>
      <c r="Z140" s="152"/>
      <c r="AA140" s="152"/>
      <c r="AB140" s="152"/>
      <c r="AC140" s="152"/>
      <c r="AD140" s="152"/>
      <c r="AE140" s="152"/>
      <c r="AF140" s="152"/>
      <c r="AG140" s="152"/>
      <c r="AH140" s="152"/>
      <c r="AI140" s="152"/>
      <c r="AJ140" s="152"/>
      <c r="AK140" s="152"/>
      <c r="AL140" s="152"/>
      <c r="AM140" s="152"/>
      <c r="AN140" s="152"/>
      <c r="AO140" s="152"/>
      <c r="AP140" s="108"/>
      <c r="AQ140" s="21"/>
      <c r="AR140" s="21"/>
      <c r="AS140" s="21"/>
      <c r="AT140" s="21"/>
      <c r="AU140" s="21"/>
      <c r="AV140" s="21"/>
      <c r="AW140" s="21"/>
      <c r="AX140" s="21"/>
      <c r="AY140" s="21"/>
      <c r="AZ140" s="21"/>
      <c r="BA140" s="21"/>
      <c r="BB140" s="21"/>
      <c r="BC140" s="21"/>
      <c r="BD140" s="21"/>
      <c r="BE140" s="108"/>
      <c r="BF140" s="49"/>
      <c r="BG140" s="49"/>
      <c r="BH140" s="49"/>
      <c r="BI140" s="219"/>
      <c r="BJ140" s="108"/>
    </row>
    <row r="141" spans="1:62" s="54" customFormat="1">
      <c r="A141" s="133"/>
      <c r="C141" s="114" t="s">
        <v>2526</v>
      </c>
      <c r="E141" s="121"/>
      <c r="F141" s="121"/>
      <c r="G141" s="121"/>
      <c r="H141" s="121"/>
      <c r="I141" s="121"/>
      <c r="J141" s="121"/>
      <c r="K141" s="121"/>
      <c r="L141" s="121"/>
      <c r="M141" s="121"/>
      <c r="N141" s="121"/>
      <c r="O141" s="121"/>
      <c r="P141" s="121"/>
      <c r="Q141" s="121"/>
      <c r="R141" s="121"/>
      <c r="S141" s="121"/>
      <c r="T141" s="121"/>
      <c r="U141" s="108"/>
      <c r="V141" s="152"/>
      <c r="W141" s="152"/>
      <c r="X141" s="152"/>
      <c r="Y141" s="152"/>
      <c r="Z141" s="152"/>
      <c r="AA141" s="152"/>
      <c r="AB141" s="152"/>
      <c r="AC141" s="152"/>
      <c r="AD141" s="152"/>
      <c r="AE141" s="152"/>
      <c r="AF141" s="152"/>
      <c r="AG141" s="152"/>
      <c r="AH141" s="152"/>
      <c r="AI141" s="152"/>
      <c r="AJ141" s="152"/>
      <c r="AK141" s="152"/>
      <c r="AL141" s="152"/>
      <c r="AM141" s="152"/>
      <c r="AN141" s="152"/>
      <c r="AO141" s="152"/>
      <c r="AP141" s="108"/>
      <c r="AQ141" s="21"/>
      <c r="AR141" s="21"/>
      <c r="AS141" s="21"/>
      <c r="AT141" s="21"/>
      <c r="AU141" s="21"/>
      <c r="AV141" s="21"/>
      <c r="AW141" s="21"/>
      <c r="AX141" s="21"/>
      <c r="AY141" s="21"/>
      <c r="AZ141" s="21"/>
      <c r="BA141" s="21"/>
      <c r="BB141" s="21"/>
      <c r="BC141" s="21"/>
      <c r="BD141" s="21"/>
      <c r="BE141" s="108"/>
      <c r="BF141" s="49"/>
      <c r="BG141" s="49"/>
      <c r="BH141" s="49"/>
      <c r="BI141" s="219"/>
      <c r="BJ141" s="108"/>
    </row>
    <row r="142" spans="1:62" s="54" customFormat="1">
      <c r="A142" s="133"/>
      <c r="C142" s="187"/>
      <c r="E142" s="121"/>
      <c r="F142" s="121"/>
      <c r="G142" s="121"/>
      <c r="H142" s="121"/>
      <c r="I142" s="121"/>
      <c r="J142" s="121"/>
      <c r="K142" s="121"/>
      <c r="L142" s="121"/>
      <c r="M142" s="121"/>
      <c r="N142" s="121"/>
      <c r="O142" s="121"/>
      <c r="P142" s="121"/>
      <c r="Q142" s="121"/>
      <c r="R142" s="121"/>
      <c r="S142" s="121"/>
      <c r="T142" s="121"/>
      <c r="U142" s="108"/>
      <c r="V142" s="152"/>
      <c r="W142" s="152"/>
      <c r="X142" s="152"/>
      <c r="Y142" s="152"/>
      <c r="Z142" s="152"/>
      <c r="AA142" s="152"/>
      <c r="AB142" s="152"/>
      <c r="AC142" s="152"/>
      <c r="AD142" s="152"/>
      <c r="AE142" s="152"/>
      <c r="AF142" s="152"/>
      <c r="AG142" s="152"/>
      <c r="AH142" s="152"/>
      <c r="AI142" s="152"/>
      <c r="AJ142" s="152"/>
      <c r="AK142" s="152"/>
      <c r="AL142" s="152"/>
      <c r="AM142" s="152"/>
      <c r="AN142" s="152"/>
      <c r="AO142" s="152"/>
      <c r="AP142" s="108"/>
      <c r="AQ142" s="21"/>
      <c r="AR142" s="21"/>
      <c r="AS142" s="21"/>
      <c r="AT142" s="21"/>
      <c r="AU142" s="21"/>
      <c r="AV142" s="21"/>
      <c r="AW142" s="21"/>
      <c r="AX142" s="21"/>
      <c r="AY142" s="21"/>
      <c r="AZ142" s="21"/>
      <c r="BA142" s="21"/>
      <c r="BB142" s="21"/>
      <c r="BC142" s="21"/>
      <c r="BD142" s="21"/>
      <c r="BE142" s="108"/>
      <c r="BF142" s="49"/>
      <c r="BG142" s="49"/>
      <c r="BH142" s="49"/>
      <c r="BI142" s="219"/>
      <c r="BJ142" s="108"/>
    </row>
    <row r="143" spans="1:62" s="54" customFormat="1">
      <c r="A143" s="133"/>
      <c r="C143" s="114"/>
      <c r="E143" s="121"/>
      <c r="F143" s="121"/>
      <c r="G143" s="121"/>
      <c r="H143" s="121"/>
      <c r="I143" s="121"/>
      <c r="J143" s="121"/>
      <c r="K143" s="121"/>
      <c r="L143" s="121"/>
      <c r="M143" s="121"/>
      <c r="N143" s="121"/>
      <c r="O143" s="121"/>
      <c r="P143" s="121"/>
      <c r="Q143" s="121"/>
      <c r="R143" s="121"/>
      <c r="S143" s="121"/>
      <c r="T143" s="121"/>
      <c r="U143" s="108"/>
      <c r="V143" s="152"/>
      <c r="W143" s="152"/>
      <c r="X143" s="152"/>
      <c r="Y143" s="152"/>
      <c r="Z143" s="152"/>
      <c r="AA143" s="152"/>
      <c r="AB143" s="152"/>
      <c r="AC143" s="152"/>
      <c r="AD143" s="152"/>
      <c r="AE143" s="152"/>
      <c r="AF143" s="152"/>
      <c r="AG143" s="152"/>
      <c r="AH143" s="152"/>
      <c r="AI143" s="152"/>
      <c r="AJ143" s="152"/>
      <c r="AK143" s="152"/>
      <c r="AL143" s="152"/>
      <c r="AM143" s="152"/>
      <c r="AN143" s="152"/>
      <c r="AO143" s="152"/>
      <c r="AP143" s="108"/>
      <c r="AQ143" s="21"/>
      <c r="AR143" s="21"/>
      <c r="AS143" s="21"/>
      <c r="AT143" s="21"/>
      <c r="AU143" s="21"/>
      <c r="AV143" s="21"/>
      <c r="AW143" s="21"/>
      <c r="AX143" s="21"/>
      <c r="AY143" s="21"/>
      <c r="AZ143" s="21"/>
      <c r="BA143" s="21"/>
      <c r="BB143" s="21"/>
      <c r="BC143" s="21"/>
      <c r="BD143" s="21"/>
      <c r="BE143" s="108"/>
      <c r="BF143" s="49"/>
      <c r="BG143" s="49"/>
      <c r="BH143" s="49"/>
      <c r="BI143" s="219"/>
      <c r="BJ143" s="108"/>
    </row>
    <row r="144" spans="1:62" s="54" customFormat="1">
      <c r="A144" s="133"/>
      <c r="C144" s="46" t="s">
        <v>1365</v>
      </c>
      <c r="E144" s="121"/>
      <c r="F144" s="121"/>
      <c r="G144" s="121"/>
      <c r="H144" s="121"/>
      <c r="I144" s="121"/>
      <c r="J144" s="121"/>
      <c r="K144" s="121"/>
      <c r="L144" s="121"/>
      <c r="M144" s="121"/>
      <c r="N144" s="121"/>
      <c r="O144" s="121"/>
      <c r="P144" s="121"/>
      <c r="Q144" s="121"/>
      <c r="R144" s="121"/>
      <c r="S144" s="121"/>
      <c r="T144" s="121"/>
      <c r="U144" s="108"/>
      <c r="V144" s="152"/>
      <c r="W144" s="152"/>
      <c r="X144" s="152"/>
      <c r="Y144" s="152"/>
      <c r="Z144" s="152"/>
      <c r="AA144" s="152"/>
      <c r="AB144" s="152"/>
      <c r="AC144" s="152"/>
      <c r="AD144" s="152"/>
      <c r="AE144" s="152"/>
      <c r="AF144" s="152"/>
      <c r="AG144" s="152"/>
      <c r="AH144" s="152"/>
      <c r="AI144" s="152"/>
      <c r="AJ144" s="152"/>
      <c r="AK144" s="152"/>
      <c r="AL144" s="152"/>
      <c r="AM144" s="152"/>
      <c r="AN144" s="152"/>
      <c r="AO144" s="152"/>
      <c r="AP144" s="108"/>
      <c r="AQ144" s="21"/>
      <c r="AR144" s="21"/>
      <c r="AS144" s="21"/>
      <c r="AT144" s="21"/>
      <c r="AU144" s="21"/>
      <c r="AV144" s="21"/>
      <c r="AW144" s="21"/>
      <c r="AX144" s="21"/>
      <c r="AY144" s="21"/>
      <c r="AZ144" s="21"/>
      <c r="BA144" s="21"/>
      <c r="BB144" s="21"/>
      <c r="BC144" s="21"/>
      <c r="BD144" s="21"/>
      <c r="BE144" s="108"/>
      <c r="BF144" s="49"/>
      <c r="BG144" s="49"/>
      <c r="BH144" s="49"/>
      <c r="BI144" s="219"/>
      <c r="BJ144" s="108"/>
    </row>
    <row r="145" spans="1:62" s="54" customFormat="1">
      <c r="A145" s="133"/>
      <c r="E145" s="121"/>
      <c r="F145" s="121"/>
      <c r="G145" s="121"/>
      <c r="H145" s="121"/>
      <c r="I145" s="121"/>
      <c r="J145" s="121"/>
      <c r="K145" s="121"/>
      <c r="L145" s="121"/>
      <c r="M145" s="121"/>
      <c r="N145" s="121"/>
      <c r="O145" s="121"/>
      <c r="P145" s="121"/>
      <c r="Q145" s="121"/>
      <c r="R145" s="121"/>
      <c r="S145" s="121"/>
      <c r="T145" s="121"/>
      <c r="U145" s="108"/>
      <c r="V145" s="152"/>
      <c r="W145" s="152"/>
      <c r="X145" s="152"/>
      <c r="Y145" s="152"/>
      <c r="Z145" s="152"/>
      <c r="AA145" s="152"/>
      <c r="AB145" s="152"/>
      <c r="AC145" s="152"/>
      <c r="AD145" s="152"/>
      <c r="AE145" s="152"/>
      <c r="AF145" s="152"/>
      <c r="AG145" s="152"/>
      <c r="AH145" s="152"/>
      <c r="AI145" s="152"/>
      <c r="AJ145" s="152"/>
      <c r="AK145" s="152"/>
      <c r="AL145" s="152"/>
      <c r="AM145" s="152"/>
      <c r="AN145" s="152"/>
      <c r="AO145" s="152"/>
      <c r="AP145" s="108"/>
      <c r="AQ145" s="21"/>
      <c r="AR145" s="21"/>
      <c r="AS145" s="21"/>
      <c r="AT145" s="21"/>
      <c r="AU145" s="21"/>
      <c r="AV145" s="21"/>
      <c r="AW145" s="21"/>
      <c r="AX145" s="21"/>
      <c r="AY145" s="21"/>
      <c r="AZ145" s="21"/>
      <c r="BA145" s="21"/>
      <c r="BB145" s="21"/>
      <c r="BC145" s="21"/>
      <c r="BD145" s="21"/>
      <c r="BE145" s="108"/>
      <c r="BF145" s="49"/>
      <c r="BG145" s="49"/>
      <c r="BH145" s="49"/>
      <c r="BI145" s="219"/>
      <c r="BJ145" s="108"/>
    </row>
    <row r="146" spans="1:62" s="54" customFormat="1">
      <c r="A146" s="133"/>
      <c r="C146" s="187" t="s">
        <v>1366</v>
      </c>
      <c r="E146" s="121"/>
      <c r="F146" s="121"/>
      <c r="G146" s="121"/>
      <c r="H146" s="121"/>
      <c r="I146" s="121"/>
      <c r="J146" s="121"/>
      <c r="K146" s="121"/>
      <c r="L146" s="121"/>
      <c r="M146" s="121"/>
      <c r="N146" s="121"/>
      <c r="O146" s="121"/>
      <c r="P146" s="121"/>
      <c r="Q146" s="121"/>
      <c r="R146" s="121"/>
      <c r="S146" s="121"/>
      <c r="T146" s="121"/>
      <c r="U146" s="108"/>
      <c r="V146" s="152"/>
      <c r="W146" s="152"/>
      <c r="X146" s="152"/>
      <c r="Y146" s="152"/>
      <c r="Z146" s="152"/>
      <c r="AA146" s="152"/>
      <c r="AB146" s="152"/>
      <c r="AC146" s="152"/>
      <c r="AD146" s="152"/>
      <c r="AE146" s="152"/>
      <c r="AF146" s="152"/>
      <c r="AG146" s="152"/>
      <c r="AH146" s="152"/>
      <c r="AI146" s="152"/>
      <c r="AJ146" s="152"/>
      <c r="AK146" s="152"/>
      <c r="AL146" s="152"/>
      <c r="AM146" s="152"/>
      <c r="AN146" s="152"/>
      <c r="AO146" s="152"/>
      <c r="AP146" s="108"/>
      <c r="AQ146" s="21"/>
      <c r="AR146" s="21"/>
      <c r="AS146" s="21"/>
      <c r="AT146" s="21"/>
      <c r="AU146" s="21"/>
      <c r="AV146" s="21"/>
      <c r="AW146" s="21"/>
      <c r="AX146" s="21"/>
      <c r="AY146" s="21"/>
      <c r="AZ146" s="21"/>
      <c r="BA146" s="21"/>
      <c r="BB146" s="21"/>
      <c r="BC146" s="21"/>
      <c r="BD146" s="21"/>
      <c r="BE146" s="108"/>
      <c r="BF146" s="49"/>
      <c r="BG146" s="49"/>
      <c r="BH146" s="49"/>
      <c r="BI146" s="219"/>
      <c r="BJ146" s="108"/>
    </row>
    <row r="147" spans="1:62" s="54" customFormat="1">
      <c r="A147" s="133"/>
      <c r="C147" s="114" t="s">
        <v>2527</v>
      </c>
      <c r="E147" s="121"/>
      <c r="F147" s="121"/>
      <c r="G147" s="121"/>
      <c r="H147" s="121"/>
      <c r="I147" s="121"/>
      <c r="J147" s="121"/>
      <c r="K147" s="121"/>
      <c r="L147" s="121"/>
      <c r="M147" s="121"/>
      <c r="N147" s="121"/>
      <c r="O147" s="121"/>
      <c r="P147" s="121"/>
      <c r="Q147" s="121"/>
      <c r="R147" s="121"/>
      <c r="S147" s="121"/>
      <c r="T147" s="121"/>
      <c r="U147" s="108"/>
      <c r="V147" s="152"/>
      <c r="W147" s="152"/>
      <c r="X147" s="152"/>
      <c r="Y147" s="152"/>
      <c r="Z147" s="152"/>
      <c r="AA147" s="152"/>
      <c r="AB147" s="152"/>
      <c r="AC147" s="152"/>
      <c r="AD147" s="152"/>
      <c r="AE147" s="152"/>
      <c r="AF147" s="152"/>
      <c r="AG147" s="152"/>
      <c r="AH147" s="152"/>
      <c r="AI147" s="152"/>
      <c r="AJ147" s="152"/>
      <c r="AK147" s="152"/>
      <c r="AL147" s="152"/>
      <c r="AM147" s="152"/>
      <c r="AN147" s="152"/>
      <c r="AO147" s="152"/>
      <c r="AP147" s="108"/>
      <c r="AQ147" s="21"/>
      <c r="AR147" s="21"/>
      <c r="AS147" s="21"/>
      <c r="AT147" s="21"/>
      <c r="AU147" s="21"/>
      <c r="AV147" s="21"/>
      <c r="AW147" s="21"/>
      <c r="AX147" s="21"/>
      <c r="AY147" s="21"/>
      <c r="AZ147" s="21"/>
      <c r="BA147" s="21"/>
      <c r="BB147" s="21"/>
      <c r="BC147" s="21"/>
      <c r="BD147" s="21"/>
      <c r="BE147" s="108"/>
      <c r="BF147" s="49"/>
      <c r="BG147" s="49"/>
      <c r="BH147" s="49"/>
      <c r="BI147" s="219"/>
      <c r="BJ147" s="108"/>
    </row>
    <row r="148" spans="1:62" s="54" customFormat="1">
      <c r="A148" s="133"/>
      <c r="C148" s="168"/>
      <c r="E148" s="121"/>
      <c r="F148" s="121"/>
      <c r="G148" s="121"/>
      <c r="H148" s="121"/>
      <c r="I148" s="121"/>
      <c r="J148" s="121"/>
      <c r="K148" s="121"/>
      <c r="L148" s="121"/>
      <c r="M148" s="121"/>
      <c r="N148" s="121"/>
      <c r="O148" s="121"/>
      <c r="P148" s="121"/>
      <c r="Q148" s="121"/>
      <c r="R148" s="121"/>
      <c r="S148" s="121"/>
      <c r="T148" s="121"/>
      <c r="U148" s="108"/>
      <c r="V148" s="152"/>
      <c r="W148" s="152"/>
      <c r="X148" s="152"/>
      <c r="Y148" s="152"/>
      <c r="Z148" s="152"/>
      <c r="AA148" s="152"/>
      <c r="AB148" s="152"/>
      <c r="AC148" s="152"/>
      <c r="AD148" s="152"/>
      <c r="AE148" s="152"/>
      <c r="AF148" s="152"/>
      <c r="AG148" s="152"/>
      <c r="AH148" s="152"/>
      <c r="AI148" s="152"/>
      <c r="AJ148" s="152"/>
      <c r="AK148" s="152"/>
      <c r="AL148" s="152"/>
      <c r="AM148" s="152"/>
      <c r="AN148" s="152"/>
      <c r="AO148" s="152"/>
      <c r="AP148" s="108"/>
      <c r="AQ148" s="21"/>
      <c r="AR148" s="21"/>
      <c r="AS148" s="21"/>
      <c r="AT148" s="21"/>
      <c r="AU148" s="21"/>
      <c r="AV148" s="21"/>
      <c r="AW148" s="21"/>
      <c r="AX148" s="21"/>
      <c r="AY148" s="21"/>
      <c r="AZ148" s="21"/>
      <c r="BA148" s="21"/>
      <c r="BB148" s="21"/>
      <c r="BC148" s="21"/>
      <c r="BD148" s="21"/>
      <c r="BE148" s="108"/>
      <c r="BF148" s="49"/>
      <c r="BG148" s="49"/>
      <c r="BH148" s="49"/>
      <c r="BI148" s="219"/>
      <c r="BJ148" s="108"/>
    </row>
    <row r="149" spans="1:62" s="54" customFormat="1">
      <c r="A149" s="133"/>
      <c r="C149" s="187" t="s">
        <v>361</v>
      </c>
      <c r="E149" s="121"/>
      <c r="F149" s="121"/>
      <c r="G149" s="121"/>
      <c r="H149" s="121"/>
      <c r="I149" s="121"/>
      <c r="J149" s="121"/>
      <c r="K149" s="121"/>
      <c r="L149" s="121"/>
      <c r="M149" s="121"/>
      <c r="N149" s="121"/>
      <c r="O149" s="121"/>
      <c r="P149" s="121"/>
      <c r="Q149" s="121"/>
      <c r="R149" s="121"/>
      <c r="S149" s="121"/>
      <c r="T149" s="121"/>
      <c r="U149" s="108"/>
      <c r="V149" s="152"/>
      <c r="W149" s="152"/>
      <c r="X149" s="152"/>
      <c r="Y149" s="152"/>
      <c r="Z149" s="152"/>
      <c r="AA149" s="152"/>
      <c r="AB149" s="152"/>
      <c r="AC149" s="152"/>
      <c r="AD149" s="152"/>
      <c r="AE149" s="152"/>
      <c r="AF149" s="152"/>
      <c r="AG149" s="152"/>
      <c r="AH149" s="152"/>
      <c r="AI149" s="152"/>
      <c r="AJ149" s="152"/>
      <c r="AK149" s="152"/>
      <c r="AL149" s="152"/>
      <c r="AM149" s="152"/>
      <c r="AN149" s="152"/>
      <c r="AO149" s="152"/>
      <c r="AP149" s="108"/>
      <c r="AQ149" s="21"/>
      <c r="AR149" s="21"/>
      <c r="AS149" s="21"/>
      <c r="AT149" s="21"/>
      <c r="AU149" s="21"/>
      <c r="AV149" s="21"/>
      <c r="AW149" s="21"/>
      <c r="AX149" s="21"/>
      <c r="AY149" s="21"/>
      <c r="AZ149" s="21"/>
      <c r="BA149" s="21"/>
      <c r="BB149" s="21"/>
      <c r="BC149" s="21"/>
      <c r="BD149" s="21"/>
      <c r="BE149" s="108"/>
      <c r="BF149" s="49"/>
      <c r="BG149" s="49"/>
      <c r="BH149" s="49"/>
      <c r="BI149" s="219"/>
      <c r="BJ149" s="108"/>
    </row>
    <row r="150" spans="1:62" s="54" customFormat="1">
      <c r="A150" s="133"/>
      <c r="C150" s="114" t="s">
        <v>2528</v>
      </c>
      <c r="E150" s="121"/>
      <c r="F150" s="121"/>
      <c r="G150" s="121"/>
      <c r="H150" s="121"/>
      <c r="I150" s="121"/>
      <c r="J150" s="121"/>
      <c r="K150" s="121"/>
      <c r="L150" s="121"/>
      <c r="M150" s="121"/>
      <c r="N150" s="121"/>
      <c r="O150" s="121"/>
      <c r="P150" s="121"/>
      <c r="Q150" s="121"/>
      <c r="R150" s="121"/>
      <c r="S150" s="121"/>
      <c r="T150" s="121"/>
      <c r="U150" s="108"/>
      <c r="V150" s="152"/>
      <c r="W150" s="152"/>
      <c r="X150" s="152"/>
      <c r="Y150" s="152"/>
      <c r="Z150" s="152"/>
      <c r="AA150" s="152"/>
      <c r="AB150" s="152"/>
      <c r="AC150" s="152"/>
      <c r="AD150" s="152"/>
      <c r="AE150" s="152"/>
      <c r="AF150" s="152"/>
      <c r="AG150" s="152"/>
      <c r="AH150" s="152"/>
      <c r="AI150" s="152"/>
      <c r="AJ150" s="152"/>
      <c r="AK150" s="152"/>
      <c r="AL150" s="152"/>
      <c r="AM150" s="152"/>
      <c r="AN150" s="152"/>
      <c r="AO150" s="152"/>
      <c r="AP150" s="108"/>
      <c r="AQ150" s="21"/>
      <c r="AR150" s="21"/>
      <c r="AS150" s="21"/>
      <c r="AT150" s="21"/>
      <c r="AU150" s="21"/>
      <c r="AV150" s="21"/>
      <c r="AW150" s="21"/>
      <c r="AX150" s="21"/>
      <c r="AY150" s="21"/>
      <c r="AZ150" s="21"/>
      <c r="BA150" s="21"/>
      <c r="BB150" s="21"/>
      <c r="BC150" s="21"/>
      <c r="BD150" s="21"/>
      <c r="BE150" s="108"/>
      <c r="BF150" s="49"/>
      <c r="BG150" s="49"/>
      <c r="BH150" s="49"/>
      <c r="BI150" s="219"/>
      <c r="BJ150" s="108"/>
    </row>
    <row r="151" spans="1:62" s="54" customFormat="1">
      <c r="A151" s="133"/>
      <c r="C151" s="114"/>
      <c r="E151" s="121"/>
      <c r="F151" s="121"/>
      <c r="G151" s="121"/>
      <c r="H151" s="121"/>
      <c r="I151" s="121"/>
      <c r="J151" s="121"/>
      <c r="K151" s="121"/>
      <c r="L151" s="121"/>
      <c r="M151" s="121"/>
      <c r="N151" s="121"/>
      <c r="O151" s="121"/>
      <c r="P151" s="121"/>
      <c r="Q151" s="121"/>
      <c r="R151" s="121"/>
      <c r="S151" s="121"/>
      <c r="T151" s="121"/>
      <c r="U151" s="108"/>
      <c r="V151" s="152"/>
      <c r="W151" s="152"/>
      <c r="X151" s="152"/>
      <c r="Y151" s="152"/>
      <c r="Z151" s="152"/>
      <c r="AA151" s="152"/>
      <c r="AB151" s="152"/>
      <c r="AC151" s="152"/>
      <c r="AD151" s="152"/>
      <c r="AE151" s="152"/>
      <c r="AF151" s="152"/>
      <c r="AG151" s="152"/>
      <c r="AH151" s="152"/>
      <c r="AI151" s="152"/>
      <c r="AJ151" s="152"/>
      <c r="AK151" s="152"/>
      <c r="AL151" s="152"/>
      <c r="AM151" s="152"/>
      <c r="AN151" s="152"/>
      <c r="AO151" s="152"/>
      <c r="AP151" s="108"/>
      <c r="AQ151" s="21"/>
      <c r="AR151" s="21"/>
      <c r="AS151" s="21"/>
      <c r="AT151" s="21"/>
      <c r="AU151" s="21"/>
      <c r="AV151" s="21"/>
      <c r="AW151" s="21"/>
      <c r="AX151" s="21"/>
      <c r="AY151" s="21"/>
      <c r="AZ151" s="21"/>
      <c r="BA151" s="21"/>
      <c r="BB151" s="21"/>
      <c r="BC151" s="21"/>
      <c r="BD151" s="21"/>
      <c r="BE151" s="108"/>
      <c r="BF151" s="49"/>
      <c r="BG151" s="49"/>
      <c r="BH151" s="49"/>
      <c r="BI151" s="219"/>
      <c r="BJ151" s="108"/>
    </row>
    <row r="152" spans="1:62" s="54" customFormat="1">
      <c r="A152" s="133"/>
      <c r="C152" s="187" t="s">
        <v>1367</v>
      </c>
      <c r="E152" s="121"/>
      <c r="F152" s="121"/>
      <c r="G152" s="121"/>
      <c r="H152" s="121"/>
      <c r="I152" s="121"/>
      <c r="J152" s="121"/>
      <c r="K152" s="121"/>
      <c r="L152" s="121"/>
      <c r="M152" s="121"/>
      <c r="N152" s="121"/>
      <c r="O152" s="121"/>
      <c r="P152" s="121"/>
      <c r="Q152" s="121"/>
      <c r="R152" s="121"/>
      <c r="S152" s="121"/>
      <c r="T152" s="121"/>
      <c r="U152" s="108"/>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08"/>
      <c r="AQ152" s="21"/>
      <c r="AR152" s="21"/>
      <c r="AS152" s="21"/>
      <c r="AT152" s="21"/>
      <c r="AU152" s="21"/>
      <c r="AV152" s="21"/>
      <c r="AW152" s="21"/>
      <c r="AX152" s="21"/>
      <c r="AY152" s="21"/>
      <c r="AZ152" s="21"/>
      <c r="BA152" s="21"/>
      <c r="BB152" s="21"/>
      <c r="BC152" s="21"/>
      <c r="BD152" s="21"/>
      <c r="BE152" s="108"/>
      <c r="BF152" s="49"/>
      <c r="BG152" s="49"/>
      <c r="BH152" s="49"/>
      <c r="BI152" s="219"/>
      <c r="BJ152" s="108"/>
    </row>
    <row r="153" spans="1:62" s="54" customFormat="1">
      <c r="A153" s="133"/>
      <c r="C153" s="114" t="s">
        <v>2529</v>
      </c>
      <c r="E153" s="121"/>
      <c r="F153" s="121"/>
      <c r="G153" s="121"/>
      <c r="H153" s="121"/>
      <c r="I153" s="121"/>
      <c r="J153" s="121"/>
      <c r="K153" s="121"/>
      <c r="L153" s="121"/>
      <c r="M153" s="121"/>
      <c r="N153" s="121"/>
      <c r="O153" s="121"/>
      <c r="P153" s="121"/>
      <c r="Q153" s="121"/>
      <c r="R153" s="121"/>
      <c r="S153" s="121"/>
      <c r="T153" s="121"/>
      <c r="U153" s="108"/>
      <c r="V153" s="152"/>
      <c r="W153" s="152"/>
      <c r="X153" s="152"/>
      <c r="Y153" s="152"/>
      <c r="Z153" s="152"/>
      <c r="AA153" s="152"/>
      <c r="AB153" s="152"/>
      <c r="AC153" s="152"/>
      <c r="AD153" s="152"/>
      <c r="AE153" s="152"/>
      <c r="AF153" s="152"/>
      <c r="AG153" s="152"/>
      <c r="AH153" s="152"/>
      <c r="AI153" s="152"/>
      <c r="AJ153" s="152"/>
      <c r="AK153" s="152"/>
      <c r="AL153" s="152"/>
      <c r="AM153" s="152"/>
      <c r="AN153" s="152"/>
      <c r="AO153" s="152"/>
      <c r="AP153" s="108"/>
      <c r="AQ153" s="21"/>
      <c r="AR153" s="21"/>
      <c r="AS153" s="21"/>
      <c r="AT153" s="21"/>
      <c r="AU153" s="21"/>
      <c r="AV153" s="21"/>
      <c r="AW153" s="21"/>
      <c r="AX153" s="21"/>
      <c r="AY153" s="21"/>
      <c r="AZ153" s="21"/>
      <c r="BA153" s="21"/>
      <c r="BB153" s="21"/>
      <c r="BC153" s="21"/>
      <c r="BD153" s="21"/>
      <c r="BE153" s="108"/>
      <c r="BF153" s="49"/>
      <c r="BG153" s="49"/>
      <c r="BH153" s="49"/>
      <c r="BI153" s="219"/>
      <c r="BJ153" s="108"/>
    </row>
    <row r="154" spans="1:62" s="54" customFormat="1">
      <c r="A154" s="133"/>
      <c r="E154" s="121"/>
      <c r="F154" s="121"/>
      <c r="G154" s="121"/>
      <c r="H154" s="121"/>
      <c r="I154" s="121"/>
      <c r="J154" s="121"/>
      <c r="K154" s="121"/>
      <c r="L154" s="121"/>
      <c r="M154" s="121"/>
      <c r="N154" s="121"/>
      <c r="O154" s="121"/>
      <c r="P154" s="121"/>
      <c r="Q154" s="121"/>
      <c r="R154" s="121"/>
      <c r="S154" s="121"/>
      <c r="T154" s="121"/>
      <c r="U154" s="108"/>
      <c r="V154" s="152"/>
      <c r="W154" s="152"/>
      <c r="X154" s="152"/>
      <c r="Y154" s="152"/>
      <c r="Z154" s="152"/>
      <c r="AA154" s="152"/>
      <c r="AB154" s="152"/>
      <c r="AC154" s="152"/>
      <c r="AD154" s="152"/>
      <c r="AE154" s="152"/>
      <c r="AF154" s="152"/>
      <c r="AG154" s="152"/>
      <c r="AH154" s="152"/>
      <c r="AI154" s="152"/>
      <c r="AJ154" s="152"/>
      <c r="AK154" s="152"/>
      <c r="AL154" s="152"/>
      <c r="AM154" s="152"/>
      <c r="AN154" s="152"/>
      <c r="AO154" s="152"/>
      <c r="AP154" s="108"/>
      <c r="AQ154" s="21"/>
      <c r="AR154" s="21"/>
      <c r="AS154" s="21"/>
      <c r="AT154" s="21"/>
      <c r="AU154" s="21"/>
      <c r="AV154" s="21"/>
      <c r="AW154" s="21"/>
      <c r="AX154" s="21"/>
      <c r="AY154" s="21"/>
      <c r="AZ154" s="21"/>
      <c r="BA154" s="21"/>
      <c r="BB154" s="21"/>
      <c r="BC154" s="21"/>
      <c r="BD154" s="21"/>
      <c r="BE154" s="108"/>
      <c r="BF154" s="49"/>
      <c r="BG154" s="49"/>
      <c r="BH154" s="49"/>
      <c r="BI154" s="219"/>
      <c r="BJ154" s="108"/>
    </row>
    <row r="155" spans="1:62" s="54" customFormat="1">
      <c r="A155" s="133"/>
      <c r="E155" s="121"/>
      <c r="F155" s="121"/>
      <c r="G155" s="121"/>
      <c r="H155" s="121"/>
      <c r="I155" s="121"/>
      <c r="J155" s="121"/>
      <c r="K155" s="121"/>
      <c r="L155" s="121"/>
      <c r="M155" s="121"/>
      <c r="N155" s="121"/>
      <c r="O155" s="121"/>
      <c r="P155" s="121"/>
      <c r="Q155" s="121"/>
      <c r="R155" s="121"/>
      <c r="S155" s="121"/>
      <c r="T155" s="121"/>
      <c r="U155" s="108"/>
      <c r="V155" s="152"/>
      <c r="W155" s="152"/>
      <c r="X155" s="152"/>
      <c r="Y155" s="152"/>
      <c r="Z155" s="152"/>
      <c r="AA155" s="152"/>
      <c r="AB155" s="152"/>
      <c r="AC155" s="152"/>
      <c r="AD155" s="152"/>
      <c r="AE155" s="152"/>
      <c r="AF155" s="152"/>
      <c r="AG155" s="152"/>
      <c r="AH155" s="152"/>
      <c r="AI155" s="152"/>
      <c r="AJ155" s="152"/>
      <c r="AK155" s="152"/>
      <c r="AL155" s="152"/>
      <c r="AM155" s="152"/>
      <c r="AN155" s="152"/>
      <c r="AO155" s="152"/>
      <c r="AP155" s="108"/>
      <c r="AQ155" s="21"/>
      <c r="AR155" s="21"/>
      <c r="AS155" s="21"/>
      <c r="AT155" s="21"/>
      <c r="AU155" s="21"/>
      <c r="AV155" s="21"/>
      <c r="AW155" s="21"/>
      <c r="AX155" s="21"/>
      <c r="AY155" s="21"/>
      <c r="AZ155" s="21"/>
      <c r="BA155" s="21"/>
      <c r="BB155" s="21"/>
      <c r="BC155" s="21"/>
      <c r="BD155" s="21"/>
      <c r="BE155" s="108"/>
      <c r="BF155" s="49"/>
      <c r="BG155" s="49"/>
      <c r="BH155" s="49"/>
      <c r="BI155" s="219"/>
      <c r="BJ155" s="108"/>
    </row>
    <row r="156" spans="1:62" s="54" customFormat="1">
      <c r="A156" s="133"/>
      <c r="C156" s="46" t="s">
        <v>1350</v>
      </c>
      <c r="E156" s="121"/>
      <c r="F156" s="121"/>
      <c r="G156" s="121"/>
      <c r="H156" s="121"/>
      <c r="I156" s="121"/>
      <c r="J156" s="121"/>
      <c r="K156" s="121"/>
      <c r="L156" s="121"/>
      <c r="M156" s="121"/>
      <c r="N156" s="121"/>
      <c r="O156" s="121"/>
      <c r="P156" s="121"/>
      <c r="Q156" s="121"/>
      <c r="R156" s="121"/>
      <c r="S156" s="121"/>
      <c r="T156" s="121"/>
      <c r="U156" s="108"/>
      <c r="V156" s="152"/>
      <c r="W156" s="152"/>
      <c r="X156" s="152"/>
      <c r="Y156" s="152"/>
      <c r="Z156" s="152"/>
      <c r="AA156" s="152"/>
      <c r="AB156" s="152"/>
      <c r="AC156" s="152"/>
      <c r="AD156" s="152"/>
      <c r="AE156" s="152"/>
      <c r="AF156" s="152"/>
      <c r="AG156" s="152"/>
      <c r="AH156" s="152"/>
      <c r="AI156" s="152"/>
      <c r="AJ156" s="152"/>
      <c r="AK156" s="152"/>
      <c r="AL156" s="152"/>
      <c r="AM156" s="152"/>
      <c r="AN156" s="152"/>
      <c r="AO156" s="152"/>
      <c r="AP156" s="108"/>
      <c r="AQ156" s="21"/>
      <c r="AR156" s="21"/>
      <c r="AS156" s="21"/>
      <c r="AT156" s="21"/>
      <c r="AU156" s="21"/>
      <c r="AV156" s="21"/>
      <c r="AW156" s="21"/>
      <c r="AX156" s="21"/>
      <c r="AY156" s="21"/>
      <c r="AZ156" s="21"/>
      <c r="BA156" s="21"/>
      <c r="BB156" s="21"/>
      <c r="BC156" s="21"/>
      <c r="BD156" s="21"/>
      <c r="BE156" s="108"/>
      <c r="BF156" s="49"/>
      <c r="BG156" s="49"/>
      <c r="BH156" s="49"/>
      <c r="BI156" s="219"/>
      <c r="BJ156" s="108"/>
    </row>
    <row r="157" spans="1:62">
      <c r="E157" s="121"/>
      <c r="F157" s="121"/>
      <c r="G157" s="121"/>
      <c r="H157" s="121"/>
      <c r="I157" s="121"/>
      <c r="J157" s="121"/>
      <c r="K157" s="121"/>
      <c r="L157" s="121"/>
      <c r="M157" s="121"/>
      <c r="N157" s="121"/>
      <c r="O157" s="121"/>
      <c r="P157" s="121"/>
      <c r="Q157" s="121"/>
      <c r="R157" s="121"/>
      <c r="S157" s="121"/>
      <c r="T157" s="121"/>
      <c r="U157" s="60"/>
      <c r="V157" s="152"/>
      <c r="W157" s="152"/>
      <c r="X157" s="152"/>
      <c r="Y157" s="152"/>
      <c r="Z157" s="152"/>
      <c r="AA157" s="152"/>
      <c r="AB157" s="152"/>
      <c r="AC157" s="152"/>
      <c r="AD157" s="152"/>
      <c r="AE157" s="152"/>
      <c r="AF157" s="152"/>
      <c r="AG157" s="152"/>
      <c r="AH157" s="152"/>
      <c r="AI157" s="152"/>
      <c r="AJ157" s="152"/>
      <c r="AK157" s="152"/>
      <c r="AL157" s="152"/>
      <c r="AM157" s="152"/>
      <c r="AN157" s="152"/>
      <c r="AO157" s="152"/>
      <c r="AP157" s="60"/>
      <c r="AQ157" s="21"/>
      <c r="AR157" s="21"/>
      <c r="AS157" s="21"/>
      <c r="AT157" s="21"/>
      <c r="AU157" s="21"/>
      <c r="AV157" s="21"/>
      <c r="AW157" s="21"/>
      <c r="AX157" s="21"/>
      <c r="AY157" s="21"/>
      <c r="AZ157" s="21"/>
      <c r="BA157" s="21"/>
      <c r="BB157" s="21"/>
      <c r="BC157" s="21"/>
      <c r="BD157" s="21"/>
      <c r="BE157" s="60"/>
      <c r="BF157" s="49"/>
      <c r="BG157" s="49"/>
      <c r="BH157" s="49"/>
      <c r="BJ157" s="60"/>
    </row>
    <row r="158" spans="1:62" ht="15">
      <c r="B158" s="105">
        <v>30</v>
      </c>
      <c r="C158" s="15" t="str">
        <f>INDEX(Regional.sectors[Description],MATCH($B$3&amp;"."&amp;B158,Regional.sectors[Code],0))</f>
        <v>Global Materials</v>
      </c>
      <c r="D158" s="219" t="s">
        <v>414</v>
      </c>
      <c r="E158" s="121">
        <f ca="1">SUM(E160,E180,E200,E226,E246,E254)</f>
        <v>0</v>
      </c>
      <c r="F158" s="121">
        <f t="shared" ref="F158:BH158" ca="1" si="4">SUM(F160,F180,F200,F226,F246,F254)</f>
        <v>0</v>
      </c>
      <c r="G158" s="121">
        <f t="shared" ca="1" si="4"/>
        <v>0</v>
      </c>
      <c r="H158" s="121">
        <f t="shared" ca="1" si="4"/>
        <v>0</v>
      </c>
      <c r="I158" s="121">
        <f t="shared" ca="1" si="4"/>
        <v>0</v>
      </c>
      <c r="J158" s="121">
        <f t="shared" ca="1" si="4"/>
        <v>142.97457688351506</v>
      </c>
      <c r="K158" s="121">
        <f t="shared" ca="1" si="4"/>
        <v>0</v>
      </c>
      <c r="L158" s="121">
        <f t="shared" ca="1" si="4"/>
        <v>0</v>
      </c>
      <c r="M158" s="121">
        <f t="shared" ca="1" si="4"/>
        <v>0</v>
      </c>
      <c r="N158" s="121">
        <f t="shared" ca="1" si="4"/>
        <v>0</v>
      </c>
      <c r="O158" s="121">
        <f t="shared" ref="O158" ca="1" si="5">SUM(O160,O180,O200,O226,O246,O254)</f>
        <v>0</v>
      </c>
      <c r="P158" s="121">
        <f t="shared" ca="1" si="4"/>
        <v>0</v>
      </c>
      <c r="Q158" s="121">
        <f t="shared" ca="1" si="4"/>
        <v>0</v>
      </c>
      <c r="R158" s="121">
        <f t="shared" ca="1" si="4"/>
        <v>0</v>
      </c>
      <c r="S158" s="121">
        <f t="shared" ca="1" si="4"/>
        <v>0</v>
      </c>
      <c r="T158" s="121">
        <f t="shared" ca="1" si="4"/>
        <v>142.97457688351506</v>
      </c>
      <c r="U158" s="60"/>
      <c r="V158" s="152">
        <f t="shared" ca="1" si="4"/>
        <v>-28.187233874425708</v>
      </c>
      <c r="W158" s="152">
        <f t="shared" ca="1" si="4"/>
        <v>0</v>
      </c>
      <c r="X158" s="152">
        <f t="shared" ca="1" si="4"/>
        <v>-8.0491322537491143</v>
      </c>
      <c r="Y158" s="152">
        <f t="shared" ca="1" si="4"/>
        <v>0</v>
      </c>
      <c r="Z158" s="152">
        <f t="shared" ca="1" si="4"/>
        <v>0</v>
      </c>
      <c r="AA158" s="152">
        <f t="shared" ca="1" si="4"/>
        <v>-42.287175675880007</v>
      </c>
      <c r="AB158" s="152">
        <f t="shared" ca="1" si="4"/>
        <v>-30.809506899323729</v>
      </c>
      <c r="AC158" s="152">
        <f t="shared" ca="1" si="4"/>
        <v>-28.331425732791395</v>
      </c>
      <c r="AD158" s="152">
        <f t="shared" ca="1" si="4"/>
        <v>0</v>
      </c>
      <c r="AE158" s="152">
        <f t="shared" ca="1" si="4"/>
        <v>0</v>
      </c>
      <c r="AF158" s="152">
        <f t="shared" ca="1" si="4"/>
        <v>0</v>
      </c>
      <c r="AG158" s="152">
        <f t="shared" ca="1" si="4"/>
        <v>0</v>
      </c>
      <c r="AH158" s="152">
        <f t="shared" ca="1" si="4"/>
        <v>0</v>
      </c>
      <c r="AI158" s="152">
        <f t="shared" ca="1" si="4"/>
        <v>0</v>
      </c>
      <c r="AJ158" s="152">
        <f t="shared" ca="1" si="4"/>
        <v>0</v>
      </c>
      <c r="AK158" s="152">
        <f t="shared" ca="1" si="4"/>
        <v>0</v>
      </c>
      <c r="AL158" s="152">
        <f t="shared" ca="1" si="4"/>
        <v>-5.3101024473450966</v>
      </c>
      <c r="AM158" s="152">
        <f t="shared" ca="1" si="4"/>
        <v>0</v>
      </c>
      <c r="AN158" s="152">
        <f t="shared" ca="1" si="4"/>
        <v>0</v>
      </c>
      <c r="AO158" s="152">
        <f t="shared" ca="1" si="4"/>
        <v>-142.97457688351506</v>
      </c>
      <c r="AP158" s="60"/>
      <c r="AQ158" s="21">
        <f t="shared" ca="1" si="4"/>
        <v>0</v>
      </c>
      <c r="AR158" s="21">
        <f t="shared" ca="1" si="4"/>
        <v>0</v>
      </c>
      <c r="AS158" s="21">
        <f t="shared" ca="1" si="4"/>
        <v>0</v>
      </c>
      <c r="AT158" s="21">
        <f t="shared" ca="1" si="4"/>
        <v>0</v>
      </c>
      <c r="AU158" s="21">
        <f t="shared" ca="1" si="4"/>
        <v>0</v>
      </c>
      <c r="AV158" s="21">
        <f t="shared" ca="1" si="4"/>
        <v>0</v>
      </c>
      <c r="AW158" s="21">
        <f t="shared" ca="1" si="4"/>
        <v>0</v>
      </c>
      <c r="AX158" s="21">
        <f t="shared" ca="1" si="4"/>
        <v>0</v>
      </c>
      <c r="AY158" s="21">
        <f t="shared" ca="1" si="4"/>
        <v>0</v>
      </c>
      <c r="AZ158" s="21">
        <f t="shared" ca="1" si="4"/>
        <v>0</v>
      </c>
      <c r="BA158" s="21">
        <f t="shared" ca="1" si="4"/>
        <v>0</v>
      </c>
      <c r="BB158" s="21">
        <f t="shared" ca="1" si="4"/>
        <v>0</v>
      </c>
      <c r="BC158" s="21">
        <f t="shared" ca="1" si="4"/>
        <v>0</v>
      </c>
      <c r="BD158" s="21">
        <f t="shared" ca="1" si="4"/>
        <v>0</v>
      </c>
      <c r="BE158" s="60"/>
      <c r="BF158" s="49">
        <f t="shared" ca="1" si="4"/>
        <v>0</v>
      </c>
      <c r="BG158" s="49">
        <f t="shared" ca="1" si="4"/>
        <v>0</v>
      </c>
      <c r="BH158" s="49">
        <f t="shared" ca="1" si="4"/>
        <v>0</v>
      </c>
      <c r="BI158" s="219">
        <f t="shared" ref="BI158" ca="1" si="6">SUM(T158,AO158,BD158,BH158)</f>
        <v>0</v>
      </c>
      <c r="BJ158" s="58"/>
    </row>
    <row r="159" spans="1:62" s="54" customFormat="1">
      <c r="A159" s="133"/>
      <c r="B159" s="106"/>
      <c r="E159" s="121"/>
      <c r="F159" s="121"/>
      <c r="G159" s="121"/>
      <c r="H159" s="121"/>
      <c r="I159" s="121"/>
      <c r="J159" s="121"/>
      <c r="K159" s="121"/>
      <c r="L159" s="121"/>
      <c r="M159" s="121"/>
      <c r="N159" s="121"/>
      <c r="O159" s="121"/>
      <c r="P159" s="121"/>
      <c r="Q159" s="121"/>
      <c r="R159" s="121"/>
      <c r="S159" s="121"/>
      <c r="T159" s="121"/>
      <c r="U159" s="109"/>
      <c r="V159" s="152"/>
      <c r="W159" s="152"/>
      <c r="X159" s="152"/>
      <c r="Y159" s="152"/>
      <c r="Z159" s="152"/>
      <c r="AA159" s="152"/>
      <c r="AB159" s="152"/>
      <c r="AC159" s="152"/>
      <c r="AD159" s="152"/>
      <c r="AE159" s="152"/>
      <c r="AF159" s="152"/>
      <c r="AG159" s="152"/>
      <c r="AH159" s="152"/>
      <c r="AI159" s="152"/>
      <c r="AJ159" s="152"/>
      <c r="AK159" s="152"/>
      <c r="AL159" s="152"/>
      <c r="AM159" s="152"/>
      <c r="AN159" s="152"/>
      <c r="AO159" s="152"/>
      <c r="AP159" s="108"/>
      <c r="AQ159" s="21"/>
      <c r="AR159" s="21"/>
      <c r="AS159" s="21"/>
      <c r="AT159" s="21"/>
      <c r="AU159" s="21"/>
      <c r="AV159" s="21"/>
      <c r="AW159" s="21"/>
      <c r="AX159" s="21"/>
      <c r="AY159" s="21"/>
      <c r="AZ159" s="21"/>
      <c r="BA159" s="21"/>
      <c r="BB159" s="21"/>
      <c r="BC159" s="21"/>
      <c r="BD159" s="21"/>
      <c r="BE159" s="108"/>
      <c r="BF159" s="49"/>
      <c r="BG159" s="49"/>
      <c r="BH159" s="49"/>
      <c r="BI159" s="219"/>
      <c r="BJ159" s="108"/>
    </row>
    <row r="160" spans="1:62" s="54" customFormat="1">
      <c r="A160" s="133"/>
      <c r="B160" s="106"/>
      <c r="C160" s="187" t="s">
        <v>1637</v>
      </c>
      <c r="E160" s="121">
        <f ca="1">SUM(E161:E178)</f>
        <v>0</v>
      </c>
      <c r="F160" s="121">
        <f t="shared" ref="F160:BH160" ca="1" si="7">SUM(F161:F178)</f>
        <v>0</v>
      </c>
      <c r="G160" s="121">
        <f t="shared" ca="1" si="7"/>
        <v>0</v>
      </c>
      <c r="H160" s="121">
        <f t="shared" ca="1" si="7"/>
        <v>0</v>
      </c>
      <c r="I160" s="121">
        <f t="shared" ca="1" si="7"/>
        <v>0</v>
      </c>
      <c r="J160" s="121">
        <f t="shared" ca="1" si="7"/>
        <v>31.068979977383989</v>
      </c>
      <c r="K160" s="121">
        <f t="shared" ca="1" si="7"/>
        <v>0</v>
      </c>
      <c r="L160" s="121">
        <f t="shared" ca="1" si="7"/>
        <v>0</v>
      </c>
      <c r="M160" s="121">
        <f t="shared" ca="1" si="7"/>
        <v>0</v>
      </c>
      <c r="N160" s="121">
        <f t="shared" ca="1" si="7"/>
        <v>0</v>
      </c>
      <c r="O160" s="121">
        <f t="shared" ref="O160" ca="1" si="8">SUM(O161:O178)</f>
        <v>0</v>
      </c>
      <c r="P160" s="121">
        <f t="shared" ca="1" si="7"/>
        <v>0</v>
      </c>
      <c r="Q160" s="121">
        <f t="shared" ca="1" si="7"/>
        <v>0</v>
      </c>
      <c r="R160" s="121">
        <f t="shared" ca="1" si="7"/>
        <v>0</v>
      </c>
      <c r="S160" s="121">
        <f t="shared" ca="1" si="7"/>
        <v>0</v>
      </c>
      <c r="T160" s="121">
        <f t="shared" ca="1" si="7"/>
        <v>31.068979977383989</v>
      </c>
      <c r="U160" s="109"/>
      <c r="V160" s="152">
        <f t="shared" ca="1" si="7"/>
        <v>-3.9442261864320001</v>
      </c>
      <c r="W160" s="152">
        <f t="shared" ca="1" si="7"/>
        <v>0</v>
      </c>
      <c r="X160" s="152">
        <f t="shared" ca="1" si="7"/>
        <v>-0.17590630860000006</v>
      </c>
      <c r="Y160" s="152">
        <f t="shared" ca="1" si="7"/>
        <v>0</v>
      </c>
      <c r="Z160" s="152">
        <f t="shared" ca="1" si="7"/>
        <v>0</v>
      </c>
      <c r="AA160" s="152">
        <f t="shared" ca="1" si="7"/>
        <v>-23.235493129091996</v>
      </c>
      <c r="AB160" s="152">
        <f t="shared" ca="1" si="7"/>
        <v>-0.6053795859240001</v>
      </c>
      <c r="AC160" s="152">
        <f t="shared" ca="1" si="7"/>
        <v>-2.304566114687999</v>
      </c>
      <c r="AD160" s="152">
        <f t="shared" ca="1" si="7"/>
        <v>0</v>
      </c>
      <c r="AE160" s="152">
        <f t="shared" ca="1" si="7"/>
        <v>0</v>
      </c>
      <c r="AF160" s="152">
        <f t="shared" ca="1" si="7"/>
        <v>0</v>
      </c>
      <c r="AG160" s="152">
        <f t="shared" ca="1" si="7"/>
        <v>0</v>
      </c>
      <c r="AH160" s="152">
        <f t="shared" ca="1" si="7"/>
        <v>0</v>
      </c>
      <c r="AI160" s="152">
        <f t="shared" ca="1" si="7"/>
        <v>0</v>
      </c>
      <c r="AJ160" s="152">
        <f t="shared" ca="1" si="7"/>
        <v>0</v>
      </c>
      <c r="AK160" s="152">
        <f t="shared" ca="1" si="7"/>
        <v>0</v>
      </c>
      <c r="AL160" s="152">
        <f t="shared" ca="1" si="7"/>
        <v>-0.80340865264799999</v>
      </c>
      <c r="AM160" s="152">
        <f t="shared" ca="1" si="7"/>
        <v>0</v>
      </c>
      <c r="AN160" s="152">
        <f t="shared" ca="1" si="7"/>
        <v>0</v>
      </c>
      <c r="AO160" s="152">
        <f t="shared" ca="1" si="7"/>
        <v>-31.068979977383989</v>
      </c>
      <c r="AP160" s="108"/>
      <c r="AQ160" s="21">
        <f t="shared" ca="1" si="7"/>
        <v>0</v>
      </c>
      <c r="AR160" s="21">
        <f t="shared" ca="1" si="7"/>
        <v>0</v>
      </c>
      <c r="AS160" s="21">
        <f t="shared" ca="1" si="7"/>
        <v>0</v>
      </c>
      <c r="AT160" s="21">
        <f t="shared" ca="1" si="7"/>
        <v>0</v>
      </c>
      <c r="AU160" s="21">
        <f t="shared" ca="1" si="7"/>
        <v>0</v>
      </c>
      <c r="AV160" s="21">
        <f t="shared" ca="1" si="7"/>
        <v>0</v>
      </c>
      <c r="AW160" s="21">
        <f t="shared" ca="1" si="7"/>
        <v>0</v>
      </c>
      <c r="AX160" s="21">
        <f t="shared" ca="1" si="7"/>
        <v>0</v>
      </c>
      <c r="AY160" s="21">
        <f t="shared" ca="1" si="7"/>
        <v>0</v>
      </c>
      <c r="AZ160" s="21">
        <f t="shared" ca="1" si="7"/>
        <v>0</v>
      </c>
      <c r="BA160" s="21">
        <f t="shared" ca="1" si="7"/>
        <v>0</v>
      </c>
      <c r="BB160" s="21">
        <f t="shared" ca="1" si="7"/>
        <v>0</v>
      </c>
      <c r="BC160" s="21">
        <f t="shared" ca="1" si="7"/>
        <v>0</v>
      </c>
      <c r="BD160" s="21">
        <f t="shared" ca="1" si="7"/>
        <v>0</v>
      </c>
      <c r="BE160" s="108"/>
      <c r="BF160" s="49">
        <f t="shared" ca="1" si="7"/>
        <v>0</v>
      </c>
      <c r="BG160" s="49">
        <f t="shared" ca="1" si="7"/>
        <v>0</v>
      </c>
      <c r="BH160" s="49">
        <f t="shared" ca="1" si="7"/>
        <v>0</v>
      </c>
      <c r="BI160" s="219">
        <f t="shared" ref="BI160:BI230" ca="1" si="9">SUM(T160,AO160,BD160,BH160)</f>
        <v>0</v>
      </c>
      <c r="BJ160" s="108"/>
    </row>
    <row r="161" spans="1:62" s="54" customFormat="1">
      <c r="A161" s="133"/>
      <c r="B161" s="176" t="s">
        <v>1376</v>
      </c>
      <c r="C161" s="114" t="str">
        <f>INDEX(Regional.Technologies[Description],MATCH($B$3&amp;"."&amp;B161,Regional.Technologies[Code],0))</f>
        <v>Global Electricity use in the Oxygen steel technology</v>
      </c>
      <c r="E161" s="121">
        <f t="array" aca="1" ref="E161" ca="1">IFERROR(INDEX(INDIRECT($B$3&amp;"."&amp;$B$158&amp;".energy["&amp;This.year&amp;"]"),MATCH($C161&amp;E$5,INDIRECT($B$3&amp;"."&amp;$B$158&amp;".energy[Tech description]")&amp;INDIRECT($B$3&amp;"."&amp;$B$158&amp;".energy[Energy description]"),0)),0)</f>
        <v>0</v>
      </c>
      <c r="F161" s="121">
        <f t="array" aca="1" ref="F161" ca="1">IFERROR(INDEX(INDIRECT($B$3&amp;"."&amp;$B$158&amp;".energy["&amp;This.year&amp;"]"),MATCH($C161&amp;F$5,INDIRECT($B$3&amp;"."&amp;$B$158&amp;".energy[Tech description]")&amp;INDIRECT($B$3&amp;"."&amp;$B$158&amp;".energy[Energy description]"),0)),0)</f>
        <v>0</v>
      </c>
      <c r="G161" s="121">
        <f t="array" aca="1" ref="G161" ca="1">IFERROR(INDEX(INDIRECT($B$3&amp;"."&amp;$B$158&amp;".energy["&amp;This.year&amp;"]"),MATCH($C161&amp;G$5,INDIRECT($B$3&amp;"."&amp;$B$158&amp;".energy[Tech description]")&amp;INDIRECT($B$3&amp;"."&amp;$B$158&amp;".energy[Energy description]"),0)),0)</f>
        <v>0</v>
      </c>
      <c r="H161" s="121">
        <f t="array" aca="1" ref="H161" ca="1">IFERROR(INDEX(INDIRECT($B$3&amp;"."&amp;$B$158&amp;".energy["&amp;This.year&amp;"]"),MATCH($C161&amp;H$5,INDIRECT($B$3&amp;"."&amp;$B$158&amp;".energy[Tech description]")&amp;INDIRECT($B$3&amp;"."&amp;$B$158&amp;".energy[Energy description]"),0)),0)</f>
        <v>0</v>
      </c>
      <c r="I161" s="121">
        <f t="array" aca="1" ref="I161" ca="1">IFERROR(INDEX(INDIRECT($B$3&amp;"."&amp;$B$158&amp;".energy["&amp;This.year&amp;"]"),MATCH($C161&amp;I$5,INDIRECT($B$3&amp;"."&amp;$B$158&amp;".energy[Tech description]")&amp;INDIRECT($B$3&amp;"."&amp;$B$158&amp;".energy[Energy description]"),0)),0)</f>
        <v>0</v>
      </c>
      <c r="J161" s="121">
        <f t="array" aca="1" ref="J161" ca="1">IFERROR(INDEX(INDIRECT($B$3&amp;"."&amp;$B$158&amp;".energy["&amp;This.year&amp;"]"),MATCH($C161&amp;J$5,INDIRECT($B$3&amp;"."&amp;$B$158&amp;".energy[Tech description]")&amp;INDIRECT($B$3&amp;"."&amp;$B$158&amp;".energy[Energy description]"),0)),0)</f>
        <v>2.3089557437005142</v>
      </c>
      <c r="K161" s="121">
        <f t="array" aca="1" ref="K161" ca="1">IFERROR(INDEX(INDIRECT($B$3&amp;"."&amp;$B$158&amp;".energy["&amp;This.year&amp;"]"),MATCH($C161&amp;K$5,INDIRECT($B$3&amp;"."&amp;$B$158&amp;".energy[Tech description]")&amp;INDIRECT($B$3&amp;"."&amp;$B$158&amp;".energy[Energy description]"),0)),0)</f>
        <v>0</v>
      </c>
      <c r="L161" s="121">
        <f t="array" aca="1" ref="L161" ca="1">IFERROR(INDEX(INDIRECT($B$3&amp;"."&amp;$B$158&amp;".energy["&amp;This.year&amp;"]"),MATCH($C161&amp;L$5,INDIRECT($B$3&amp;"."&amp;$B$158&amp;".energy[Tech description]")&amp;INDIRECT($B$3&amp;"."&amp;$B$158&amp;".energy[Energy description]"),0)),0)</f>
        <v>0</v>
      </c>
      <c r="M161" s="121">
        <f t="array" aca="1" ref="M161" ca="1">IFERROR(INDEX(INDIRECT($B$3&amp;"."&amp;$B$158&amp;".energy["&amp;This.year&amp;"]"),MATCH($C161&amp;M$5,INDIRECT($B$3&amp;"."&amp;$B$158&amp;".energy[Tech description]")&amp;INDIRECT($B$3&amp;"."&amp;$B$158&amp;".energy[Energy description]"),0)),0)</f>
        <v>0</v>
      </c>
      <c r="N161" s="121">
        <f t="array" aca="1" ref="N161" ca="1">IFERROR(INDEX(INDIRECT($B$3&amp;"."&amp;$B$158&amp;".energy["&amp;This.year&amp;"]"),MATCH($C161&amp;N$5,INDIRECT($B$3&amp;"."&amp;$B$158&amp;".energy[Tech description]")&amp;INDIRECT($B$3&amp;"."&amp;$B$158&amp;".energy[Energy description]"),0)),0)</f>
        <v>0</v>
      </c>
      <c r="O161" s="121">
        <f t="array" aca="1" ref="O161" ca="1">IFERROR(INDEX(INDIRECT($B$3&amp;"."&amp;$B$158&amp;".energy["&amp;This.year&amp;"]"),MATCH($C161&amp;O$5,INDIRECT($B$3&amp;"."&amp;$B$158&amp;".energy[Tech description]")&amp;INDIRECT($B$3&amp;"."&amp;$B$158&amp;".energy[Energy description]"),0)),0)</f>
        <v>0</v>
      </c>
      <c r="P161" s="121">
        <f t="array" aca="1" ref="P161" ca="1">IFERROR(INDEX(INDIRECT($B$3&amp;"."&amp;$B$158&amp;".energy["&amp;This.year&amp;"]"),MATCH($C161&amp;P$5,INDIRECT($B$3&amp;"."&amp;$B$158&amp;".energy[Tech description]")&amp;INDIRECT($B$3&amp;"."&amp;$B$158&amp;".energy[Energy description]"),0)),0)</f>
        <v>0</v>
      </c>
      <c r="Q161" s="121">
        <f t="array" aca="1" ref="Q161" ca="1">IFERROR(INDEX(INDIRECT($B$3&amp;"."&amp;$B$158&amp;".energy["&amp;This.year&amp;"]"),MATCH($C161&amp;Q$5,INDIRECT($B$3&amp;"."&amp;$B$158&amp;".energy[Tech description]")&amp;INDIRECT($B$3&amp;"."&amp;$B$158&amp;".energy[Energy description]"),0)),0)</f>
        <v>0</v>
      </c>
      <c r="R161" s="121">
        <f t="array" aca="1" ref="R161" ca="1">IFERROR(INDEX(INDIRECT($B$3&amp;"."&amp;$B$158&amp;".energy["&amp;This.year&amp;"]"),MATCH($C161&amp;R$5,INDIRECT($B$3&amp;"."&amp;$B$158&amp;".energy[Tech description]")&amp;INDIRECT($B$3&amp;"."&amp;$B$158&amp;".energy[Energy description]"),0)),0)</f>
        <v>0</v>
      </c>
      <c r="S161" s="121">
        <f t="array" aca="1" ref="S161" ca="1">IFERROR(INDEX(INDIRECT($B$3&amp;"."&amp;$B$158&amp;".energy["&amp;This.year&amp;"]"),MATCH($C161&amp;S$5,INDIRECT($B$3&amp;"."&amp;$B$158&amp;".energy[Tech description]")&amp;INDIRECT($B$3&amp;"."&amp;$B$158&amp;".energy[Energy description]"),0)),0)</f>
        <v>0</v>
      </c>
      <c r="T161" s="121">
        <f t="shared" ref="T161:T178" ca="1" si="10">SUM(E161:S161)</f>
        <v>2.3089557437005142</v>
      </c>
      <c r="U161" s="109"/>
      <c r="V161" s="152">
        <f t="array" aca="1" ref="V161" ca="1">IFERROR(INDEX(INDIRECT($B$3&amp;"."&amp;$B$158&amp;".energy["&amp;This.year&amp;"]"),MATCH($C161&amp;V$5,INDIRECT($B$3&amp;"."&amp;$B$158&amp;".energy[Tech description]")&amp;INDIRECT($B$3&amp;"."&amp;$B$158&amp;".energy[Energy description]"),0)),0)</f>
        <v>-2.3089557437005142</v>
      </c>
      <c r="W161" s="152">
        <f t="array" aca="1" ref="W161" ca="1">IFERROR(INDEX(INDIRECT($B$3&amp;"."&amp;$B$158&amp;".energy["&amp;This.year&amp;"]"),MATCH($C161&amp;W$5,INDIRECT($B$3&amp;"."&amp;$B$158&amp;".energy[Tech description]")&amp;INDIRECT($B$3&amp;"."&amp;$B$158&amp;".energy[Energy description]"),0)),0)</f>
        <v>0</v>
      </c>
      <c r="X161" s="152">
        <f t="array" aca="1" ref="X161" ca="1">IFERROR(INDEX(INDIRECT($B$3&amp;"."&amp;$B$158&amp;".energy["&amp;This.year&amp;"]"),MATCH($C161&amp;X$5,INDIRECT($B$3&amp;"."&amp;$B$158&amp;".energy[Tech description]")&amp;INDIRECT($B$3&amp;"."&amp;$B$158&amp;".energy[Energy description]"),0)),0)</f>
        <v>0</v>
      </c>
      <c r="Y161" s="152">
        <f t="array" aca="1" ref="Y161" ca="1">IFERROR(INDEX(INDIRECT($B$3&amp;"."&amp;$B$158&amp;".energy["&amp;This.year&amp;"]"),MATCH($C161&amp;Y$5,INDIRECT($B$3&amp;"."&amp;$B$158&amp;".energy[Tech description]")&amp;INDIRECT($B$3&amp;"."&amp;$B$158&amp;".energy[Energy description]"),0)),0)</f>
        <v>0</v>
      </c>
      <c r="Z161" s="152">
        <f t="array" aca="1" ref="Z161" ca="1">IFERROR(INDEX(INDIRECT($B$3&amp;"."&amp;$B$158&amp;".energy["&amp;This.year&amp;"]"),MATCH($C161&amp;Z$5,INDIRECT($B$3&amp;"."&amp;$B$158&amp;".energy[Tech description]")&amp;INDIRECT($B$3&amp;"."&amp;$B$158&amp;".energy[Energy description]"),0)),0)</f>
        <v>0</v>
      </c>
      <c r="AA161" s="152">
        <f t="array" aca="1" ref="AA161" ca="1">IFERROR(INDEX(INDIRECT($B$3&amp;"."&amp;$B$158&amp;".energy["&amp;This.year&amp;"]"),MATCH($C161&amp;AA$5,INDIRECT($B$3&amp;"."&amp;$B$158&amp;".energy[Tech description]")&amp;INDIRECT($B$3&amp;"."&amp;$B$158&amp;".energy[Energy description]"),0)),0)</f>
        <v>0</v>
      </c>
      <c r="AB161" s="152">
        <f t="array" aca="1" ref="AB161" ca="1">IFERROR(INDEX(INDIRECT($B$3&amp;"."&amp;$B$158&amp;".energy["&amp;This.year&amp;"]"),MATCH($C161&amp;AB$5,INDIRECT($B$3&amp;"."&amp;$B$158&amp;".energy[Tech description]")&amp;INDIRECT($B$3&amp;"."&amp;$B$158&amp;".energy[Energy description]"),0)),0)</f>
        <v>0</v>
      </c>
      <c r="AC161" s="152">
        <f t="array" aca="1" ref="AC161" ca="1">IFERROR(INDEX(INDIRECT($B$3&amp;"."&amp;$B$158&amp;".energy["&amp;This.year&amp;"]"),MATCH($C161&amp;AC$5,INDIRECT($B$3&amp;"."&amp;$B$158&amp;".energy[Tech description]")&amp;INDIRECT($B$3&amp;"."&amp;$B$158&amp;".energy[Energy description]"),0)),0)</f>
        <v>0</v>
      </c>
      <c r="AD161" s="152">
        <f t="array" aca="1" ref="AD161" ca="1">IFERROR(INDEX(INDIRECT($B$3&amp;"."&amp;$B$158&amp;".energy["&amp;This.year&amp;"]"),MATCH($C161&amp;AD$5,INDIRECT($B$3&amp;"."&amp;$B$158&amp;".energy[Tech description]")&amp;INDIRECT($B$3&amp;"."&amp;$B$158&amp;".energy[Energy description]"),0)),0)</f>
        <v>0</v>
      </c>
      <c r="AE161" s="152">
        <f t="array" aca="1" ref="AE161" ca="1">IFERROR(INDEX(INDIRECT($B$3&amp;"."&amp;$B$158&amp;".energy["&amp;This.year&amp;"]"),MATCH($C161&amp;AE$5,INDIRECT($B$3&amp;"."&amp;$B$158&amp;".energy[Tech description]")&amp;INDIRECT($B$3&amp;"."&amp;$B$158&amp;".energy[Energy description]"),0)),0)</f>
        <v>0</v>
      </c>
      <c r="AF161" s="152">
        <f t="array" aca="1" ref="AF161" ca="1">IFERROR(INDEX(INDIRECT($B$3&amp;"."&amp;$B$158&amp;".energy["&amp;This.year&amp;"]"),MATCH($C161&amp;AF$5,INDIRECT($B$3&amp;"."&amp;$B$158&amp;".energy[Tech description]")&amp;INDIRECT($B$3&amp;"."&amp;$B$158&amp;".energy[Energy description]"),0)),0)</f>
        <v>0</v>
      </c>
      <c r="AG161" s="152">
        <f t="array" aca="1" ref="AG161" ca="1">IFERROR(INDEX(INDIRECT($B$3&amp;"."&amp;$B$158&amp;".energy["&amp;This.year&amp;"]"),MATCH($C161&amp;AG$5,INDIRECT($B$3&amp;"."&amp;$B$158&amp;".energy[Tech description]")&amp;INDIRECT($B$3&amp;"."&amp;$B$158&amp;".energy[Energy description]"),0)),0)</f>
        <v>0</v>
      </c>
      <c r="AH161" s="152">
        <f t="array" aca="1" ref="AH161" ca="1">IFERROR(INDEX(INDIRECT($B$3&amp;"."&amp;$B$158&amp;".energy["&amp;This.year&amp;"]"),MATCH($C161&amp;AH$5,INDIRECT($B$3&amp;"."&amp;$B$158&amp;".energy[Tech description]")&amp;INDIRECT($B$3&amp;"."&amp;$B$158&amp;".energy[Energy description]"),0)),0)</f>
        <v>0</v>
      </c>
      <c r="AI161" s="152">
        <f t="array" aca="1" ref="AI161" ca="1">IFERROR(INDEX(INDIRECT($B$3&amp;"."&amp;$B$158&amp;".energy["&amp;This.year&amp;"]"),MATCH($C161&amp;AI$5,INDIRECT($B$3&amp;"."&amp;$B$158&amp;".energy[Tech description]")&amp;INDIRECT($B$3&amp;"."&amp;$B$158&amp;".energy[Energy description]"),0)),0)</f>
        <v>0</v>
      </c>
      <c r="AJ161" s="152">
        <f t="array" aca="1" ref="AJ161" ca="1">IFERROR(INDEX(INDIRECT($B$3&amp;"."&amp;$B$158&amp;".energy["&amp;This.year&amp;"]"),MATCH($C161&amp;AJ$5,INDIRECT($B$3&amp;"."&amp;$B$158&amp;".energy[Tech description]")&amp;INDIRECT($B$3&amp;"."&amp;$B$158&amp;".energy[Energy description]"),0)),0)</f>
        <v>0</v>
      </c>
      <c r="AK161" s="152">
        <f t="array" aca="1" ref="AK161" ca="1">IFERROR(INDEX(INDIRECT($B$3&amp;"."&amp;$B$158&amp;".energy["&amp;This.year&amp;"]"),MATCH($C161&amp;AK$5,INDIRECT($B$3&amp;"."&amp;$B$158&amp;".energy[Tech description]")&amp;INDIRECT($B$3&amp;"."&amp;$B$158&amp;".energy[Energy description]"),0)),0)</f>
        <v>0</v>
      </c>
      <c r="AL161" s="152">
        <f t="array" aca="1" ref="AL161" ca="1">IFERROR(INDEX(INDIRECT($B$3&amp;"."&amp;$B$158&amp;".energy["&amp;This.year&amp;"]"),MATCH($C161&amp;AL$5,INDIRECT($B$3&amp;"."&amp;$B$158&amp;".energy[Tech description]")&amp;INDIRECT($B$3&amp;"."&amp;$B$158&amp;".energy[Energy description]"),0)),0)</f>
        <v>0</v>
      </c>
      <c r="AM161" s="152">
        <f t="array" aca="1" ref="AM161" ca="1">IFERROR(INDEX(INDIRECT($B$3&amp;"."&amp;$B$158&amp;".energy["&amp;This.year&amp;"]"),MATCH($C161&amp;AM$5,INDIRECT($B$3&amp;"."&amp;$B$158&amp;".energy[Tech description]")&amp;INDIRECT($B$3&amp;"."&amp;$B$158&amp;".energy[Energy description]"),0)),0)</f>
        <v>0</v>
      </c>
      <c r="AN161" s="152">
        <f t="array" aca="1" ref="AN161" ca="1">IFERROR(INDEX(INDIRECT($B$3&amp;"."&amp;$B$158&amp;".energy["&amp;This.year&amp;"]"),MATCH($C161&amp;AN$5,INDIRECT($B$3&amp;"."&amp;$B$158&amp;".energy[Tech description]")&amp;INDIRECT($B$3&amp;"."&amp;$B$158&amp;".energy[Energy description]"),0)),0)</f>
        <v>0</v>
      </c>
      <c r="AO161" s="152">
        <f t="shared" ref="AO161:AO178" ca="1" si="11">SUM(V161:AN161)</f>
        <v>-2.3089557437005142</v>
      </c>
      <c r="AP161" s="108"/>
      <c r="AQ161" s="21">
        <f t="array" aca="1" ref="AQ161" ca="1">IFERROR(INDEX(INDIRECT($B$3&amp;"."&amp;$B$158&amp;".energy["&amp;This.year&amp;"]"),MATCH($C161&amp;AQ$5,INDIRECT($B$3&amp;"."&amp;$B$158&amp;".energy[Tech description]")&amp;INDIRECT($B$3&amp;"."&amp;$B$158&amp;".energy[Energy description]"),0)),0)</f>
        <v>0</v>
      </c>
      <c r="AR161" s="21">
        <f t="array" aca="1" ref="AR161" ca="1">IFERROR(INDEX(INDIRECT($B$3&amp;"."&amp;$B$158&amp;".energy["&amp;This.year&amp;"]"),MATCH($C161&amp;AR$5,INDIRECT($B$3&amp;"."&amp;$B$158&amp;".energy[Tech description]")&amp;INDIRECT($B$3&amp;"."&amp;$B$158&amp;".energy[Energy description]"),0)),0)</f>
        <v>0</v>
      </c>
      <c r="AS161" s="21">
        <f t="array" aca="1" ref="AS161" ca="1">IFERROR(INDEX(INDIRECT($B$3&amp;"."&amp;$B$158&amp;".energy["&amp;This.year&amp;"]"),MATCH($C161&amp;AS$5,INDIRECT($B$3&amp;"."&amp;$B$158&amp;".energy[Tech description]")&amp;INDIRECT($B$3&amp;"."&amp;$B$158&amp;".energy[Energy description]"),0)),0)</f>
        <v>0</v>
      </c>
      <c r="AT161" s="21">
        <f t="array" aca="1" ref="AT161" ca="1">IFERROR(INDEX(INDIRECT($B$3&amp;"."&amp;$B$158&amp;".energy["&amp;This.year&amp;"]"),MATCH($C161&amp;AT$5,INDIRECT($B$3&amp;"."&amp;$B$158&amp;".energy[Tech description]")&amp;INDIRECT($B$3&amp;"."&amp;$B$158&amp;".energy[Energy description]"),0)),0)</f>
        <v>0</v>
      </c>
      <c r="AU161" s="21">
        <f t="array" aca="1" ref="AU161" ca="1">IFERROR(INDEX(INDIRECT($B$3&amp;"."&amp;$B$158&amp;".energy["&amp;This.year&amp;"]"),MATCH($C161&amp;AU$5,INDIRECT($B$3&amp;"."&amp;$B$158&amp;".energy[Tech description]")&amp;INDIRECT($B$3&amp;"."&amp;$B$158&amp;".energy[Energy description]"),0)),0)</f>
        <v>0</v>
      </c>
      <c r="AV161" s="21">
        <f t="array" aca="1" ref="AV161" ca="1">IFERROR(INDEX(INDIRECT($B$3&amp;"."&amp;$B$158&amp;".energy["&amp;This.year&amp;"]"),MATCH($C161&amp;AV$5,INDIRECT($B$3&amp;"."&amp;$B$158&amp;".energy[Tech description]")&amp;INDIRECT($B$3&amp;"."&amp;$B$158&amp;".energy[Energy description]"),0)),0)</f>
        <v>0</v>
      </c>
      <c r="AW161" s="21">
        <f t="array" aca="1" ref="AW161" ca="1">IFERROR(INDEX(INDIRECT($B$3&amp;"."&amp;$B$158&amp;".energy["&amp;This.year&amp;"]"),MATCH($C161&amp;AW$5,INDIRECT($B$3&amp;"."&amp;$B$158&amp;".energy[Tech description]")&amp;INDIRECT($B$3&amp;"."&amp;$B$158&amp;".energy[Energy description]"),0)),0)</f>
        <v>0</v>
      </c>
      <c r="AX161" s="21">
        <f t="array" aca="1" ref="AX161" ca="1">IFERROR(INDEX(INDIRECT($B$3&amp;"."&amp;$B$158&amp;".energy["&amp;This.year&amp;"]"),MATCH($C161&amp;AX$5,INDIRECT($B$3&amp;"."&amp;$B$158&amp;".energy[Tech description]")&amp;INDIRECT($B$3&amp;"."&amp;$B$158&amp;".energy[Energy description]"),0)),0)</f>
        <v>0</v>
      </c>
      <c r="AY161" s="21">
        <f t="array" aca="1" ref="AY161" ca="1">IFERROR(INDEX(INDIRECT($B$3&amp;"."&amp;$B$158&amp;".energy["&amp;This.year&amp;"]"),MATCH($C161&amp;AY$5,INDIRECT($B$3&amp;"."&amp;$B$158&amp;".energy[Tech description]")&amp;INDIRECT($B$3&amp;"."&amp;$B$158&amp;".energy[Energy description]"),0)),0)</f>
        <v>0</v>
      </c>
      <c r="AZ161" s="21">
        <f t="array" aca="1" ref="AZ161" ca="1">IFERROR(INDEX(INDIRECT($B$3&amp;"."&amp;$B$158&amp;".energy["&amp;This.year&amp;"]"),MATCH($C161&amp;AZ$5,INDIRECT($B$3&amp;"."&amp;$B$158&amp;".energy[Tech description]")&amp;INDIRECT($B$3&amp;"."&amp;$B$158&amp;".energy[Energy description]"),0)),0)</f>
        <v>0</v>
      </c>
      <c r="BA161" s="21">
        <f t="array" aca="1" ref="BA161" ca="1">IFERROR(INDEX(INDIRECT($B$3&amp;"."&amp;$B$158&amp;".energy["&amp;This.year&amp;"]"),MATCH($C161&amp;BA$5,INDIRECT($B$3&amp;"."&amp;$B$158&amp;".energy[Tech description]")&amp;INDIRECT($B$3&amp;"."&amp;$B$158&amp;".energy[Energy description]"),0)),0)</f>
        <v>0</v>
      </c>
      <c r="BB161" s="21">
        <f t="array" aca="1" ref="BB161" ca="1">IFERROR(INDEX(INDIRECT($B$3&amp;"."&amp;$B$158&amp;".energy["&amp;This.year&amp;"]"),MATCH($C161&amp;BB$5,INDIRECT($B$3&amp;"."&amp;$B$158&amp;".energy[Tech description]")&amp;INDIRECT($B$3&amp;"."&amp;$B$158&amp;".energy[Energy description]"),0)),0)</f>
        <v>0</v>
      </c>
      <c r="BC161" s="21">
        <f t="array" aca="1" ref="BC161" ca="1">IFERROR(INDEX(INDIRECT($B$3&amp;"."&amp;$B$158&amp;".energy["&amp;This.year&amp;"]"),MATCH($C161&amp;BC$5,INDIRECT($B$3&amp;"."&amp;$B$158&amp;".energy[Tech description]")&amp;INDIRECT($B$3&amp;"."&amp;$B$158&amp;".energy[Energy description]"),0)),0)</f>
        <v>0</v>
      </c>
      <c r="BD161" s="21">
        <f t="shared" ref="BD161:BD178" ca="1" si="12">SUM(AQ161:BC161)</f>
        <v>0</v>
      </c>
      <c r="BE161" s="108"/>
      <c r="BF161" s="49">
        <f t="array" aca="1" ref="BF161" ca="1">IFERROR(INDEX(INDIRECT($B$3&amp;"."&amp;$B$158&amp;".energy["&amp;This.year&amp;"]"),MATCH($C161&amp;BF$5,INDIRECT($B$3&amp;"."&amp;$B$158&amp;".energy[Tech description]")&amp;INDIRECT($B$3&amp;"."&amp;$B$158&amp;".energy[Energy description]"),0)),0)</f>
        <v>0</v>
      </c>
      <c r="BG161" s="49">
        <f t="array" aca="1" ref="BG161" ca="1">IFERROR(INDEX(INDIRECT($B$3&amp;"."&amp;$B$158&amp;".energy["&amp;This.year&amp;"]"),MATCH($C161&amp;BG$5,INDIRECT($B$3&amp;"."&amp;$B$158&amp;".energy[Tech description]")&amp;INDIRECT($B$3&amp;"."&amp;$B$158&amp;".energy[Energy description]"),0)),0)</f>
        <v>0</v>
      </c>
      <c r="BH161" s="49">
        <f ca="1">SUM(BF161:BG161)</f>
        <v>0</v>
      </c>
      <c r="BI161" s="219">
        <f t="shared" ca="1" si="9"/>
        <v>0</v>
      </c>
      <c r="BJ161" s="108"/>
    </row>
    <row r="162" spans="1:62" s="54" customFormat="1">
      <c r="A162" s="133"/>
      <c r="B162" s="176" t="s">
        <v>1798</v>
      </c>
      <c r="C162" s="114" t="str">
        <f>INDEX(Regional.Technologies[Description],MATCH($B$3&amp;"."&amp;B162,Regional.Technologies[Code],0))</f>
        <v>Global Coal use in the Oxygen steel technology</v>
      </c>
      <c r="E162" s="121">
        <f t="array" aca="1" ref="E162" ca="1">IFERROR(INDEX(INDIRECT($B$3&amp;"."&amp;$B$158&amp;".energy["&amp;This.year&amp;"]"),MATCH($C162&amp;E$5,INDIRECT($B$3&amp;"."&amp;$B$158&amp;".energy[Tech description]")&amp;INDIRECT($B$3&amp;"."&amp;$B$158&amp;".energy[Energy description]"),0)),0)</f>
        <v>0</v>
      </c>
      <c r="F162" s="121">
        <f t="array" aca="1" ref="F162" ca="1">IFERROR(INDEX(INDIRECT($B$3&amp;"."&amp;$B$158&amp;".energy["&amp;This.year&amp;"]"),MATCH($C162&amp;F$5,INDIRECT($B$3&amp;"."&amp;$B$158&amp;".energy[Tech description]")&amp;INDIRECT($B$3&amp;"."&amp;$B$158&amp;".energy[Energy description]"),0)),0)</f>
        <v>0</v>
      </c>
      <c r="G162" s="121">
        <f t="array" aca="1" ref="G162" ca="1">IFERROR(INDEX(INDIRECT($B$3&amp;"."&amp;$B$158&amp;".energy["&amp;This.year&amp;"]"),MATCH($C162&amp;G$5,INDIRECT($B$3&amp;"."&amp;$B$158&amp;".energy[Tech description]")&amp;INDIRECT($B$3&amp;"."&amp;$B$158&amp;".energy[Energy description]"),0)),0)</f>
        <v>0</v>
      </c>
      <c r="H162" s="121">
        <f t="array" aca="1" ref="H162" ca="1">IFERROR(INDEX(INDIRECT($B$3&amp;"."&amp;$B$158&amp;".energy["&amp;This.year&amp;"]"),MATCH($C162&amp;H$5,INDIRECT($B$3&amp;"."&amp;$B$158&amp;".energy[Tech description]")&amp;INDIRECT($B$3&amp;"."&amp;$B$158&amp;".energy[Energy description]"),0)),0)</f>
        <v>0</v>
      </c>
      <c r="I162" s="121">
        <f t="array" aca="1" ref="I162" ca="1">IFERROR(INDEX(INDIRECT($B$3&amp;"."&amp;$B$158&amp;".energy["&amp;This.year&amp;"]"),MATCH($C162&amp;I$5,INDIRECT($B$3&amp;"."&amp;$B$158&amp;".energy[Tech description]")&amp;INDIRECT($B$3&amp;"."&amp;$B$158&amp;".energy[Energy description]"),0)),0)</f>
        <v>0</v>
      </c>
      <c r="J162" s="121">
        <f t="array" aca="1" ref="J162" ca="1">IFERROR(INDEX(INDIRECT($B$3&amp;"."&amp;$B$158&amp;".energy["&amp;This.year&amp;"]"),MATCH($C162&amp;J$5,INDIRECT($B$3&amp;"."&amp;$B$158&amp;".energy[Tech description]")&amp;INDIRECT($B$3&amp;"."&amp;$B$158&amp;".energy[Energy description]"),0)),0)</f>
        <v>12.811296723305107</v>
      </c>
      <c r="K162" s="121">
        <f t="array" aca="1" ref="K162" ca="1">IFERROR(INDEX(INDIRECT($B$3&amp;"."&amp;$B$158&amp;".energy["&amp;This.year&amp;"]"),MATCH($C162&amp;K$5,INDIRECT($B$3&amp;"."&amp;$B$158&amp;".energy[Tech description]")&amp;INDIRECT($B$3&amp;"."&amp;$B$158&amp;".energy[Energy description]"),0)),0)</f>
        <v>0</v>
      </c>
      <c r="L162" s="121">
        <f t="array" aca="1" ref="L162" ca="1">IFERROR(INDEX(INDIRECT($B$3&amp;"."&amp;$B$158&amp;".energy["&amp;This.year&amp;"]"),MATCH($C162&amp;L$5,INDIRECT($B$3&amp;"."&amp;$B$158&amp;".energy[Tech description]")&amp;INDIRECT($B$3&amp;"."&amp;$B$158&amp;".energy[Energy description]"),0)),0)</f>
        <v>0</v>
      </c>
      <c r="M162" s="121">
        <f t="array" aca="1" ref="M162" ca="1">IFERROR(INDEX(INDIRECT($B$3&amp;"."&amp;$B$158&amp;".energy["&amp;This.year&amp;"]"),MATCH($C162&amp;M$5,INDIRECT($B$3&amp;"."&amp;$B$158&amp;".energy[Tech description]")&amp;INDIRECT($B$3&amp;"."&amp;$B$158&amp;".energy[Energy description]"),0)),0)</f>
        <v>0</v>
      </c>
      <c r="N162" s="121">
        <f t="array" aca="1" ref="N162" ca="1">IFERROR(INDEX(INDIRECT($B$3&amp;"."&amp;$B$158&amp;".energy["&amp;This.year&amp;"]"),MATCH($C162&amp;N$5,INDIRECT($B$3&amp;"."&amp;$B$158&amp;".energy[Tech description]")&amp;INDIRECT($B$3&amp;"."&amp;$B$158&amp;".energy[Energy description]"),0)),0)</f>
        <v>0</v>
      </c>
      <c r="O162" s="121">
        <f t="array" aca="1" ref="O162" ca="1">IFERROR(INDEX(INDIRECT($B$3&amp;"."&amp;$B$158&amp;".energy["&amp;This.year&amp;"]"),MATCH($C162&amp;O$5,INDIRECT($B$3&amp;"."&amp;$B$158&amp;".energy[Tech description]")&amp;INDIRECT($B$3&amp;"."&amp;$B$158&amp;".energy[Energy description]"),0)),0)</f>
        <v>0</v>
      </c>
      <c r="P162" s="121">
        <f t="array" aca="1" ref="P162" ca="1">IFERROR(INDEX(INDIRECT($B$3&amp;"."&amp;$B$158&amp;".energy["&amp;This.year&amp;"]"),MATCH($C162&amp;P$5,INDIRECT($B$3&amp;"."&amp;$B$158&amp;".energy[Tech description]")&amp;INDIRECT($B$3&amp;"."&amp;$B$158&amp;".energy[Energy description]"),0)),0)</f>
        <v>0</v>
      </c>
      <c r="Q162" s="121">
        <f t="array" aca="1" ref="Q162" ca="1">IFERROR(INDEX(INDIRECT($B$3&amp;"."&amp;$B$158&amp;".energy["&amp;This.year&amp;"]"),MATCH($C162&amp;Q$5,INDIRECT($B$3&amp;"."&amp;$B$158&amp;".energy[Tech description]")&amp;INDIRECT($B$3&amp;"."&amp;$B$158&amp;".energy[Energy description]"),0)),0)</f>
        <v>0</v>
      </c>
      <c r="R162" s="121">
        <f t="array" aca="1" ref="R162" ca="1">IFERROR(INDEX(INDIRECT($B$3&amp;"."&amp;$B$158&amp;".energy["&amp;This.year&amp;"]"),MATCH($C162&amp;R$5,INDIRECT($B$3&amp;"."&amp;$B$158&amp;".energy[Tech description]")&amp;INDIRECT($B$3&amp;"."&amp;$B$158&amp;".energy[Energy description]"),0)),0)</f>
        <v>0</v>
      </c>
      <c r="S162" s="121">
        <f t="array" aca="1" ref="S162" ca="1">IFERROR(INDEX(INDIRECT($B$3&amp;"."&amp;$B$158&amp;".energy["&amp;This.year&amp;"]"),MATCH($C162&amp;S$5,INDIRECT($B$3&amp;"."&amp;$B$158&amp;".energy[Tech description]")&amp;INDIRECT($B$3&amp;"."&amp;$B$158&amp;".energy[Energy description]"),0)),0)</f>
        <v>0</v>
      </c>
      <c r="T162" s="121">
        <f t="shared" ca="1" si="10"/>
        <v>12.811296723305107</v>
      </c>
      <c r="U162" s="109"/>
      <c r="V162" s="152">
        <f t="array" aca="1" ref="V162" ca="1">IFERROR(INDEX(INDIRECT($B$3&amp;"."&amp;$B$158&amp;".energy["&amp;This.year&amp;"]"),MATCH($C162&amp;V$5,INDIRECT($B$3&amp;"."&amp;$B$158&amp;".energy[Tech description]")&amp;INDIRECT($B$3&amp;"."&amp;$B$158&amp;".energy[Energy description]"),0)),0)</f>
        <v>0</v>
      </c>
      <c r="W162" s="152">
        <f t="array" aca="1" ref="W162" ca="1">IFERROR(INDEX(INDIRECT($B$3&amp;"."&amp;$B$158&amp;".energy["&amp;This.year&amp;"]"),MATCH($C162&amp;W$5,INDIRECT($B$3&amp;"."&amp;$B$158&amp;".energy[Tech description]")&amp;INDIRECT($B$3&amp;"."&amp;$B$158&amp;".energy[Energy description]"),0)),0)</f>
        <v>0</v>
      </c>
      <c r="X162" s="152">
        <f t="array" aca="1" ref="X162" ca="1">IFERROR(INDEX(INDIRECT($B$3&amp;"."&amp;$B$158&amp;".energy["&amp;This.year&amp;"]"),MATCH($C162&amp;X$5,INDIRECT($B$3&amp;"."&amp;$B$158&amp;".energy[Tech description]")&amp;INDIRECT($B$3&amp;"."&amp;$B$158&amp;".energy[Energy description]"),0)),0)</f>
        <v>0</v>
      </c>
      <c r="Y162" s="152">
        <f t="array" aca="1" ref="Y162" ca="1">IFERROR(INDEX(INDIRECT($B$3&amp;"."&amp;$B$158&amp;".energy["&amp;This.year&amp;"]"),MATCH($C162&amp;Y$5,INDIRECT($B$3&amp;"."&amp;$B$158&amp;".energy[Tech description]")&amp;INDIRECT($B$3&amp;"."&amp;$B$158&amp;".energy[Energy description]"),0)),0)</f>
        <v>0</v>
      </c>
      <c r="Z162" s="152">
        <f t="array" aca="1" ref="Z162" ca="1">IFERROR(INDEX(INDIRECT($B$3&amp;"."&amp;$B$158&amp;".energy["&amp;This.year&amp;"]"),MATCH($C162&amp;Z$5,INDIRECT($B$3&amp;"."&amp;$B$158&amp;".energy[Tech description]")&amp;INDIRECT($B$3&amp;"."&amp;$B$158&amp;".energy[Energy description]"),0)),0)</f>
        <v>0</v>
      </c>
      <c r="AA162" s="152">
        <f t="array" aca="1" ref="AA162" ca="1">IFERROR(INDEX(INDIRECT($B$3&amp;"."&amp;$B$158&amp;".energy["&amp;This.year&amp;"]"),MATCH($C162&amp;AA$5,INDIRECT($B$3&amp;"."&amp;$B$158&amp;".energy[Tech description]")&amp;INDIRECT($B$3&amp;"."&amp;$B$158&amp;".energy[Energy description]"),0)),0)</f>
        <v>-12.811296723305107</v>
      </c>
      <c r="AB162" s="152">
        <f t="array" aca="1" ref="AB162" ca="1">IFERROR(INDEX(INDIRECT($B$3&amp;"."&amp;$B$158&amp;".energy["&amp;This.year&amp;"]"),MATCH($C162&amp;AB$5,INDIRECT($B$3&amp;"."&amp;$B$158&amp;".energy[Tech description]")&amp;INDIRECT($B$3&amp;"."&amp;$B$158&amp;".energy[Energy description]"),0)),0)</f>
        <v>0</v>
      </c>
      <c r="AC162" s="152">
        <f t="array" aca="1" ref="AC162" ca="1">IFERROR(INDEX(INDIRECT($B$3&amp;"."&amp;$B$158&amp;".energy["&amp;This.year&amp;"]"),MATCH($C162&amp;AC$5,INDIRECT($B$3&amp;"."&amp;$B$158&amp;".energy[Tech description]")&amp;INDIRECT($B$3&amp;"."&amp;$B$158&amp;".energy[Energy description]"),0)),0)</f>
        <v>0</v>
      </c>
      <c r="AD162" s="152">
        <f t="array" aca="1" ref="AD162" ca="1">IFERROR(INDEX(INDIRECT($B$3&amp;"."&amp;$B$158&amp;".energy["&amp;This.year&amp;"]"),MATCH($C162&amp;AD$5,INDIRECT($B$3&amp;"."&amp;$B$158&amp;".energy[Tech description]")&amp;INDIRECT($B$3&amp;"."&amp;$B$158&amp;".energy[Energy description]"),0)),0)</f>
        <v>0</v>
      </c>
      <c r="AE162" s="152">
        <f t="array" aca="1" ref="AE162" ca="1">IFERROR(INDEX(INDIRECT($B$3&amp;"."&amp;$B$158&amp;".energy["&amp;This.year&amp;"]"),MATCH($C162&amp;AE$5,INDIRECT($B$3&amp;"."&amp;$B$158&amp;".energy[Tech description]")&amp;INDIRECT($B$3&amp;"."&amp;$B$158&amp;".energy[Energy description]"),0)),0)</f>
        <v>0</v>
      </c>
      <c r="AF162" s="152">
        <f t="array" aca="1" ref="AF162" ca="1">IFERROR(INDEX(INDIRECT($B$3&amp;"."&amp;$B$158&amp;".energy["&amp;This.year&amp;"]"),MATCH($C162&amp;AF$5,INDIRECT($B$3&amp;"."&amp;$B$158&amp;".energy[Tech description]")&amp;INDIRECT($B$3&amp;"."&amp;$B$158&amp;".energy[Energy description]"),0)),0)</f>
        <v>0</v>
      </c>
      <c r="AG162" s="152">
        <f t="array" aca="1" ref="AG162" ca="1">IFERROR(INDEX(INDIRECT($B$3&amp;"."&amp;$B$158&amp;".energy["&amp;This.year&amp;"]"),MATCH($C162&amp;AG$5,INDIRECT($B$3&amp;"."&amp;$B$158&amp;".energy[Tech description]")&amp;INDIRECT($B$3&amp;"."&amp;$B$158&amp;".energy[Energy description]"),0)),0)</f>
        <v>0</v>
      </c>
      <c r="AH162" s="152">
        <f t="array" aca="1" ref="AH162" ca="1">IFERROR(INDEX(INDIRECT($B$3&amp;"."&amp;$B$158&amp;".energy["&amp;This.year&amp;"]"),MATCH($C162&amp;AH$5,INDIRECT($B$3&amp;"."&amp;$B$158&amp;".energy[Tech description]")&amp;INDIRECT($B$3&amp;"."&amp;$B$158&amp;".energy[Energy description]"),0)),0)</f>
        <v>0</v>
      </c>
      <c r="AI162" s="152">
        <f t="array" aca="1" ref="AI162" ca="1">IFERROR(INDEX(INDIRECT($B$3&amp;"."&amp;$B$158&amp;".energy["&amp;This.year&amp;"]"),MATCH($C162&amp;AI$5,INDIRECT($B$3&amp;"."&amp;$B$158&amp;".energy[Tech description]")&amp;INDIRECT($B$3&amp;"."&amp;$B$158&amp;".energy[Energy description]"),0)),0)</f>
        <v>0</v>
      </c>
      <c r="AJ162" s="152">
        <f t="array" aca="1" ref="AJ162" ca="1">IFERROR(INDEX(INDIRECT($B$3&amp;"."&amp;$B$158&amp;".energy["&amp;This.year&amp;"]"),MATCH($C162&amp;AJ$5,INDIRECT($B$3&amp;"."&amp;$B$158&amp;".energy[Tech description]")&amp;INDIRECT($B$3&amp;"."&amp;$B$158&amp;".energy[Energy description]"),0)),0)</f>
        <v>0</v>
      </c>
      <c r="AK162" s="152">
        <f t="array" aca="1" ref="AK162" ca="1">IFERROR(INDEX(INDIRECT($B$3&amp;"."&amp;$B$158&amp;".energy["&amp;This.year&amp;"]"),MATCH($C162&amp;AK$5,INDIRECT($B$3&amp;"."&amp;$B$158&amp;".energy[Tech description]")&amp;INDIRECT($B$3&amp;"."&amp;$B$158&amp;".energy[Energy description]"),0)),0)</f>
        <v>0</v>
      </c>
      <c r="AL162" s="152">
        <f t="array" aca="1" ref="AL162" ca="1">IFERROR(INDEX(INDIRECT($B$3&amp;"."&amp;$B$158&amp;".energy["&amp;This.year&amp;"]"),MATCH($C162&amp;AL$5,INDIRECT($B$3&amp;"."&amp;$B$158&amp;".energy[Tech description]")&amp;INDIRECT($B$3&amp;"."&amp;$B$158&amp;".energy[Energy description]"),0)),0)</f>
        <v>0</v>
      </c>
      <c r="AM162" s="152">
        <f t="array" aca="1" ref="AM162" ca="1">IFERROR(INDEX(INDIRECT($B$3&amp;"."&amp;$B$158&amp;".energy["&amp;This.year&amp;"]"),MATCH($C162&amp;AM$5,INDIRECT($B$3&amp;"."&amp;$B$158&amp;".energy[Tech description]")&amp;INDIRECT($B$3&amp;"."&amp;$B$158&amp;".energy[Energy description]"),0)),0)</f>
        <v>0</v>
      </c>
      <c r="AN162" s="152">
        <f t="array" aca="1" ref="AN162" ca="1">IFERROR(INDEX(INDIRECT($B$3&amp;"."&amp;$B$158&amp;".energy["&amp;This.year&amp;"]"),MATCH($C162&amp;AN$5,INDIRECT($B$3&amp;"."&amp;$B$158&amp;".energy[Tech description]")&amp;INDIRECT($B$3&amp;"."&amp;$B$158&amp;".energy[Energy description]"),0)),0)</f>
        <v>0</v>
      </c>
      <c r="AO162" s="152">
        <f t="shared" ca="1" si="11"/>
        <v>-12.811296723305107</v>
      </c>
      <c r="AP162" s="108"/>
      <c r="AQ162" s="21">
        <f t="array" aca="1" ref="AQ162" ca="1">IFERROR(INDEX(INDIRECT($B$3&amp;"."&amp;$B$158&amp;".energy["&amp;This.year&amp;"]"),MATCH($C162&amp;AQ$5,INDIRECT($B$3&amp;"."&amp;$B$158&amp;".energy[Tech description]")&amp;INDIRECT($B$3&amp;"."&amp;$B$158&amp;".energy[Energy description]"),0)),0)</f>
        <v>0</v>
      </c>
      <c r="AR162" s="21">
        <f t="array" aca="1" ref="AR162" ca="1">IFERROR(INDEX(INDIRECT($B$3&amp;"."&amp;$B$158&amp;".energy["&amp;This.year&amp;"]"),MATCH($C162&amp;AR$5,INDIRECT($B$3&amp;"."&amp;$B$158&amp;".energy[Tech description]")&amp;INDIRECT($B$3&amp;"."&amp;$B$158&amp;".energy[Energy description]"),0)),0)</f>
        <v>0</v>
      </c>
      <c r="AS162" s="21">
        <f t="array" aca="1" ref="AS162" ca="1">IFERROR(INDEX(INDIRECT($B$3&amp;"."&amp;$B$158&amp;".energy["&amp;This.year&amp;"]"),MATCH($C162&amp;AS$5,INDIRECT($B$3&amp;"."&amp;$B$158&amp;".energy[Tech description]")&amp;INDIRECT($B$3&amp;"."&amp;$B$158&amp;".energy[Energy description]"),0)),0)</f>
        <v>0</v>
      </c>
      <c r="AT162" s="21">
        <f t="array" aca="1" ref="AT162" ca="1">IFERROR(INDEX(INDIRECT($B$3&amp;"."&amp;$B$158&amp;".energy["&amp;This.year&amp;"]"),MATCH($C162&amp;AT$5,INDIRECT($B$3&amp;"."&amp;$B$158&amp;".energy[Tech description]")&amp;INDIRECT($B$3&amp;"."&amp;$B$158&amp;".energy[Energy description]"),0)),0)</f>
        <v>0</v>
      </c>
      <c r="AU162" s="21">
        <f t="array" aca="1" ref="AU162" ca="1">IFERROR(INDEX(INDIRECT($B$3&amp;"."&amp;$B$158&amp;".energy["&amp;This.year&amp;"]"),MATCH($C162&amp;AU$5,INDIRECT($B$3&amp;"."&amp;$B$158&amp;".energy[Tech description]")&amp;INDIRECT($B$3&amp;"."&amp;$B$158&amp;".energy[Energy description]"),0)),0)</f>
        <v>0</v>
      </c>
      <c r="AV162" s="21">
        <f t="array" aca="1" ref="AV162" ca="1">IFERROR(INDEX(INDIRECT($B$3&amp;"."&amp;$B$158&amp;".energy["&amp;This.year&amp;"]"),MATCH($C162&amp;AV$5,INDIRECT($B$3&amp;"."&amp;$B$158&amp;".energy[Tech description]")&amp;INDIRECT($B$3&amp;"."&amp;$B$158&amp;".energy[Energy description]"),0)),0)</f>
        <v>0</v>
      </c>
      <c r="AW162" s="21">
        <f t="array" aca="1" ref="AW162" ca="1">IFERROR(INDEX(INDIRECT($B$3&amp;"."&amp;$B$158&amp;".energy["&amp;This.year&amp;"]"),MATCH($C162&amp;AW$5,INDIRECT($B$3&amp;"."&amp;$B$158&amp;".energy[Tech description]")&amp;INDIRECT($B$3&amp;"."&amp;$B$158&amp;".energy[Energy description]"),0)),0)</f>
        <v>0</v>
      </c>
      <c r="AX162" s="21">
        <f t="array" aca="1" ref="AX162" ca="1">IFERROR(INDEX(INDIRECT($B$3&amp;"."&amp;$B$158&amp;".energy["&amp;This.year&amp;"]"),MATCH($C162&amp;AX$5,INDIRECT($B$3&amp;"."&amp;$B$158&amp;".energy[Tech description]")&amp;INDIRECT($B$3&amp;"."&amp;$B$158&amp;".energy[Energy description]"),0)),0)</f>
        <v>0</v>
      </c>
      <c r="AY162" s="21">
        <f t="array" aca="1" ref="AY162" ca="1">IFERROR(INDEX(INDIRECT($B$3&amp;"."&amp;$B$158&amp;".energy["&amp;This.year&amp;"]"),MATCH($C162&amp;AY$5,INDIRECT($B$3&amp;"."&amp;$B$158&amp;".energy[Tech description]")&amp;INDIRECT($B$3&amp;"."&amp;$B$158&amp;".energy[Energy description]"),0)),0)</f>
        <v>0</v>
      </c>
      <c r="AZ162" s="21">
        <f t="array" aca="1" ref="AZ162" ca="1">IFERROR(INDEX(INDIRECT($B$3&amp;"."&amp;$B$158&amp;".energy["&amp;This.year&amp;"]"),MATCH($C162&amp;AZ$5,INDIRECT($B$3&amp;"."&amp;$B$158&amp;".energy[Tech description]")&amp;INDIRECT($B$3&amp;"."&amp;$B$158&amp;".energy[Energy description]"),0)),0)</f>
        <v>0</v>
      </c>
      <c r="BA162" s="21">
        <f t="array" aca="1" ref="BA162" ca="1">IFERROR(INDEX(INDIRECT($B$3&amp;"."&amp;$B$158&amp;".energy["&amp;This.year&amp;"]"),MATCH($C162&amp;BA$5,INDIRECT($B$3&amp;"."&amp;$B$158&amp;".energy[Tech description]")&amp;INDIRECT($B$3&amp;"."&amp;$B$158&amp;".energy[Energy description]"),0)),0)</f>
        <v>0</v>
      </c>
      <c r="BB162" s="21">
        <f t="array" aca="1" ref="BB162" ca="1">IFERROR(INDEX(INDIRECT($B$3&amp;"."&amp;$B$158&amp;".energy["&amp;This.year&amp;"]"),MATCH($C162&amp;BB$5,INDIRECT($B$3&amp;"."&amp;$B$158&amp;".energy[Tech description]")&amp;INDIRECT($B$3&amp;"."&amp;$B$158&amp;".energy[Energy description]"),0)),0)</f>
        <v>0</v>
      </c>
      <c r="BC162" s="21">
        <f t="array" aca="1" ref="BC162" ca="1">IFERROR(INDEX(INDIRECT($B$3&amp;"."&amp;$B$158&amp;".energy["&amp;This.year&amp;"]"),MATCH($C162&amp;BC$5,INDIRECT($B$3&amp;"."&amp;$B$158&amp;".energy[Tech description]")&amp;INDIRECT($B$3&amp;"."&amp;$B$158&amp;".energy[Energy description]"),0)),0)</f>
        <v>0</v>
      </c>
      <c r="BD162" s="21">
        <f t="shared" ca="1" si="12"/>
        <v>0</v>
      </c>
      <c r="BE162" s="108"/>
      <c r="BF162" s="49">
        <f t="array" aca="1" ref="BF162" ca="1">IFERROR(INDEX(INDIRECT($B$3&amp;"."&amp;$B$158&amp;".energy["&amp;This.year&amp;"]"),MATCH($C162&amp;BF$5,INDIRECT($B$3&amp;"."&amp;$B$158&amp;".energy[Tech description]")&amp;INDIRECT($B$3&amp;"."&amp;$B$158&amp;".energy[Energy description]"),0)),0)</f>
        <v>0</v>
      </c>
      <c r="BG162" s="49">
        <f t="array" aca="1" ref="BG162" ca="1">IFERROR(INDEX(INDIRECT($B$3&amp;"."&amp;$B$158&amp;".energy["&amp;This.year&amp;"]"),MATCH($C162&amp;BG$5,INDIRECT($B$3&amp;"."&amp;$B$158&amp;".energy[Tech description]")&amp;INDIRECT($B$3&amp;"."&amp;$B$158&amp;".energy[Energy description]"),0)),0)</f>
        <v>0</v>
      </c>
      <c r="BH162" s="49">
        <f t="shared" ref="BH162:BH178" ca="1" si="13">SUM(BF162:BG162)</f>
        <v>0</v>
      </c>
      <c r="BI162" s="219">
        <f t="shared" ca="1" si="9"/>
        <v>0</v>
      </c>
      <c r="BJ162" s="108"/>
    </row>
    <row r="163" spans="1:62" s="54" customFormat="1">
      <c r="A163" s="133"/>
      <c r="B163" s="176" t="s">
        <v>1799</v>
      </c>
      <c r="C163" s="114" t="str">
        <f>INDEX(Regional.Technologies[Description],MATCH($B$3&amp;"."&amp;B163,Regional.Technologies[Code],0))</f>
        <v>Global Oil use in the Oxygen steel technology</v>
      </c>
      <c r="E163" s="121">
        <f t="array" aca="1" ref="E163" ca="1">IFERROR(INDEX(INDIRECT($B$3&amp;"."&amp;$B$158&amp;".energy["&amp;This.year&amp;"]"),MATCH($C163&amp;E$5,INDIRECT($B$3&amp;"."&amp;$B$158&amp;".energy[Tech description]")&amp;INDIRECT($B$3&amp;"."&amp;$B$158&amp;".energy[Energy description]"),0)),0)</f>
        <v>0</v>
      </c>
      <c r="F163" s="121">
        <f t="array" aca="1" ref="F163" ca="1">IFERROR(INDEX(INDIRECT($B$3&amp;"."&amp;$B$158&amp;".energy["&amp;This.year&amp;"]"),MATCH($C163&amp;F$5,INDIRECT($B$3&amp;"."&amp;$B$158&amp;".energy[Tech description]")&amp;INDIRECT($B$3&amp;"."&amp;$B$158&amp;".energy[Energy description]"),0)),0)</f>
        <v>0</v>
      </c>
      <c r="G163" s="121">
        <f t="array" aca="1" ref="G163" ca="1">IFERROR(INDEX(INDIRECT($B$3&amp;"."&amp;$B$158&amp;".energy["&amp;This.year&amp;"]"),MATCH($C163&amp;G$5,INDIRECT($B$3&amp;"."&amp;$B$158&amp;".energy[Tech description]")&amp;INDIRECT($B$3&amp;"."&amp;$B$158&amp;".energy[Energy description]"),0)),0)</f>
        <v>0</v>
      </c>
      <c r="H163" s="121">
        <f t="array" aca="1" ref="H163" ca="1">IFERROR(INDEX(INDIRECT($B$3&amp;"."&amp;$B$158&amp;".energy["&amp;This.year&amp;"]"),MATCH($C163&amp;H$5,INDIRECT($B$3&amp;"."&amp;$B$158&amp;".energy[Tech description]")&amp;INDIRECT($B$3&amp;"."&amp;$B$158&amp;".energy[Energy description]"),0)),0)</f>
        <v>0</v>
      </c>
      <c r="I163" s="121">
        <f t="array" aca="1" ref="I163" ca="1">IFERROR(INDEX(INDIRECT($B$3&amp;"."&amp;$B$158&amp;".energy["&amp;This.year&amp;"]"),MATCH($C163&amp;I$5,INDIRECT($B$3&amp;"."&amp;$B$158&amp;".energy[Tech description]")&amp;INDIRECT($B$3&amp;"."&amp;$B$158&amp;".energy[Energy description]"),0)),0)</f>
        <v>0</v>
      </c>
      <c r="J163" s="121">
        <f t="array" aca="1" ref="J163" ca="1">IFERROR(INDEX(INDIRECT($B$3&amp;"."&amp;$B$158&amp;".energy["&amp;This.year&amp;"]"),MATCH($C163&amp;J$5,INDIRECT($B$3&amp;"."&amp;$B$158&amp;".energy[Tech description]")&amp;INDIRECT($B$3&amp;"."&amp;$B$158&amp;".energy[Energy description]"),0)),0)</f>
        <v>0.6053795859240001</v>
      </c>
      <c r="K163" s="121">
        <f t="array" aca="1" ref="K163" ca="1">IFERROR(INDEX(INDIRECT($B$3&amp;"."&amp;$B$158&amp;".energy["&amp;This.year&amp;"]"),MATCH($C163&amp;K$5,INDIRECT($B$3&amp;"."&amp;$B$158&amp;".energy[Tech description]")&amp;INDIRECT($B$3&amp;"."&amp;$B$158&amp;".energy[Energy description]"),0)),0)</f>
        <v>0</v>
      </c>
      <c r="L163" s="121">
        <f t="array" aca="1" ref="L163" ca="1">IFERROR(INDEX(INDIRECT($B$3&amp;"."&amp;$B$158&amp;".energy["&amp;This.year&amp;"]"),MATCH($C163&amp;L$5,INDIRECT($B$3&amp;"."&amp;$B$158&amp;".energy[Tech description]")&amp;INDIRECT($B$3&amp;"."&amp;$B$158&amp;".energy[Energy description]"),0)),0)</f>
        <v>0</v>
      </c>
      <c r="M163" s="121">
        <f t="array" aca="1" ref="M163" ca="1">IFERROR(INDEX(INDIRECT($B$3&amp;"."&amp;$B$158&amp;".energy["&amp;This.year&amp;"]"),MATCH($C163&amp;M$5,INDIRECT($B$3&amp;"."&amp;$B$158&amp;".energy[Tech description]")&amp;INDIRECT($B$3&amp;"."&amp;$B$158&amp;".energy[Energy description]"),0)),0)</f>
        <v>0</v>
      </c>
      <c r="N163" s="121">
        <f t="array" aca="1" ref="N163" ca="1">IFERROR(INDEX(INDIRECT($B$3&amp;"."&amp;$B$158&amp;".energy["&amp;This.year&amp;"]"),MATCH($C163&amp;N$5,INDIRECT($B$3&amp;"."&amp;$B$158&amp;".energy[Tech description]")&amp;INDIRECT($B$3&amp;"."&amp;$B$158&amp;".energy[Energy description]"),0)),0)</f>
        <v>0</v>
      </c>
      <c r="O163" s="121">
        <f t="array" aca="1" ref="O163" ca="1">IFERROR(INDEX(INDIRECT($B$3&amp;"."&amp;$B$158&amp;".energy["&amp;This.year&amp;"]"),MATCH($C163&amp;O$5,INDIRECT($B$3&amp;"."&amp;$B$158&amp;".energy[Tech description]")&amp;INDIRECT($B$3&amp;"."&amp;$B$158&amp;".energy[Energy description]"),0)),0)</f>
        <v>0</v>
      </c>
      <c r="P163" s="121">
        <f t="array" aca="1" ref="P163" ca="1">IFERROR(INDEX(INDIRECT($B$3&amp;"."&amp;$B$158&amp;".energy["&amp;This.year&amp;"]"),MATCH($C163&amp;P$5,INDIRECT($B$3&amp;"."&amp;$B$158&amp;".energy[Tech description]")&amp;INDIRECT($B$3&amp;"."&amp;$B$158&amp;".energy[Energy description]"),0)),0)</f>
        <v>0</v>
      </c>
      <c r="Q163" s="121">
        <f t="array" aca="1" ref="Q163" ca="1">IFERROR(INDEX(INDIRECT($B$3&amp;"."&amp;$B$158&amp;".energy["&amp;This.year&amp;"]"),MATCH($C163&amp;Q$5,INDIRECT($B$3&amp;"."&amp;$B$158&amp;".energy[Tech description]")&amp;INDIRECT($B$3&amp;"."&amp;$B$158&amp;".energy[Energy description]"),0)),0)</f>
        <v>0</v>
      </c>
      <c r="R163" s="121">
        <f t="array" aca="1" ref="R163" ca="1">IFERROR(INDEX(INDIRECT($B$3&amp;"."&amp;$B$158&amp;".energy["&amp;This.year&amp;"]"),MATCH($C163&amp;R$5,INDIRECT($B$3&amp;"."&amp;$B$158&amp;".energy[Tech description]")&amp;INDIRECT($B$3&amp;"."&amp;$B$158&amp;".energy[Energy description]"),0)),0)</f>
        <v>0</v>
      </c>
      <c r="S163" s="121">
        <f t="array" aca="1" ref="S163" ca="1">IFERROR(INDEX(INDIRECT($B$3&amp;"."&amp;$B$158&amp;".energy["&amp;This.year&amp;"]"),MATCH($C163&amp;S$5,INDIRECT($B$3&amp;"."&amp;$B$158&amp;".energy[Tech description]")&amp;INDIRECT($B$3&amp;"."&amp;$B$158&amp;".energy[Energy description]"),0)),0)</f>
        <v>0</v>
      </c>
      <c r="T163" s="121">
        <f t="shared" ca="1" si="10"/>
        <v>0.6053795859240001</v>
      </c>
      <c r="U163" s="109"/>
      <c r="V163" s="152">
        <f t="array" aca="1" ref="V163" ca="1">IFERROR(INDEX(INDIRECT($B$3&amp;"."&amp;$B$158&amp;".energy["&amp;This.year&amp;"]"),MATCH($C163&amp;V$5,INDIRECT($B$3&amp;"."&amp;$B$158&amp;".energy[Tech description]")&amp;INDIRECT($B$3&amp;"."&amp;$B$158&amp;".energy[Energy description]"),0)),0)</f>
        <v>0</v>
      </c>
      <c r="W163" s="152">
        <f t="array" aca="1" ref="W163" ca="1">IFERROR(INDEX(INDIRECT($B$3&amp;"."&amp;$B$158&amp;".energy["&amp;This.year&amp;"]"),MATCH($C163&amp;W$5,INDIRECT($B$3&amp;"."&amp;$B$158&amp;".energy[Tech description]")&amp;INDIRECT($B$3&amp;"."&amp;$B$158&amp;".energy[Energy description]"),0)),0)</f>
        <v>0</v>
      </c>
      <c r="X163" s="152">
        <f t="array" aca="1" ref="X163" ca="1">IFERROR(INDEX(INDIRECT($B$3&amp;"."&amp;$B$158&amp;".energy["&amp;This.year&amp;"]"),MATCH($C163&amp;X$5,INDIRECT($B$3&amp;"."&amp;$B$158&amp;".energy[Tech description]")&amp;INDIRECT($B$3&amp;"."&amp;$B$158&amp;".energy[Energy description]"),0)),0)</f>
        <v>0</v>
      </c>
      <c r="Y163" s="152">
        <f t="array" aca="1" ref="Y163" ca="1">IFERROR(INDEX(INDIRECT($B$3&amp;"."&amp;$B$158&amp;".energy["&amp;This.year&amp;"]"),MATCH($C163&amp;Y$5,INDIRECT($B$3&amp;"."&amp;$B$158&amp;".energy[Tech description]")&amp;INDIRECT($B$3&amp;"."&amp;$B$158&amp;".energy[Energy description]"),0)),0)</f>
        <v>0</v>
      </c>
      <c r="Z163" s="152">
        <f t="array" aca="1" ref="Z163" ca="1">IFERROR(INDEX(INDIRECT($B$3&amp;"."&amp;$B$158&amp;".energy["&amp;This.year&amp;"]"),MATCH($C163&amp;Z$5,INDIRECT($B$3&amp;"."&amp;$B$158&amp;".energy[Tech description]")&amp;INDIRECT($B$3&amp;"."&amp;$B$158&amp;".energy[Energy description]"),0)),0)</f>
        <v>0</v>
      </c>
      <c r="AA163" s="152">
        <f t="array" aca="1" ref="AA163" ca="1">IFERROR(INDEX(INDIRECT($B$3&amp;"."&amp;$B$158&amp;".energy["&amp;This.year&amp;"]"),MATCH($C163&amp;AA$5,INDIRECT($B$3&amp;"."&amp;$B$158&amp;".energy[Tech description]")&amp;INDIRECT($B$3&amp;"."&amp;$B$158&amp;".energy[Energy description]"),0)),0)</f>
        <v>0</v>
      </c>
      <c r="AB163" s="152">
        <f t="array" aca="1" ref="AB163" ca="1">IFERROR(INDEX(INDIRECT($B$3&amp;"."&amp;$B$158&amp;".energy["&amp;This.year&amp;"]"),MATCH($C163&amp;AB$5,INDIRECT($B$3&amp;"."&amp;$B$158&amp;".energy[Tech description]")&amp;INDIRECT($B$3&amp;"."&amp;$B$158&amp;".energy[Energy description]"),0)),0)</f>
        <v>-0.6053795859240001</v>
      </c>
      <c r="AC163" s="152">
        <f t="array" aca="1" ref="AC163" ca="1">IFERROR(INDEX(INDIRECT($B$3&amp;"."&amp;$B$158&amp;".energy["&amp;This.year&amp;"]"),MATCH($C163&amp;AC$5,INDIRECT($B$3&amp;"."&amp;$B$158&amp;".energy[Tech description]")&amp;INDIRECT($B$3&amp;"."&amp;$B$158&amp;".energy[Energy description]"),0)),0)</f>
        <v>0</v>
      </c>
      <c r="AD163" s="152">
        <f t="array" aca="1" ref="AD163" ca="1">IFERROR(INDEX(INDIRECT($B$3&amp;"."&amp;$B$158&amp;".energy["&amp;This.year&amp;"]"),MATCH($C163&amp;AD$5,INDIRECT($B$3&amp;"."&amp;$B$158&amp;".energy[Tech description]")&amp;INDIRECT($B$3&amp;"."&amp;$B$158&amp;".energy[Energy description]"),0)),0)</f>
        <v>0</v>
      </c>
      <c r="AE163" s="152">
        <f t="array" aca="1" ref="AE163" ca="1">IFERROR(INDEX(INDIRECT($B$3&amp;"."&amp;$B$158&amp;".energy["&amp;This.year&amp;"]"),MATCH($C163&amp;AE$5,INDIRECT($B$3&amp;"."&amp;$B$158&amp;".energy[Tech description]")&amp;INDIRECT($B$3&amp;"."&amp;$B$158&amp;".energy[Energy description]"),0)),0)</f>
        <v>0</v>
      </c>
      <c r="AF163" s="152">
        <f t="array" aca="1" ref="AF163" ca="1">IFERROR(INDEX(INDIRECT($B$3&amp;"."&amp;$B$158&amp;".energy["&amp;This.year&amp;"]"),MATCH($C163&amp;AF$5,INDIRECT($B$3&amp;"."&amp;$B$158&amp;".energy[Tech description]")&amp;INDIRECT($B$3&amp;"."&amp;$B$158&amp;".energy[Energy description]"),0)),0)</f>
        <v>0</v>
      </c>
      <c r="AG163" s="152">
        <f t="array" aca="1" ref="AG163" ca="1">IFERROR(INDEX(INDIRECT($B$3&amp;"."&amp;$B$158&amp;".energy["&amp;This.year&amp;"]"),MATCH($C163&amp;AG$5,INDIRECT($B$3&amp;"."&amp;$B$158&amp;".energy[Tech description]")&amp;INDIRECT($B$3&amp;"."&amp;$B$158&amp;".energy[Energy description]"),0)),0)</f>
        <v>0</v>
      </c>
      <c r="AH163" s="152">
        <f t="array" aca="1" ref="AH163" ca="1">IFERROR(INDEX(INDIRECT($B$3&amp;"."&amp;$B$158&amp;".energy["&amp;This.year&amp;"]"),MATCH($C163&amp;AH$5,INDIRECT($B$3&amp;"."&amp;$B$158&amp;".energy[Tech description]")&amp;INDIRECT($B$3&amp;"."&amp;$B$158&amp;".energy[Energy description]"),0)),0)</f>
        <v>0</v>
      </c>
      <c r="AI163" s="152">
        <f t="array" aca="1" ref="AI163" ca="1">IFERROR(INDEX(INDIRECT($B$3&amp;"."&amp;$B$158&amp;".energy["&amp;This.year&amp;"]"),MATCH($C163&amp;AI$5,INDIRECT($B$3&amp;"."&amp;$B$158&amp;".energy[Tech description]")&amp;INDIRECT($B$3&amp;"."&amp;$B$158&amp;".energy[Energy description]"),0)),0)</f>
        <v>0</v>
      </c>
      <c r="AJ163" s="152">
        <f t="array" aca="1" ref="AJ163" ca="1">IFERROR(INDEX(INDIRECT($B$3&amp;"."&amp;$B$158&amp;".energy["&amp;This.year&amp;"]"),MATCH($C163&amp;AJ$5,INDIRECT($B$3&amp;"."&amp;$B$158&amp;".energy[Tech description]")&amp;INDIRECT($B$3&amp;"."&amp;$B$158&amp;".energy[Energy description]"),0)),0)</f>
        <v>0</v>
      </c>
      <c r="AK163" s="152">
        <f t="array" aca="1" ref="AK163" ca="1">IFERROR(INDEX(INDIRECT($B$3&amp;"."&amp;$B$158&amp;".energy["&amp;This.year&amp;"]"),MATCH($C163&amp;AK$5,INDIRECT($B$3&amp;"."&amp;$B$158&amp;".energy[Tech description]")&amp;INDIRECT($B$3&amp;"."&amp;$B$158&amp;".energy[Energy description]"),0)),0)</f>
        <v>0</v>
      </c>
      <c r="AL163" s="152">
        <f t="array" aca="1" ref="AL163" ca="1">IFERROR(INDEX(INDIRECT($B$3&amp;"."&amp;$B$158&amp;".energy["&amp;This.year&amp;"]"),MATCH($C163&amp;AL$5,INDIRECT($B$3&amp;"."&amp;$B$158&amp;".energy[Tech description]")&amp;INDIRECT($B$3&amp;"."&amp;$B$158&amp;".energy[Energy description]"),0)),0)</f>
        <v>0</v>
      </c>
      <c r="AM163" s="152">
        <f t="array" aca="1" ref="AM163" ca="1">IFERROR(INDEX(INDIRECT($B$3&amp;"."&amp;$B$158&amp;".energy["&amp;This.year&amp;"]"),MATCH($C163&amp;AM$5,INDIRECT($B$3&amp;"."&amp;$B$158&amp;".energy[Tech description]")&amp;INDIRECT($B$3&amp;"."&amp;$B$158&amp;".energy[Energy description]"),0)),0)</f>
        <v>0</v>
      </c>
      <c r="AN163" s="152">
        <f t="array" aca="1" ref="AN163" ca="1">IFERROR(INDEX(INDIRECT($B$3&amp;"."&amp;$B$158&amp;".energy["&amp;This.year&amp;"]"),MATCH($C163&amp;AN$5,INDIRECT($B$3&amp;"."&amp;$B$158&amp;".energy[Tech description]")&amp;INDIRECT($B$3&amp;"."&amp;$B$158&amp;".energy[Energy description]"),0)),0)</f>
        <v>0</v>
      </c>
      <c r="AO163" s="152">
        <f t="shared" ca="1" si="11"/>
        <v>-0.6053795859240001</v>
      </c>
      <c r="AP163" s="108"/>
      <c r="AQ163" s="21">
        <f t="array" aca="1" ref="AQ163" ca="1">IFERROR(INDEX(INDIRECT($B$3&amp;"."&amp;$B$158&amp;".energy["&amp;This.year&amp;"]"),MATCH($C163&amp;AQ$5,INDIRECT($B$3&amp;"."&amp;$B$158&amp;".energy[Tech description]")&amp;INDIRECT($B$3&amp;"."&amp;$B$158&amp;".energy[Energy description]"),0)),0)</f>
        <v>0</v>
      </c>
      <c r="AR163" s="21">
        <f t="array" aca="1" ref="AR163" ca="1">IFERROR(INDEX(INDIRECT($B$3&amp;"."&amp;$B$158&amp;".energy["&amp;This.year&amp;"]"),MATCH($C163&amp;AR$5,INDIRECT($B$3&amp;"."&amp;$B$158&amp;".energy[Tech description]")&amp;INDIRECT($B$3&amp;"."&amp;$B$158&amp;".energy[Energy description]"),0)),0)</f>
        <v>0</v>
      </c>
      <c r="AS163" s="21">
        <f t="array" aca="1" ref="AS163" ca="1">IFERROR(INDEX(INDIRECT($B$3&amp;"."&amp;$B$158&amp;".energy["&amp;This.year&amp;"]"),MATCH($C163&amp;AS$5,INDIRECT($B$3&amp;"."&amp;$B$158&amp;".energy[Tech description]")&amp;INDIRECT($B$3&amp;"."&amp;$B$158&amp;".energy[Energy description]"),0)),0)</f>
        <v>0</v>
      </c>
      <c r="AT163" s="21">
        <f t="array" aca="1" ref="AT163" ca="1">IFERROR(INDEX(INDIRECT($B$3&amp;"."&amp;$B$158&amp;".energy["&amp;This.year&amp;"]"),MATCH($C163&amp;AT$5,INDIRECT($B$3&amp;"."&amp;$B$158&amp;".energy[Tech description]")&amp;INDIRECT($B$3&amp;"."&amp;$B$158&amp;".energy[Energy description]"),0)),0)</f>
        <v>0</v>
      </c>
      <c r="AU163" s="21">
        <f t="array" aca="1" ref="AU163" ca="1">IFERROR(INDEX(INDIRECT($B$3&amp;"."&amp;$B$158&amp;".energy["&amp;This.year&amp;"]"),MATCH($C163&amp;AU$5,INDIRECT($B$3&amp;"."&amp;$B$158&amp;".energy[Tech description]")&amp;INDIRECT($B$3&amp;"."&amp;$B$158&amp;".energy[Energy description]"),0)),0)</f>
        <v>0</v>
      </c>
      <c r="AV163" s="21">
        <f t="array" aca="1" ref="AV163" ca="1">IFERROR(INDEX(INDIRECT($B$3&amp;"."&amp;$B$158&amp;".energy["&amp;This.year&amp;"]"),MATCH($C163&amp;AV$5,INDIRECT($B$3&amp;"."&amp;$B$158&amp;".energy[Tech description]")&amp;INDIRECT($B$3&amp;"."&amp;$B$158&amp;".energy[Energy description]"),0)),0)</f>
        <v>0</v>
      </c>
      <c r="AW163" s="21">
        <f t="array" aca="1" ref="AW163" ca="1">IFERROR(INDEX(INDIRECT($B$3&amp;"."&amp;$B$158&amp;".energy["&amp;This.year&amp;"]"),MATCH($C163&amp;AW$5,INDIRECT($B$3&amp;"."&amp;$B$158&amp;".energy[Tech description]")&amp;INDIRECT($B$3&amp;"."&amp;$B$158&amp;".energy[Energy description]"),0)),0)</f>
        <v>0</v>
      </c>
      <c r="AX163" s="21">
        <f t="array" aca="1" ref="AX163" ca="1">IFERROR(INDEX(INDIRECT($B$3&amp;"."&amp;$B$158&amp;".energy["&amp;This.year&amp;"]"),MATCH($C163&amp;AX$5,INDIRECT($B$3&amp;"."&amp;$B$158&amp;".energy[Tech description]")&amp;INDIRECT($B$3&amp;"."&amp;$B$158&amp;".energy[Energy description]"),0)),0)</f>
        <v>0</v>
      </c>
      <c r="AY163" s="21">
        <f t="array" aca="1" ref="AY163" ca="1">IFERROR(INDEX(INDIRECT($B$3&amp;"."&amp;$B$158&amp;".energy["&amp;This.year&amp;"]"),MATCH($C163&amp;AY$5,INDIRECT($B$3&amp;"."&amp;$B$158&amp;".energy[Tech description]")&amp;INDIRECT($B$3&amp;"."&amp;$B$158&amp;".energy[Energy description]"),0)),0)</f>
        <v>0</v>
      </c>
      <c r="AZ163" s="21">
        <f t="array" aca="1" ref="AZ163" ca="1">IFERROR(INDEX(INDIRECT($B$3&amp;"."&amp;$B$158&amp;".energy["&amp;This.year&amp;"]"),MATCH($C163&amp;AZ$5,INDIRECT($B$3&amp;"."&amp;$B$158&amp;".energy[Tech description]")&amp;INDIRECT($B$3&amp;"."&amp;$B$158&amp;".energy[Energy description]"),0)),0)</f>
        <v>0</v>
      </c>
      <c r="BA163" s="21">
        <f t="array" aca="1" ref="BA163" ca="1">IFERROR(INDEX(INDIRECT($B$3&amp;"."&amp;$B$158&amp;".energy["&amp;This.year&amp;"]"),MATCH($C163&amp;BA$5,INDIRECT($B$3&amp;"."&amp;$B$158&amp;".energy[Tech description]")&amp;INDIRECT($B$3&amp;"."&amp;$B$158&amp;".energy[Energy description]"),0)),0)</f>
        <v>0</v>
      </c>
      <c r="BB163" s="21">
        <f t="array" aca="1" ref="BB163" ca="1">IFERROR(INDEX(INDIRECT($B$3&amp;"."&amp;$B$158&amp;".energy["&amp;This.year&amp;"]"),MATCH($C163&amp;BB$5,INDIRECT($B$3&amp;"."&amp;$B$158&amp;".energy[Tech description]")&amp;INDIRECT($B$3&amp;"."&amp;$B$158&amp;".energy[Energy description]"),0)),0)</f>
        <v>0</v>
      </c>
      <c r="BC163" s="21">
        <f t="array" aca="1" ref="BC163" ca="1">IFERROR(INDEX(INDIRECT($B$3&amp;"."&amp;$B$158&amp;".energy["&amp;This.year&amp;"]"),MATCH($C163&amp;BC$5,INDIRECT($B$3&amp;"."&amp;$B$158&amp;".energy[Tech description]")&amp;INDIRECT($B$3&amp;"."&amp;$B$158&amp;".energy[Energy description]"),0)),0)</f>
        <v>0</v>
      </c>
      <c r="BD163" s="21">
        <f t="shared" ca="1" si="12"/>
        <v>0</v>
      </c>
      <c r="BE163" s="108"/>
      <c r="BF163" s="49">
        <f t="array" aca="1" ref="BF163" ca="1">IFERROR(INDEX(INDIRECT($B$3&amp;"."&amp;$B$158&amp;".energy["&amp;This.year&amp;"]"),MATCH($C163&amp;BF$5,INDIRECT($B$3&amp;"."&amp;$B$158&amp;".energy[Tech description]")&amp;INDIRECT($B$3&amp;"."&amp;$B$158&amp;".energy[Energy description]"),0)),0)</f>
        <v>0</v>
      </c>
      <c r="BG163" s="49">
        <f t="array" aca="1" ref="BG163" ca="1">IFERROR(INDEX(INDIRECT($B$3&amp;"."&amp;$B$158&amp;".energy["&amp;This.year&amp;"]"),MATCH($C163&amp;BG$5,INDIRECT($B$3&amp;"."&amp;$B$158&amp;".energy[Tech description]")&amp;INDIRECT($B$3&amp;"."&amp;$B$158&amp;".energy[Energy description]"),0)),0)</f>
        <v>0</v>
      </c>
      <c r="BH163" s="49">
        <f t="shared" ca="1" si="13"/>
        <v>0</v>
      </c>
      <c r="BI163" s="219">
        <f t="shared" ca="1" si="9"/>
        <v>0</v>
      </c>
      <c r="BJ163" s="108"/>
    </row>
    <row r="164" spans="1:62" s="54" customFormat="1">
      <c r="A164" s="133"/>
      <c r="B164" s="176" t="s">
        <v>1800</v>
      </c>
      <c r="C164" s="114" t="str">
        <f>INDEX(Regional.Technologies[Description],MATCH($B$3&amp;"."&amp;B164,Regional.Technologies[Code],0))</f>
        <v>Global Natural Gas use in the Oxygen steel technology</v>
      </c>
      <c r="E164" s="121">
        <f t="array" aca="1" ref="E164" ca="1">IFERROR(INDEX(INDIRECT($B$3&amp;"."&amp;$B$158&amp;".energy["&amp;This.year&amp;"]"),MATCH($C164&amp;E$5,INDIRECT($B$3&amp;"."&amp;$B$158&amp;".energy[Tech description]")&amp;INDIRECT($B$3&amp;"."&amp;$B$158&amp;".energy[Energy description]"),0)),0)</f>
        <v>0</v>
      </c>
      <c r="F164" s="121">
        <f t="array" aca="1" ref="F164" ca="1">IFERROR(INDEX(INDIRECT($B$3&amp;"."&amp;$B$158&amp;".energy["&amp;This.year&amp;"]"),MATCH($C164&amp;F$5,INDIRECT($B$3&amp;"."&amp;$B$158&amp;".energy[Tech description]")&amp;INDIRECT($B$3&amp;"."&amp;$B$158&amp;".energy[Energy description]"),0)),0)</f>
        <v>0</v>
      </c>
      <c r="G164" s="121">
        <f t="array" aca="1" ref="G164" ca="1">IFERROR(INDEX(INDIRECT($B$3&amp;"."&amp;$B$158&amp;".energy["&amp;This.year&amp;"]"),MATCH($C164&amp;G$5,INDIRECT($B$3&amp;"."&amp;$B$158&amp;".energy[Tech description]")&amp;INDIRECT($B$3&amp;"."&amp;$B$158&amp;".energy[Energy description]"),0)),0)</f>
        <v>0</v>
      </c>
      <c r="H164" s="121">
        <f t="array" aca="1" ref="H164" ca="1">IFERROR(INDEX(INDIRECT($B$3&amp;"."&amp;$B$158&amp;".energy["&amp;This.year&amp;"]"),MATCH($C164&amp;H$5,INDIRECT($B$3&amp;"."&amp;$B$158&amp;".energy[Tech description]")&amp;INDIRECT($B$3&amp;"."&amp;$B$158&amp;".energy[Energy description]"),0)),0)</f>
        <v>0</v>
      </c>
      <c r="I164" s="121">
        <f t="array" aca="1" ref="I164" ca="1">IFERROR(INDEX(INDIRECT($B$3&amp;"."&amp;$B$158&amp;".energy["&amp;This.year&amp;"]"),MATCH($C164&amp;I$5,INDIRECT($B$3&amp;"."&amp;$B$158&amp;".energy[Tech description]")&amp;INDIRECT($B$3&amp;"."&amp;$B$158&amp;".energy[Energy description]"),0)),0)</f>
        <v>0</v>
      </c>
      <c r="J164" s="121">
        <f t="array" aca="1" ref="J164" ca="1">IFERROR(INDEX(INDIRECT($B$3&amp;"."&amp;$B$158&amp;".energy["&amp;This.year&amp;"]"),MATCH($C164&amp;J$5,INDIRECT($B$3&amp;"."&amp;$B$158&amp;".energy[Tech description]")&amp;INDIRECT($B$3&amp;"."&amp;$B$158&amp;".energy[Energy description]"),0)),0)</f>
        <v>1.0517591114635856</v>
      </c>
      <c r="K164" s="121">
        <f t="array" aca="1" ref="K164" ca="1">IFERROR(INDEX(INDIRECT($B$3&amp;"."&amp;$B$158&amp;".energy["&amp;This.year&amp;"]"),MATCH($C164&amp;K$5,INDIRECT($B$3&amp;"."&amp;$B$158&amp;".energy[Tech description]")&amp;INDIRECT($B$3&amp;"."&amp;$B$158&amp;".energy[Energy description]"),0)),0)</f>
        <v>0</v>
      </c>
      <c r="L164" s="121">
        <f t="array" aca="1" ref="L164" ca="1">IFERROR(INDEX(INDIRECT($B$3&amp;"."&amp;$B$158&amp;".energy["&amp;This.year&amp;"]"),MATCH($C164&amp;L$5,INDIRECT($B$3&amp;"."&amp;$B$158&amp;".energy[Tech description]")&amp;INDIRECT($B$3&amp;"."&amp;$B$158&amp;".energy[Energy description]"),0)),0)</f>
        <v>0</v>
      </c>
      <c r="M164" s="121">
        <f t="array" aca="1" ref="M164" ca="1">IFERROR(INDEX(INDIRECT($B$3&amp;"."&amp;$B$158&amp;".energy["&amp;This.year&amp;"]"),MATCH($C164&amp;M$5,INDIRECT($B$3&amp;"."&amp;$B$158&amp;".energy[Tech description]")&amp;INDIRECT($B$3&amp;"."&amp;$B$158&amp;".energy[Energy description]"),0)),0)</f>
        <v>0</v>
      </c>
      <c r="N164" s="121">
        <f t="array" aca="1" ref="N164" ca="1">IFERROR(INDEX(INDIRECT($B$3&amp;"."&amp;$B$158&amp;".energy["&amp;This.year&amp;"]"),MATCH($C164&amp;N$5,INDIRECT($B$3&amp;"."&amp;$B$158&amp;".energy[Tech description]")&amp;INDIRECT($B$3&amp;"."&amp;$B$158&amp;".energy[Energy description]"),0)),0)</f>
        <v>0</v>
      </c>
      <c r="O164" s="121">
        <f t="array" aca="1" ref="O164" ca="1">IFERROR(INDEX(INDIRECT($B$3&amp;"."&amp;$B$158&amp;".energy["&amp;This.year&amp;"]"),MATCH($C164&amp;O$5,INDIRECT($B$3&amp;"."&amp;$B$158&amp;".energy[Tech description]")&amp;INDIRECT($B$3&amp;"."&amp;$B$158&amp;".energy[Energy description]"),0)),0)</f>
        <v>0</v>
      </c>
      <c r="P164" s="121">
        <f t="array" aca="1" ref="P164" ca="1">IFERROR(INDEX(INDIRECT($B$3&amp;"."&amp;$B$158&amp;".energy["&amp;This.year&amp;"]"),MATCH($C164&amp;P$5,INDIRECT($B$3&amp;"."&amp;$B$158&amp;".energy[Tech description]")&amp;INDIRECT($B$3&amp;"."&amp;$B$158&amp;".energy[Energy description]"),0)),0)</f>
        <v>0</v>
      </c>
      <c r="Q164" s="121">
        <f t="array" aca="1" ref="Q164" ca="1">IFERROR(INDEX(INDIRECT($B$3&amp;"."&amp;$B$158&amp;".energy["&amp;This.year&amp;"]"),MATCH($C164&amp;Q$5,INDIRECT($B$3&amp;"."&amp;$B$158&amp;".energy[Tech description]")&amp;INDIRECT($B$3&amp;"."&amp;$B$158&amp;".energy[Energy description]"),0)),0)</f>
        <v>0</v>
      </c>
      <c r="R164" s="121">
        <f t="array" aca="1" ref="R164" ca="1">IFERROR(INDEX(INDIRECT($B$3&amp;"."&amp;$B$158&amp;".energy["&amp;This.year&amp;"]"),MATCH($C164&amp;R$5,INDIRECT($B$3&amp;"."&amp;$B$158&amp;".energy[Tech description]")&amp;INDIRECT($B$3&amp;"."&amp;$B$158&amp;".energy[Energy description]"),0)),0)</f>
        <v>0</v>
      </c>
      <c r="S164" s="121">
        <f t="array" aca="1" ref="S164" ca="1">IFERROR(INDEX(INDIRECT($B$3&amp;"."&amp;$B$158&amp;".energy["&amp;This.year&amp;"]"),MATCH($C164&amp;S$5,INDIRECT($B$3&amp;"."&amp;$B$158&amp;".energy[Tech description]")&amp;INDIRECT($B$3&amp;"."&amp;$B$158&amp;".energy[Energy description]"),0)),0)</f>
        <v>0</v>
      </c>
      <c r="T164" s="121">
        <f t="shared" ca="1" si="10"/>
        <v>1.0517591114635856</v>
      </c>
      <c r="U164" s="109"/>
      <c r="V164" s="152">
        <f t="array" aca="1" ref="V164" ca="1">IFERROR(INDEX(INDIRECT($B$3&amp;"."&amp;$B$158&amp;".energy["&amp;This.year&amp;"]"),MATCH($C164&amp;V$5,INDIRECT($B$3&amp;"."&amp;$B$158&amp;".energy[Tech description]")&amp;INDIRECT($B$3&amp;"."&amp;$B$158&amp;".energy[Energy description]"),0)),0)</f>
        <v>0</v>
      </c>
      <c r="W164" s="152">
        <f t="array" aca="1" ref="W164" ca="1">IFERROR(INDEX(INDIRECT($B$3&amp;"."&amp;$B$158&amp;".energy["&amp;This.year&amp;"]"),MATCH($C164&amp;W$5,INDIRECT($B$3&amp;"."&amp;$B$158&amp;".energy[Tech description]")&amp;INDIRECT($B$3&amp;"."&amp;$B$158&amp;".energy[Energy description]"),0)),0)</f>
        <v>0</v>
      </c>
      <c r="X164" s="152">
        <f t="array" aca="1" ref="X164" ca="1">IFERROR(INDEX(INDIRECT($B$3&amp;"."&amp;$B$158&amp;".energy["&amp;This.year&amp;"]"),MATCH($C164&amp;X$5,INDIRECT($B$3&amp;"."&amp;$B$158&amp;".energy[Tech description]")&amp;INDIRECT($B$3&amp;"."&amp;$B$158&amp;".energy[Energy description]"),0)),0)</f>
        <v>0</v>
      </c>
      <c r="Y164" s="152">
        <f t="array" aca="1" ref="Y164" ca="1">IFERROR(INDEX(INDIRECT($B$3&amp;"."&amp;$B$158&amp;".energy["&amp;This.year&amp;"]"),MATCH($C164&amp;Y$5,INDIRECT($B$3&amp;"."&amp;$B$158&amp;".energy[Tech description]")&amp;INDIRECT($B$3&amp;"."&amp;$B$158&amp;".energy[Energy description]"),0)),0)</f>
        <v>0</v>
      </c>
      <c r="Z164" s="152">
        <f t="array" aca="1" ref="Z164" ca="1">IFERROR(INDEX(INDIRECT($B$3&amp;"."&amp;$B$158&amp;".energy["&amp;This.year&amp;"]"),MATCH($C164&amp;Z$5,INDIRECT($B$3&amp;"."&amp;$B$158&amp;".energy[Tech description]")&amp;INDIRECT($B$3&amp;"."&amp;$B$158&amp;".energy[Energy description]"),0)),0)</f>
        <v>0</v>
      </c>
      <c r="AA164" s="152">
        <f t="array" aca="1" ref="AA164" ca="1">IFERROR(INDEX(INDIRECT($B$3&amp;"."&amp;$B$158&amp;".energy["&amp;This.year&amp;"]"),MATCH($C164&amp;AA$5,INDIRECT($B$3&amp;"."&amp;$B$158&amp;".energy[Tech description]")&amp;INDIRECT($B$3&amp;"."&amp;$B$158&amp;".energy[Energy description]"),0)),0)</f>
        <v>0</v>
      </c>
      <c r="AB164" s="152">
        <f t="array" aca="1" ref="AB164" ca="1">IFERROR(INDEX(INDIRECT($B$3&amp;"."&amp;$B$158&amp;".energy["&amp;This.year&amp;"]"),MATCH($C164&amp;AB$5,INDIRECT($B$3&amp;"."&amp;$B$158&amp;".energy[Tech description]")&amp;INDIRECT($B$3&amp;"."&amp;$B$158&amp;".energy[Energy description]"),0)),0)</f>
        <v>0</v>
      </c>
      <c r="AC164" s="152">
        <f t="array" aca="1" ref="AC164" ca="1">IFERROR(INDEX(INDIRECT($B$3&amp;"."&amp;$B$158&amp;".energy["&amp;This.year&amp;"]"),MATCH($C164&amp;AC$5,INDIRECT($B$3&amp;"."&amp;$B$158&amp;".energy[Tech description]")&amp;INDIRECT($B$3&amp;"."&amp;$B$158&amp;".energy[Energy description]"),0)),0)</f>
        <v>-1.0517591114635856</v>
      </c>
      <c r="AD164" s="152">
        <f t="array" aca="1" ref="AD164" ca="1">IFERROR(INDEX(INDIRECT($B$3&amp;"."&amp;$B$158&amp;".energy["&amp;This.year&amp;"]"),MATCH($C164&amp;AD$5,INDIRECT($B$3&amp;"."&amp;$B$158&amp;".energy[Tech description]")&amp;INDIRECT($B$3&amp;"."&amp;$B$158&amp;".energy[Energy description]"),0)),0)</f>
        <v>0</v>
      </c>
      <c r="AE164" s="152">
        <f t="array" aca="1" ref="AE164" ca="1">IFERROR(INDEX(INDIRECT($B$3&amp;"."&amp;$B$158&amp;".energy["&amp;This.year&amp;"]"),MATCH($C164&amp;AE$5,INDIRECT($B$3&amp;"."&amp;$B$158&amp;".energy[Tech description]")&amp;INDIRECT($B$3&amp;"."&amp;$B$158&amp;".energy[Energy description]"),0)),0)</f>
        <v>0</v>
      </c>
      <c r="AF164" s="152">
        <f t="array" aca="1" ref="AF164" ca="1">IFERROR(INDEX(INDIRECT($B$3&amp;"."&amp;$B$158&amp;".energy["&amp;This.year&amp;"]"),MATCH($C164&amp;AF$5,INDIRECT($B$3&amp;"."&amp;$B$158&amp;".energy[Tech description]")&amp;INDIRECT($B$3&amp;"."&amp;$B$158&amp;".energy[Energy description]"),0)),0)</f>
        <v>0</v>
      </c>
      <c r="AG164" s="152">
        <f t="array" aca="1" ref="AG164" ca="1">IFERROR(INDEX(INDIRECT($B$3&amp;"."&amp;$B$158&amp;".energy["&amp;This.year&amp;"]"),MATCH($C164&amp;AG$5,INDIRECT($B$3&amp;"."&amp;$B$158&amp;".energy[Tech description]")&amp;INDIRECT($B$3&amp;"."&amp;$B$158&amp;".energy[Energy description]"),0)),0)</f>
        <v>0</v>
      </c>
      <c r="AH164" s="152">
        <f t="array" aca="1" ref="AH164" ca="1">IFERROR(INDEX(INDIRECT($B$3&amp;"."&amp;$B$158&amp;".energy["&amp;This.year&amp;"]"),MATCH($C164&amp;AH$5,INDIRECT($B$3&amp;"."&amp;$B$158&amp;".energy[Tech description]")&amp;INDIRECT($B$3&amp;"."&amp;$B$158&amp;".energy[Energy description]"),0)),0)</f>
        <v>0</v>
      </c>
      <c r="AI164" s="152">
        <f t="array" aca="1" ref="AI164" ca="1">IFERROR(INDEX(INDIRECT($B$3&amp;"."&amp;$B$158&amp;".energy["&amp;This.year&amp;"]"),MATCH($C164&amp;AI$5,INDIRECT($B$3&amp;"."&amp;$B$158&amp;".energy[Tech description]")&amp;INDIRECT($B$3&amp;"."&amp;$B$158&amp;".energy[Energy description]"),0)),0)</f>
        <v>0</v>
      </c>
      <c r="AJ164" s="152">
        <f t="array" aca="1" ref="AJ164" ca="1">IFERROR(INDEX(INDIRECT($B$3&amp;"."&amp;$B$158&amp;".energy["&amp;This.year&amp;"]"),MATCH($C164&amp;AJ$5,INDIRECT($B$3&amp;"."&amp;$B$158&amp;".energy[Tech description]")&amp;INDIRECT($B$3&amp;"."&amp;$B$158&amp;".energy[Energy description]"),0)),0)</f>
        <v>0</v>
      </c>
      <c r="AK164" s="152">
        <f t="array" aca="1" ref="AK164" ca="1">IFERROR(INDEX(INDIRECT($B$3&amp;"."&amp;$B$158&amp;".energy["&amp;This.year&amp;"]"),MATCH($C164&amp;AK$5,INDIRECT($B$3&amp;"."&amp;$B$158&amp;".energy[Tech description]")&amp;INDIRECT($B$3&amp;"."&amp;$B$158&amp;".energy[Energy description]"),0)),0)</f>
        <v>0</v>
      </c>
      <c r="AL164" s="152">
        <f t="array" aca="1" ref="AL164" ca="1">IFERROR(INDEX(INDIRECT($B$3&amp;"."&amp;$B$158&amp;".energy["&amp;This.year&amp;"]"),MATCH($C164&amp;AL$5,INDIRECT($B$3&amp;"."&amp;$B$158&amp;".energy[Tech description]")&amp;INDIRECT($B$3&amp;"."&amp;$B$158&amp;".energy[Energy description]"),0)),0)</f>
        <v>0</v>
      </c>
      <c r="AM164" s="152">
        <f t="array" aca="1" ref="AM164" ca="1">IFERROR(INDEX(INDIRECT($B$3&amp;"."&amp;$B$158&amp;".energy["&amp;This.year&amp;"]"),MATCH($C164&amp;AM$5,INDIRECT($B$3&amp;"."&amp;$B$158&amp;".energy[Tech description]")&amp;INDIRECT($B$3&amp;"."&amp;$B$158&amp;".energy[Energy description]"),0)),0)</f>
        <v>0</v>
      </c>
      <c r="AN164" s="152">
        <f t="array" aca="1" ref="AN164" ca="1">IFERROR(INDEX(INDIRECT($B$3&amp;"."&amp;$B$158&amp;".energy["&amp;This.year&amp;"]"),MATCH($C164&amp;AN$5,INDIRECT($B$3&amp;"."&amp;$B$158&amp;".energy[Tech description]")&amp;INDIRECT($B$3&amp;"."&amp;$B$158&amp;".energy[Energy description]"),0)),0)</f>
        <v>0</v>
      </c>
      <c r="AO164" s="152">
        <f t="shared" ca="1" si="11"/>
        <v>-1.0517591114635856</v>
      </c>
      <c r="AP164" s="108"/>
      <c r="AQ164" s="21">
        <f t="array" aca="1" ref="AQ164" ca="1">IFERROR(INDEX(INDIRECT($B$3&amp;"."&amp;$B$158&amp;".energy["&amp;This.year&amp;"]"),MATCH($C164&amp;AQ$5,INDIRECT($B$3&amp;"."&amp;$B$158&amp;".energy[Tech description]")&amp;INDIRECT($B$3&amp;"."&amp;$B$158&amp;".energy[Energy description]"),0)),0)</f>
        <v>0</v>
      </c>
      <c r="AR164" s="21">
        <f t="array" aca="1" ref="AR164" ca="1">IFERROR(INDEX(INDIRECT($B$3&amp;"."&amp;$B$158&amp;".energy["&amp;This.year&amp;"]"),MATCH($C164&amp;AR$5,INDIRECT($B$3&amp;"."&amp;$B$158&amp;".energy[Tech description]")&amp;INDIRECT($B$3&amp;"."&amp;$B$158&amp;".energy[Energy description]"),0)),0)</f>
        <v>0</v>
      </c>
      <c r="AS164" s="21">
        <f t="array" aca="1" ref="AS164" ca="1">IFERROR(INDEX(INDIRECT($B$3&amp;"."&amp;$B$158&amp;".energy["&amp;This.year&amp;"]"),MATCH($C164&amp;AS$5,INDIRECT($B$3&amp;"."&amp;$B$158&amp;".energy[Tech description]")&amp;INDIRECT($B$3&amp;"."&amp;$B$158&amp;".energy[Energy description]"),0)),0)</f>
        <v>0</v>
      </c>
      <c r="AT164" s="21">
        <f t="array" aca="1" ref="AT164" ca="1">IFERROR(INDEX(INDIRECT($B$3&amp;"."&amp;$B$158&amp;".energy["&amp;This.year&amp;"]"),MATCH($C164&amp;AT$5,INDIRECT($B$3&amp;"."&amp;$B$158&amp;".energy[Tech description]")&amp;INDIRECT($B$3&amp;"."&amp;$B$158&amp;".energy[Energy description]"),0)),0)</f>
        <v>0</v>
      </c>
      <c r="AU164" s="21">
        <f t="array" aca="1" ref="AU164" ca="1">IFERROR(INDEX(INDIRECT($B$3&amp;"."&amp;$B$158&amp;".energy["&amp;This.year&amp;"]"),MATCH($C164&amp;AU$5,INDIRECT($B$3&amp;"."&amp;$B$158&amp;".energy[Tech description]")&amp;INDIRECT($B$3&amp;"."&amp;$B$158&amp;".energy[Energy description]"),0)),0)</f>
        <v>0</v>
      </c>
      <c r="AV164" s="21">
        <f t="array" aca="1" ref="AV164" ca="1">IFERROR(INDEX(INDIRECT($B$3&amp;"."&amp;$B$158&amp;".energy["&amp;This.year&amp;"]"),MATCH($C164&amp;AV$5,INDIRECT($B$3&amp;"."&amp;$B$158&amp;".energy[Tech description]")&amp;INDIRECT($B$3&amp;"."&amp;$B$158&amp;".energy[Energy description]"),0)),0)</f>
        <v>0</v>
      </c>
      <c r="AW164" s="21">
        <f t="array" aca="1" ref="AW164" ca="1">IFERROR(INDEX(INDIRECT($B$3&amp;"."&amp;$B$158&amp;".energy["&amp;This.year&amp;"]"),MATCH($C164&amp;AW$5,INDIRECT($B$3&amp;"."&amp;$B$158&amp;".energy[Tech description]")&amp;INDIRECT($B$3&amp;"."&amp;$B$158&amp;".energy[Energy description]"),0)),0)</f>
        <v>0</v>
      </c>
      <c r="AX164" s="21">
        <f t="array" aca="1" ref="AX164" ca="1">IFERROR(INDEX(INDIRECT($B$3&amp;"."&amp;$B$158&amp;".energy["&amp;This.year&amp;"]"),MATCH($C164&amp;AX$5,INDIRECT($B$3&amp;"."&amp;$B$158&amp;".energy[Tech description]")&amp;INDIRECT($B$3&amp;"."&amp;$B$158&amp;".energy[Energy description]"),0)),0)</f>
        <v>0</v>
      </c>
      <c r="AY164" s="21">
        <f t="array" aca="1" ref="AY164" ca="1">IFERROR(INDEX(INDIRECT($B$3&amp;"."&amp;$B$158&amp;".energy["&amp;This.year&amp;"]"),MATCH($C164&amp;AY$5,INDIRECT($B$3&amp;"."&amp;$B$158&amp;".energy[Tech description]")&amp;INDIRECT($B$3&amp;"."&amp;$B$158&amp;".energy[Energy description]"),0)),0)</f>
        <v>0</v>
      </c>
      <c r="AZ164" s="21">
        <f t="array" aca="1" ref="AZ164" ca="1">IFERROR(INDEX(INDIRECT($B$3&amp;"."&amp;$B$158&amp;".energy["&amp;This.year&amp;"]"),MATCH($C164&amp;AZ$5,INDIRECT($B$3&amp;"."&amp;$B$158&amp;".energy[Tech description]")&amp;INDIRECT($B$3&amp;"."&amp;$B$158&amp;".energy[Energy description]"),0)),0)</f>
        <v>0</v>
      </c>
      <c r="BA164" s="21">
        <f t="array" aca="1" ref="BA164" ca="1">IFERROR(INDEX(INDIRECT($B$3&amp;"."&amp;$B$158&amp;".energy["&amp;This.year&amp;"]"),MATCH($C164&amp;BA$5,INDIRECT($B$3&amp;"."&amp;$B$158&amp;".energy[Tech description]")&amp;INDIRECT($B$3&amp;"."&amp;$B$158&amp;".energy[Energy description]"),0)),0)</f>
        <v>0</v>
      </c>
      <c r="BB164" s="21">
        <f t="array" aca="1" ref="BB164" ca="1">IFERROR(INDEX(INDIRECT($B$3&amp;"."&amp;$B$158&amp;".energy["&amp;This.year&amp;"]"),MATCH($C164&amp;BB$5,INDIRECT($B$3&amp;"."&amp;$B$158&amp;".energy[Tech description]")&amp;INDIRECT($B$3&amp;"."&amp;$B$158&amp;".energy[Energy description]"),0)),0)</f>
        <v>0</v>
      </c>
      <c r="BC164" s="21">
        <f t="array" aca="1" ref="BC164" ca="1">IFERROR(INDEX(INDIRECT($B$3&amp;"."&amp;$B$158&amp;".energy["&amp;This.year&amp;"]"),MATCH($C164&amp;BC$5,INDIRECT($B$3&amp;"."&amp;$B$158&amp;".energy[Tech description]")&amp;INDIRECT($B$3&amp;"."&amp;$B$158&amp;".energy[Energy description]"),0)),0)</f>
        <v>0</v>
      </c>
      <c r="BD164" s="21">
        <f t="shared" ca="1" si="12"/>
        <v>0</v>
      </c>
      <c r="BE164" s="108"/>
      <c r="BF164" s="49">
        <f t="array" aca="1" ref="BF164" ca="1">IFERROR(INDEX(INDIRECT($B$3&amp;"."&amp;$B$158&amp;".energy["&amp;This.year&amp;"]"),MATCH($C164&amp;BF$5,INDIRECT($B$3&amp;"."&amp;$B$158&amp;".energy[Tech description]")&amp;INDIRECT($B$3&amp;"."&amp;$B$158&amp;".energy[Energy description]"),0)),0)</f>
        <v>0</v>
      </c>
      <c r="BG164" s="49">
        <f t="array" aca="1" ref="BG164" ca="1">IFERROR(INDEX(INDIRECT($B$3&amp;"."&amp;$B$158&amp;".energy["&amp;This.year&amp;"]"),MATCH($C164&amp;BG$5,INDIRECT($B$3&amp;"."&amp;$B$158&amp;".energy[Tech description]")&amp;INDIRECT($B$3&amp;"."&amp;$B$158&amp;".energy[Energy description]"),0)),0)</f>
        <v>0</v>
      </c>
      <c r="BH164" s="49">
        <f t="shared" ca="1" si="13"/>
        <v>0</v>
      </c>
      <c r="BI164" s="219">
        <f t="shared" ca="1" si="9"/>
        <v>0</v>
      </c>
      <c r="BJ164" s="108"/>
    </row>
    <row r="165" spans="1:62" s="54" customFormat="1">
      <c r="A165" s="133"/>
      <c r="B165" s="176" t="s">
        <v>1802</v>
      </c>
      <c r="C165" s="114" t="str">
        <f>INDEX(Regional.Technologies[Description],MATCH($B$3&amp;"."&amp;B165,Regional.Technologies[Code],0))</f>
        <v>Global Solid Hydrocarbons use in the Oxygen steel technology</v>
      </c>
      <c r="E165" s="121">
        <f t="array" aca="1" ref="E165" ca="1">IFERROR(INDEX(INDIRECT($B$3&amp;"."&amp;$B$158&amp;".energy["&amp;This.year&amp;"]"),MATCH($C165&amp;E$5,INDIRECT($B$3&amp;"."&amp;$B$158&amp;".energy[Tech description]")&amp;INDIRECT($B$3&amp;"."&amp;$B$158&amp;".energy[Energy description]"),0)),0)</f>
        <v>0</v>
      </c>
      <c r="F165" s="121">
        <f t="array" aca="1" ref="F165" ca="1">IFERROR(INDEX(INDIRECT($B$3&amp;"."&amp;$B$158&amp;".energy["&amp;This.year&amp;"]"),MATCH($C165&amp;F$5,INDIRECT($B$3&amp;"."&amp;$B$158&amp;".energy[Tech description]")&amp;INDIRECT($B$3&amp;"."&amp;$B$158&amp;".energy[Energy description]"),0)),0)</f>
        <v>0</v>
      </c>
      <c r="G165" s="121">
        <f t="array" aca="1" ref="G165" ca="1">IFERROR(INDEX(INDIRECT($B$3&amp;"."&amp;$B$158&amp;".energy["&amp;This.year&amp;"]"),MATCH($C165&amp;G$5,INDIRECT($B$3&amp;"."&amp;$B$158&amp;".energy[Tech description]")&amp;INDIRECT($B$3&amp;"."&amp;$B$158&amp;".energy[Energy description]"),0)),0)</f>
        <v>0</v>
      </c>
      <c r="H165" s="121">
        <f t="array" aca="1" ref="H165" ca="1">IFERROR(INDEX(INDIRECT($B$3&amp;"."&amp;$B$158&amp;".energy["&amp;This.year&amp;"]"),MATCH($C165&amp;H$5,INDIRECT($B$3&amp;"."&amp;$B$158&amp;".energy[Tech description]")&amp;INDIRECT($B$3&amp;"."&amp;$B$158&amp;".energy[Energy description]"),0)),0)</f>
        <v>0</v>
      </c>
      <c r="I165" s="121">
        <f t="array" aca="1" ref="I165" ca="1">IFERROR(INDEX(INDIRECT($B$3&amp;"."&amp;$B$158&amp;".energy["&amp;This.year&amp;"]"),MATCH($C165&amp;I$5,INDIRECT($B$3&amp;"."&amp;$B$158&amp;".energy[Tech description]")&amp;INDIRECT($B$3&amp;"."&amp;$B$158&amp;".energy[Energy description]"),0)),0)</f>
        <v>0</v>
      </c>
      <c r="J165" s="121">
        <f t="array" aca="1" ref="J165" ca="1">IFERROR(INDEX(INDIRECT($B$3&amp;"."&amp;$B$158&amp;".energy["&amp;This.year&amp;"]"),MATCH($C165&amp;J$5,INDIRECT($B$3&amp;"."&amp;$B$158&amp;".energy[Tech description]")&amp;INDIRECT($B$3&amp;"."&amp;$B$158&amp;".energy[Energy description]"),0)),0)</f>
        <v>0.17590630860000006</v>
      </c>
      <c r="K165" s="121">
        <f t="array" aca="1" ref="K165" ca="1">IFERROR(INDEX(INDIRECT($B$3&amp;"."&amp;$B$158&amp;".energy["&amp;This.year&amp;"]"),MATCH($C165&amp;K$5,INDIRECT($B$3&amp;"."&amp;$B$158&amp;".energy[Tech description]")&amp;INDIRECT($B$3&amp;"."&amp;$B$158&amp;".energy[Energy description]"),0)),0)</f>
        <v>0</v>
      </c>
      <c r="L165" s="121">
        <f t="array" aca="1" ref="L165" ca="1">IFERROR(INDEX(INDIRECT($B$3&amp;"."&amp;$B$158&amp;".energy["&amp;This.year&amp;"]"),MATCH($C165&amp;L$5,INDIRECT($B$3&amp;"."&amp;$B$158&amp;".energy[Tech description]")&amp;INDIRECT($B$3&amp;"."&amp;$B$158&amp;".energy[Energy description]"),0)),0)</f>
        <v>0</v>
      </c>
      <c r="M165" s="121">
        <f t="array" aca="1" ref="M165" ca="1">IFERROR(INDEX(INDIRECT($B$3&amp;"."&amp;$B$158&amp;".energy["&amp;This.year&amp;"]"),MATCH($C165&amp;M$5,INDIRECT($B$3&amp;"."&amp;$B$158&amp;".energy[Tech description]")&amp;INDIRECT($B$3&amp;"."&amp;$B$158&amp;".energy[Energy description]"),0)),0)</f>
        <v>0</v>
      </c>
      <c r="N165" s="121">
        <f t="array" aca="1" ref="N165" ca="1">IFERROR(INDEX(INDIRECT($B$3&amp;"."&amp;$B$158&amp;".energy["&amp;This.year&amp;"]"),MATCH($C165&amp;N$5,INDIRECT($B$3&amp;"."&amp;$B$158&amp;".energy[Tech description]")&amp;INDIRECT($B$3&amp;"."&amp;$B$158&amp;".energy[Energy description]"),0)),0)</f>
        <v>0</v>
      </c>
      <c r="O165" s="121">
        <f t="array" aca="1" ref="O165" ca="1">IFERROR(INDEX(INDIRECT($B$3&amp;"."&amp;$B$158&amp;".energy["&amp;This.year&amp;"]"),MATCH($C165&amp;O$5,INDIRECT($B$3&amp;"."&amp;$B$158&amp;".energy[Tech description]")&amp;INDIRECT($B$3&amp;"."&amp;$B$158&amp;".energy[Energy description]"),0)),0)</f>
        <v>0</v>
      </c>
      <c r="P165" s="121">
        <f t="array" aca="1" ref="P165" ca="1">IFERROR(INDEX(INDIRECT($B$3&amp;"."&amp;$B$158&amp;".energy["&amp;This.year&amp;"]"),MATCH($C165&amp;P$5,INDIRECT($B$3&amp;"."&amp;$B$158&amp;".energy[Tech description]")&amp;INDIRECT($B$3&amp;"."&amp;$B$158&amp;".energy[Energy description]"),0)),0)</f>
        <v>0</v>
      </c>
      <c r="Q165" s="121">
        <f t="array" aca="1" ref="Q165" ca="1">IFERROR(INDEX(INDIRECT($B$3&amp;"."&amp;$B$158&amp;".energy["&amp;This.year&amp;"]"),MATCH($C165&amp;Q$5,INDIRECT($B$3&amp;"."&amp;$B$158&amp;".energy[Tech description]")&amp;INDIRECT($B$3&amp;"."&amp;$B$158&amp;".energy[Energy description]"),0)),0)</f>
        <v>0</v>
      </c>
      <c r="R165" s="121">
        <f t="array" aca="1" ref="R165" ca="1">IFERROR(INDEX(INDIRECT($B$3&amp;"."&amp;$B$158&amp;".energy["&amp;This.year&amp;"]"),MATCH($C165&amp;R$5,INDIRECT($B$3&amp;"."&amp;$B$158&amp;".energy[Tech description]")&amp;INDIRECT($B$3&amp;"."&amp;$B$158&amp;".energy[Energy description]"),0)),0)</f>
        <v>0</v>
      </c>
      <c r="S165" s="121">
        <f t="array" aca="1" ref="S165" ca="1">IFERROR(INDEX(INDIRECT($B$3&amp;"."&amp;$B$158&amp;".energy["&amp;This.year&amp;"]"),MATCH($C165&amp;S$5,INDIRECT($B$3&amp;"."&amp;$B$158&amp;".energy[Tech description]")&amp;INDIRECT($B$3&amp;"."&amp;$B$158&amp;".energy[Energy description]"),0)),0)</f>
        <v>0</v>
      </c>
      <c r="T165" s="121">
        <f t="shared" ca="1" si="10"/>
        <v>0.17590630860000006</v>
      </c>
      <c r="U165" s="109"/>
      <c r="V165" s="152">
        <f t="array" aca="1" ref="V165" ca="1">IFERROR(INDEX(INDIRECT($B$3&amp;"."&amp;$B$158&amp;".energy["&amp;This.year&amp;"]"),MATCH($C165&amp;V$5,INDIRECT($B$3&amp;"."&amp;$B$158&amp;".energy[Tech description]")&amp;INDIRECT($B$3&amp;"."&amp;$B$158&amp;".energy[Energy description]"),0)),0)</f>
        <v>0</v>
      </c>
      <c r="W165" s="152">
        <f t="array" aca="1" ref="W165" ca="1">IFERROR(INDEX(INDIRECT($B$3&amp;"."&amp;$B$158&amp;".energy["&amp;This.year&amp;"]"),MATCH($C165&amp;W$5,INDIRECT($B$3&amp;"."&amp;$B$158&amp;".energy[Tech description]")&amp;INDIRECT($B$3&amp;"."&amp;$B$158&amp;".energy[Energy description]"),0)),0)</f>
        <v>0</v>
      </c>
      <c r="X165" s="152">
        <f t="array" aca="1" ref="X165" ca="1">IFERROR(INDEX(INDIRECT($B$3&amp;"."&amp;$B$158&amp;".energy["&amp;This.year&amp;"]"),MATCH($C165&amp;X$5,INDIRECT($B$3&amp;"."&amp;$B$158&amp;".energy[Tech description]")&amp;INDIRECT($B$3&amp;"."&amp;$B$158&amp;".energy[Energy description]"),0)),0)</f>
        <v>-0.17590630860000006</v>
      </c>
      <c r="Y165" s="152">
        <f t="array" aca="1" ref="Y165" ca="1">IFERROR(INDEX(INDIRECT($B$3&amp;"."&amp;$B$158&amp;".energy["&amp;This.year&amp;"]"),MATCH($C165&amp;Y$5,INDIRECT($B$3&amp;"."&amp;$B$158&amp;".energy[Tech description]")&amp;INDIRECT($B$3&amp;"."&amp;$B$158&amp;".energy[Energy description]"),0)),0)</f>
        <v>0</v>
      </c>
      <c r="Z165" s="152">
        <f t="array" aca="1" ref="Z165" ca="1">IFERROR(INDEX(INDIRECT($B$3&amp;"."&amp;$B$158&amp;".energy["&amp;This.year&amp;"]"),MATCH($C165&amp;Z$5,INDIRECT($B$3&amp;"."&amp;$B$158&amp;".energy[Tech description]")&amp;INDIRECT($B$3&amp;"."&amp;$B$158&amp;".energy[Energy description]"),0)),0)</f>
        <v>0</v>
      </c>
      <c r="AA165" s="152">
        <f t="array" aca="1" ref="AA165" ca="1">IFERROR(INDEX(INDIRECT($B$3&amp;"."&amp;$B$158&amp;".energy["&amp;This.year&amp;"]"),MATCH($C165&amp;AA$5,INDIRECT($B$3&amp;"."&amp;$B$158&amp;".energy[Tech description]")&amp;INDIRECT($B$3&amp;"."&amp;$B$158&amp;".energy[Energy description]"),0)),0)</f>
        <v>0</v>
      </c>
      <c r="AB165" s="152">
        <f t="array" aca="1" ref="AB165" ca="1">IFERROR(INDEX(INDIRECT($B$3&amp;"."&amp;$B$158&amp;".energy["&amp;This.year&amp;"]"),MATCH($C165&amp;AB$5,INDIRECT($B$3&amp;"."&amp;$B$158&amp;".energy[Tech description]")&amp;INDIRECT($B$3&amp;"."&amp;$B$158&amp;".energy[Energy description]"),0)),0)</f>
        <v>0</v>
      </c>
      <c r="AC165" s="152">
        <f t="array" aca="1" ref="AC165" ca="1">IFERROR(INDEX(INDIRECT($B$3&amp;"."&amp;$B$158&amp;".energy["&amp;This.year&amp;"]"),MATCH($C165&amp;AC$5,INDIRECT($B$3&amp;"."&amp;$B$158&amp;".energy[Tech description]")&amp;INDIRECT($B$3&amp;"."&amp;$B$158&amp;".energy[Energy description]"),0)),0)</f>
        <v>0</v>
      </c>
      <c r="AD165" s="152">
        <f t="array" aca="1" ref="AD165" ca="1">IFERROR(INDEX(INDIRECT($B$3&amp;"."&amp;$B$158&amp;".energy["&amp;This.year&amp;"]"),MATCH($C165&amp;AD$5,INDIRECT($B$3&amp;"."&amp;$B$158&amp;".energy[Tech description]")&amp;INDIRECT($B$3&amp;"."&amp;$B$158&amp;".energy[Energy description]"),0)),0)</f>
        <v>0</v>
      </c>
      <c r="AE165" s="152">
        <f t="array" aca="1" ref="AE165" ca="1">IFERROR(INDEX(INDIRECT($B$3&amp;"."&amp;$B$158&amp;".energy["&amp;This.year&amp;"]"),MATCH($C165&amp;AE$5,INDIRECT($B$3&amp;"."&amp;$B$158&amp;".energy[Tech description]")&amp;INDIRECT($B$3&amp;"."&amp;$B$158&amp;".energy[Energy description]"),0)),0)</f>
        <v>0</v>
      </c>
      <c r="AF165" s="152">
        <f t="array" aca="1" ref="AF165" ca="1">IFERROR(INDEX(INDIRECT($B$3&amp;"."&amp;$B$158&amp;".energy["&amp;This.year&amp;"]"),MATCH($C165&amp;AF$5,INDIRECT($B$3&amp;"."&amp;$B$158&amp;".energy[Tech description]")&amp;INDIRECT($B$3&amp;"."&amp;$B$158&amp;".energy[Energy description]"),0)),0)</f>
        <v>0</v>
      </c>
      <c r="AG165" s="152">
        <f t="array" aca="1" ref="AG165" ca="1">IFERROR(INDEX(INDIRECT($B$3&amp;"."&amp;$B$158&amp;".energy["&amp;This.year&amp;"]"),MATCH($C165&amp;AG$5,INDIRECT($B$3&amp;"."&amp;$B$158&amp;".energy[Tech description]")&amp;INDIRECT($B$3&amp;"."&amp;$B$158&amp;".energy[Energy description]"),0)),0)</f>
        <v>0</v>
      </c>
      <c r="AH165" s="152">
        <f t="array" aca="1" ref="AH165" ca="1">IFERROR(INDEX(INDIRECT($B$3&amp;"."&amp;$B$158&amp;".energy["&amp;This.year&amp;"]"),MATCH($C165&amp;AH$5,INDIRECT($B$3&amp;"."&amp;$B$158&amp;".energy[Tech description]")&amp;INDIRECT($B$3&amp;"."&amp;$B$158&amp;".energy[Energy description]"),0)),0)</f>
        <v>0</v>
      </c>
      <c r="AI165" s="152">
        <f t="array" aca="1" ref="AI165" ca="1">IFERROR(INDEX(INDIRECT($B$3&amp;"."&amp;$B$158&amp;".energy["&amp;This.year&amp;"]"),MATCH($C165&amp;AI$5,INDIRECT($B$3&amp;"."&amp;$B$158&amp;".energy[Tech description]")&amp;INDIRECT($B$3&amp;"."&amp;$B$158&amp;".energy[Energy description]"),0)),0)</f>
        <v>0</v>
      </c>
      <c r="AJ165" s="152">
        <f t="array" aca="1" ref="AJ165" ca="1">IFERROR(INDEX(INDIRECT($B$3&amp;"."&amp;$B$158&amp;".energy["&amp;This.year&amp;"]"),MATCH($C165&amp;AJ$5,INDIRECT($B$3&amp;"."&amp;$B$158&amp;".energy[Tech description]")&amp;INDIRECT($B$3&amp;"."&amp;$B$158&amp;".energy[Energy description]"),0)),0)</f>
        <v>0</v>
      </c>
      <c r="AK165" s="152">
        <f t="array" aca="1" ref="AK165" ca="1">IFERROR(INDEX(INDIRECT($B$3&amp;"."&amp;$B$158&amp;".energy["&amp;This.year&amp;"]"),MATCH($C165&amp;AK$5,INDIRECT($B$3&amp;"."&amp;$B$158&amp;".energy[Tech description]")&amp;INDIRECT($B$3&amp;"."&amp;$B$158&amp;".energy[Energy description]"),0)),0)</f>
        <v>0</v>
      </c>
      <c r="AL165" s="152">
        <f t="array" aca="1" ref="AL165" ca="1">IFERROR(INDEX(INDIRECT($B$3&amp;"."&amp;$B$158&amp;".energy["&amp;This.year&amp;"]"),MATCH($C165&amp;AL$5,INDIRECT($B$3&amp;"."&amp;$B$158&amp;".energy[Tech description]")&amp;INDIRECT($B$3&amp;"."&amp;$B$158&amp;".energy[Energy description]"),0)),0)</f>
        <v>0</v>
      </c>
      <c r="AM165" s="152">
        <f t="array" aca="1" ref="AM165" ca="1">IFERROR(INDEX(INDIRECT($B$3&amp;"."&amp;$B$158&amp;".energy["&amp;This.year&amp;"]"),MATCH($C165&amp;AM$5,INDIRECT($B$3&amp;"."&amp;$B$158&amp;".energy[Tech description]")&amp;INDIRECT($B$3&amp;"."&amp;$B$158&amp;".energy[Energy description]"),0)),0)</f>
        <v>0</v>
      </c>
      <c r="AN165" s="152">
        <f t="array" aca="1" ref="AN165" ca="1">IFERROR(INDEX(INDIRECT($B$3&amp;"."&amp;$B$158&amp;".energy["&amp;This.year&amp;"]"),MATCH($C165&amp;AN$5,INDIRECT($B$3&amp;"."&amp;$B$158&amp;".energy[Tech description]")&amp;INDIRECT($B$3&amp;"."&amp;$B$158&amp;".energy[Energy description]"),0)),0)</f>
        <v>0</v>
      </c>
      <c r="AO165" s="152">
        <f t="shared" ca="1" si="11"/>
        <v>-0.17590630860000006</v>
      </c>
      <c r="AP165" s="108"/>
      <c r="AQ165" s="21">
        <f t="array" aca="1" ref="AQ165" ca="1">IFERROR(INDEX(INDIRECT($B$3&amp;"."&amp;$B$158&amp;".energy["&amp;This.year&amp;"]"),MATCH($C165&amp;AQ$5,INDIRECT($B$3&amp;"."&amp;$B$158&amp;".energy[Tech description]")&amp;INDIRECT($B$3&amp;"."&amp;$B$158&amp;".energy[Energy description]"),0)),0)</f>
        <v>0</v>
      </c>
      <c r="AR165" s="21">
        <f t="array" aca="1" ref="AR165" ca="1">IFERROR(INDEX(INDIRECT($B$3&amp;"."&amp;$B$158&amp;".energy["&amp;This.year&amp;"]"),MATCH($C165&amp;AR$5,INDIRECT($B$3&amp;"."&amp;$B$158&amp;".energy[Tech description]")&amp;INDIRECT($B$3&amp;"."&amp;$B$158&amp;".energy[Energy description]"),0)),0)</f>
        <v>0</v>
      </c>
      <c r="AS165" s="21">
        <f t="array" aca="1" ref="AS165" ca="1">IFERROR(INDEX(INDIRECT($B$3&amp;"."&amp;$B$158&amp;".energy["&amp;This.year&amp;"]"),MATCH($C165&amp;AS$5,INDIRECT($B$3&amp;"."&amp;$B$158&amp;".energy[Tech description]")&amp;INDIRECT($B$3&amp;"."&amp;$B$158&amp;".energy[Energy description]"),0)),0)</f>
        <v>0</v>
      </c>
      <c r="AT165" s="21">
        <f t="array" aca="1" ref="AT165" ca="1">IFERROR(INDEX(INDIRECT($B$3&amp;"."&amp;$B$158&amp;".energy["&amp;This.year&amp;"]"),MATCH($C165&amp;AT$5,INDIRECT($B$3&amp;"."&amp;$B$158&amp;".energy[Tech description]")&amp;INDIRECT($B$3&amp;"."&amp;$B$158&amp;".energy[Energy description]"),0)),0)</f>
        <v>0</v>
      </c>
      <c r="AU165" s="21">
        <f t="array" aca="1" ref="AU165" ca="1">IFERROR(INDEX(INDIRECT($B$3&amp;"."&amp;$B$158&amp;".energy["&amp;This.year&amp;"]"),MATCH($C165&amp;AU$5,INDIRECT($B$3&amp;"."&amp;$B$158&amp;".energy[Tech description]")&amp;INDIRECT($B$3&amp;"."&amp;$B$158&amp;".energy[Energy description]"),0)),0)</f>
        <v>0</v>
      </c>
      <c r="AV165" s="21">
        <f t="array" aca="1" ref="AV165" ca="1">IFERROR(INDEX(INDIRECT($B$3&amp;"."&amp;$B$158&amp;".energy["&amp;This.year&amp;"]"),MATCH($C165&amp;AV$5,INDIRECT($B$3&amp;"."&amp;$B$158&amp;".energy[Tech description]")&amp;INDIRECT($B$3&amp;"."&amp;$B$158&amp;".energy[Energy description]"),0)),0)</f>
        <v>0</v>
      </c>
      <c r="AW165" s="21">
        <f t="array" aca="1" ref="AW165" ca="1">IFERROR(INDEX(INDIRECT($B$3&amp;"."&amp;$B$158&amp;".energy["&amp;This.year&amp;"]"),MATCH($C165&amp;AW$5,INDIRECT($B$3&amp;"."&amp;$B$158&amp;".energy[Tech description]")&amp;INDIRECT($B$3&amp;"."&amp;$B$158&amp;".energy[Energy description]"),0)),0)</f>
        <v>0</v>
      </c>
      <c r="AX165" s="21">
        <f t="array" aca="1" ref="AX165" ca="1">IFERROR(INDEX(INDIRECT($B$3&amp;"."&amp;$B$158&amp;".energy["&amp;This.year&amp;"]"),MATCH($C165&amp;AX$5,INDIRECT($B$3&amp;"."&amp;$B$158&amp;".energy[Tech description]")&amp;INDIRECT($B$3&amp;"."&amp;$B$158&amp;".energy[Energy description]"),0)),0)</f>
        <v>0</v>
      </c>
      <c r="AY165" s="21">
        <f t="array" aca="1" ref="AY165" ca="1">IFERROR(INDEX(INDIRECT($B$3&amp;"."&amp;$B$158&amp;".energy["&amp;This.year&amp;"]"),MATCH($C165&amp;AY$5,INDIRECT($B$3&amp;"."&amp;$B$158&amp;".energy[Tech description]")&amp;INDIRECT($B$3&amp;"."&amp;$B$158&amp;".energy[Energy description]"),0)),0)</f>
        <v>0</v>
      </c>
      <c r="AZ165" s="21">
        <f t="array" aca="1" ref="AZ165" ca="1">IFERROR(INDEX(INDIRECT($B$3&amp;"."&amp;$B$158&amp;".energy["&amp;This.year&amp;"]"),MATCH($C165&amp;AZ$5,INDIRECT($B$3&amp;"."&amp;$B$158&amp;".energy[Tech description]")&amp;INDIRECT($B$3&amp;"."&amp;$B$158&amp;".energy[Energy description]"),0)),0)</f>
        <v>0</v>
      </c>
      <c r="BA165" s="21">
        <f t="array" aca="1" ref="BA165" ca="1">IFERROR(INDEX(INDIRECT($B$3&amp;"."&amp;$B$158&amp;".energy["&amp;This.year&amp;"]"),MATCH($C165&amp;BA$5,INDIRECT($B$3&amp;"."&amp;$B$158&amp;".energy[Tech description]")&amp;INDIRECT($B$3&amp;"."&amp;$B$158&amp;".energy[Energy description]"),0)),0)</f>
        <v>0</v>
      </c>
      <c r="BB165" s="21">
        <f t="array" aca="1" ref="BB165" ca="1">IFERROR(INDEX(INDIRECT($B$3&amp;"."&amp;$B$158&amp;".energy["&amp;This.year&amp;"]"),MATCH($C165&amp;BB$5,INDIRECT($B$3&amp;"."&amp;$B$158&amp;".energy[Tech description]")&amp;INDIRECT($B$3&amp;"."&amp;$B$158&amp;".energy[Energy description]"),0)),0)</f>
        <v>0</v>
      </c>
      <c r="BC165" s="21">
        <f t="array" aca="1" ref="BC165" ca="1">IFERROR(INDEX(INDIRECT($B$3&amp;"."&amp;$B$158&amp;".energy["&amp;This.year&amp;"]"),MATCH($C165&amp;BC$5,INDIRECT($B$3&amp;"."&amp;$B$158&amp;".energy[Tech description]")&amp;INDIRECT($B$3&amp;"."&amp;$B$158&amp;".energy[Energy description]"),0)),0)</f>
        <v>0</v>
      </c>
      <c r="BD165" s="21">
        <f t="shared" ca="1" si="12"/>
        <v>0</v>
      </c>
      <c r="BE165" s="108"/>
      <c r="BF165" s="49">
        <f t="array" aca="1" ref="BF165" ca="1">IFERROR(INDEX(INDIRECT($B$3&amp;"."&amp;$B$158&amp;".energy["&amp;This.year&amp;"]"),MATCH($C165&amp;BF$5,INDIRECT($B$3&amp;"."&amp;$B$158&amp;".energy[Tech description]")&amp;INDIRECT($B$3&amp;"."&amp;$B$158&amp;".energy[Energy description]"),0)),0)</f>
        <v>0</v>
      </c>
      <c r="BG165" s="49">
        <f t="array" aca="1" ref="BG165" ca="1">IFERROR(INDEX(INDIRECT($B$3&amp;"."&amp;$B$158&amp;".energy["&amp;This.year&amp;"]"),MATCH($C165&amp;BG$5,INDIRECT($B$3&amp;"."&amp;$B$158&amp;".energy[Tech description]")&amp;INDIRECT($B$3&amp;"."&amp;$B$158&amp;".energy[Energy description]"),0)),0)</f>
        <v>0</v>
      </c>
      <c r="BH165" s="49">
        <f t="shared" ca="1" si="13"/>
        <v>0</v>
      </c>
      <c r="BI165" s="219">
        <f t="shared" ca="1" si="9"/>
        <v>0</v>
      </c>
      <c r="BJ165" s="108"/>
    </row>
    <row r="166" spans="1:62" s="54" customFormat="1">
      <c r="A166" s="133"/>
      <c r="B166" s="176" t="s">
        <v>1635</v>
      </c>
      <c r="C166" s="114" t="str">
        <f>INDEX(Regional.Technologies[Description],MATCH($B$3&amp;"."&amp;B166,Regional.Technologies[Code],0))</f>
        <v>Global Heat use in the Oxygen steel technology</v>
      </c>
      <c r="E166" s="121">
        <f t="array" aca="1" ref="E166" ca="1">IFERROR(INDEX(INDIRECT($B$3&amp;"."&amp;$B$158&amp;".energy["&amp;This.year&amp;"]"),MATCH($C166&amp;E$5,INDIRECT($B$3&amp;"."&amp;$B$158&amp;".energy[Tech description]")&amp;INDIRECT($B$3&amp;"."&amp;$B$158&amp;".energy[Energy description]"),0)),0)</f>
        <v>0</v>
      </c>
      <c r="F166" s="121">
        <f t="array" aca="1" ref="F166" ca="1">IFERROR(INDEX(INDIRECT($B$3&amp;"."&amp;$B$158&amp;".energy["&amp;This.year&amp;"]"),MATCH($C166&amp;F$5,INDIRECT($B$3&amp;"."&amp;$B$158&amp;".energy[Tech description]")&amp;INDIRECT($B$3&amp;"."&amp;$B$158&amp;".energy[Energy description]"),0)),0)</f>
        <v>0</v>
      </c>
      <c r="G166" s="121">
        <f t="array" aca="1" ref="G166" ca="1">IFERROR(INDEX(INDIRECT($B$3&amp;"."&amp;$B$158&amp;".energy["&amp;This.year&amp;"]"),MATCH($C166&amp;G$5,INDIRECT($B$3&amp;"."&amp;$B$158&amp;".energy[Tech description]")&amp;INDIRECT($B$3&amp;"."&amp;$B$158&amp;".energy[Energy description]"),0)),0)</f>
        <v>0</v>
      </c>
      <c r="H166" s="121">
        <f t="array" aca="1" ref="H166" ca="1">IFERROR(INDEX(INDIRECT($B$3&amp;"."&amp;$B$158&amp;".energy["&amp;This.year&amp;"]"),MATCH($C166&amp;H$5,INDIRECT($B$3&amp;"."&amp;$B$158&amp;".energy[Tech description]")&amp;INDIRECT($B$3&amp;"."&amp;$B$158&amp;".energy[Energy description]"),0)),0)</f>
        <v>0</v>
      </c>
      <c r="I166" s="121">
        <f t="array" aca="1" ref="I166" ca="1">IFERROR(INDEX(INDIRECT($B$3&amp;"."&amp;$B$158&amp;".energy["&amp;This.year&amp;"]"),MATCH($C166&amp;I$5,INDIRECT($B$3&amp;"."&amp;$B$158&amp;".energy[Tech description]")&amp;INDIRECT($B$3&amp;"."&amp;$B$158&amp;".energy[Energy description]"),0)),0)</f>
        <v>0</v>
      </c>
      <c r="J166" s="121">
        <f t="array" aca="1" ref="J166" ca="1">IFERROR(INDEX(INDIRECT($B$3&amp;"."&amp;$B$158&amp;".energy["&amp;This.year&amp;"]"),MATCH($C166&amp;J$5,INDIRECT($B$3&amp;"."&amp;$B$158&amp;".energy[Tech description]")&amp;INDIRECT($B$3&amp;"."&amp;$B$158&amp;".energy[Energy description]"),0)),0)</f>
        <v>0.80340865264799999</v>
      </c>
      <c r="K166" s="121">
        <f t="array" aca="1" ref="K166" ca="1">IFERROR(INDEX(INDIRECT($B$3&amp;"."&amp;$B$158&amp;".energy["&amp;This.year&amp;"]"),MATCH($C166&amp;K$5,INDIRECT($B$3&amp;"."&amp;$B$158&amp;".energy[Tech description]")&amp;INDIRECT($B$3&amp;"."&amp;$B$158&amp;".energy[Energy description]"),0)),0)</f>
        <v>0</v>
      </c>
      <c r="L166" s="121">
        <f t="array" aca="1" ref="L166" ca="1">IFERROR(INDEX(INDIRECT($B$3&amp;"."&amp;$B$158&amp;".energy["&amp;This.year&amp;"]"),MATCH($C166&amp;L$5,INDIRECT($B$3&amp;"."&amp;$B$158&amp;".energy[Tech description]")&amp;INDIRECT($B$3&amp;"."&amp;$B$158&amp;".energy[Energy description]"),0)),0)</f>
        <v>0</v>
      </c>
      <c r="M166" s="121">
        <f t="array" aca="1" ref="M166" ca="1">IFERROR(INDEX(INDIRECT($B$3&amp;"."&amp;$B$158&amp;".energy["&amp;This.year&amp;"]"),MATCH($C166&amp;M$5,INDIRECT($B$3&amp;"."&amp;$B$158&amp;".energy[Tech description]")&amp;INDIRECT($B$3&amp;"."&amp;$B$158&amp;".energy[Energy description]"),0)),0)</f>
        <v>0</v>
      </c>
      <c r="N166" s="121">
        <f t="array" aca="1" ref="N166" ca="1">IFERROR(INDEX(INDIRECT($B$3&amp;"."&amp;$B$158&amp;".energy["&amp;This.year&amp;"]"),MATCH($C166&amp;N$5,INDIRECT($B$3&amp;"."&amp;$B$158&amp;".energy[Tech description]")&amp;INDIRECT($B$3&amp;"."&amp;$B$158&amp;".energy[Energy description]"),0)),0)</f>
        <v>0</v>
      </c>
      <c r="O166" s="121">
        <f t="array" aca="1" ref="O166" ca="1">IFERROR(INDEX(INDIRECT($B$3&amp;"."&amp;$B$158&amp;".energy["&amp;This.year&amp;"]"),MATCH($C166&amp;O$5,INDIRECT($B$3&amp;"."&amp;$B$158&amp;".energy[Tech description]")&amp;INDIRECT($B$3&amp;"."&amp;$B$158&amp;".energy[Energy description]"),0)),0)</f>
        <v>0</v>
      </c>
      <c r="P166" s="121">
        <f t="array" aca="1" ref="P166" ca="1">IFERROR(INDEX(INDIRECT($B$3&amp;"."&amp;$B$158&amp;".energy["&amp;This.year&amp;"]"),MATCH($C166&amp;P$5,INDIRECT($B$3&amp;"."&amp;$B$158&amp;".energy[Tech description]")&amp;INDIRECT($B$3&amp;"."&amp;$B$158&amp;".energy[Energy description]"),0)),0)</f>
        <v>0</v>
      </c>
      <c r="Q166" s="121">
        <f t="array" aca="1" ref="Q166" ca="1">IFERROR(INDEX(INDIRECT($B$3&amp;"."&amp;$B$158&amp;".energy["&amp;This.year&amp;"]"),MATCH($C166&amp;Q$5,INDIRECT($B$3&amp;"."&amp;$B$158&amp;".energy[Tech description]")&amp;INDIRECT($B$3&amp;"."&amp;$B$158&amp;".energy[Energy description]"),0)),0)</f>
        <v>0</v>
      </c>
      <c r="R166" s="121">
        <f t="array" aca="1" ref="R166" ca="1">IFERROR(INDEX(INDIRECT($B$3&amp;"."&amp;$B$158&amp;".energy["&amp;This.year&amp;"]"),MATCH($C166&amp;R$5,INDIRECT($B$3&amp;"."&amp;$B$158&amp;".energy[Tech description]")&amp;INDIRECT($B$3&amp;"."&amp;$B$158&amp;".energy[Energy description]"),0)),0)</f>
        <v>0</v>
      </c>
      <c r="S166" s="121">
        <f t="array" aca="1" ref="S166" ca="1">IFERROR(INDEX(INDIRECT($B$3&amp;"."&amp;$B$158&amp;".energy["&amp;This.year&amp;"]"),MATCH($C166&amp;S$5,INDIRECT($B$3&amp;"."&amp;$B$158&amp;".energy[Tech description]")&amp;INDIRECT($B$3&amp;"."&amp;$B$158&amp;".energy[Energy description]"),0)),0)</f>
        <v>0</v>
      </c>
      <c r="T166" s="121">
        <f t="shared" ca="1" si="10"/>
        <v>0.80340865264799999</v>
      </c>
      <c r="U166" s="109"/>
      <c r="V166" s="152">
        <f t="array" aca="1" ref="V166" ca="1">IFERROR(INDEX(INDIRECT($B$3&amp;"."&amp;$B$158&amp;".energy["&amp;This.year&amp;"]"),MATCH($C166&amp;V$5,INDIRECT($B$3&amp;"."&amp;$B$158&amp;".energy[Tech description]")&amp;INDIRECT($B$3&amp;"."&amp;$B$158&amp;".energy[Energy description]"),0)),0)</f>
        <v>0</v>
      </c>
      <c r="W166" s="152">
        <f t="array" aca="1" ref="W166" ca="1">IFERROR(INDEX(INDIRECT($B$3&amp;"."&amp;$B$158&amp;".energy["&amp;This.year&amp;"]"),MATCH($C166&amp;W$5,INDIRECT($B$3&amp;"."&amp;$B$158&amp;".energy[Tech description]")&amp;INDIRECT($B$3&amp;"."&amp;$B$158&amp;".energy[Energy description]"),0)),0)</f>
        <v>0</v>
      </c>
      <c r="X166" s="152">
        <f t="array" aca="1" ref="X166" ca="1">IFERROR(INDEX(INDIRECT($B$3&amp;"."&amp;$B$158&amp;".energy["&amp;This.year&amp;"]"),MATCH($C166&amp;X$5,INDIRECT($B$3&amp;"."&amp;$B$158&amp;".energy[Tech description]")&amp;INDIRECT($B$3&amp;"."&amp;$B$158&amp;".energy[Energy description]"),0)),0)</f>
        <v>0</v>
      </c>
      <c r="Y166" s="152">
        <f t="array" aca="1" ref="Y166" ca="1">IFERROR(INDEX(INDIRECT($B$3&amp;"."&amp;$B$158&amp;".energy["&amp;This.year&amp;"]"),MATCH($C166&amp;Y$5,INDIRECT($B$3&amp;"."&amp;$B$158&amp;".energy[Tech description]")&amp;INDIRECT($B$3&amp;"."&amp;$B$158&amp;".energy[Energy description]"),0)),0)</f>
        <v>0</v>
      </c>
      <c r="Z166" s="152">
        <f t="array" aca="1" ref="Z166" ca="1">IFERROR(INDEX(INDIRECT($B$3&amp;"."&amp;$B$158&amp;".energy["&amp;This.year&amp;"]"),MATCH($C166&amp;Z$5,INDIRECT($B$3&amp;"."&amp;$B$158&amp;".energy[Tech description]")&amp;INDIRECT($B$3&amp;"."&amp;$B$158&amp;".energy[Energy description]"),0)),0)</f>
        <v>0</v>
      </c>
      <c r="AA166" s="152">
        <f t="array" aca="1" ref="AA166" ca="1">IFERROR(INDEX(INDIRECT($B$3&amp;"."&amp;$B$158&amp;".energy["&amp;This.year&amp;"]"),MATCH($C166&amp;AA$5,INDIRECT($B$3&amp;"."&amp;$B$158&amp;".energy[Tech description]")&amp;INDIRECT($B$3&amp;"."&amp;$B$158&amp;".energy[Energy description]"),0)),0)</f>
        <v>0</v>
      </c>
      <c r="AB166" s="152">
        <f t="array" aca="1" ref="AB166" ca="1">IFERROR(INDEX(INDIRECT($B$3&amp;"."&amp;$B$158&amp;".energy["&amp;This.year&amp;"]"),MATCH($C166&amp;AB$5,INDIRECT($B$3&amp;"."&amp;$B$158&amp;".energy[Tech description]")&amp;INDIRECT($B$3&amp;"."&amp;$B$158&amp;".energy[Energy description]"),0)),0)</f>
        <v>0</v>
      </c>
      <c r="AC166" s="152">
        <f t="array" aca="1" ref="AC166" ca="1">IFERROR(INDEX(INDIRECT($B$3&amp;"."&amp;$B$158&amp;".energy["&amp;This.year&amp;"]"),MATCH($C166&amp;AC$5,INDIRECT($B$3&amp;"."&amp;$B$158&amp;".energy[Tech description]")&amp;INDIRECT($B$3&amp;"."&amp;$B$158&amp;".energy[Energy description]"),0)),0)</f>
        <v>0</v>
      </c>
      <c r="AD166" s="152">
        <f t="array" aca="1" ref="AD166" ca="1">IFERROR(INDEX(INDIRECT($B$3&amp;"."&amp;$B$158&amp;".energy["&amp;This.year&amp;"]"),MATCH($C166&amp;AD$5,INDIRECT($B$3&amp;"."&amp;$B$158&amp;".energy[Tech description]")&amp;INDIRECT($B$3&amp;"."&amp;$B$158&amp;".energy[Energy description]"),0)),0)</f>
        <v>0</v>
      </c>
      <c r="AE166" s="152">
        <f t="array" aca="1" ref="AE166" ca="1">IFERROR(INDEX(INDIRECT($B$3&amp;"."&amp;$B$158&amp;".energy["&amp;This.year&amp;"]"),MATCH($C166&amp;AE$5,INDIRECT($B$3&amp;"."&amp;$B$158&amp;".energy[Tech description]")&amp;INDIRECT($B$3&amp;"."&amp;$B$158&amp;".energy[Energy description]"),0)),0)</f>
        <v>0</v>
      </c>
      <c r="AF166" s="152">
        <f t="array" aca="1" ref="AF166" ca="1">IFERROR(INDEX(INDIRECT($B$3&amp;"."&amp;$B$158&amp;".energy["&amp;This.year&amp;"]"),MATCH($C166&amp;AF$5,INDIRECT($B$3&amp;"."&amp;$B$158&amp;".energy[Tech description]")&amp;INDIRECT($B$3&amp;"."&amp;$B$158&amp;".energy[Energy description]"),0)),0)</f>
        <v>0</v>
      </c>
      <c r="AG166" s="152">
        <f t="array" aca="1" ref="AG166" ca="1">IFERROR(INDEX(INDIRECT($B$3&amp;"."&amp;$B$158&amp;".energy["&amp;This.year&amp;"]"),MATCH($C166&amp;AG$5,INDIRECT($B$3&amp;"."&amp;$B$158&amp;".energy[Tech description]")&amp;INDIRECT($B$3&amp;"."&amp;$B$158&amp;".energy[Energy description]"),0)),0)</f>
        <v>0</v>
      </c>
      <c r="AH166" s="152">
        <f t="array" aca="1" ref="AH166" ca="1">IFERROR(INDEX(INDIRECT($B$3&amp;"."&amp;$B$158&amp;".energy["&amp;This.year&amp;"]"),MATCH($C166&amp;AH$5,INDIRECT($B$3&amp;"."&amp;$B$158&amp;".energy[Tech description]")&amp;INDIRECT($B$3&amp;"."&amp;$B$158&amp;".energy[Energy description]"),0)),0)</f>
        <v>0</v>
      </c>
      <c r="AI166" s="152">
        <f t="array" aca="1" ref="AI166" ca="1">IFERROR(INDEX(INDIRECT($B$3&amp;"."&amp;$B$158&amp;".energy["&amp;This.year&amp;"]"),MATCH($C166&amp;AI$5,INDIRECT($B$3&amp;"."&amp;$B$158&amp;".energy[Tech description]")&amp;INDIRECT($B$3&amp;"."&amp;$B$158&amp;".energy[Energy description]"),0)),0)</f>
        <v>0</v>
      </c>
      <c r="AJ166" s="152">
        <f t="array" aca="1" ref="AJ166" ca="1">IFERROR(INDEX(INDIRECT($B$3&amp;"."&amp;$B$158&amp;".energy["&amp;This.year&amp;"]"),MATCH($C166&amp;AJ$5,INDIRECT($B$3&amp;"."&amp;$B$158&amp;".energy[Tech description]")&amp;INDIRECT($B$3&amp;"."&amp;$B$158&amp;".energy[Energy description]"),0)),0)</f>
        <v>0</v>
      </c>
      <c r="AK166" s="152">
        <f t="array" aca="1" ref="AK166" ca="1">IFERROR(INDEX(INDIRECT($B$3&amp;"."&amp;$B$158&amp;".energy["&amp;This.year&amp;"]"),MATCH($C166&amp;AK$5,INDIRECT($B$3&amp;"."&amp;$B$158&amp;".energy[Tech description]")&amp;INDIRECT($B$3&amp;"."&amp;$B$158&amp;".energy[Energy description]"),0)),0)</f>
        <v>0</v>
      </c>
      <c r="AL166" s="152">
        <f t="array" aca="1" ref="AL166" ca="1">IFERROR(INDEX(INDIRECT($B$3&amp;"."&amp;$B$158&amp;".energy["&amp;This.year&amp;"]"),MATCH($C166&amp;AL$5,INDIRECT($B$3&amp;"."&amp;$B$158&amp;".energy[Tech description]")&amp;INDIRECT($B$3&amp;"."&amp;$B$158&amp;".energy[Energy description]"),0)),0)</f>
        <v>-0.80340865264799999</v>
      </c>
      <c r="AM166" s="152">
        <f t="array" aca="1" ref="AM166" ca="1">IFERROR(INDEX(INDIRECT($B$3&amp;"."&amp;$B$158&amp;".energy["&amp;This.year&amp;"]"),MATCH($C166&amp;AM$5,INDIRECT($B$3&amp;"."&amp;$B$158&amp;".energy[Tech description]")&amp;INDIRECT($B$3&amp;"."&amp;$B$158&amp;".energy[Energy description]"),0)),0)</f>
        <v>0</v>
      </c>
      <c r="AN166" s="152">
        <f t="array" aca="1" ref="AN166" ca="1">IFERROR(INDEX(INDIRECT($B$3&amp;"."&amp;$B$158&amp;".energy["&amp;This.year&amp;"]"),MATCH($C166&amp;AN$5,INDIRECT($B$3&amp;"."&amp;$B$158&amp;".energy[Tech description]")&amp;INDIRECT($B$3&amp;"."&amp;$B$158&amp;".energy[Energy description]"),0)),0)</f>
        <v>0</v>
      </c>
      <c r="AO166" s="152">
        <f t="shared" ca="1" si="11"/>
        <v>-0.80340865264799999</v>
      </c>
      <c r="AP166" s="108"/>
      <c r="AQ166" s="21">
        <f t="array" aca="1" ref="AQ166" ca="1">IFERROR(INDEX(INDIRECT($B$3&amp;"."&amp;$B$158&amp;".energy["&amp;This.year&amp;"]"),MATCH($C166&amp;AQ$5,INDIRECT($B$3&amp;"."&amp;$B$158&amp;".energy[Tech description]")&amp;INDIRECT($B$3&amp;"."&amp;$B$158&amp;".energy[Energy description]"),0)),0)</f>
        <v>0</v>
      </c>
      <c r="AR166" s="21">
        <f t="array" aca="1" ref="AR166" ca="1">IFERROR(INDEX(INDIRECT($B$3&amp;"."&amp;$B$158&amp;".energy["&amp;This.year&amp;"]"),MATCH($C166&amp;AR$5,INDIRECT($B$3&amp;"."&amp;$B$158&amp;".energy[Tech description]")&amp;INDIRECT($B$3&amp;"."&amp;$B$158&amp;".energy[Energy description]"),0)),0)</f>
        <v>0</v>
      </c>
      <c r="AS166" s="21">
        <f t="array" aca="1" ref="AS166" ca="1">IFERROR(INDEX(INDIRECT($B$3&amp;"."&amp;$B$158&amp;".energy["&amp;This.year&amp;"]"),MATCH($C166&amp;AS$5,INDIRECT($B$3&amp;"."&amp;$B$158&amp;".energy[Tech description]")&amp;INDIRECT($B$3&amp;"."&amp;$B$158&amp;".energy[Energy description]"),0)),0)</f>
        <v>0</v>
      </c>
      <c r="AT166" s="21">
        <f t="array" aca="1" ref="AT166" ca="1">IFERROR(INDEX(INDIRECT($B$3&amp;"."&amp;$B$158&amp;".energy["&amp;This.year&amp;"]"),MATCH($C166&amp;AT$5,INDIRECT($B$3&amp;"."&amp;$B$158&amp;".energy[Tech description]")&amp;INDIRECT($B$3&amp;"."&amp;$B$158&amp;".energy[Energy description]"),0)),0)</f>
        <v>0</v>
      </c>
      <c r="AU166" s="21">
        <f t="array" aca="1" ref="AU166" ca="1">IFERROR(INDEX(INDIRECT($B$3&amp;"."&amp;$B$158&amp;".energy["&amp;This.year&amp;"]"),MATCH($C166&amp;AU$5,INDIRECT($B$3&amp;"."&amp;$B$158&amp;".energy[Tech description]")&amp;INDIRECT($B$3&amp;"."&amp;$B$158&amp;".energy[Energy description]"),0)),0)</f>
        <v>0</v>
      </c>
      <c r="AV166" s="21">
        <f t="array" aca="1" ref="AV166" ca="1">IFERROR(INDEX(INDIRECT($B$3&amp;"."&amp;$B$158&amp;".energy["&amp;This.year&amp;"]"),MATCH($C166&amp;AV$5,INDIRECT($B$3&amp;"."&amp;$B$158&amp;".energy[Tech description]")&amp;INDIRECT($B$3&amp;"."&amp;$B$158&amp;".energy[Energy description]"),0)),0)</f>
        <v>0</v>
      </c>
      <c r="AW166" s="21">
        <f t="array" aca="1" ref="AW166" ca="1">IFERROR(INDEX(INDIRECT($B$3&amp;"."&amp;$B$158&amp;".energy["&amp;This.year&amp;"]"),MATCH($C166&amp;AW$5,INDIRECT($B$3&amp;"."&amp;$B$158&amp;".energy[Tech description]")&amp;INDIRECT($B$3&amp;"."&amp;$B$158&amp;".energy[Energy description]"),0)),0)</f>
        <v>0</v>
      </c>
      <c r="AX166" s="21">
        <f t="array" aca="1" ref="AX166" ca="1">IFERROR(INDEX(INDIRECT($B$3&amp;"."&amp;$B$158&amp;".energy["&amp;This.year&amp;"]"),MATCH($C166&amp;AX$5,INDIRECT($B$3&amp;"."&amp;$B$158&amp;".energy[Tech description]")&amp;INDIRECT($B$3&amp;"."&amp;$B$158&amp;".energy[Energy description]"),0)),0)</f>
        <v>0</v>
      </c>
      <c r="AY166" s="21">
        <f t="array" aca="1" ref="AY166" ca="1">IFERROR(INDEX(INDIRECT($B$3&amp;"."&amp;$B$158&amp;".energy["&amp;This.year&amp;"]"),MATCH($C166&amp;AY$5,INDIRECT($B$3&amp;"."&amp;$B$158&amp;".energy[Tech description]")&amp;INDIRECT($B$3&amp;"."&amp;$B$158&amp;".energy[Energy description]"),0)),0)</f>
        <v>0</v>
      </c>
      <c r="AZ166" s="21">
        <f t="array" aca="1" ref="AZ166" ca="1">IFERROR(INDEX(INDIRECT($B$3&amp;"."&amp;$B$158&amp;".energy["&amp;This.year&amp;"]"),MATCH($C166&amp;AZ$5,INDIRECT($B$3&amp;"."&amp;$B$158&amp;".energy[Tech description]")&amp;INDIRECT($B$3&amp;"."&amp;$B$158&amp;".energy[Energy description]"),0)),0)</f>
        <v>0</v>
      </c>
      <c r="BA166" s="21">
        <f t="array" aca="1" ref="BA166" ca="1">IFERROR(INDEX(INDIRECT($B$3&amp;"."&amp;$B$158&amp;".energy["&amp;This.year&amp;"]"),MATCH($C166&amp;BA$5,INDIRECT($B$3&amp;"."&amp;$B$158&amp;".energy[Tech description]")&amp;INDIRECT($B$3&amp;"."&amp;$B$158&amp;".energy[Energy description]"),0)),0)</f>
        <v>0</v>
      </c>
      <c r="BB166" s="21">
        <f t="array" aca="1" ref="BB166" ca="1">IFERROR(INDEX(INDIRECT($B$3&amp;"."&amp;$B$158&amp;".energy["&amp;This.year&amp;"]"),MATCH($C166&amp;BB$5,INDIRECT($B$3&amp;"."&amp;$B$158&amp;".energy[Tech description]")&amp;INDIRECT($B$3&amp;"."&amp;$B$158&amp;".energy[Energy description]"),0)),0)</f>
        <v>0</v>
      </c>
      <c r="BC166" s="21">
        <f t="array" aca="1" ref="BC166" ca="1">IFERROR(INDEX(INDIRECT($B$3&amp;"."&amp;$B$158&amp;".energy["&amp;This.year&amp;"]"),MATCH($C166&amp;BC$5,INDIRECT($B$3&amp;"."&amp;$B$158&amp;".energy[Tech description]")&amp;INDIRECT($B$3&amp;"."&amp;$B$158&amp;".energy[Energy description]"),0)),0)</f>
        <v>0</v>
      </c>
      <c r="BD166" s="21">
        <f t="shared" ca="1" si="12"/>
        <v>0</v>
      </c>
      <c r="BE166" s="108"/>
      <c r="BF166" s="49">
        <f t="array" aca="1" ref="BF166" ca="1">IFERROR(INDEX(INDIRECT($B$3&amp;"."&amp;$B$158&amp;".energy["&amp;This.year&amp;"]"),MATCH($C166&amp;BF$5,INDIRECT($B$3&amp;"."&amp;$B$158&amp;".energy[Tech description]")&amp;INDIRECT($B$3&amp;"."&amp;$B$158&amp;".energy[Energy description]"),0)),0)</f>
        <v>0</v>
      </c>
      <c r="BG166" s="49">
        <f t="array" aca="1" ref="BG166" ca="1">IFERROR(INDEX(INDIRECT($B$3&amp;"."&amp;$B$158&amp;".energy["&amp;This.year&amp;"]"),MATCH($C166&amp;BG$5,INDIRECT($B$3&amp;"."&amp;$B$158&amp;".energy[Tech description]")&amp;INDIRECT($B$3&amp;"."&amp;$B$158&amp;".energy[Energy description]"),0)),0)</f>
        <v>0</v>
      </c>
      <c r="BH166" s="49">
        <f t="shared" ca="1" si="13"/>
        <v>0</v>
      </c>
      <c r="BI166" s="219">
        <f t="shared" ca="1" si="9"/>
        <v>0</v>
      </c>
      <c r="BJ166" s="108"/>
    </row>
    <row r="167" spans="1:62" s="54" customFormat="1">
      <c r="A167" s="133"/>
      <c r="B167" s="176" t="s">
        <v>2053</v>
      </c>
      <c r="C167" s="114" t="str">
        <f>INDEX(Regional.Technologies[Description],MATCH($B$3&amp;"."&amp;B167,Regional.Technologies[Code],0))</f>
        <v>Global Electricity use in the Hisarna Oxygen steel technology</v>
      </c>
      <c r="E167" s="121">
        <f t="array" aca="1" ref="E167" ca="1">IFERROR(INDEX(INDIRECT($B$3&amp;"."&amp;$B$158&amp;".energy["&amp;This.year&amp;"]"),MATCH($C167&amp;E$5,INDIRECT($B$3&amp;"."&amp;$B$158&amp;".energy[Tech description]")&amp;INDIRECT($B$3&amp;"."&amp;$B$158&amp;".energy[Energy description]"),0)),0)</f>
        <v>0</v>
      </c>
      <c r="F167" s="121">
        <f t="array" aca="1" ref="F167" ca="1">IFERROR(INDEX(INDIRECT($B$3&amp;"."&amp;$B$158&amp;".energy["&amp;This.year&amp;"]"),MATCH($C167&amp;F$5,INDIRECT($B$3&amp;"."&amp;$B$158&amp;".energy[Tech description]")&amp;INDIRECT($B$3&amp;"."&amp;$B$158&amp;".energy[Energy description]"),0)),0)</f>
        <v>0</v>
      </c>
      <c r="G167" s="121">
        <f t="array" aca="1" ref="G167" ca="1">IFERROR(INDEX(INDIRECT($B$3&amp;"."&amp;$B$158&amp;".energy["&amp;This.year&amp;"]"),MATCH($C167&amp;G$5,INDIRECT($B$3&amp;"."&amp;$B$158&amp;".energy[Tech description]")&amp;INDIRECT($B$3&amp;"."&amp;$B$158&amp;".energy[Energy description]"),0)),0)</f>
        <v>0</v>
      </c>
      <c r="H167" s="121">
        <f t="array" aca="1" ref="H167" ca="1">IFERROR(INDEX(INDIRECT($B$3&amp;"."&amp;$B$158&amp;".energy["&amp;This.year&amp;"]"),MATCH($C167&amp;H$5,INDIRECT($B$3&amp;"."&amp;$B$158&amp;".energy[Tech description]")&amp;INDIRECT($B$3&amp;"."&amp;$B$158&amp;".energy[Energy description]"),0)),0)</f>
        <v>0</v>
      </c>
      <c r="I167" s="121">
        <f t="array" aca="1" ref="I167" ca="1">IFERROR(INDEX(INDIRECT($B$3&amp;"."&amp;$B$158&amp;".energy["&amp;This.year&amp;"]"),MATCH($C167&amp;I$5,INDIRECT($B$3&amp;"."&amp;$B$158&amp;".energy[Tech description]")&amp;INDIRECT($B$3&amp;"."&amp;$B$158&amp;".energy[Energy description]"),0)),0)</f>
        <v>0</v>
      </c>
      <c r="J167" s="121">
        <f t="array" aca="1" ref="J167" ca="1">IFERROR(INDEX(INDIRECT($B$3&amp;"."&amp;$B$158&amp;".energy["&amp;This.year&amp;"]"),MATCH($C167&amp;J$5,INDIRECT($B$3&amp;"."&amp;$B$158&amp;".energy[Tech description]")&amp;INDIRECT($B$3&amp;"."&amp;$B$158&amp;".energy[Energy description]"),0)),0)</f>
        <v>0</v>
      </c>
      <c r="K167" s="121">
        <f t="array" aca="1" ref="K167" ca="1">IFERROR(INDEX(INDIRECT($B$3&amp;"."&amp;$B$158&amp;".energy["&amp;This.year&amp;"]"),MATCH($C167&amp;K$5,INDIRECT($B$3&amp;"."&amp;$B$158&amp;".energy[Tech description]")&amp;INDIRECT($B$3&amp;"."&amp;$B$158&amp;".energy[Energy description]"),0)),0)</f>
        <v>0</v>
      </c>
      <c r="L167" s="121">
        <f t="array" aca="1" ref="L167" ca="1">IFERROR(INDEX(INDIRECT($B$3&amp;"."&amp;$B$158&amp;".energy["&amp;This.year&amp;"]"),MATCH($C167&amp;L$5,INDIRECT($B$3&amp;"."&amp;$B$158&amp;".energy[Tech description]")&amp;INDIRECT($B$3&amp;"."&amp;$B$158&amp;".energy[Energy description]"),0)),0)</f>
        <v>0</v>
      </c>
      <c r="M167" s="121">
        <f t="array" aca="1" ref="M167" ca="1">IFERROR(INDEX(INDIRECT($B$3&amp;"."&amp;$B$158&amp;".energy["&amp;This.year&amp;"]"),MATCH($C167&amp;M$5,INDIRECT($B$3&amp;"."&amp;$B$158&amp;".energy[Tech description]")&amp;INDIRECT($B$3&amp;"."&amp;$B$158&amp;".energy[Energy description]"),0)),0)</f>
        <v>0</v>
      </c>
      <c r="N167" s="121">
        <f t="array" aca="1" ref="N167" ca="1">IFERROR(INDEX(INDIRECT($B$3&amp;"."&amp;$B$158&amp;".energy["&amp;This.year&amp;"]"),MATCH($C167&amp;N$5,INDIRECT($B$3&amp;"."&amp;$B$158&amp;".energy[Tech description]")&amp;INDIRECT($B$3&amp;"."&amp;$B$158&amp;".energy[Energy description]"),0)),0)</f>
        <v>0</v>
      </c>
      <c r="O167" s="121">
        <f t="array" aca="1" ref="O167" ca="1">IFERROR(INDEX(INDIRECT($B$3&amp;"."&amp;$B$158&amp;".energy["&amp;This.year&amp;"]"),MATCH($C167&amp;O$5,INDIRECT($B$3&amp;"."&amp;$B$158&amp;".energy[Tech description]")&amp;INDIRECT($B$3&amp;"."&amp;$B$158&amp;".energy[Energy description]"),0)),0)</f>
        <v>0</v>
      </c>
      <c r="P167" s="121">
        <f t="array" aca="1" ref="P167" ca="1">IFERROR(INDEX(INDIRECT($B$3&amp;"."&amp;$B$158&amp;".energy["&amp;This.year&amp;"]"),MATCH($C167&amp;P$5,INDIRECT($B$3&amp;"."&amp;$B$158&amp;".energy[Tech description]")&amp;INDIRECT($B$3&amp;"."&amp;$B$158&amp;".energy[Energy description]"),0)),0)</f>
        <v>0</v>
      </c>
      <c r="Q167" s="121">
        <f t="array" aca="1" ref="Q167" ca="1">IFERROR(INDEX(INDIRECT($B$3&amp;"."&amp;$B$158&amp;".energy["&amp;This.year&amp;"]"),MATCH($C167&amp;Q$5,INDIRECT($B$3&amp;"."&amp;$B$158&amp;".energy[Tech description]")&amp;INDIRECT($B$3&amp;"."&amp;$B$158&amp;".energy[Energy description]"),0)),0)</f>
        <v>0</v>
      </c>
      <c r="R167" s="121">
        <f t="array" aca="1" ref="R167" ca="1">IFERROR(INDEX(INDIRECT($B$3&amp;"."&amp;$B$158&amp;".energy["&amp;This.year&amp;"]"),MATCH($C167&amp;R$5,INDIRECT($B$3&amp;"."&amp;$B$158&amp;".energy[Tech description]")&amp;INDIRECT($B$3&amp;"."&amp;$B$158&amp;".energy[Energy description]"),0)),0)</f>
        <v>0</v>
      </c>
      <c r="S167" s="121">
        <f t="array" aca="1" ref="S167" ca="1">IFERROR(INDEX(INDIRECT($B$3&amp;"."&amp;$B$158&amp;".energy["&amp;This.year&amp;"]"),MATCH($C167&amp;S$5,INDIRECT($B$3&amp;"."&amp;$B$158&amp;".energy[Tech description]")&amp;INDIRECT($B$3&amp;"."&amp;$B$158&amp;".energy[Energy description]"),0)),0)</f>
        <v>0</v>
      </c>
      <c r="T167" s="121">
        <f t="shared" ca="1" si="10"/>
        <v>0</v>
      </c>
      <c r="U167" s="109"/>
      <c r="V167" s="152">
        <f t="array" aca="1" ref="V167" ca="1">IFERROR(INDEX(INDIRECT($B$3&amp;"."&amp;$B$158&amp;".energy["&amp;This.year&amp;"]"),MATCH($C167&amp;V$5,INDIRECT($B$3&amp;"."&amp;$B$158&amp;".energy[Tech description]")&amp;INDIRECT($B$3&amp;"."&amp;$B$158&amp;".energy[Energy description]"),0)),0)</f>
        <v>0</v>
      </c>
      <c r="W167" s="152">
        <f t="array" aca="1" ref="W167" ca="1">IFERROR(INDEX(INDIRECT($B$3&amp;"."&amp;$B$158&amp;".energy["&amp;This.year&amp;"]"),MATCH($C167&amp;W$5,INDIRECT($B$3&amp;"."&amp;$B$158&amp;".energy[Tech description]")&amp;INDIRECT($B$3&amp;"."&amp;$B$158&amp;".energy[Energy description]"),0)),0)</f>
        <v>0</v>
      </c>
      <c r="X167" s="152">
        <f t="array" aca="1" ref="X167" ca="1">IFERROR(INDEX(INDIRECT($B$3&amp;"."&amp;$B$158&amp;".energy["&amp;This.year&amp;"]"),MATCH($C167&amp;X$5,INDIRECT($B$3&amp;"."&amp;$B$158&amp;".energy[Tech description]")&amp;INDIRECT($B$3&amp;"."&amp;$B$158&amp;".energy[Energy description]"),0)),0)</f>
        <v>0</v>
      </c>
      <c r="Y167" s="152">
        <f t="array" aca="1" ref="Y167" ca="1">IFERROR(INDEX(INDIRECT($B$3&amp;"."&amp;$B$158&amp;".energy["&amp;This.year&amp;"]"),MATCH($C167&amp;Y$5,INDIRECT($B$3&amp;"."&amp;$B$158&amp;".energy[Tech description]")&amp;INDIRECT($B$3&amp;"."&amp;$B$158&amp;".energy[Energy description]"),0)),0)</f>
        <v>0</v>
      </c>
      <c r="Z167" s="152">
        <f t="array" aca="1" ref="Z167" ca="1">IFERROR(INDEX(INDIRECT($B$3&amp;"."&amp;$B$158&amp;".energy["&amp;This.year&amp;"]"),MATCH($C167&amp;Z$5,INDIRECT($B$3&amp;"."&amp;$B$158&amp;".energy[Tech description]")&amp;INDIRECT($B$3&amp;"."&amp;$B$158&amp;".energy[Energy description]"),0)),0)</f>
        <v>0</v>
      </c>
      <c r="AA167" s="152">
        <f t="array" aca="1" ref="AA167" ca="1">IFERROR(INDEX(INDIRECT($B$3&amp;"."&amp;$B$158&amp;".energy["&amp;This.year&amp;"]"),MATCH($C167&amp;AA$5,INDIRECT($B$3&amp;"."&amp;$B$158&amp;".energy[Tech description]")&amp;INDIRECT($B$3&amp;"."&amp;$B$158&amp;".energy[Energy description]"),0)),0)</f>
        <v>0</v>
      </c>
      <c r="AB167" s="152">
        <f t="array" aca="1" ref="AB167" ca="1">IFERROR(INDEX(INDIRECT($B$3&amp;"."&amp;$B$158&amp;".energy["&amp;This.year&amp;"]"),MATCH($C167&amp;AB$5,INDIRECT($B$3&amp;"."&amp;$B$158&amp;".energy[Tech description]")&amp;INDIRECT($B$3&amp;"."&amp;$B$158&amp;".energy[Energy description]"),0)),0)</f>
        <v>0</v>
      </c>
      <c r="AC167" s="152">
        <f t="array" aca="1" ref="AC167" ca="1">IFERROR(INDEX(INDIRECT($B$3&amp;"."&amp;$B$158&amp;".energy["&amp;This.year&amp;"]"),MATCH($C167&amp;AC$5,INDIRECT($B$3&amp;"."&amp;$B$158&amp;".energy[Tech description]")&amp;INDIRECT($B$3&amp;"."&amp;$B$158&amp;".energy[Energy description]"),0)),0)</f>
        <v>0</v>
      </c>
      <c r="AD167" s="152">
        <f t="array" aca="1" ref="AD167" ca="1">IFERROR(INDEX(INDIRECT($B$3&amp;"."&amp;$B$158&amp;".energy["&amp;This.year&amp;"]"),MATCH($C167&amp;AD$5,INDIRECT($B$3&amp;"."&amp;$B$158&amp;".energy[Tech description]")&amp;INDIRECT($B$3&amp;"."&amp;$B$158&amp;".energy[Energy description]"),0)),0)</f>
        <v>0</v>
      </c>
      <c r="AE167" s="152">
        <f t="array" aca="1" ref="AE167" ca="1">IFERROR(INDEX(INDIRECT($B$3&amp;"."&amp;$B$158&amp;".energy["&amp;This.year&amp;"]"),MATCH($C167&amp;AE$5,INDIRECT($B$3&amp;"."&amp;$B$158&amp;".energy[Tech description]")&amp;INDIRECT($B$3&amp;"."&amp;$B$158&amp;".energy[Energy description]"),0)),0)</f>
        <v>0</v>
      </c>
      <c r="AF167" s="152">
        <f t="array" aca="1" ref="AF167" ca="1">IFERROR(INDEX(INDIRECT($B$3&amp;"."&amp;$B$158&amp;".energy["&amp;This.year&amp;"]"),MATCH($C167&amp;AF$5,INDIRECT($B$3&amp;"."&amp;$B$158&amp;".energy[Tech description]")&amp;INDIRECT($B$3&amp;"."&amp;$B$158&amp;".energy[Energy description]"),0)),0)</f>
        <v>0</v>
      </c>
      <c r="AG167" s="152">
        <f t="array" aca="1" ref="AG167" ca="1">IFERROR(INDEX(INDIRECT($B$3&amp;"."&amp;$B$158&amp;".energy["&amp;This.year&amp;"]"),MATCH($C167&amp;AG$5,INDIRECT($B$3&amp;"."&amp;$B$158&amp;".energy[Tech description]")&amp;INDIRECT($B$3&amp;"."&amp;$B$158&amp;".energy[Energy description]"),0)),0)</f>
        <v>0</v>
      </c>
      <c r="AH167" s="152">
        <f t="array" aca="1" ref="AH167" ca="1">IFERROR(INDEX(INDIRECT($B$3&amp;"."&amp;$B$158&amp;".energy["&amp;This.year&amp;"]"),MATCH($C167&amp;AH$5,INDIRECT($B$3&amp;"."&amp;$B$158&amp;".energy[Tech description]")&amp;INDIRECT($B$3&amp;"."&amp;$B$158&amp;".energy[Energy description]"),0)),0)</f>
        <v>0</v>
      </c>
      <c r="AI167" s="152">
        <f t="array" aca="1" ref="AI167" ca="1">IFERROR(INDEX(INDIRECT($B$3&amp;"."&amp;$B$158&amp;".energy["&amp;This.year&amp;"]"),MATCH($C167&amp;AI$5,INDIRECT($B$3&amp;"."&amp;$B$158&amp;".energy[Tech description]")&amp;INDIRECT($B$3&amp;"."&amp;$B$158&amp;".energy[Energy description]"),0)),0)</f>
        <v>0</v>
      </c>
      <c r="AJ167" s="152">
        <f t="array" aca="1" ref="AJ167" ca="1">IFERROR(INDEX(INDIRECT($B$3&amp;"."&amp;$B$158&amp;".energy["&amp;This.year&amp;"]"),MATCH($C167&amp;AJ$5,INDIRECT($B$3&amp;"."&amp;$B$158&amp;".energy[Tech description]")&amp;INDIRECT($B$3&amp;"."&amp;$B$158&amp;".energy[Energy description]"),0)),0)</f>
        <v>0</v>
      </c>
      <c r="AK167" s="152">
        <f t="array" aca="1" ref="AK167" ca="1">IFERROR(INDEX(INDIRECT($B$3&amp;"."&amp;$B$158&amp;".energy["&amp;This.year&amp;"]"),MATCH($C167&amp;AK$5,INDIRECT($B$3&amp;"."&amp;$B$158&amp;".energy[Tech description]")&amp;INDIRECT($B$3&amp;"."&amp;$B$158&amp;".energy[Energy description]"),0)),0)</f>
        <v>0</v>
      </c>
      <c r="AL167" s="152">
        <f t="array" aca="1" ref="AL167" ca="1">IFERROR(INDEX(INDIRECT($B$3&amp;"."&amp;$B$158&amp;".energy["&amp;This.year&amp;"]"),MATCH($C167&amp;AL$5,INDIRECT($B$3&amp;"."&amp;$B$158&amp;".energy[Tech description]")&amp;INDIRECT($B$3&amp;"."&amp;$B$158&amp;".energy[Energy description]"),0)),0)</f>
        <v>0</v>
      </c>
      <c r="AM167" s="152">
        <f t="array" aca="1" ref="AM167" ca="1">IFERROR(INDEX(INDIRECT($B$3&amp;"."&amp;$B$158&amp;".energy["&amp;This.year&amp;"]"),MATCH($C167&amp;AM$5,INDIRECT($B$3&amp;"."&amp;$B$158&amp;".energy[Tech description]")&amp;INDIRECT($B$3&amp;"."&amp;$B$158&amp;".energy[Energy description]"),0)),0)</f>
        <v>0</v>
      </c>
      <c r="AN167" s="152">
        <f t="array" aca="1" ref="AN167" ca="1">IFERROR(INDEX(INDIRECT($B$3&amp;"."&amp;$B$158&amp;".energy["&amp;This.year&amp;"]"),MATCH($C167&amp;AN$5,INDIRECT($B$3&amp;"."&amp;$B$158&amp;".energy[Tech description]")&amp;INDIRECT($B$3&amp;"."&amp;$B$158&amp;".energy[Energy description]"),0)),0)</f>
        <v>0</v>
      </c>
      <c r="AO167" s="152">
        <f t="shared" ca="1" si="11"/>
        <v>0</v>
      </c>
      <c r="AP167" s="108"/>
      <c r="AQ167" s="21">
        <f t="array" aca="1" ref="AQ167" ca="1">IFERROR(INDEX(INDIRECT($B$3&amp;"."&amp;$B$158&amp;".energy["&amp;This.year&amp;"]"),MATCH($C167&amp;AQ$5,INDIRECT($B$3&amp;"."&amp;$B$158&amp;".energy[Tech description]")&amp;INDIRECT($B$3&amp;"."&amp;$B$158&amp;".energy[Energy description]"),0)),0)</f>
        <v>0</v>
      </c>
      <c r="AR167" s="21">
        <f t="array" aca="1" ref="AR167" ca="1">IFERROR(INDEX(INDIRECT($B$3&amp;"."&amp;$B$158&amp;".energy["&amp;This.year&amp;"]"),MATCH($C167&amp;AR$5,INDIRECT($B$3&amp;"."&amp;$B$158&amp;".energy[Tech description]")&amp;INDIRECT($B$3&amp;"."&amp;$B$158&amp;".energy[Energy description]"),0)),0)</f>
        <v>0</v>
      </c>
      <c r="AS167" s="21">
        <f t="array" aca="1" ref="AS167" ca="1">IFERROR(INDEX(INDIRECT($B$3&amp;"."&amp;$B$158&amp;".energy["&amp;This.year&amp;"]"),MATCH($C167&amp;AS$5,INDIRECT($B$3&amp;"."&amp;$B$158&amp;".energy[Tech description]")&amp;INDIRECT($B$3&amp;"."&amp;$B$158&amp;".energy[Energy description]"),0)),0)</f>
        <v>0</v>
      </c>
      <c r="AT167" s="21">
        <f t="array" aca="1" ref="AT167" ca="1">IFERROR(INDEX(INDIRECT($B$3&amp;"."&amp;$B$158&amp;".energy["&amp;This.year&amp;"]"),MATCH($C167&amp;AT$5,INDIRECT($B$3&amp;"."&amp;$B$158&amp;".energy[Tech description]")&amp;INDIRECT($B$3&amp;"."&amp;$B$158&amp;".energy[Energy description]"),0)),0)</f>
        <v>0</v>
      </c>
      <c r="AU167" s="21">
        <f t="array" aca="1" ref="AU167" ca="1">IFERROR(INDEX(INDIRECT($B$3&amp;"."&amp;$B$158&amp;".energy["&amp;This.year&amp;"]"),MATCH($C167&amp;AU$5,INDIRECT($B$3&amp;"."&amp;$B$158&amp;".energy[Tech description]")&amp;INDIRECT($B$3&amp;"."&amp;$B$158&amp;".energy[Energy description]"),0)),0)</f>
        <v>0</v>
      </c>
      <c r="AV167" s="21">
        <f t="array" aca="1" ref="AV167" ca="1">IFERROR(INDEX(INDIRECT($B$3&amp;"."&amp;$B$158&amp;".energy["&amp;This.year&amp;"]"),MATCH($C167&amp;AV$5,INDIRECT($B$3&amp;"."&amp;$B$158&amp;".energy[Tech description]")&amp;INDIRECT($B$3&amp;"."&amp;$B$158&amp;".energy[Energy description]"),0)),0)</f>
        <v>0</v>
      </c>
      <c r="AW167" s="21">
        <f t="array" aca="1" ref="AW167" ca="1">IFERROR(INDEX(INDIRECT($B$3&amp;"."&amp;$B$158&amp;".energy["&amp;This.year&amp;"]"),MATCH($C167&amp;AW$5,INDIRECT($B$3&amp;"."&amp;$B$158&amp;".energy[Tech description]")&amp;INDIRECT($B$3&amp;"."&amp;$B$158&amp;".energy[Energy description]"),0)),0)</f>
        <v>0</v>
      </c>
      <c r="AX167" s="21">
        <f t="array" aca="1" ref="AX167" ca="1">IFERROR(INDEX(INDIRECT($B$3&amp;"."&amp;$B$158&amp;".energy["&amp;This.year&amp;"]"),MATCH($C167&amp;AX$5,INDIRECT($B$3&amp;"."&amp;$B$158&amp;".energy[Tech description]")&amp;INDIRECT($B$3&amp;"."&amp;$B$158&amp;".energy[Energy description]"),0)),0)</f>
        <v>0</v>
      </c>
      <c r="AY167" s="21">
        <f t="array" aca="1" ref="AY167" ca="1">IFERROR(INDEX(INDIRECT($B$3&amp;"."&amp;$B$158&amp;".energy["&amp;This.year&amp;"]"),MATCH($C167&amp;AY$5,INDIRECT($B$3&amp;"."&amp;$B$158&amp;".energy[Tech description]")&amp;INDIRECT($B$3&amp;"."&amp;$B$158&amp;".energy[Energy description]"),0)),0)</f>
        <v>0</v>
      </c>
      <c r="AZ167" s="21">
        <f t="array" aca="1" ref="AZ167" ca="1">IFERROR(INDEX(INDIRECT($B$3&amp;"."&amp;$B$158&amp;".energy["&amp;This.year&amp;"]"),MATCH($C167&amp;AZ$5,INDIRECT($B$3&amp;"."&amp;$B$158&amp;".energy[Tech description]")&amp;INDIRECT($B$3&amp;"."&amp;$B$158&amp;".energy[Energy description]"),0)),0)</f>
        <v>0</v>
      </c>
      <c r="BA167" s="21">
        <f t="array" aca="1" ref="BA167" ca="1">IFERROR(INDEX(INDIRECT($B$3&amp;"."&amp;$B$158&amp;".energy["&amp;This.year&amp;"]"),MATCH($C167&amp;BA$5,INDIRECT($B$3&amp;"."&amp;$B$158&amp;".energy[Tech description]")&amp;INDIRECT($B$3&amp;"."&amp;$B$158&amp;".energy[Energy description]"),0)),0)</f>
        <v>0</v>
      </c>
      <c r="BB167" s="21">
        <f t="array" aca="1" ref="BB167" ca="1">IFERROR(INDEX(INDIRECT($B$3&amp;"."&amp;$B$158&amp;".energy["&amp;This.year&amp;"]"),MATCH($C167&amp;BB$5,INDIRECT($B$3&amp;"."&amp;$B$158&amp;".energy[Tech description]")&amp;INDIRECT($B$3&amp;"."&amp;$B$158&amp;".energy[Energy description]"),0)),0)</f>
        <v>0</v>
      </c>
      <c r="BC167" s="21">
        <f t="array" aca="1" ref="BC167" ca="1">IFERROR(INDEX(INDIRECT($B$3&amp;"."&amp;$B$158&amp;".energy["&amp;This.year&amp;"]"),MATCH($C167&amp;BC$5,INDIRECT($B$3&amp;"."&amp;$B$158&amp;".energy[Tech description]")&amp;INDIRECT($B$3&amp;"."&amp;$B$158&amp;".energy[Energy description]"),0)),0)</f>
        <v>0</v>
      </c>
      <c r="BD167" s="21">
        <f t="shared" ca="1" si="12"/>
        <v>0</v>
      </c>
      <c r="BE167" s="108"/>
      <c r="BF167" s="49">
        <f t="array" aca="1" ref="BF167" ca="1">IFERROR(INDEX(INDIRECT($B$3&amp;"."&amp;$B$158&amp;".energy["&amp;This.year&amp;"]"),MATCH($C167&amp;BF$5,INDIRECT($B$3&amp;"."&amp;$B$158&amp;".energy[Tech description]")&amp;INDIRECT($B$3&amp;"."&amp;$B$158&amp;".energy[Energy description]"),0)),0)</f>
        <v>0</v>
      </c>
      <c r="BG167" s="49">
        <f t="array" aca="1" ref="BG167" ca="1">IFERROR(INDEX(INDIRECT($B$3&amp;"."&amp;$B$158&amp;".energy["&amp;This.year&amp;"]"),MATCH($C167&amp;BG$5,INDIRECT($B$3&amp;"."&amp;$B$158&amp;".energy[Tech description]")&amp;INDIRECT($B$3&amp;"."&amp;$B$158&amp;".energy[Energy description]"),0)),0)</f>
        <v>0</v>
      </c>
      <c r="BH167" s="49">
        <f t="shared" ca="1" si="13"/>
        <v>0</v>
      </c>
      <c r="BI167" s="219">
        <f t="shared" ca="1" si="9"/>
        <v>0</v>
      </c>
      <c r="BJ167" s="108"/>
    </row>
    <row r="168" spans="1:62" s="54" customFormat="1">
      <c r="A168" s="133"/>
      <c r="B168" s="176" t="s">
        <v>2054</v>
      </c>
      <c r="C168" s="114" t="str">
        <f>INDEX(Regional.Technologies[Description],MATCH($B$3&amp;"."&amp;B168,Regional.Technologies[Code],0))</f>
        <v>Global Coal use in the Hisarna Oxygen steel technology</v>
      </c>
      <c r="E168" s="121">
        <f t="array" aca="1" ref="E168" ca="1">IFERROR(INDEX(INDIRECT($B$3&amp;"."&amp;$B$158&amp;".energy["&amp;This.year&amp;"]"),MATCH($C168&amp;E$5,INDIRECT($B$3&amp;"."&amp;$B$158&amp;".energy[Tech description]")&amp;INDIRECT($B$3&amp;"."&amp;$B$158&amp;".energy[Energy description]"),0)),0)</f>
        <v>0</v>
      </c>
      <c r="F168" s="121">
        <f t="array" aca="1" ref="F168" ca="1">IFERROR(INDEX(INDIRECT($B$3&amp;"."&amp;$B$158&amp;".energy["&amp;This.year&amp;"]"),MATCH($C168&amp;F$5,INDIRECT($B$3&amp;"."&amp;$B$158&amp;".energy[Tech description]")&amp;INDIRECT($B$3&amp;"."&amp;$B$158&amp;".energy[Energy description]"),0)),0)</f>
        <v>0</v>
      </c>
      <c r="G168" s="121">
        <f t="array" aca="1" ref="G168" ca="1">IFERROR(INDEX(INDIRECT($B$3&amp;"."&amp;$B$158&amp;".energy["&amp;This.year&amp;"]"),MATCH($C168&amp;G$5,INDIRECT($B$3&amp;"."&amp;$B$158&amp;".energy[Tech description]")&amp;INDIRECT($B$3&amp;"."&amp;$B$158&amp;".energy[Energy description]"),0)),0)</f>
        <v>0</v>
      </c>
      <c r="H168" s="121">
        <f t="array" aca="1" ref="H168" ca="1">IFERROR(INDEX(INDIRECT($B$3&amp;"."&amp;$B$158&amp;".energy["&amp;This.year&amp;"]"),MATCH($C168&amp;H$5,INDIRECT($B$3&amp;"."&amp;$B$158&amp;".energy[Tech description]")&amp;INDIRECT($B$3&amp;"."&amp;$B$158&amp;".energy[Energy description]"),0)),0)</f>
        <v>0</v>
      </c>
      <c r="I168" s="121">
        <f t="array" aca="1" ref="I168" ca="1">IFERROR(INDEX(INDIRECT($B$3&amp;"."&amp;$B$158&amp;".energy["&amp;This.year&amp;"]"),MATCH($C168&amp;I$5,INDIRECT($B$3&amp;"."&amp;$B$158&amp;".energy[Tech description]")&amp;INDIRECT($B$3&amp;"."&amp;$B$158&amp;".energy[Energy description]"),0)),0)</f>
        <v>0</v>
      </c>
      <c r="J168" s="121">
        <f t="array" aca="1" ref="J168" ca="1">IFERROR(INDEX(INDIRECT($B$3&amp;"."&amp;$B$158&amp;".energy["&amp;This.year&amp;"]"),MATCH($C168&amp;J$5,INDIRECT($B$3&amp;"."&amp;$B$158&amp;".energy[Tech description]")&amp;INDIRECT($B$3&amp;"."&amp;$B$158&amp;".energy[Energy description]"),0)),0)</f>
        <v>0</v>
      </c>
      <c r="K168" s="121">
        <f t="array" aca="1" ref="K168" ca="1">IFERROR(INDEX(INDIRECT($B$3&amp;"."&amp;$B$158&amp;".energy["&amp;This.year&amp;"]"),MATCH($C168&amp;K$5,INDIRECT($B$3&amp;"."&amp;$B$158&amp;".energy[Tech description]")&amp;INDIRECT($B$3&amp;"."&amp;$B$158&amp;".energy[Energy description]"),0)),0)</f>
        <v>0</v>
      </c>
      <c r="L168" s="121">
        <f t="array" aca="1" ref="L168" ca="1">IFERROR(INDEX(INDIRECT($B$3&amp;"."&amp;$B$158&amp;".energy["&amp;This.year&amp;"]"),MATCH($C168&amp;L$5,INDIRECT($B$3&amp;"."&amp;$B$158&amp;".energy[Tech description]")&amp;INDIRECT($B$3&amp;"."&amp;$B$158&amp;".energy[Energy description]"),0)),0)</f>
        <v>0</v>
      </c>
      <c r="M168" s="121">
        <f t="array" aca="1" ref="M168" ca="1">IFERROR(INDEX(INDIRECT($B$3&amp;"."&amp;$B$158&amp;".energy["&amp;This.year&amp;"]"),MATCH($C168&amp;M$5,INDIRECT($B$3&amp;"."&amp;$B$158&amp;".energy[Tech description]")&amp;INDIRECT($B$3&amp;"."&amp;$B$158&amp;".energy[Energy description]"),0)),0)</f>
        <v>0</v>
      </c>
      <c r="N168" s="121">
        <f t="array" aca="1" ref="N168" ca="1">IFERROR(INDEX(INDIRECT($B$3&amp;"."&amp;$B$158&amp;".energy["&amp;This.year&amp;"]"),MATCH($C168&amp;N$5,INDIRECT($B$3&amp;"."&amp;$B$158&amp;".energy[Tech description]")&amp;INDIRECT($B$3&amp;"."&amp;$B$158&amp;".energy[Energy description]"),0)),0)</f>
        <v>0</v>
      </c>
      <c r="O168" s="121">
        <f t="array" aca="1" ref="O168" ca="1">IFERROR(INDEX(INDIRECT($B$3&amp;"."&amp;$B$158&amp;".energy["&amp;This.year&amp;"]"),MATCH($C168&amp;O$5,INDIRECT($B$3&amp;"."&amp;$B$158&amp;".energy[Tech description]")&amp;INDIRECT($B$3&amp;"."&amp;$B$158&amp;".energy[Energy description]"),0)),0)</f>
        <v>0</v>
      </c>
      <c r="P168" s="121">
        <f t="array" aca="1" ref="P168" ca="1">IFERROR(INDEX(INDIRECT($B$3&amp;"."&amp;$B$158&amp;".energy["&amp;This.year&amp;"]"),MATCH($C168&amp;P$5,INDIRECT($B$3&amp;"."&amp;$B$158&amp;".energy[Tech description]")&amp;INDIRECT($B$3&amp;"."&amp;$B$158&amp;".energy[Energy description]"),0)),0)</f>
        <v>0</v>
      </c>
      <c r="Q168" s="121">
        <f t="array" aca="1" ref="Q168" ca="1">IFERROR(INDEX(INDIRECT($B$3&amp;"."&amp;$B$158&amp;".energy["&amp;This.year&amp;"]"),MATCH($C168&amp;Q$5,INDIRECT($B$3&amp;"."&amp;$B$158&amp;".energy[Tech description]")&amp;INDIRECT($B$3&amp;"."&amp;$B$158&amp;".energy[Energy description]"),0)),0)</f>
        <v>0</v>
      </c>
      <c r="R168" s="121">
        <f t="array" aca="1" ref="R168" ca="1">IFERROR(INDEX(INDIRECT($B$3&amp;"."&amp;$B$158&amp;".energy["&amp;This.year&amp;"]"),MATCH($C168&amp;R$5,INDIRECT($B$3&amp;"."&amp;$B$158&amp;".energy[Tech description]")&amp;INDIRECT($B$3&amp;"."&amp;$B$158&amp;".energy[Energy description]"),0)),0)</f>
        <v>0</v>
      </c>
      <c r="S168" s="121">
        <f t="array" aca="1" ref="S168" ca="1">IFERROR(INDEX(INDIRECT($B$3&amp;"."&amp;$B$158&amp;".energy["&amp;This.year&amp;"]"),MATCH($C168&amp;S$5,INDIRECT($B$3&amp;"."&amp;$B$158&amp;".energy[Tech description]")&amp;INDIRECT($B$3&amp;"."&amp;$B$158&amp;".energy[Energy description]"),0)),0)</f>
        <v>0</v>
      </c>
      <c r="T168" s="121">
        <f t="shared" ca="1" si="10"/>
        <v>0</v>
      </c>
      <c r="U168" s="109"/>
      <c r="V168" s="152">
        <f t="array" aca="1" ref="V168" ca="1">IFERROR(INDEX(INDIRECT($B$3&amp;"."&amp;$B$158&amp;".energy["&amp;This.year&amp;"]"),MATCH($C168&amp;V$5,INDIRECT($B$3&amp;"."&amp;$B$158&amp;".energy[Tech description]")&amp;INDIRECT($B$3&amp;"."&amp;$B$158&amp;".energy[Energy description]"),0)),0)</f>
        <v>0</v>
      </c>
      <c r="W168" s="152">
        <f t="array" aca="1" ref="W168" ca="1">IFERROR(INDEX(INDIRECT($B$3&amp;"."&amp;$B$158&amp;".energy["&amp;This.year&amp;"]"),MATCH($C168&amp;W$5,INDIRECT($B$3&amp;"."&amp;$B$158&amp;".energy[Tech description]")&amp;INDIRECT($B$3&amp;"."&amp;$B$158&amp;".energy[Energy description]"),0)),0)</f>
        <v>0</v>
      </c>
      <c r="X168" s="152">
        <f t="array" aca="1" ref="X168" ca="1">IFERROR(INDEX(INDIRECT($B$3&amp;"."&amp;$B$158&amp;".energy["&amp;This.year&amp;"]"),MATCH($C168&amp;X$5,INDIRECT($B$3&amp;"."&amp;$B$158&amp;".energy[Tech description]")&amp;INDIRECT($B$3&amp;"."&amp;$B$158&amp;".energy[Energy description]"),0)),0)</f>
        <v>0</v>
      </c>
      <c r="Y168" s="152">
        <f t="array" aca="1" ref="Y168" ca="1">IFERROR(INDEX(INDIRECT($B$3&amp;"."&amp;$B$158&amp;".energy["&amp;This.year&amp;"]"),MATCH($C168&amp;Y$5,INDIRECT($B$3&amp;"."&amp;$B$158&amp;".energy[Tech description]")&amp;INDIRECT($B$3&amp;"."&amp;$B$158&amp;".energy[Energy description]"),0)),0)</f>
        <v>0</v>
      </c>
      <c r="Z168" s="152">
        <f t="array" aca="1" ref="Z168" ca="1">IFERROR(INDEX(INDIRECT($B$3&amp;"."&amp;$B$158&amp;".energy["&amp;This.year&amp;"]"),MATCH($C168&amp;Z$5,INDIRECT($B$3&amp;"."&amp;$B$158&amp;".energy[Tech description]")&amp;INDIRECT($B$3&amp;"."&amp;$B$158&amp;".energy[Energy description]"),0)),0)</f>
        <v>0</v>
      </c>
      <c r="AA168" s="152">
        <f t="array" aca="1" ref="AA168" ca="1">IFERROR(INDEX(INDIRECT($B$3&amp;"."&amp;$B$158&amp;".energy["&amp;This.year&amp;"]"),MATCH($C168&amp;AA$5,INDIRECT($B$3&amp;"."&amp;$B$158&amp;".energy[Tech description]")&amp;INDIRECT($B$3&amp;"."&amp;$B$158&amp;".energy[Energy description]"),0)),0)</f>
        <v>0</v>
      </c>
      <c r="AB168" s="152">
        <f t="array" aca="1" ref="AB168" ca="1">IFERROR(INDEX(INDIRECT($B$3&amp;"."&amp;$B$158&amp;".energy["&amp;This.year&amp;"]"),MATCH($C168&amp;AB$5,INDIRECT($B$3&amp;"."&amp;$B$158&amp;".energy[Tech description]")&amp;INDIRECT($B$3&amp;"."&amp;$B$158&amp;".energy[Energy description]"),0)),0)</f>
        <v>0</v>
      </c>
      <c r="AC168" s="152">
        <f t="array" aca="1" ref="AC168" ca="1">IFERROR(INDEX(INDIRECT($B$3&amp;"."&amp;$B$158&amp;".energy["&amp;This.year&amp;"]"),MATCH($C168&amp;AC$5,INDIRECT($B$3&amp;"."&amp;$B$158&amp;".energy[Tech description]")&amp;INDIRECT($B$3&amp;"."&amp;$B$158&amp;".energy[Energy description]"),0)),0)</f>
        <v>0</v>
      </c>
      <c r="AD168" s="152">
        <f t="array" aca="1" ref="AD168" ca="1">IFERROR(INDEX(INDIRECT($B$3&amp;"."&amp;$B$158&amp;".energy["&amp;This.year&amp;"]"),MATCH($C168&amp;AD$5,INDIRECT($B$3&amp;"."&amp;$B$158&amp;".energy[Tech description]")&amp;INDIRECT($B$3&amp;"."&amp;$B$158&amp;".energy[Energy description]"),0)),0)</f>
        <v>0</v>
      </c>
      <c r="AE168" s="152">
        <f t="array" aca="1" ref="AE168" ca="1">IFERROR(INDEX(INDIRECT($B$3&amp;"."&amp;$B$158&amp;".energy["&amp;This.year&amp;"]"),MATCH($C168&amp;AE$5,INDIRECT($B$3&amp;"."&amp;$B$158&amp;".energy[Tech description]")&amp;INDIRECT($B$3&amp;"."&amp;$B$158&amp;".energy[Energy description]"),0)),0)</f>
        <v>0</v>
      </c>
      <c r="AF168" s="152">
        <f t="array" aca="1" ref="AF168" ca="1">IFERROR(INDEX(INDIRECT($B$3&amp;"."&amp;$B$158&amp;".energy["&amp;This.year&amp;"]"),MATCH($C168&amp;AF$5,INDIRECT($B$3&amp;"."&amp;$B$158&amp;".energy[Tech description]")&amp;INDIRECT($B$3&amp;"."&amp;$B$158&amp;".energy[Energy description]"),0)),0)</f>
        <v>0</v>
      </c>
      <c r="AG168" s="152">
        <f t="array" aca="1" ref="AG168" ca="1">IFERROR(INDEX(INDIRECT($B$3&amp;"."&amp;$B$158&amp;".energy["&amp;This.year&amp;"]"),MATCH($C168&amp;AG$5,INDIRECT($B$3&amp;"."&amp;$B$158&amp;".energy[Tech description]")&amp;INDIRECT($B$3&amp;"."&amp;$B$158&amp;".energy[Energy description]"),0)),0)</f>
        <v>0</v>
      </c>
      <c r="AH168" s="152">
        <f t="array" aca="1" ref="AH168" ca="1">IFERROR(INDEX(INDIRECT($B$3&amp;"."&amp;$B$158&amp;".energy["&amp;This.year&amp;"]"),MATCH($C168&amp;AH$5,INDIRECT($B$3&amp;"."&amp;$B$158&amp;".energy[Tech description]")&amp;INDIRECT($B$3&amp;"."&amp;$B$158&amp;".energy[Energy description]"),0)),0)</f>
        <v>0</v>
      </c>
      <c r="AI168" s="152">
        <f t="array" aca="1" ref="AI168" ca="1">IFERROR(INDEX(INDIRECT($B$3&amp;"."&amp;$B$158&amp;".energy["&amp;This.year&amp;"]"),MATCH($C168&amp;AI$5,INDIRECT($B$3&amp;"."&amp;$B$158&amp;".energy[Tech description]")&amp;INDIRECT($B$3&amp;"."&amp;$B$158&amp;".energy[Energy description]"),0)),0)</f>
        <v>0</v>
      </c>
      <c r="AJ168" s="152">
        <f t="array" aca="1" ref="AJ168" ca="1">IFERROR(INDEX(INDIRECT($B$3&amp;"."&amp;$B$158&amp;".energy["&amp;This.year&amp;"]"),MATCH($C168&amp;AJ$5,INDIRECT($B$3&amp;"."&amp;$B$158&amp;".energy[Tech description]")&amp;INDIRECT($B$3&amp;"."&amp;$B$158&amp;".energy[Energy description]"),0)),0)</f>
        <v>0</v>
      </c>
      <c r="AK168" s="152">
        <f t="array" aca="1" ref="AK168" ca="1">IFERROR(INDEX(INDIRECT($B$3&amp;"."&amp;$B$158&amp;".energy["&amp;This.year&amp;"]"),MATCH($C168&amp;AK$5,INDIRECT($B$3&amp;"."&amp;$B$158&amp;".energy[Tech description]")&amp;INDIRECT($B$3&amp;"."&amp;$B$158&amp;".energy[Energy description]"),0)),0)</f>
        <v>0</v>
      </c>
      <c r="AL168" s="152">
        <f t="array" aca="1" ref="AL168" ca="1">IFERROR(INDEX(INDIRECT($B$3&amp;"."&amp;$B$158&amp;".energy["&amp;This.year&amp;"]"),MATCH($C168&amp;AL$5,INDIRECT($B$3&amp;"."&amp;$B$158&amp;".energy[Tech description]")&amp;INDIRECT($B$3&amp;"."&amp;$B$158&amp;".energy[Energy description]"),0)),0)</f>
        <v>0</v>
      </c>
      <c r="AM168" s="152">
        <f t="array" aca="1" ref="AM168" ca="1">IFERROR(INDEX(INDIRECT($B$3&amp;"."&amp;$B$158&amp;".energy["&amp;This.year&amp;"]"),MATCH($C168&amp;AM$5,INDIRECT($B$3&amp;"."&amp;$B$158&amp;".energy[Tech description]")&amp;INDIRECT($B$3&amp;"."&amp;$B$158&amp;".energy[Energy description]"),0)),0)</f>
        <v>0</v>
      </c>
      <c r="AN168" s="152">
        <f t="array" aca="1" ref="AN168" ca="1">IFERROR(INDEX(INDIRECT($B$3&amp;"."&amp;$B$158&amp;".energy["&amp;This.year&amp;"]"),MATCH($C168&amp;AN$5,INDIRECT($B$3&amp;"."&amp;$B$158&amp;".energy[Tech description]")&amp;INDIRECT($B$3&amp;"."&amp;$B$158&amp;".energy[Energy description]"),0)),0)</f>
        <v>0</v>
      </c>
      <c r="AO168" s="152">
        <f t="shared" ca="1" si="11"/>
        <v>0</v>
      </c>
      <c r="AP168" s="108"/>
      <c r="AQ168" s="21">
        <f t="array" aca="1" ref="AQ168" ca="1">IFERROR(INDEX(INDIRECT($B$3&amp;"."&amp;$B$158&amp;".energy["&amp;This.year&amp;"]"),MATCH($C168&amp;AQ$5,INDIRECT($B$3&amp;"."&amp;$B$158&amp;".energy[Tech description]")&amp;INDIRECT($B$3&amp;"."&amp;$B$158&amp;".energy[Energy description]"),0)),0)</f>
        <v>0</v>
      </c>
      <c r="AR168" s="21">
        <f t="array" aca="1" ref="AR168" ca="1">IFERROR(INDEX(INDIRECT($B$3&amp;"."&amp;$B$158&amp;".energy["&amp;This.year&amp;"]"),MATCH($C168&amp;AR$5,INDIRECT($B$3&amp;"."&amp;$B$158&amp;".energy[Tech description]")&amp;INDIRECT($B$3&amp;"."&amp;$B$158&amp;".energy[Energy description]"),0)),0)</f>
        <v>0</v>
      </c>
      <c r="AS168" s="21">
        <f t="array" aca="1" ref="AS168" ca="1">IFERROR(INDEX(INDIRECT($B$3&amp;"."&amp;$B$158&amp;".energy["&amp;This.year&amp;"]"),MATCH($C168&amp;AS$5,INDIRECT($B$3&amp;"."&amp;$B$158&amp;".energy[Tech description]")&amp;INDIRECT($B$3&amp;"."&amp;$B$158&amp;".energy[Energy description]"),0)),0)</f>
        <v>0</v>
      </c>
      <c r="AT168" s="21">
        <f t="array" aca="1" ref="AT168" ca="1">IFERROR(INDEX(INDIRECT($B$3&amp;"."&amp;$B$158&amp;".energy["&amp;This.year&amp;"]"),MATCH($C168&amp;AT$5,INDIRECT($B$3&amp;"."&amp;$B$158&amp;".energy[Tech description]")&amp;INDIRECT($B$3&amp;"."&amp;$B$158&amp;".energy[Energy description]"),0)),0)</f>
        <v>0</v>
      </c>
      <c r="AU168" s="21">
        <f t="array" aca="1" ref="AU168" ca="1">IFERROR(INDEX(INDIRECT($B$3&amp;"."&amp;$B$158&amp;".energy["&amp;This.year&amp;"]"),MATCH($C168&amp;AU$5,INDIRECT($B$3&amp;"."&amp;$B$158&amp;".energy[Tech description]")&amp;INDIRECT($B$3&amp;"."&amp;$B$158&amp;".energy[Energy description]"),0)),0)</f>
        <v>0</v>
      </c>
      <c r="AV168" s="21">
        <f t="array" aca="1" ref="AV168" ca="1">IFERROR(INDEX(INDIRECT($B$3&amp;"."&amp;$B$158&amp;".energy["&amp;This.year&amp;"]"),MATCH($C168&amp;AV$5,INDIRECT($B$3&amp;"."&amp;$B$158&amp;".energy[Tech description]")&amp;INDIRECT($B$3&amp;"."&amp;$B$158&amp;".energy[Energy description]"),0)),0)</f>
        <v>0</v>
      </c>
      <c r="AW168" s="21">
        <f t="array" aca="1" ref="AW168" ca="1">IFERROR(INDEX(INDIRECT($B$3&amp;"."&amp;$B$158&amp;".energy["&amp;This.year&amp;"]"),MATCH($C168&amp;AW$5,INDIRECT($B$3&amp;"."&amp;$B$158&amp;".energy[Tech description]")&amp;INDIRECT($B$3&amp;"."&amp;$B$158&amp;".energy[Energy description]"),0)),0)</f>
        <v>0</v>
      </c>
      <c r="AX168" s="21">
        <f t="array" aca="1" ref="AX168" ca="1">IFERROR(INDEX(INDIRECT($B$3&amp;"."&amp;$B$158&amp;".energy["&amp;This.year&amp;"]"),MATCH($C168&amp;AX$5,INDIRECT($B$3&amp;"."&amp;$B$158&amp;".energy[Tech description]")&amp;INDIRECT($B$3&amp;"."&amp;$B$158&amp;".energy[Energy description]"),0)),0)</f>
        <v>0</v>
      </c>
      <c r="AY168" s="21">
        <f t="array" aca="1" ref="AY168" ca="1">IFERROR(INDEX(INDIRECT($B$3&amp;"."&amp;$B$158&amp;".energy["&amp;This.year&amp;"]"),MATCH($C168&amp;AY$5,INDIRECT($B$3&amp;"."&amp;$B$158&amp;".energy[Tech description]")&amp;INDIRECT($B$3&amp;"."&amp;$B$158&amp;".energy[Energy description]"),0)),0)</f>
        <v>0</v>
      </c>
      <c r="AZ168" s="21">
        <f t="array" aca="1" ref="AZ168" ca="1">IFERROR(INDEX(INDIRECT($B$3&amp;"."&amp;$B$158&amp;".energy["&amp;This.year&amp;"]"),MATCH($C168&amp;AZ$5,INDIRECT($B$3&amp;"."&amp;$B$158&amp;".energy[Tech description]")&amp;INDIRECT($B$3&amp;"."&amp;$B$158&amp;".energy[Energy description]"),0)),0)</f>
        <v>0</v>
      </c>
      <c r="BA168" s="21">
        <f t="array" aca="1" ref="BA168" ca="1">IFERROR(INDEX(INDIRECT($B$3&amp;"."&amp;$B$158&amp;".energy["&amp;This.year&amp;"]"),MATCH($C168&amp;BA$5,INDIRECT($B$3&amp;"."&amp;$B$158&amp;".energy[Tech description]")&amp;INDIRECT($B$3&amp;"."&amp;$B$158&amp;".energy[Energy description]"),0)),0)</f>
        <v>0</v>
      </c>
      <c r="BB168" s="21">
        <f t="array" aca="1" ref="BB168" ca="1">IFERROR(INDEX(INDIRECT($B$3&amp;"."&amp;$B$158&amp;".energy["&amp;This.year&amp;"]"),MATCH($C168&amp;BB$5,INDIRECT($B$3&amp;"."&amp;$B$158&amp;".energy[Tech description]")&amp;INDIRECT($B$3&amp;"."&amp;$B$158&amp;".energy[Energy description]"),0)),0)</f>
        <v>0</v>
      </c>
      <c r="BC168" s="21">
        <f t="array" aca="1" ref="BC168" ca="1">IFERROR(INDEX(INDIRECT($B$3&amp;"."&amp;$B$158&amp;".energy["&amp;This.year&amp;"]"),MATCH($C168&amp;BC$5,INDIRECT($B$3&amp;"."&amp;$B$158&amp;".energy[Tech description]")&amp;INDIRECT($B$3&amp;"."&amp;$B$158&amp;".energy[Energy description]"),0)),0)</f>
        <v>0</v>
      </c>
      <c r="BD168" s="21">
        <f t="shared" ca="1" si="12"/>
        <v>0</v>
      </c>
      <c r="BE168" s="108"/>
      <c r="BF168" s="49">
        <f t="array" aca="1" ref="BF168" ca="1">IFERROR(INDEX(INDIRECT($B$3&amp;"."&amp;$B$158&amp;".energy["&amp;This.year&amp;"]"),MATCH($C168&amp;BF$5,INDIRECT($B$3&amp;"."&amp;$B$158&amp;".energy[Tech description]")&amp;INDIRECT($B$3&amp;"."&amp;$B$158&amp;".energy[Energy description]"),0)),0)</f>
        <v>0</v>
      </c>
      <c r="BG168" s="49">
        <f t="array" aca="1" ref="BG168" ca="1">IFERROR(INDEX(INDIRECT($B$3&amp;"."&amp;$B$158&amp;".energy["&amp;This.year&amp;"]"),MATCH($C168&amp;BG$5,INDIRECT($B$3&amp;"."&amp;$B$158&amp;".energy[Tech description]")&amp;INDIRECT($B$3&amp;"."&amp;$B$158&amp;".energy[Energy description]"),0)),0)</f>
        <v>0</v>
      </c>
      <c r="BH168" s="49">
        <f t="shared" ca="1" si="13"/>
        <v>0</v>
      </c>
      <c r="BI168" s="219">
        <f t="shared" ca="1" si="9"/>
        <v>0</v>
      </c>
      <c r="BJ168" s="108"/>
    </row>
    <row r="169" spans="1:62" s="54" customFormat="1">
      <c r="A169" s="133"/>
      <c r="B169" s="176" t="s">
        <v>2055</v>
      </c>
      <c r="C169" s="114" t="str">
        <f>INDEX(Regional.Technologies[Description],MATCH($B$3&amp;"."&amp;B169,Regional.Technologies[Code],0))</f>
        <v>Global Oil use in the Hisarna Oxygen steel technology</v>
      </c>
      <c r="E169" s="121">
        <f t="array" aca="1" ref="E169" ca="1">IFERROR(INDEX(INDIRECT($B$3&amp;"."&amp;$B$158&amp;".energy["&amp;This.year&amp;"]"),MATCH($C169&amp;E$5,INDIRECT($B$3&amp;"."&amp;$B$158&amp;".energy[Tech description]")&amp;INDIRECT($B$3&amp;"."&amp;$B$158&amp;".energy[Energy description]"),0)),0)</f>
        <v>0</v>
      </c>
      <c r="F169" s="121">
        <f t="array" aca="1" ref="F169" ca="1">IFERROR(INDEX(INDIRECT($B$3&amp;"."&amp;$B$158&amp;".energy["&amp;This.year&amp;"]"),MATCH($C169&amp;F$5,INDIRECT($B$3&amp;"."&amp;$B$158&amp;".energy[Tech description]")&amp;INDIRECT($B$3&amp;"."&amp;$B$158&amp;".energy[Energy description]"),0)),0)</f>
        <v>0</v>
      </c>
      <c r="G169" s="121">
        <f t="array" aca="1" ref="G169" ca="1">IFERROR(INDEX(INDIRECT($B$3&amp;"."&amp;$B$158&amp;".energy["&amp;This.year&amp;"]"),MATCH($C169&amp;G$5,INDIRECT($B$3&amp;"."&amp;$B$158&amp;".energy[Tech description]")&amp;INDIRECT($B$3&amp;"."&amp;$B$158&amp;".energy[Energy description]"),0)),0)</f>
        <v>0</v>
      </c>
      <c r="H169" s="121">
        <f t="array" aca="1" ref="H169" ca="1">IFERROR(INDEX(INDIRECT($B$3&amp;"."&amp;$B$158&amp;".energy["&amp;This.year&amp;"]"),MATCH($C169&amp;H$5,INDIRECT($B$3&amp;"."&amp;$B$158&amp;".energy[Tech description]")&amp;INDIRECT($B$3&amp;"."&amp;$B$158&amp;".energy[Energy description]"),0)),0)</f>
        <v>0</v>
      </c>
      <c r="I169" s="121">
        <f t="array" aca="1" ref="I169" ca="1">IFERROR(INDEX(INDIRECT($B$3&amp;"."&amp;$B$158&amp;".energy["&amp;This.year&amp;"]"),MATCH($C169&amp;I$5,INDIRECT($B$3&amp;"."&amp;$B$158&amp;".energy[Tech description]")&amp;INDIRECT($B$3&amp;"."&amp;$B$158&amp;".energy[Energy description]"),0)),0)</f>
        <v>0</v>
      </c>
      <c r="J169" s="121">
        <f t="array" aca="1" ref="J169" ca="1">IFERROR(INDEX(INDIRECT($B$3&amp;"."&amp;$B$158&amp;".energy["&amp;This.year&amp;"]"),MATCH($C169&amp;J$5,INDIRECT($B$3&amp;"."&amp;$B$158&amp;".energy[Tech description]")&amp;INDIRECT($B$3&amp;"."&amp;$B$158&amp;".energy[Energy description]"),0)),0)</f>
        <v>0</v>
      </c>
      <c r="K169" s="121">
        <f t="array" aca="1" ref="K169" ca="1">IFERROR(INDEX(INDIRECT($B$3&amp;"."&amp;$B$158&amp;".energy["&amp;This.year&amp;"]"),MATCH($C169&amp;K$5,INDIRECT($B$3&amp;"."&amp;$B$158&amp;".energy[Tech description]")&amp;INDIRECT($B$3&amp;"."&amp;$B$158&amp;".energy[Energy description]"),0)),0)</f>
        <v>0</v>
      </c>
      <c r="L169" s="121">
        <f t="array" aca="1" ref="L169" ca="1">IFERROR(INDEX(INDIRECT($B$3&amp;"."&amp;$B$158&amp;".energy["&amp;This.year&amp;"]"),MATCH($C169&amp;L$5,INDIRECT($B$3&amp;"."&amp;$B$158&amp;".energy[Tech description]")&amp;INDIRECT($B$3&amp;"."&amp;$B$158&amp;".energy[Energy description]"),0)),0)</f>
        <v>0</v>
      </c>
      <c r="M169" s="121">
        <f t="array" aca="1" ref="M169" ca="1">IFERROR(INDEX(INDIRECT($B$3&amp;"."&amp;$B$158&amp;".energy["&amp;This.year&amp;"]"),MATCH($C169&amp;M$5,INDIRECT($B$3&amp;"."&amp;$B$158&amp;".energy[Tech description]")&amp;INDIRECT($B$3&amp;"."&amp;$B$158&amp;".energy[Energy description]"),0)),0)</f>
        <v>0</v>
      </c>
      <c r="N169" s="121">
        <f t="array" aca="1" ref="N169" ca="1">IFERROR(INDEX(INDIRECT($B$3&amp;"."&amp;$B$158&amp;".energy["&amp;This.year&amp;"]"),MATCH($C169&amp;N$5,INDIRECT($B$3&amp;"."&amp;$B$158&amp;".energy[Tech description]")&amp;INDIRECT($B$3&amp;"."&amp;$B$158&amp;".energy[Energy description]"),0)),0)</f>
        <v>0</v>
      </c>
      <c r="O169" s="121">
        <f t="array" aca="1" ref="O169" ca="1">IFERROR(INDEX(INDIRECT($B$3&amp;"."&amp;$B$158&amp;".energy["&amp;This.year&amp;"]"),MATCH($C169&amp;O$5,INDIRECT($B$3&amp;"."&amp;$B$158&amp;".energy[Tech description]")&amp;INDIRECT($B$3&amp;"."&amp;$B$158&amp;".energy[Energy description]"),0)),0)</f>
        <v>0</v>
      </c>
      <c r="P169" s="121">
        <f t="array" aca="1" ref="P169" ca="1">IFERROR(INDEX(INDIRECT($B$3&amp;"."&amp;$B$158&amp;".energy["&amp;This.year&amp;"]"),MATCH($C169&amp;P$5,INDIRECT($B$3&amp;"."&amp;$B$158&amp;".energy[Tech description]")&amp;INDIRECT($B$3&amp;"."&amp;$B$158&amp;".energy[Energy description]"),0)),0)</f>
        <v>0</v>
      </c>
      <c r="Q169" s="121">
        <f t="array" aca="1" ref="Q169" ca="1">IFERROR(INDEX(INDIRECT($B$3&amp;"."&amp;$B$158&amp;".energy["&amp;This.year&amp;"]"),MATCH($C169&amp;Q$5,INDIRECT($B$3&amp;"."&amp;$B$158&amp;".energy[Tech description]")&amp;INDIRECT($B$3&amp;"."&amp;$B$158&amp;".energy[Energy description]"),0)),0)</f>
        <v>0</v>
      </c>
      <c r="R169" s="121">
        <f t="array" aca="1" ref="R169" ca="1">IFERROR(INDEX(INDIRECT($B$3&amp;"."&amp;$B$158&amp;".energy["&amp;This.year&amp;"]"),MATCH($C169&amp;R$5,INDIRECT($B$3&amp;"."&amp;$B$158&amp;".energy[Tech description]")&amp;INDIRECT($B$3&amp;"."&amp;$B$158&amp;".energy[Energy description]"),0)),0)</f>
        <v>0</v>
      </c>
      <c r="S169" s="121">
        <f t="array" aca="1" ref="S169" ca="1">IFERROR(INDEX(INDIRECT($B$3&amp;"."&amp;$B$158&amp;".energy["&amp;This.year&amp;"]"),MATCH($C169&amp;S$5,INDIRECT($B$3&amp;"."&amp;$B$158&amp;".energy[Tech description]")&amp;INDIRECT($B$3&amp;"."&amp;$B$158&amp;".energy[Energy description]"),0)),0)</f>
        <v>0</v>
      </c>
      <c r="T169" s="121">
        <f t="shared" ca="1" si="10"/>
        <v>0</v>
      </c>
      <c r="U169" s="109"/>
      <c r="V169" s="152">
        <f t="array" aca="1" ref="V169" ca="1">IFERROR(INDEX(INDIRECT($B$3&amp;"."&amp;$B$158&amp;".energy["&amp;This.year&amp;"]"),MATCH($C169&amp;V$5,INDIRECT($B$3&amp;"."&amp;$B$158&amp;".energy[Tech description]")&amp;INDIRECT($B$3&amp;"."&amp;$B$158&amp;".energy[Energy description]"),0)),0)</f>
        <v>0</v>
      </c>
      <c r="W169" s="152">
        <f t="array" aca="1" ref="W169" ca="1">IFERROR(INDEX(INDIRECT($B$3&amp;"."&amp;$B$158&amp;".energy["&amp;This.year&amp;"]"),MATCH($C169&amp;W$5,INDIRECT($B$3&amp;"."&amp;$B$158&amp;".energy[Tech description]")&amp;INDIRECT($B$3&amp;"."&amp;$B$158&amp;".energy[Energy description]"),0)),0)</f>
        <v>0</v>
      </c>
      <c r="X169" s="152">
        <f t="array" aca="1" ref="X169" ca="1">IFERROR(INDEX(INDIRECT($B$3&amp;"."&amp;$B$158&amp;".energy["&amp;This.year&amp;"]"),MATCH($C169&amp;X$5,INDIRECT($B$3&amp;"."&amp;$B$158&amp;".energy[Tech description]")&amp;INDIRECT($B$3&amp;"."&amp;$B$158&amp;".energy[Energy description]"),0)),0)</f>
        <v>0</v>
      </c>
      <c r="Y169" s="152">
        <f t="array" aca="1" ref="Y169" ca="1">IFERROR(INDEX(INDIRECT($B$3&amp;"."&amp;$B$158&amp;".energy["&amp;This.year&amp;"]"),MATCH($C169&amp;Y$5,INDIRECT($B$3&amp;"."&amp;$B$158&amp;".energy[Tech description]")&amp;INDIRECT($B$3&amp;"."&amp;$B$158&amp;".energy[Energy description]"),0)),0)</f>
        <v>0</v>
      </c>
      <c r="Z169" s="152">
        <f t="array" aca="1" ref="Z169" ca="1">IFERROR(INDEX(INDIRECT($B$3&amp;"."&amp;$B$158&amp;".energy["&amp;This.year&amp;"]"),MATCH($C169&amp;Z$5,INDIRECT($B$3&amp;"."&amp;$B$158&amp;".energy[Tech description]")&amp;INDIRECT($B$3&amp;"."&amp;$B$158&amp;".energy[Energy description]"),0)),0)</f>
        <v>0</v>
      </c>
      <c r="AA169" s="152">
        <f t="array" aca="1" ref="AA169" ca="1">IFERROR(INDEX(INDIRECT($B$3&amp;"."&amp;$B$158&amp;".energy["&amp;This.year&amp;"]"),MATCH($C169&amp;AA$5,INDIRECT($B$3&amp;"."&amp;$B$158&amp;".energy[Tech description]")&amp;INDIRECT($B$3&amp;"."&amp;$B$158&amp;".energy[Energy description]"),0)),0)</f>
        <v>0</v>
      </c>
      <c r="AB169" s="152">
        <f t="array" aca="1" ref="AB169" ca="1">IFERROR(INDEX(INDIRECT($B$3&amp;"."&amp;$B$158&amp;".energy["&amp;This.year&amp;"]"),MATCH($C169&amp;AB$5,INDIRECT($B$3&amp;"."&amp;$B$158&amp;".energy[Tech description]")&amp;INDIRECT($B$3&amp;"."&amp;$B$158&amp;".energy[Energy description]"),0)),0)</f>
        <v>0</v>
      </c>
      <c r="AC169" s="152">
        <f t="array" aca="1" ref="AC169" ca="1">IFERROR(INDEX(INDIRECT($B$3&amp;"."&amp;$B$158&amp;".energy["&amp;This.year&amp;"]"),MATCH($C169&amp;AC$5,INDIRECT($B$3&amp;"."&amp;$B$158&amp;".energy[Tech description]")&amp;INDIRECT($B$3&amp;"."&amp;$B$158&amp;".energy[Energy description]"),0)),0)</f>
        <v>0</v>
      </c>
      <c r="AD169" s="152">
        <f t="array" aca="1" ref="AD169" ca="1">IFERROR(INDEX(INDIRECT($B$3&amp;"."&amp;$B$158&amp;".energy["&amp;This.year&amp;"]"),MATCH($C169&amp;AD$5,INDIRECT($B$3&amp;"."&amp;$B$158&amp;".energy[Tech description]")&amp;INDIRECT($B$3&amp;"."&amp;$B$158&amp;".energy[Energy description]"),0)),0)</f>
        <v>0</v>
      </c>
      <c r="AE169" s="152">
        <f t="array" aca="1" ref="AE169" ca="1">IFERROR(INDEX(INDIRECT($B$3&amp;"."&amp;$B$158&amp;".energy["&amp;This.year&amp;"]"),MATCH($C169&amp;AE$5,INDIRECT($B$3&amp;"."&amp;$B$158&amp;".energy[Tech description]")&amp;INDIRECT($B$3&amp;"."&amp;$B$158&amp;".energy[Energy description]"),0)),0)</f>
        <v>0</v>
      </c>
      <c r="AF169" s="152">
        <f t="array" aca="1" ref="AF169" ca="1">IFERROR(INDEX(INDIRECT($B$3&amp;"."&amp;$B$158&amp;".energy["&amp;This.year&amp;"]"),MATCH($C169&amp;AF$5,INDIRECT($B$3&amp;"."&amp;$B$158&amp;".energy[Tech description]")&amp;INDIRECT($B$3&amp;"."&amp;$B$158&amp;".energy[Energy description]"),0)),0)</f>
        <v>0</v>
      </c>
      <c r="AG169" s="152">
        <f t="array" aca="1" ref="AG169" ca="1">IFERROR(INDEX(INDIRECT($B$3&amp;"."&amp;$B$158&amp;".energy["&amp;This.year&amp;"]"),MATCH($C169&amp;AG$5,INDIRECT($B$3&amp;"."&amp;$B$158&amp;".energy[Tech description]")&amp;INDIRECT($B$3&amp;"."&amp;$B$158&amp;".energy[Energy description]"),0)),0)</f>
        <v>0</v>
      </c>
      <c r="AH169" s="152">
        <f t="array" aca="1" ref="AH169" ca="1">IFERROR(INDEX(INDIRECT($B$3&amp;"."&amp;$B$158&amp;".energy["&amp;This.year&amp;"]"),MATCH($C169&amp;AH$5,INDIRECT($B$3&amp;"."&amp;$B$158&amp;".energy[Tech description]")&amp;INDIRECT($B$3&amp;"."&amp;$B$158&amp;".energy[Energy description]"),0)),0)</f>
        <v>0</v>
      </c>
      <c r="AI169" s="152">
        <f t="array" aca="1" ref="AI169" ca="1">IFERROR(INDEX(INDIRECT($B$3&amp;"."&amp;$B$158&amp;".energy["&amp;This.year&amp;"]"),MATCH($C169&amp;AI$5,INDIRECT($B$3&amp;"."&amp;$B$158&amp;".energy[Tech description]")&amp;INDIRECT($B$3&amp;"."&amp;$B$158&amp;".energy[Energy description]"),0)),0)</f>
        <v>0</v>
      </c>
      <c r="AJ169" s="152">
        <f t="array" aca="1" ref="AJ169" ca="1">IFERROR(INDEX(INDIRECT($B$3&amp;"."&amp;$B$158&amp;".energy["&amp;This.year&amp;"]"),MATCH($C169&amp;AJ$5,INDIRECT($B$3&amp;"."&amp;$B$158&amp;".energy[Tech description]")&amp;INDIRECT($B$3&amp;"."&amp;$B$158&amp;".energy[Energy description]"),0)),0)</f>
        <v>0</v>
      </c>
      <c r="AK169" s="152">
        <f t="array" aca="1" ref="AK169" ca="1">IFERROR(INDEX(INDIRECT($B$3&amp;"."&amp;$B$158&amp;".energy["&amp;This.year&amp;"]"),MATCH($C169&amp;AK$5,INDIRECT($B$3&amp;"."&amp;$B$158&amp;".energy[Tech description]")&amp;INDIRECT($B$3&amp;"."&amp;$B$158&amp;".energy[Energy description]"),0)),0)</f>
        <v>0</v>
      </c>
      <c r="AL169" s="152">
        <f t="array" aca="1" ref="AL169" ca="1">IFERROR(INDEX(INDIRECT($B$3&amp;"."&amp;$B$158&amp;".energy["&amp;This.year&amp;"]"),MATCH($C169&amp;AL$5,INDIRECT($B$3&amp;"."&amp;$B$158&amp;".energy[Tech description]")&amp;INDIRECT($B$3&amp;"."&amp;$B$158&amp;".energy[Energy description]"),0)),0)</f>
        <v>0</v>
      </c>
      <c r="AM169" s="152">
        <f t="array" aca="1" ref="AM169" ca="1">IFERROR(INDEX(INDIRECT($B$3&amp;"."&amp;$B$158&amp;".energy["&amp;This.year&amp;"]"),MATCH($C169&amp;AM$5,INDIRECT($B$3&amp;"."&amp;$B$158&amp;".energy[Tech description]")&amp;INDIRECT($B$3&amp;"."&amp;$B$158&amp;".energy[Energy description]"),0)),0)</f>
        <v>0</v>
      </c>
      <c r="AN169" s="152">
        <f t="array" aca="1" ref="AN169" ca="1">IFERROR(INDEX(INDIRECT($B$3&amp;"."&amp;$B$158&amp;".energy["&amp;This.year&amp;"]"),MATCH($C169&amp;AN$5,INDIRECT($B$3&amp;"."&amp;$B$158&amp;".energy[Tech description]")&amp;INDIRECT($B$3&amp;"."&amp;$B$158&amp;".energy[Energy description]"),0)),0)</f>
        <v>0</v>
      </c>
      <c r="AO169" s="152">
        <f t="shared" ca="1" si="11"/>
        <v>0</v>
      </c>
      <c r="AP169" s="108"/>
      <c r="AQ169" s="21">
        <f t="array" aca="1" ref="AQ169" ca="1">IFERROR(INDEX(INDIRECT($B$3&amp;"."&amp;$B$158&amp;".energy["&amp;This.year&amp;"]"),MATCH($C169&amp;AQ$5,INDIRECT($B$3&amp;"."&amp;$B$158&amp;".energy[Tech description]")&amp;INDIRECT($B$3&amp;"."&amp;$B$158&amp;".energy[Energy description]"),0)),0)</f>
        <v>0</v>
      </c>
      <c r="AR169" s="21">
        <f t="array" aca="1" ref="AR169" ca="1">IFERROR(INDEX(INDIRECT($B$3&amp;"."&amp;$B$158&amp;".energy["&amp;This.year&amp;"]"),MATCH($C169&amp;AR$5,INDIRECT($B$3&amp;"."&amp;$B$158&amp;".energy[Tech description]")&amp;INDIRECT($B$3&amp;"."&amp;$B$158&amp;".energy[Energy description]"),0)),0)</f>
        <v>0</v>
      </c>
      <c r="AS169" s="21">
        <f t="array" aca="1" ref="AS169" ca="1">IFERROR(INDEX(INDIRECT($B$3&amp;"."&amp;$B$158&amp;".energy["&amp;This.year&amp;"]"),MATCH($C169&amp;AS$5,INDIRECT($B$3&amp;"."&amp;$B$158&amp;".energy[Tech description]")&amp;INDIRECT($B$3&amp;"."&amp;$B$158&amp;".energy[Energy description]"),0)),0)</f>
        <v>0</v>
      </c>
      <c r="AT169" s="21">
        <f t="array" aca="1" ref="AT169" ca="1">IFERROR(INDEX(INDIRECT($B$3&amp;"."&amp;$B$158&amp;".energy["&amp;This.year&amp;"]"),MATCH($C169&amp;AT$5,INDIRECT($B$3&amp;"."&amp;$B$158&amp;".energy[Tech description]")&amp;INDIRECT($B$3&amp;"."&amp;$B$158&amp;".energy[Energy description]"),0)),0)</f>
        <v>0</v>
      </c>
      <c r="AU169" s="21">
        <f t="array" aca="1" ref="AU169" ca="1">IFERROR(INDEX(INDIRECT($B$3&amp;"."&amp;$B$158&amp;".energy["&amp;This.year&amp;"]"),MATCH($C169&amp;AU$5,INDIRECT($B$3&amp;"."&amp;$B$158&amp;".energy[Tech description]")&amp;INDIRECT($B$3&amp;"."&amp;$B$158&amp;".energy[Energy description]"),0)),0)</f>
        <v>0</v>
      </c>
      <c r="AV169" s="21">
        <f t="array" aca="1" ref="AV169" ca="1">IFERROR(INDEX(INDIRECT($B$3&amp;"."&amp;$B$158&amp;".energy["&amp;This.year&amp;"]"),MATCH($C169&amp;AV$5,INDIRECT($B$3&amp;"."&amp;$B$158&amp;".energy[Tech description]")&amp;INDIRECT($B$3&amp;"."&amp;$B$158&amp;".energy[Energy description]"),0)),0)</f>
        <v>0</v>
      </c>
      <c r="AW169" s="21">
        <f t="array" aca="1" ref="AW169" ca="1">IFERROR(INDEX(INDIRECT($B$3&amp;"."&amp;$B$158&amp;".energy["&amp;This.year&amp;"]"),MATCH($C169&amp;AW$5,INDIRECT($B$3&amp;"."&amp;$B$158&amp;".energy[Tech description]")&amp;INDIRECT($B$3&amp;"."&amp;$B$158&amp;".energy[Energy description]"),0)),0)</f>
        <v>0</v>
      </c>
      <c r="AX169" s="21">
        <f t="array" aca="1" ref="AX169" ca="1">IFERROR(INDEX(INDIRECT($B$3&amp;"."&amp;$B$158&amp;".energy["&amp;This.year&amp;"]"),MATCH($C169&amp;AX$5,INDIRECT($B$3&amp;"."&amp;$B$158&amp;".energy[Tech description]")&amp;INDIRECT($B$3&amp;"."&amp;$B$158&amp;".energy[Energy description]"),0)),0)</f>
        <v>0</v>
      </c>
      <c r="AY169" s="21">
        <f t="array" aca="1" ref="AY169" ca="1">IFERROR(INDEX(INDIRECT($B$3&amp;"."&amp;$B$158&amp;".energy["&amp;This.year&amp;"]"),MATCH($C169&amp;AY$5,INDIRECT($B$3&amp;"."&amp;$B$158&amp;".energy[Tech description]")&amp;INDIRECT($B$3&amp;"."&amp;$B$158&amp;".energy[Energy description]"),0)),0)</f>
        <v>0</v>
      </c>
      <c r="AZ169" s="21">
        <f t="array" aca="1" ref="AZ169" ca="1">IFERROR(INDEX(INDIRECT($B$3&amp;"."&amp;$B$158&amp;".energy["&amp;This.year&amp;"]"),MATCH($C169&amp;AZ$5,INDIRECT($B$3&amp;"."&amp;$B$158&amp;".energy[Tech description]")&amp;INDIRECT($B$3&amp;"."&amp;$B$158&amp;".energy[Energy description]"),0)),0)</f>
        <v>0</v>
      </c>
      <c r="BA169" s="21">
        <f t="array" aca="1" ref="BA169" ca="1">IFERROR(INDEX(INDIRECT($B$3&amp;"."&amp;$B$158&amp;".energy["&amp;This.year&amp;"]"),MATCH($C169&amp;BA$5,INDIRECT($B$3&amp;"."&amp;$B$158&amp;".energy[Tech description]")&amp;INDIRECT($B$3&amp;"."&amp;$B$158&amp;".energy[Energy description]"),0)),0)</f>
        <v>0</v>
      </c>
      <c r="BB169" s="21">
        <f t="array" aca="1" ref="BB169" ca="1">IFERROR(INDEX(INDIRECT($B$3&amp;"."&amp;$B$158&amp;".energy["&amp;This.year&amp;"]"),MATCH($C169&amp;BB$5,INDIRECT($B$3&amp;"."&amp;$B$158&amp;".energy[Tech description]")&amp;INDIRECT($B$3&amp;"."&amp;$B$158&amp;".energy[Energy description]"),0)),0)</f>
        <v>0</v>
      </c>
      <c r="BC169" s="21">
        <f t="array" aca="1" ref="BC169" ca="1">IFERROR(INDEX(INDIRECT($B$3&amp;"."&amp;$B$158&amp;".energy["&amp;This.year&amp;"]"),MATCH($C169&amp;BC$5,INDIRECT($B$3&amp;"."&amp;$B$158&amp;".energy[Tech description]")&amp;INDIRECT($B$3&amp;"."&amp;$B$158&amp;".energy[Energy description]"),0)),0)</f>
        <v>0</v>
      </c>
      <c r="BD169" s="21">
        <f t="shared" ca="1" si="12"/>
        <v>0</v>
      </c>
      <c r="BE169" s="108"/>
      <c r="BF169" s="49">
        <f t="array" aca="1" ref="BF169" ca="1">IFERROR(INDEX(INDIRECT($B$3&amp;"."&amp;$B$158&amp;".energy["&amp;This.year&amp;"]"),MATCH($C169&amp;BF$5,INDIRECT($B$3&amp;"."&amp;$B$158&amp;".energy[Tech description]")&amp;INDIRECT($B$3&amp;"."&amp;$B$158&amp;".energy[Energy description]"),0)),0)</f>
        <v>0</v>
      </c>
      <c r="BG169" s="49">
        <f t="array" aca="1" ref="BG169" ca="1">IFERROR(INDEX(INDIRECT($B$3&amp;"."&amp;$B$158&amp;".energy["&amp;This.year&amp;"]"),MATCH($C169&amp;BG$5,INDIRECT($B$3&amp;"."&amp;$B$158&amp;".energy[Tech description]")&amp;INDIRECT($B$3&amp;"."&amp;$B$158&amp;".energy[Energy description]"),0)),0)</f>
        <v>0</v>
      </c>
      <c r="BH169" s="49">
        <f t="shared" ca="1" si="13"/>
        <v>0</v>
      </c>
      <c r="BI169" s="219">
        <f t="shared" ca="1" si="9"/>
        <v>0</v>
      </c>
      <c r="BJ169" s="108"/>
    </row>
    <row r="170" spans="1:62" s="54" customFormat="1">
      <c r="A170" s="133"/>
      <c r="B170" s="176" t="s">
        <v>2056</v>
      </c>
      <c r="C170" s="114" t="str">
        <f>INDEX(Regional.Technologies[Description],MATCH($B$3&amp;"."&amp;B170,Regional.Technologies[Code],0))</f>
        <v>Global Natural Gas use in the Hisarna Oxygen steel technology</v>
      </c>
      <c r="E170" s="121">
        <f t="array" aca="1" ref="E170" ca="1">IFERROR(INDEX(INDIRECT($B$3&amp;"."&amp;$B$158&amp;".energy["&amp;This.year&amp;"]"),MATCH($C170&amp;E$5,INDIRECT($B$3&amp;"."&amp;$B$158&amp;".energy[Tech description]")&amp;INDIRECT($B$3&amp;"."&amp;$B$158&amp;".energy[Energy description]"),0)),0)</f>
        <v>0</v>
      </c>
      <c r="F170" s="121">
        <f t="array" aca="1" ref="F170" ca="1">IFERROR(INDEX(INDIRECT($B$3&amp;"."&amp;$B$158&amp;".energy["&amp;This.year&amp;"]"),MATCH($C170&amp;F$5,INDIRECT($B$3&amp;"."&amp;$B$158&amp;".energy[Tech description]")&amp;INDIRECT($B$3&amp;"."&amp;$B$158&amp;".energy[Energy description]"),0)),0)</f>
        <v>0</v>
      </c>
      <c r="G170" s="121">
        <f t="array" aca="1" ref="G170" ca="1">IFERROR(INDEX(INDIRECT($B$3&amp;"."&amp;$B$158&amp;".energy["&amp;This.year&amp;"]"),MATCH($C170&amp;G$5,INDIRECT($B$3&amp;"."&amp;$B$158&amp;".energy[Tech description]")&amp;INDIRECT($B$3&amp;"."&amp;$B$158&amp;".energy[Energy description]"),0)),0)</f>
        <v>0</v>
      </c>
      <c r="H170" s="121">
        <f t="array" aca="1" ref="H170" ca="1">IFERROR(INDEX(INDIRECT($B$3&amp;"."&amp;$B$158&amp;".energy["&amp;This.year&amp;"]"),MATCH($C170&amp;H$5,INDIRECT($B$3&amp;"."&amp;$B$158&amp;".energy[Tech description]")&amp;INDIRECT($B$3&amp;"."&amp;$B$158&amp;".energy[Energy description]"),0)),0)</f>
        <v>0</v>
      </c>
      <c r="I170" s="121">
        <f t="array" aca="1" ref="I170" ca="1">IFERROR(INDEX(INDIRECT($B$3&amp;"."&amp;$B$158&amp;".energy["&amp;This.year&amp;"]"),MATCH($C170&amp;I$5,INDIRECT($B$3&amp;"."&amp;$B$158&amp;".energy[Tech description]")&amp;INDIRECT($B$3&amp;"."&amp;$B$158&amp;".energy[Energy description]"),0)),0)</f>
        <v>0</v>
      </c>
      <c r="J170" s="121">
        <f t="array" aca="1" ref="J170" ca="1">IFERROR(INDEX(INDIRECT($B$3&amp;"."&amp;$B$158&amp;".energy["&amp;This.year&amp;"]"),MATCH($C170&amp;J$5,INDIRECT($B$3&amp;"."&amp;$B$158&amp;".energy[Tech description]")&amp;INDIRECT($B$3&amp;"."&amp;$B$158&amp;".energy[Energy description]"),0)),0)</f>
        <v>0</v>
      </c>
      <c r="K170" s="121">
        <f t="array" aca="1" ref="K170" ca="1">IFERROR(INDEX(INDIRECT($B$3&amp;"."&amp;$B$158&amp;".energy["&amp;This.year&amp;"]"),MATCH($C170&amp;K$5,INDIRECT($B$3&amp;"."&amp;$B$158&amp;".energy[Tech description]")&amp;INDIRECT($B$3&amp;"."&amp;$B$158&amp;".energy[Energy description]"),0)),0)</f>
        <v>0</v>
      </c>
      <c r="L170" s="121">
        <f t="array" aca="1" ref="L170" ca="1">IFERROR(INDEX(INDIRECT($B$3&amp;"."&amp;$B$158&amp;".energy["&amp;This.year&amp;"]"),MATCH($C170&amp;L$5,INDIRECT($B$3&amp;"."&amp;$B$158&amp;".energy[Tech description]")&amp;INDIRECT($B$3&amp;"."&amp;$B$158&amp;".energy[Energy description]"),0)),0)</f>
        <v>0</v>
      </c>
      <c r="M170" s="121">
        <f t="array" aca="1" ref="M170" ca="1">IFERROR(INDEX(INDIRECT($B$3&amp;"."&amp;$B$158&amp;".energy["&amp;This.year&amp;"]"),MATCH($C170&amp;M$5,INDIRECT($B$3&amp;"."&amp;$B$158&amp;".energy[Tech description]")&amp;INDIRECT($B$3&amp;"."&amp;$B$158&amp;".energy[Energy description]"),0)),0)</f>
        <v>0</v>
      </c>
      <c r="N170" s="121">
        <f t="array" aca="1" ref="N170" ca="1">IFERROR(INDEX(INDIRECT($B$3&amp;"."&amp;$B$158&amp;".energy["&amp;This.year&amp;"]"),MATCH($C170&amp;N$5,INDIRECT($B$3&amp;"."&amp;$B$158&amp;".energy[Tech description]")&amp;INDIRECT($B$3&amp;"."&amp;$B$158&amp;".energy[Energy description]"),0)),0)</f>
        <v>0</v>
      </c>
      <c r="O170" s="121">
        <f t="array" aca="1" ref="O170" ca="1">IFERROR(INDEX(INDIRECT($B$3&amp;"."&amp;$B$158&amp;".energy["&amp;This.year&amp;"]"),MATCH($C170&amp;O$5,INDIRECT($B$3&amp;"."&amp;$B$158&amp;".energy[Tech description]")&amp;INDIRECT($B$3&amp;"."&amp;$B$158&amp;".energy[Energy description]"),0)),0)</f>
        <v>0</v>
      </c>
      <c r="P170" s="121">
        <f t="array" aca="1" ref="P170" ca="1">IFERROR(INDEX(INDIRECT($B$3&amp;"."&amp;$B$158&amp;".energy["&amp;This.year&amp;"]"),MATCH($C170&amp;P$5,INDIRECT($B$3&amp;"."&amp;$B$158&amp;".energy[Tech description]")&amp;INDIRECT($B$3&amp;"."&amp;$B$158&amp;".energy[Energy description]"),0)),0)</f>
        <v>0</v>
      </c>
      <c r="Q170" s="121">
        <f t="array" aca="1" ref="Q170" ca="1">IFERROR(INDEX(INDIRECT($B$3&amp;"."&amp;$B$158&amp;".energy["&amp;This.year&amp;"]"),MATCH($C170&amp;Q$5,INDIRECT($B$3&amp;"."&amp;$B$158&amp;".energy[Tech description]")&amp;INDIRECT($B$3&amp;"."&amp;$B$158&amp;".energy[Energy description]"),0)),0)</f>
        <v>0</v>
      </c>
      <c r="R170" s="121">
        <f t="array" aca="1" ref="R170" ca="1">IFERROR(INDEX(INDIRECT($B$3&amp;"."&amp;$B$158&amp;".energy["&amp;This.year&amp;"]"),MATCH($C170&amp;R$5,INDIRECT($B$3&amp;"."&amp;$B$158&amp;".energy[Tech description]")&amp;INDIRECT($B$3&amp;"."&amp;$B$158&amp;".energy[Energy description]"),0)),0)</f>
        <v>0</v>
      </c>
      <c r="S170" s="121">
        <f t="array" aca="1" ref="S170" ca="1">IFERROR(INDEX(INDIRECT($B$3&amp;"."&amp;$B$158&amp;".energy["&amp;This.year&amp;"]"),MATCH($C170&amp;S$5,INDIRECT($B$3&amp;"."&amp;$B$158&amp;".energy[Tech description]")&amp;INDIRECT($B$3&amp;"."&amp;$B$158&amp;".energy[Energy description]"),0)),0)</f>
        <v>0</v>
      </c>
      <c r="T170" s="121">
        <f t="shared" ca="1" si="10"/>
        <v>0</v>
      </c>
      <c r="U170" s="109"/>
      <c r="V170" s="152">
        <f t="array" aca="1" ref="V170" ca="1">IFERROR(INDEX(INDIRECT($B$3&amp;"."&amp;$B$158&amp;".energy["&amp;This.year&amp;"]"),MATCH($C170&amp;V$5,INDIRECT($B$3&amp;"."&amp;$B$158&amp;".energy[Tech description]")&amp;INDIRECT($B$3&amp;"."&amp;$B$158&amp;".energy[Energy description]"),0)),0)</f>
        <v>0</v>
      </c>
      <c r="W170" s="152">
        <f t="array" aca="1" ref="W170" ca="1">IFERROR(INDEX(INDIRECT($B$3&amp;"."&amp;$B$158&amp;".energy["&amp;This.year&amp;"]"),MATCH($C170&amp;W$5,INDIRECT($B$3&amp;"."&amp;$B$158&amp;".energy[Tech description]")&amp;INDIRECT($B$3&amp;"."&amp;$B$158&amp;".energy[Energy description]"),0)),0)</f>
        <v>0</v>
      </c>
      <c r="X170" s="152">
        <f t="array" aca="1" ref="X170" ca="1">IFERROR(INDEX(INDIRECT($B$3&amp;"."&amp;$B$158&amp;".energy["&amp;This.year&amp;"]"),MATCH($C170&amp;X$5,INDIRECT($B$3&amp;"."&amp;$B$158&amp;".energy[Tech description]")&amp;INDIRECT($B$3&amp;"."&amp;$B$158&amp;".energy[Energy description]"),0)),0)</f>
        <v>0</v>
      </c>
      <c r="Y170" s="152">
        <f t="array" aca="1" ref="Y170" ca="1">IFERROR(INDEX(INDIRECT($B$3&amp;"."&amp;$B$158&amp;".energy["&amp;This.year&amp;"]"),MATCH($C170&amp;Y$5,INDIRECT($B$3&amp;"."&amp;$B$158&amp;".energy[Tech description]")&amp;INDIRECT($B$3&amp;"."&amp;$B$158&amp;".energy[Energy description]"),0)),0)</f>
        <v>0</v>
      </c>
      <c r="Z170" s="152">
        <f t="array" aca="1" ref="Z170" ca="1">IFERROR(INDEX(INDIRECT($B$3&amp;"."&amp;$B$158&amp;".energy["&amp;This.year&amp;"]"),MATCH($C170&amp;Z$5,INDIRECT($B$3&amp;"."&amp;$B$158&amp;".energy[Tech description]")&amp;INDIRECT($B$3&amp;"."&amp;$B$158&amp;".energy[Energy description]"),0)),0)</f>
        <v>0</v>
      </c>
      <c r="AA170" s="152">
        <f t="array" aca="1" ref="AA170" ca="1">IFERROR(INDEX(INDIRECT($B$3&amp;"."&amp;$B$158&amp;".energy["&amp;This.year&amp;"]"),MATCH($C170&amp;AA$5,INDIRECT($B$3&amp;"."&amp;$B$158&amp;".energy[Tech description]")&amp;INDIRECT($B$3&amp;"."&amp;$B$158&amp;".energy[Energy description]"),0)),0)</f>
        <v>0</v>
      </c>
      <c r="AB170" s="152">
        <f t="array" aca="1" ref="AB170" ca="1">IFERROR(INDEX(INDIRECT($B$3&amp;"."&amp;$B$158&amp;".energy["&amp;This.year&amp;"]"),MATCH($C170&amp;AB$5,INDIRECT($B$3&amp;"."&amp;$B$158&amp;".energy[Tech description]")&amp;INDIRECT($B$3&amp;"."&amp;$B$158&amp;".energy[Energy description]"),0)),0)</f>
        <v>0</v>
      </c>
      <c r="AC170" s="152">
        <f t="array" aca="1" ref="AC170" ca="1">IFERROR(INDEX(INDIRECT($B$3&amp;"."&amp;$B$158&amp;".energy["&amp;This.year&amp;"]"),MATCH($C170&amp;AC$5,INDIRECT($B$3&amp;"."&amp;$B$158&amp;".energy[Tech description]")&amp;INDIRECT($B$3&amp;"."&amp;$B$158&amp;".energy[Energy description]"),0)),0)</f>
        <v>0</v>
      </c>
      <c r="AD170" s="152">
        <f t="array" aca="1" ref="AD170" ca="1">IFERROR(INDEX(INDIRECT($B$3&amp;"."&amp;$B$158&amp;".energy["&amp;This.year&amp;"]"),MATCH($C170&amp;AD$5,INDIRECT($B$3&amp;"."&amp;$B$158&amp;".energy[Tech description]")&amp;INDIRECT($B$3&amp;"."&amp;$B$158&amp;".energy[Energy description]"),0)),0)</f>
        <v>0</v>
      </c>
      <c r="AE170" s="152">
        <f t="array" aca="1" ref="AE170" ca="1">IFERROR(INDEX(INDIRECT($B$3&amp;"."&amp;$B$158&amp;".energy["&amp;This.year&amp;"]"),MATCH($C170&amp;AE$5,INDIRECT($B$3&amp;"."&amp;$B$158&amp;".energy[Tech description]")&amp;INDIRECT($B$3&amp;"."&amp;$B$158&amp;".energy[Energy description]"),0)),0)</f>
        <v>0</v>
      </c>
      <c r="AF170" s="152">
        <f t="array" aca="1" ref="AF170" ca="1">IFERROR(INDEX(INDIRECT($B$3&amp;"."&amp;$B$158&amp;".energy["&amp;This.year&amp;"]"),MATCH($C170&amp;AF$5,INDIRECT($B$3&amp;"."&amp;$B$158&amp;".energy[Tech description]")&amp;INDIRECT($B$3&amp;"."&amp;$B$158&amp;".energy[Energy description]"),0)),0)</f>
        <v>0</v>
      </c>
      <c r="AG170" s="152">
        <f t="array" aca="1" ref="AG170" ca="1">IFERROR(INDEX(INDIRECT($B$3&amp;"."&amp;$B$158&amp;".energy["&amp;This.year&amp;"]"),MATCH($C170&amp;AG$5,INDIRECT($B$3&amp;"."&amp;$B$158&amp;".energy[Tech description]")&amp;INDIRECT($B$3&amp;"."&amp;$B$158&amp;".energy[Energy description]"),0)),0)</f>
        <v>0</v>
      </c>
      <c r="AH170" s="152">
        <f t="array" aca="1" ref="AH170" ca="1">IFERROR(INDEX(INDIRECT($B$3&amp;"."&amp;$B$158&amp;".energy["&amp;This.year&amp;"]"),MATCH($C170&amp;AH$5,INDIRECT($B$3&amp;"."&amp;$B$158&amp;".energy[Tech description]")&amp;INDIRECT($B$3&amp;"."&amp;$B$158&amp;".energy[Energy description]"),0)),0)</f>
        <v>0</v>
      </c>
      <c r="AI170" s="152">
        <f t="array" aca="1" ref="AI170" ca="1">IFERROR(INDEX(INDIRECT($B$3&amp;"."&amp;$B$158&amp;".energy["&amp;This.year&amp;"]"),MATCH($C170&amp;AI$5,INDIRECT($B$3&amp;"."&amp;$B$158&amp;".energy[Tech description]")&amp;INDIRECT($B$3&amp;"."&amp;$B$158&amp;".energy[Energy description]"),0)),0)</f>
        <v>0</v>
      </c>
      <c r="AJ170" s="152">
        <f t="array" aca="1" ref="AJ170" ca="1">IFERROR(INDEX(INDIRECT($B$3&amp;"."&amp;$B$158&amp;".energy["&amp;This.year&amp;"]"),MATCH($C170&amp;AJ$5,INDIRECT($B$3&amp;"."&amp;$B$158&amp;".energy[Tech description]")&amp;INDIRECT($B$3&amp;"."&amp;$B$158&amp;".energy[Energy description]"),0)),0)</f>
        <v>0</v>
      </c>
      <c r="AK170" s="152">
        <f t="array" aca="1" ref="AK170" ca="1">IFERROR(INDEX(INDIRECT($B$3&amp;"."&amp;$B$158&amp;".energy["&amp;This.year&amp;"]"),MATCH($C170&amp;AK$5,INDIRECT($B$3&amp;"."&amp;$B$158&amp;".energy[Tech description]")&amp;INDIRECT($B$3&amp;"."&amp;$B$158&amp;".energy[Energy description]"),0)),0)</f>
        <v>0</v>
      </c>
      <c r="AL170" s="152">
        <f t="array" aca="1" ref="AL170" ca="1">IFERROR(INDEX(INDIRECT($B$3&amp;"."&amp;$B$158&amp;".energy["&amp;This.year&amp;"]"),MATCH($C170&amp;AL$5,INDIRECT($B$3&amp;"."&amp;$B$158&amp;".energy[Tech description]")&amp;INDIRECT($B$3&amp;"."&amp;$B$158&amp;".energy[Energy description]"),0)),0)</f>
        <v>0</v>
      </c>
      <c r="AM170" s="152">
        <f t="array" aca="1" ref="AM170" ca="1">IFERROR(INDEX(INDIRECT($B$3&amp;"."&amp;$B$158&amp;".energy["&amp;This.year&amp;"]"),MATCH($C170&amp;AM$5,INDIRECT($B$3&amp;"."&amp;$B$158&amp;".energy[Tech description]")&amp;INDIRECT($B$3&amp;"."&amp;$B$158&amp;".energy[Energy description]"),0)),0)</f>
        <v>0</v>
      </c>
      <c r="AN170" s="152">
        <f t="array" aca="1" ref="AN170" ca="1">IFERROR(INDEX(INDIRECT($B$3&amp;"."&amp;$B$158&amp;".energy["&amp;This.year&amp;"]"),MATCH($C170&amp;AN$5,INDIRECT($B$3&amp;"."&amp;$B$158&amp;".energy[Tech description]")&amp;INDIRECT($B$3&amp;"."&amp;$B$158&amp;".energy[Energy description]"),0)),0)</f>
        <v>0</v>
      </c>
      <c r="AO170" s="152">
        <f t="shared" ca="1" si="11"/>
        <v>0</v>
      </c>
      <c r="AP170" s="108"/>
      <c r="AQ170" s="21">
        <f t="array" aca="1" ref="AQ170" ca="1">IFERROR(INDEX(INDIRECT($B$3&amp;"."&amp;$B$158&amp;".energy["&amp;This.year&amp;"]"),MATCH($C170&amp;AQ$5,INDIRECT($B$3&amp;"."&amp;$B$158&amp;".energy[Tech description]")&amp;INDIRECT($B$3&amp;"."&amp;$B$158&amp;".energy[Energy description]"),0)),0)</f>
        <v>0</v>
      </c>
      <c r="AR170" s="21">
        <f t="array" aca="1" ref="AR170" ca="1">IFERROR(INDEX(INDIRECT($B$3&amp;"."&amp;$B$158&amp;".energy["&amp;This.year&amp;"]"),MATCH($C170&amp;AR$5,INDIRECT($B$3&amp;"."&amp;$B$158&amp;".energy[Tech description]")&amp;INDIRECT($B$3&amp;"."&amp;$B$158&amp;".energy[Energy description]"),0)),0)</f>
        <v>0</v>
      </c>
      <c r="AS170" s="21">
        <f t="array" aca="1" ref="AS170" ca="1">IFERROR(INDEX(INDIRECT($B$3&amp;"."&amp;$B$158&amp;".energy["&amp;This.year&amp;"]"),MATCH($C170&amp;AS$5,INDIRECT($B$3&amp;"."&amp;$B$158&amp;".energy[Tech description]")&amp;INDIRECT($B$3&amp;"."&amp;$B$158&amp;".energy[Energy description]"),0)),0)</f>
        <v>0</v>
      </c>
      <c r="AT170" s="21">
        <f t="array" aca="1" ref="AT170" ca="1">IFERROR(INDEX(INDIRECT($B$3&amp;"."&amp;$B$158&amp;".energy["&amp;This.year&amp;"]"),MATCH($C170&amp;AT$5,INDIRECT($B$3&amp;"."&amp;$B$158&amp;".energy[Tech description]")&amp;INDIRECT($B$3&amp;"."&amp;$B$158&amp;".energy[Energy description]"),0)),0)</f>
        <v>0</v>
      </c>
      <c r="AU170" s="21">
        <f t="array" aca="1" ref="AU170" ca="1">IFERROR(INDEX(INDIRECT($B$3&amp;"."&amp;$B$158&amp;".energy["&amp;This.year&amp;"]"),MATCH($C170&amp;AU$5,INDIRECT($B$3&amp;"."&amp;$B$158&amp;".energy[Tech description]")&amp;INDIRECT($B$3&amp;"."&amp;$B$158&amp;".energy[Energy description]"),0)),0)</f>
        <v>0</v>
      </c>
      <c r="AV170" s="21">
        <f t="array" aca="1" ref="AV170" ca="1">IFERROR(INDEX(INDIRECT($B$3&amp;"."&amp;$B$158&amp;".energy["&amp;This.year&amp;"]"),MATCH($C170&amp;AV$5,INDIRECT($B$3&amp;"."&amp;$B$158&amp;".energy[Tech description]")&amp;INDIRECT($B$3&amp;"."&amp;$B$158&amp;".energy[Energy description]"),0)),0)</f>
        <v>0</v>
      </c>
      <c r="AW170" s="21">
        <f t="array" aca="1" ref="AW170" ca="1">IFERROR(INDEX(INDIRECT($B$3&amp;"."&amp;$B$158&amp;".energy["&amp;This.year&amp;"]"),MATCH($C170&amp;AW$5,INDIRECT($B$3&amp;"."&amp;$B$158&amp;".energy[Tech description]")&amp;INDIRECT($B$3&amp;"."&amp;$B$158&amp;".energy[Energy description]"),0)),0)</f>
        <v>0</v>
      </c>
      <c r="AX170" s="21">
        <f t="array" aca="1" ref="AX170" ca="1">IFERROR(INDEX(INDIRECT($B$3&amp;"."&amp;$B$158&amp;".energy["&amp;This.year&amp;"]"),MATCH($C170&amp;AX$5,INDIRECT($B$3&amp;"."&amp;$B$158&amp;".energy[Tech description]")&amp;INDIRECT($B$3&amp;"."&amp;$B$158&amp;".energy[Energy description]"),0)),0)</f>
        <v>0</v>
      </c>
      <c r="AY170" s="21">
        <f t="array" aca="1" ref="AY170" ca="1">IFERROR(INDEX(INDIRECT($B$3&amp;"."&amp;$B$158&amp;".energy["&amp;This.year&amp;"]"),MATCH($C170&amp;AY$5,INDIRECT($B$3&amp;"."&amp;$B$158&amp;".energy[Tech description]")&amp;INDIRECT($B$3&amp;"."&amp;$B$158&amp;".energy[Energy description]"),0)),0)</f>
        <v>0</v>
      </c>
      <c r="AZ170" s="21">
        <f t="array" aca="1" ref="AZ170" ca="1">IFERROR(INDEX(INDIRECT($B$3&amp;"."&amp;$B$158&amp;".energy["&amp;This.year&amp;"]"),MATCH($C170&amp;AZ$5,INDIRECT($B$3&amp;"."&amp;$B$158&amp;".energy[Tech description]")&amp;INDIRECT($B$3&amp;"."&amp;$B$158&amp;".energy[Energy description]"),0)),0)</f>
        <v>0</v>
      </c>
      <c r="BA170" s="21">
        <f t="array" aca="1" ref="BA170" ca="1">IFERROR(INDEX(INDIRECT($B$3&amp;"."&amp;$B$158&amp;".energy["&amp;This.year&amp;"]"),MATCH($C170&amp;BA$5,INDIRECT($B$3&amp;"."&amp;$B$158&amp;".energy[Tech description]")&amp;INDIRECT($B$3&amp;"."&amp;$B$158&amp;".energy[Energy description]"),0)),0)</f>
        <v>0</v>
      </c>
      <c r="BB170" s="21">
        <f t="array" aca="1" ref="BB170" ca="1">IFERROR(INDEX(INDIRECT($B$3&amp;"."&amp;$B$158&amp;".energy["&amp;This.year&amp;"]"),MATCH($C170&amp;BB$5,INDIRECT($B$3&amp;"."&amp;$B$158&amp;".energy[Tech description]")&amp;INDIRECT($B$3&amp;"."&amp;$B$158&amp;".energy[Energy description]"),0)),0)</f>
        <v>0</v>
      </c>
      <c r="BC170" s="21">
        <f t="array" aca="1" ref="BC170" ca="1">IFERROR(INDEX(INDIRECT($B$3&amp;"."&amp;$B$158&amp;".energy["&amp;This.year&amp;"]"),MATCH($C170&amp;BC$5,INDIRECT($B$3&amp;"."&amp;$B$158&amp;".energy[Tech description]")&amp;INDIRECT($B$3&amp;"."&amp;$B$158&amp;".energy[Energy description]"),0)),0)</f>
        <v>0</v>
      </c>
      <c r="BD170" s="21">
        <f t="shared" ca="1" si="12"/>
        <v>0</v>
      </c>
      <c r="BE170" s="108"/>
      <c r="BF170" s="49">
        <f t="array" aca="1" ref="BF170" ca="1">IFERROR(INDEX(INDIRECT($B$3&amp;"."&amp;$B$158&amp;".energy["&amp;This.year&amp;"]"),MATCH($C170&amp;BF$5,INDIRECT($B$3&amp;"."&amp;$B$158&amp;".energy[Tech description]")&amp;INDIRECT($B$3&amp;"."&amp;$B$158&amp;".energy[Energy description]"),0)),0)</f>
        <v>0</v>
      </c>
      <c r="BG170" s="49">
        <f t="array" aca="1" ref="BG170" ca="1">IFERROR(INDEX(INDIRECT($B$3&amp;"."&amp;$B$158&amp;".energy["&amp;This.year&amp;"]"),MATCH($C170&amp;BG$5,INDIRECT($B$3&amp;"."&amp;$B$158&amp;".energy[Tech description]")&amp;INDIRECT($B$3&amp;"."&amp;$B$158&amp;".energy[Energy description]"),0)),0)</f>
        <v>0</v>
      </c>
      <c r="BH170" s="49">
        <f t="shared" ca="1" si="13"/>
        <v>0</v>
      </c>
      <c r="BI170" s="219">
        <f t="shared" ca="1" si="9"/>
        <v>0</v>
      </c>
      <c r="BJ170" s="108"/>
    </row>
    <row r="171" spans="1:62" s="54" customFormat="1">
      <c r="A171" s="133"/>
      <c r="B171" s="176" t="s">
        <v>2057</v>
      </c>
      <c r="C171" s="114" t="str">
        <f>INDEX(Regional.Technologies[Description],MATCH($B$3&amp;"."&amp;B171,Regional.Technologies[Code],0))</f>
        <v>Global Solid Hydrocarbons use in the Hisarna Oxygen steel technology</v>
      </c>
      <c r="E171" s="121">
        <f t="array" aca="1" ref="E171" ca="1">IFERROR(INDEX(INDIRECT($B$3&amp;"."&amp;$B$158&amp;".energy["&amp;This.year&amp;"]"),MATCH($C171&amp;E$5,INDIRECT($B$3&amp;"."&amp;$B$158&amp;".energy[Tech description]")&amp;INDIRECT($B$3&amp;"."&amp;$B$158&amp;".energy[Energy description]"),0)),0)</f>
        <v>0</v>
      </c>
      <c r="F171" s="121">
        <f t="array" aca="1" ref="F171" ca="1">IFERROR(INDEX(INDIRECT($B$3&amp;"."&amp;$B$158&amp;".energy["&amp;This.year&amp;"]"),MATCH($C171&amp;F$5,INDIRECT($B$3&amp;"."&amp;$B$158&amp;".energy[Tech description]")&amp;INDIRECT($B$3&amp;"."&amp;$B$158&amp;".energy[Energy description]"),0)),0)</f>
        <v>0</v>
      </c>
      <c r="G171" s="121">
        <f t="array" aca="1" ref="G171" ca="1">IFERROR(INDEX(INDIRECT($B$3&amp;"."&amp;$B$158&amp;".energy["&amp;This.year&amp;"]"),MATCH($C171&amp;G$5,INDIRECT($B$3&amp;"."&amp;$B$158&amp;".energy[Tech description]")&amp;INDIRECT($B$3&amp;"."&amp;$B$158&amp;".energy[Energy description]"),0)),0)</f>
        <v>0</v>
      </c>
      <c r="H171" s="121">
        <f t="array" aca="1" ref="H171" ca="1">IFERROR(INDEX(INDIRECT($B$3&amp;"."&amp;$B$158&amp;".energy["&amp;This.year&amp;"]"),MATCH($C171&amp;H$5,INDIRECT($B$3&amp;"."&amp;$B$158&amp;".energy[Tech description]")&amp;INDIRECT($B$3&amp;"."&amp;$B$158&amp;".energy[Energy description]"),0)),0)</f>
        <v>0</v>
      </c>
      <c r="I171" s="121">
        <f t="array" aca="1" ref="I171" ca="1">IFERROR(INDEX(INDIRECT($B$3&amp;"."&amp;$B$158&amp;".energy["&amp;This.year&amp;"]"),MATCH($C171&amp;I$5,INDIRECT($B$3&amp;"."&amp;$B$158&amp;".energy[Tech description]")&amp;INDIRECT($B$3&amp;"."&amp;$B$158&amp;".energy[Energy description]"),0)),0)</f>
        <v>0</v>
      </c>
      <c r="J171" s="121">
        <f t="array" aca="1" ref="J171" ca="1">IFERROR(INDEX(INDIRECT($B$3&amp;"."&amp;$B$158&amp;".energy["&amp;This.year&amp;"]"),MATCH($C171&amp;J$5,INDIRECT($B$3&amp;"."&amp;$B$158&amp;".energy[Tech description]")&amp;INDIRECT($B$3&amp;"."&amp;$B$158&amp;".energy[Energy description]"),0)),0)</f>
        <v>0</v>
      </c>
      <c r="K171" s="121">
        <f t="array" aca="1" ref="K171" ca="1">IFERROR(INDEX(INDIRECT($B$3&amp;"."&amp;$B$158&amp;".energy["&amp;This.year&amp;"]"),MATCH($C171&amp;K$5,INDIRECT($B$3&amp;"."&amp;$B$158&amp;".energy[Tech description]")&amp;INDIRECT($B$3&amp;"."&amp;$B$158&amp;".energy[Energy description]"),0)),0)</f>
        <v>0</v>
      </c>
      <c r="L171" s="121">
        <f t="array" aca="1" ref="L171" ca="1">IFERROR(INDEX(INDIRECT($B$3&amp;"."&amp;$B$158&amp;".energy["&amp;This.year&amp;"]"),MATCH($C171&amp;L$5,INDIRECT($B$3&amp;"."&amp;$B$158&amp;".energy[Tech description]")&amp;INDIRECT($B$3&amp;"."&amp;$B$158&amp;".energy[Energy description]"),0)),0)</f>
        <v>0</v>
      </c>
      <c r="M171" s="121">
        <f t="array" aca="1" ref="M171" ca="1">IFERROR(INDEX(INDIRECT($B$3&amp;"."&amp;$B$158&amp;".energy["&amp;This.year&amp;"]"),MATCH($C171&amp;M$5,INDIRECT($B$3&amp;"."&amp;$B$158&amp;".energy[Tech description]")&amp;INDIRECT($B$3&amp;"."&amp;$B$158&amp;".energy[Energy description]"),0)),0)</f>
        <v>0</v>
      </c>
      <c r="N171" s="121">
        <f t="array" aca="1" ref="N171" ca="1">IFERROR(INDEX(INDIRECT($B$3&amp;"."&amp;$B$158&amp;".energy["&amp;This.year&amp;"]"),MATCH($C171&amp;N$5,INDIRECT($B$3&amp;"."&amp;$B$158&amp;".energy[Tech description]")&amp;INDIRECT($B$3&amp;"."&amp;$B$158&amp;".energy[Energy description]"),0)),0)</f>
        <v>0</v>
      </c>
      <c r="O171" s="121">
        <f t="array" aca="1" ref="O171" ca="1">IFERROR(INDEX(INDIRECT($B$3&amp;"."&amp;$B$158&amp;".energy["&amp;This.year&amp;"]"),MATCH($C171&amp;O$5,INDIRECT($B$3&amp;"."&amp;$B$158&amp;".energy[Tech description]")&amp;INDIRECT($B$3&amp;"."&amp;$B$158&amp;".energy[Energy description]"),0)),0)</f>
        <v>0</v>
      </c>
      <c r="P171" s="121">
        <f t="array" aca="1" ref="P171" ca="1">IFERROR(INDEX(INDIRECT($B$3&amp;"."&amp;$B$158&amp;".energy["&amp;This.year&amp;"]"),MATCH($C171&amp;P$5,INDIRECT($B$3&amp;"."&amp;$B$158&amp;".energy[Tech description]")&amp;INDIRECT($B$3&amp;"."&amp;$B$158&amp;".energy[Energy description]"),0)),0)</f>
        <v>0</v>
      </c>
      <c r="Q171" s="121">
        <f t="array" aca="1" ref="Q171" ca="1">IFERROR(INDEX(INDIRECT($B$3&amp;"."&amp;$B$158&amp;".energy["&amp;This.year&amp;"]"),MATCH($C171&amp;Q$5,INDIRECT($B$3&amp;"."&amp;$B$158&amp;".energy[Tech description]")&amp;INDIRECT($B$3&amp;"."&amp;$B$158&amp;".energy[Energy description]"),0)),0)</f>
        <v>0</v>
      </c>
      <c r="R171" s="121">
        <f t="array" aca="1" ref="R171" ca="1">IFERROR(INDEX(INDIRECT($B$3&amp;"."&amp;$B$158&amp;".energy["&amp;This.year&amp;"]"),MATCH($C171&amp;R$5,INDIRECT($B$3&amp;"."&amp;$B$158&amp;".energy[Tech description]")&amp;INDIRECT($B$3&amp;"."&amp;$B$158&amp;".energy[Energy description]"),0)),0)</f>
        <v>0</v>
      </c>
      <c r="S171" s="121">
        <f t="array" aca="1" ref="S171" ca="1">IFERROR(INDEX(INDIRECT($B$3&amp;"."&amp;$B$158&amp;".energy["&amp;This.year&amp;"]"),MATCH($C171&amp;S$5,INDIRECT($B$3&amp;"."&amp;$B$158&amp;".energy[Tech description]")&amp;INDIRECT($B$3&amp;"."&amp;$B$158&amp;".energy[Energy description]"),0)),0)</f>
        <v>0</v>
      </c>
      <c r="T171" s="121">
        <f t="shared" ca="1" si="10"/>
        <v>0</v>
      </c>
      <c r="U171" s="109"/>
      <c r="V171" s="152">
        <f t="array" aca="1" ref="V171" ca="1">IFERROR(INDEX(INDIRECT($B$3&amp;"."&amp;$B$158&amp;".energy["&amp;This.year&amp;"]"),MATCH($C171&amp;V$5,INDIRECT($B$3&amp;"."&amp;$B$158&amp;".energy[Tech description]")&amp;INDIRECT($B$3&amp;"."&amp;$B$158&amp;".energy[Energy description]"),0)),0)</f>
        <v>0</v>
      </c>
      <c r="W171" s="152">
        <f t="array" aca="1" ref="W171" ca="1">IFERROR(INDEX(INDIRECT($B$3&amp;"."&amp;$B$158&amp;".energy["&amp;This.year&amp;"]"),MATCH($C171&amp;W$5,INDIRECT($B$3&amp;"."&amp;$B$158&amp;".energy[Tech description]")&amp;INDIRECT($B$3&amp;"."&amp;$B$158&amp;".energy[Energy description]"),0)),0)</f>
        <v>0</v>
      </c>
      <c r="X171" s="152">
        <f t="array" aca="1" ref="X171" ca="1">IFERROR(INDEX(INDIRECT($B$3&amp;"."&amp;$B$158&amp;".energy["&amp;This.year&amp;"]"),MATCH($C171&amp;X$5,INDIRECT($B$3&amp;"."&amp;$B$158&amp;".energy[Tech description]")&amp;INDIRECT($B$3&amp;"."&amp;$B$158&amp;".energy[Energy description]"),0)),0)</f>
        <v>0</v>
      </c>
      <c r="Y171" s="152">
        <f t="array" aca="1" ref="Y171" ca="1">IFERROR(INDEX(INDIRECT($B$3&amp;"."&amp;$B$158&amp;".energy["&amp;This.year&amp;"]"),MATCH($C171&amp;Y$5,INDIRECT($B$3&amp;"."&amp;$B$158&amp;".energy[Tech description]")&amp;INDIRECT($B$3&amp;"."&amp;$B$158&amp;".energy[Energy description]"),0)),0)</f>
        <v>0</v>
      </c>
      <c r="Z171" s="152">
        <f t="array" aca="1" ref="Z171" ca="1">IFERROR(INDEX(INDIRECT($B$3&amp;"."&amp;$B$158&amp;".energy["&amp;This.year&amp;"]"),MATCH($C171&amp;Z$5,INDIRECT($B$3&amp;"."&amp;$B$158&amp;".energy[Tech description]")&amp;INDIRECT($B$3&amp;"."&amp;$B$158&amp;".energy[Energy description]"),0)),0)</f>
        <v>0</v>
      </c>
      <c r="AA171" s="152">
        <f t="array" aca="1" ref="AA171" ca="1">IFERROR(INDEX(INDIRECT($B$3&amp;"."&amp;$B$158&amp;".energy["&amp;This.year&amp;"]"),MATCH($C171&amp;AA$5,INDIRECT($B$3&amp;"."&amp;$B$158&amp;".energy[Tech description]")&amp;INDIRECT($B$3&amp;"."&amp;$B$158&amp;".energy[Energy description]"),0)),0)</f>
        <v>0</v>
      </c>
      <c r="AB171" s="152">
        <f t="array" aca="1" ref="AB171" ca="1">IFERROR(INDEX(INDIRECT($B$3&amp;"."&amp;$B$158&amp;".energy["&amp;This.year&amp;"]"),MATCH($C171&amp;AB$5,INDIRECT($B$3&amp;"."&amp;$B$158&amp;".energy[Tech description]")&amp;INDIRECT($B$3&amp;"."&amp;$B$158&amp;".energy[Energy description]"),0)),0)</f>
        <v>0</v>
      </c>
      <c r="AC171" s="152">
        <f t="array" aca="1" ref="AC171" ca="1">IFERROR(INDEX(INDIRECT($B$3&amp;"."&amp;$B$158&amp;".energy["&amp;This.year&amp;"]"),MATCH($C171&amp;AC$5,INDIRECT($B$3&amp;"."&amp;$B$158&amp;".energy[Tech description]")&amp;INDIRECT($B$3&amp;"."&amp;$B$158&amp;".energy[Energy description]"),0)),0)</f>
        <v>0</v>
      </c>
      <c r="AD171" s="152">
        <f t="array" aca="1" ref="AD171" ca="1">IFERROR(INDEX(INDIRECT($B$3&amp;"."&amp;$B$158&amp;".energy["&amp;This.year&amp;"]"),MATCH($C171&amp;AD$5,INDIRECT($B$3&amp;"."&amp;$B$158&amp;".energy[Tech description]")&amp;INDIRECT($B$3&amp;"."&amp;$B$158&amp;".energy[Energy description]"),0)),0)</f>
        <v>0</v>
      </c>
      <c r="AE171" s="152">
        <f t="array" aca="1" ref="AE171" ca="1">IFERROR(INDEX(INDIRECT($B$3&amp;"."&amp;$B$158&amp;".energy["&amp;This.year&amp;"]"),MATCH($C171&amp;AE$5,INDIRECT($B$3&amp;"."&amp;$B$158&amp;".energy[Tech description]")&amp;INDIRECT($B$3&amp;"."&amp;$B$158&amp;".energy[Energy description]"),0)),0)</f>
        <v>0</v>
      </c>
      <c r="AF171" s="152">
        <f t="array" aca="1" ref="AF171" ca="1">IFERROR(INDEX(INDIRECT($B$3&amp;"."&amp;$B$158&amp;".energy["&amp;This.year&amp;"]"),MATCH($C171&amp;AF$5,INDIRECT($B$3&amp;"."&amp;$B$158&amp;".energy[Tech description]")&amp;INDIRECT($B$3&amp;"."&amp;$B$158&amp;".energy[Energy description]"),0)),0)</f>
        <v>0</v>
      </c>
      <c r="AG171" s="152">
        <f t="array" aca="1" ref="AG171" ca="1">IFERROR(INDEX(INDIRECT($B$3&amp;"."&amp;$B$158&amp;".energy["&amp;This.year&amp;"]"),MATCH($C171&amp;AG$5,INDIRECT($B$3&amp;"."&amp;$B$158&amp;".energy[Tech description]")&amp;INDIRECT($B$3&amp;"."&amp;$B$158&amp;".energy[Energy description]"),0)),0)</f>
        <v>0</v>
      </c>
      <c r="AH171" s="152">
        <f t="array" aca="1" ref="AH171" ca="1">IFERROR(INDEX(INDIRECT($B$3&amp;"."&amp;$B$158&amp;".energy["&amp;This.year&amp;"]"),MATCH($C171&amp;AH$5,INDIRECT($B$3&amp;"."&amp;$B$158&amp;".energy[Tech description]")&amp;INDIRECT($B$3&amp;"."&amp;$B$158&amp;".energy[Energy description]"),0)),0)</f>
        <v>0</v>
      </c>
      <c r="AI171" s="152">
        <f t="array" aca="1" ref="AI171" ca="1">IFERROR(INDEX(INDIRECT($B$3&amp;"."&amp;$B$158&amp;".energy["&amp;This.year&amp;"]"),MATCH($C171&amp;AI$5,INDIRECT($B$3&amp;"."&amp;$B$158&amp;".energy[Tech description]")&amp;INDIRECT($B$3&amp;"."&amp;$B$158&amp;".energy[Energy description]"),0)),0)</f>
        <v>0</v>
      </c>
      <c r="AJ171" s="152">
        <f t="array" aca="1" ref="AJ171" ca="1">IFERROR(INDEX(INDIRECT($B$3&amp;"."&amp;$B$158&amp;".energy["&amp;This.year&amp;"]"),MATCH($C171&amp;AJ$5,INDIRECT($B$3&amp;"."&amp;$B$158&amp;".energy[Tech description]")&amp;INDIRECT($B$3&amp;"."&amp;$B$158&amp;".energy[Energy description]"),0)),0)</f>
        <v>0</v>
      </c>
      <c r="AK171" s="152">
        <f t="array" aca="1" ref="AK171" ca="1">IFERROR(INDEX(INDIRECT($B$3&amp;"."&amp;$B$158&amp;".energy["&amp;This.year&amp;"]"),MATCH($C171&amp;AK$5,INDIRECT($B$3&amp;"."&amp;$B$158&amp;".energy[Tech description]")&amp;INDIRECT($B$3&amp;"."&amp;$B$158&amp;".energy[Energy description]"),0)),0)</f>
        <v>0</v>
      </c>
      <c r="AL171" s="152">
        <f t="array" aca="1" ref="AL171" ca="1">IFERROR(INDEX(INDIRECT($B$3&amp;"."&amp;$B$158&amp;".energy["&amp;This.year&amp;"]"),MATCH($C171&amp;AL$5,INDIRECT($B$3&amp;"."&amp;$B$158&amp;".energy[Tech description]")&amp;INDIRECT($B$3&amp;"."&amp;$B$158&amp;".energy[Energy description]"),0)),0)</f>
        <v>0</v>
      </c>
      <c r="AM171" s="152">
        <f t="array" aca="1" ref="AM171" ca="1">IFERROR(INDEX(INDIRECT($B$3&amp;"."&amp;$B$158&amp;".energy["&amp;This.year&amp;"]"),MATCH($C171&amp;AM$5,INDIRECT($B$3&amp;"."&amp;$B$158&amp;".energy[Tech description]")&amp;INDIRECT($B$3&amp;"."&amp;$B$158&amp;".energy[Energy description]"),0)),0)</f>
        <v>0</v>
      </c>
      <c r="AN171" s="152">
        <f t="array" aca="1" ref="AN171" ca="1">IFERROR(INDEX(INDIRECT($B$3&amp;"."&amp;$B$158&amp;".energy["&amp;This.year&amp;"]"),MATCH($C171&amp;AN$5,INDIRECT($B$3&amp;"."&amp;$B$158&amp;".energy[Tech description]")&amp;INDIRECT($B$3&amp;"."&amp;$B$158&amp;".energy[Energy description]"),0)),0)</f>
        <v>0</v>
      </c>
      <c r="AO171" s="152">
        <f t="shared" ca="1" si="11"/>
        <v>0</v>
      </c>
      <c r="AP171" s="108"/>
      <c r="AQ171" s="21">
        <f t="array" aca="1" ref="AQ171" ca="1">IFERROR(INDEX(INDIRECT($B$3&amp;"."&amp;$B$158&amp;".energy["&amp;This.year&amp;"]"),MATCH($C171&amp;AQ$5,INDIRECT($B$3&amp;"."&amp;$B$158&amp;".energy[Tech description]")&amp;INDIRECT($B$3&amp;"."&amp;$B$158&amp;".energy[Energy description]"),0)),0)</f>
        <v>0</v>
      </c>
      <c r="AR171" s="21">
        <f t="array" aca="1" ref="AR171" ca="1">IFERROR(INDEX(INDIRECT($B$3&amp;"."&amp;$B$158&amp;".energy["&amp;This.year&amp;"]"),MATCH($C171&amp;AR$5,INDIRECT($B$3&amp;"."&amp;$B$158&amp;".energy[Tech description]")&amp;INDIRECT($B$3&amp;"."&amp;$B$158&amp;".energy[Energy description]"),0)),0)</f>
        <v>0</v>
      </c>
      <c r="AS171" s="21">
        <f t="array" aca="1" ref="AS171" ca="1">IFERROR(INDEX(INDIRECT($B$3&amp;"."&amp;$B$158&amp;".energy["&amp;This.year&amp;"]"),MATCH($C171&amp;AS$5,INDIRECT($B$3&amp;"."&amp;$B$158&amp;".energy[Tech description]")&amp;INDIRECT($B$3&amp;"."&amp;$B$158&amp;".energy[Energy description]"),0)),0)</f>
        <v>0</v>
      </c>
      <c r="AT171" s="21">
        <f t="array" aca="1" ref="AT171" ca="1">IFERROR(INDEX(INDIRECT($B$3&amp;"."&amp;$B$158&amp;".energy["&amp;This.year&amp;"]"),MATCH($C171&amp;AT$5,INDIRECT($B$3&amp;"."&amp;$B$158&amp;".energy[Tech description]")&amp;INDIRECT($B$3&amp;"."&amp;$B$158&amp;".energy[Energy description]"),0)),0)</f>
        <v>0</v>
      </c>
      <c r="AU171" s="21">
        <f t="array" aca="1" ref="AU171" ca="1">IFERROR(INDEX(INDIRECT($B$3&amp;"."&amp;$B$158&amp;".energy["&amp;This.year&amp;"]"),MATCH($C171&amp;AU$5,INDIRECT($B$3&amp;"."&amp;$B$158&amp;".energy[Tech description]")&amp;INDIRECT($B$3&amp;"."&amp;$B$158&amp;".energy[Energy description]"),0)),0)</f>
        <v>0</v>
      </c>
      <c r="AV171" s="21">
        <f t="array" aca="1" ref="AV171" ca="1">IFERROR(INDEX(INDIRECT($B$3&amp;"."&amp;$B$158&amp;".energy["&amp;This.year&amp;"]"),MATCH($C171&amp;AV$5,INDIRECT($B$3&amp;"."&amp;$B$158&amp;".energy[Tech description]")&amp;INDIRECT($B$3&amp;"."&amp;$B$158&amp;".energy[Energy description]"),0)),0)</f>
        <v>0</v>
      </c>
      <c r="AW171" s="21">
        <f t="array" aca="1" ref="AW171" ca="1">IFERROR(INDEX(INDIRECT($B$3&amp;"."&amp;$B$158&amp;".energy["&amp;This.year&amp;"]"),MATCH($C171&amp;AW$5,INDIRECT($B$3&amp;"."&amp;$B$158&amp;".energy[Tech description]")&amp;INDIRECT($B$3&amp;"."&amp;$B$158&amp;".energy[Energy description]"),0)),0)</f>
        <v>0</v>
      </c>
      <c r="AX171" s="21">
        <f t="array" aca="1" ref="AX171" ca="1">IFERROR(INDEX(INDIRECT($B$3&amp;"."&amp;$B$158&amp;".energy["&amp;This.year&amp;"]"),MATCH($C171&amp;AX$5,INDIRECT($B$3&amp;"."&amp;$B$158&amp;".energy[Tech description]")&amp;INDIRECT($B$3&amp;"."&amp;$B$158&amp;".energy[Energy description]"),0)),0)</f>
        <v>0</v>
      </c>
      <c r="AY171" s="21">
        <f t="array" aca="1" ref="AY171" ca="1">IFERROR(INDEX(INDIRECT($B$3&amp;"."&amp;$B$158&amp;".energy["&amp;This.year&amp;"]"),MATCH($C171&amp;AY$5,INDIRECT($B$3&amp;"."&amp;$B$158&amp;".energy[Tech description]")&amp;INDIRECT($B$3&amp;"."&amp;$B$158&amp;".energy[Energy description]"),0)),0)</f>
        <v>0</v>
      </c>
      <c r="AZ171" s="21">
        <f t="array" aca="1" ref="AZ171" ca="1">IFERROR(INDEX(INDIRECT($B$3&amp;"."&amp;$B$158&amp;".energy["&amp;This.year&amp;"]"),MATCH($C171&amp;AZ$5,INDIRECT($B$3&amp;"."&amp;$B$158&amp;".energy[Tech description]")&amp;INDIRECT($B$3&amp;"."&amp;$B$158&amp;".energy[Energy description]"),0)),0)</f>
        <v>0</v>
      </c>
      <c r="BA171" s="21">
        <f t="array" aca="1" ref="BA171" ca="1">IFERROR(INDEX(INDIRECT($B$3&amp;"."&amp;$B$158&amp;".energy["&amp;This.year&amp;"]"),MATCH($C171&amp;BA$5,INDIRECT($B$3&amp;"."&amp;$B$158&amp;".energy[Tech description]")&amp;INDIRECT($B$3&amp;"."&amp;$B$158&amp;".energy[Energy description]"),0)),0)</f>
        <v>0</v>
      </c>
      <c r="BB171" s="21">
        <f t="array" aca="1" ref="BB171" ca="1">IFERROR(INDEX(INDIRECT($B$3&amp;"."&amp;$B$158&amp;".energy["&amp;This.year&amp;"]"),MATCH($C171&amp;BB$5,INDIRECT($B$3&amp;"."&amp;$B$158&amp;".energy[Tech description]")&amp;INDIRECT($B$3&amp;"."&amp;$B$158&amp;".energy[Energy description]"),0)),0)</f>
        <v>0</v>
      </c>
      <c r="BC171" s="21">
        <f t="array" aca="1" ref="BC171" ca="1">IFERROR(INDEX(INDIRECT($B$3&amp;"."&amp;$B$158&amp;".energy["&amp;This.year&amp;"]"),MATCH($C171&amp;BC$5,INDIRECT($B$3&amp;"."&amp;$B$158&amp;".energy[Tech description]")&amp;INDIRECT($B$3&amp;"."&amp;$B$158&amp;".energy[Energy description]"),0)),0)</f>
        <v>0</v>
      </c>
      <c r="BD171" s="21">
        <f t="shared" ca="1" si="12"/>
        <v>0</v>
      </c>
      <c r="BE171" s="108"/>
      <c r="BF171" s="49">
        <f t="array" aca="1" ref="BF171" ca="1">IFERROR(INDEX(INDIRECT($B$3&amp;"."&amp;$B$158&amp;".energy["&amp;This.year&amp;"]"),MATCH($C171&amp;BF$5,INDIRECT($B$3&amp;"."&amp;$B$158&amp;".energy[Tech description]")&amp;INDIRECT($B$3&amp;"."&amp;$B$158&amp;".energy[Energy description]"),0)),0)</f>
        <v>0</v>
      </c>
      <c r="BG171" s="49">
        <f t="array" aca="1" ref="BG171" ca="1">IFERROR(INDEX(INDIRECT($B$3&amp;"."&amp;$B$158&amp;".energy["&amp;This.year&amp;"]"),MATCH($C171&amp;BG$5,INDIRECT($B$3&amp;"."&amp;$B$158&amp;".energy[Tech description]")&amp;INDIRECT($B$3&amp;"."&amp;$B$158&amp;".energy[Energy description]"),0)),0)</f>
        <v>0</v>
      </c>
      <c r="BH171" s="49">
        <f t="shared" ca="1" si="13"/>
        <v>0</v>
      </c>
      <c r="BI171" s="219">
        <f t="shared" ca="1" si="9"/>
        <v>0</v>
      </c>
      <c r="BJ171" s="108"/>
    </row>
    <row r="172" spans="1:62" s="54" customFormat="1">
      <c r="A172" s="133"/>
      <c r="B172" s="176" t="s">
        <v>2058</v>
      </c>
      <c r="C172" s="114" t="str">
        <f>INDEX(Regional.Technologies[Description],MATCH($B$3&amp;"."&amp;B172,Regional.Technologies[Code],0))</f>
        <v>Global Heat use in the Hisarna Oxygen steel technology</v>
      </c>
      <c r="E172" s="121">
        <f t="array" aca="1" ref="E172" ca="1">IFERROR(INDEX(INDIRECT($B$3&amp;"."&amp;$B$158&amp;".energy["&amp;This.year&amp;"]"),MATCH($C172&amp;E$5,INDIRECT($B$3&amp;"."&amp;$B$158&amp;".energy[Tech description]")&amp;INDIRECT($B$3&amp;"."&amp;$B$158&amp;".energy[Energy description]"),0)),0)</f>
        <v>0</v>
      </c>
      <c r="F172" s="121">
        <f t="array" aca="1" ref="F172" ca="1">IFERROR(INDEX(INDIRECT($B$3&amp;"."&amp;$B$158&amp;".energy["&amp;This.year&amp;"]"),MATCH($C172&amp;F$5,INDIRECT($B$3&amp;"."&amp;$B$158&amp;".energy[Tech description]")&amp;INDIRECT($B$3&amp;"."&amp;$B$158&amp;".energy[Energy description]"),0)),0)</f>
        <v>0</v>
      </c>
      <c r="G172" s="121">
        <f t="array" aca="1" ref="G172" ca="1">IFERROR(INDEX(INDIRECT($B$3&amp;"."&amp;$B$158&amp;".energy["&amp;This.year&amp;"]"),MATCH($C172&amp;G$5,INDIRECT($B$3&amp;"."&amp;$B$158&amp;".energy[Tech description]")&amp;INDIRECT($B$3&amp;"."&amp;$B$158&amp;".energy[Energy description]"),0)),0)</f>
        <v>0</v>
      </c>
      <c r="H172" s="121">
        <f t="array" aca="1" ref="H172" ca="1">IFERROR(INDEX(INDIRECT($B$3&amp;"."&amp;$B$158&amp;".energy["&amp;This.year&amp;"]"),MATCH($C172&amp;H$5,INDIRECT($B$3&amp;"."&amp;$B$158&amp;".energy[Tech description]")&amp;INDIRECT($B$3&amp;"."&amp;$B$158&amp;".energy[Energy description]"),0)),0)</f>
        <v>0</v>
      </c>
      <c r="I172" s="121">
        <f t="array" aca="1" ref="I172" ca="1">IFERROR(INDEX(INDIRECT($B$3&amp;"."&amp;$B$158&amp;".energy["&amp;This.year&amp;"]"),MATCH($C172&amp;I$5,INDIRECT($B$3&amp;"."&amp;$B$158&amp;".energy[Tech description]")&amp;INDIRECT($B$3&amp;"."&amp;$B$158&amp;".energy[Energy description]"),0)),0)</f>
        <v>0</v>
      </c>
      <c r="J172" s="121">
        <f t="array" aca="1" ref="J172" ca="1">IFERROR(INDEX(INDIRECT($B$3&amp;"."&amp;$B$158&amp;".energy["&amp;This.year&amp;"]"),MATCH($C172&amp;J$5,INDIRECT($B$3&amp;"."&amp;$B$158&amp;".energy[Tech description]")&amp;INDIRECT($B$3&amp;"."&amp;$B$158&amp;".energy[Energy description]"),0)),0)</f>
        <v>0</v>
      </c>
      <c r="K172" s="121">
        <f t="array" aca="1" ref="K172" ca="1">IFERROR(INDEX(INDIRECT($B$3&amp;"."&amp;$B$158&amp;".energy["&amp;This.year&amp;"]"),MATCH($C172&amp;K$5,INDIRECT($B$3&amp;"."&amp;$B$158&amp;".energy[Tech description]")&amp;INDIRECT($B$3&amp;"."&amp;$B$158&amp;".energy[Energy description]"),0)),0)</f>
        <v>0</v>
      </c>
      <c r="L172" s="121">
        <f t="array" aca="1" ref="L172" ca="1">IFERROR(INDEX(INDIRECT($B$3&amp;"."&amp;$B$158&amp;".energy["&amp;This.year&amp;"]"),MATCH($C172&amp;L$5,INDIRECT($B$3&amp;"."&amp;$B$158&amp;".energy[Tech description]")&amp;INDIRECT($B$3&amp;"."&amp;$B$158&amp;".energy[Energy description]"),0)),0)</f>
        <v>0</v>
      </c>
      <c r="M172" s="121">
        <f t="array" aca="1" ref="M172" ca="1">IFERROR(INDEX(INDIRECT($B$3&amp;"."&amp;$B$158&amp;".energy["&amp;This.year&amp;"]"),MATCH($C172&amp;M$5,INDIRECT($B$3&amp;"."&amp;$B$158&amp;".energy[Tech description]")&amp;INDIRECT($B$3&amp;"."&amp;$B$158&amp;".energy[Energy description]"),0)),0)</f>
        <v>0</v>
      </c>
      <c r="N172" s="121">
        <f t="array" aca="1" ref="N172" ca="1">IFERROR(INDEX(INDIRECT($B$3&amp;"."&amp;$B$158&amp;".energy["&amp;This.year&amp;"]"),MATCH($C172&amp;N$5,INDIRECT($B$3&amp;"."&amp;$B$158&amp;".energy[Tech description]")&amp;INDIRECT($B$3&amp;"."&amp;$B$158&amp;".energy[Energy description]"),0)),0)</f>
        <v>0</v>
      </c>
      <c r="O172" s="121">
        <f t="array" aca="1" ref="O172" ca="1">IFERROR(INDEX(INDIRECT($B$3&amp;"."&amp;$B$158&amp;".energy["&amp;This.year&amp;"]"),MATCH($C172&amp;O$5,INDIRECT($B$3&amp;"."&amp;$B$158&amp;".energy[Tech description]")&amp;INDIRECT($B$3&amp;"."&amp;$B$158&amp;".energy[Energy description]"),0)),0)</f>
        <v>0</v>
      </c>
      <c r="P172" s="121">
        <f t="array" aca="1" ref="P172" ca="1">IFERROR(INDEX(INDIRECT($B$3&amp;"."&amp;$B$158&amp;".energy["&amp;This.year&amp;"]"),MATCH($C172&amp;P$5,INDIRECT($B$3&amp;"."&amp;$B$158&amp;".energy[Tech description]")&amp;INDIRECT($B$3&amp;"."&amp;$B$158&amp;".energy[Energy description]"),0)),0)</f>
        <v>0</v>
      </c>
      <c r="Q172" s="121">
        <f t="array" aca="1" ref="Q172" ca="1">IFERROR(INDEX(INDIRECT($B$3&amp;"."&amp;$B$158&amp;".energy["&amp;This.year&amp;"]"),MATCH($C172&amp;Q$5,INDIRECT($B$3&amp;"."&amp;$B$158&amp;".energy[Tech description]")&amp;INDIRECT($B$3&amp;"."&amp;$B$158&amp;".energy[Energy description]"),0)),0)</f>
        <v>0</v>
      </c>
      <c r="R172" s="121">
        <f t="array" aca="1" ref="R172" ca="1">IFERROR(INDEX(INDIRECT($B$3&amp;"."&amp;$B$158&amp;".energy["&amp;This.year&amp;"]"),MATCH($C172&amp;R$5,INDIRECT($B$3&amp;"."&amp;$B$158&amp;".energy[Tech description]")&amp;INDIRECT($B$3&amp;"."&amp;$B$158&amp;".energy[Energy description]"),0)),0)</f>
        <v>0</v>
      </c>
      <c r="S172" s="121">
        <f t="array" aca="1" ref="S172" ca="1">IFERROR(INDEX(INDIRECT($B$3&amp;"."&amp;$B$158&amp;".energy["&amp;This.year&amp;"]"),MATCH($C172&amp;S$5,INDIRECT($B$3&amp;"."&amp;$B$158&amp;".energy[Tech description]")&amp;INDIRECT($B$3&amp;"."&amp;$B$158&amp;".energy[Energy description]"),0)),0)</f>
        <v>0</v>
      </c>
      <c r="T172" s="121">
        <f t="shared" ca="1" si="10"/>
        <v>0</v>
      </c>
      <c r="U172" s="109"/>
      <c r="V172" s="152">
        <f t="array" aca="1" ref="V172" ca="1">IFERROR(INDEX(INDIRECT($B$3&amp;"."&amp;$B$158&amp;".energy["&amp;This.year&amp;"]"),MATCH($C172&amp;V$5,INDIRECT($B$3&amp;"."&amp;$B$158&amp;".energy[Tech description]")&amp;INDIRECT($B$3&amp;"."&amp;$B$158&amp;".energy[Energy description]"),0)),0)</f>
        <v>0</v>
      </c>
      <c r="W172" s="152">
        <f t="array" aca="1" ref="W172" ca="1">IFERROR(INDEX(INDIRECT($B$3&amp;"."&amp;$B$158&amp;".energy["&amp;This.year&amp;"]"),MATCH($C172&amp;W$5,INDIRECT($B$3&amp;"."&amp;$B$158&amp;".energy[Tech description]")&amp;INDIRECT($B$3&amp;"."&amp;$B$158&amp;".energy[Energy description]"),0)),0)</f>
        <v>0</v>
      </c>
      <c r="X172" s="152">
        <f t="array" aca="1" ref="X172" ca="1">IFERROR(INDEX(INDIRECT($B$3&amp;"."&amp;$B$158&amp;".energy["&amp;This.year&amp;"]"),MATCH($C172&amp;X$5,INDIRECT($B$3&amp;"."&amp;$B$158&amp;".energy[Tech description]")&amp;INDIRECT($B$3&amp;"."&amp;$B$158&amp;".energy[Energy description]"),0)),0)</f>
        <v>0</v>
      </c>
      <c r="Y172" s="152">
        <f t="array" aca="1" ref="Y172" ca="1">IFERROR(INDEX(INDIRECT($B$3&amp;"."&amp;$B$158&amp;".energy["&amp;This.year&amp;"]"),MATCH($C172&amp;Y$5,INDIRECT($B$3&amp;"."&amp;$B$158&amp;".energy[Tech description]")&amp;INDIRECT($B$3&amp;"."&amp;$B$158&amp;".energy[Energy description]"),0)),0)</f>
        <v>0</v>
      </c>
      <c r="Z172" s="152">
        <f t="array" aca="1" ref="Z172" ca="1">IFERROR(INDEX(INDIRECT($B$3&amp;"."&amp;$B$158&amp;".energy["&amp;This.year&amp;"]"),MATCH($C172&amp;Z$5,INDIRECT($B$3&amp;"."&amp;$B$158&amp;".energy[Tech description]")&amp;INDIRECT($B$3&amp;"."&amp;$B$158&amp;".energy[Energy description]"),0)),0)</f>
        <v>0</v>
      </c>
      <c r="AA172" s="152">
        <f t="array" aca="1" ref="AA172" ca="1">IFERROR(INDEX(INDIRECT($B$3&amp;"."&amp;$B$158&amp;".energy["&amp;This.year&amp;"]"),MATCH($C172&amp;AA$5,INDIRECT($B$3&amp;"."&amp;$B$158&amp;".energy[Tech description]")&amp;INDIRECT($B$3&amp;"."&amp;$B$158&amp;".energy[Energy description]"),0)),0)</f>
        <v>0</v>
      </c>
      <c r="AB172" s="152">
        <f t="array" aca="1" ref="AB172" ca="1">IFERROR(INDEX(INDIRECT($B$3&amp;"."&amp;$B$158&amp;".energy["&amp;This.year&amp;"]"),MATCH($C172&amp;AB$5,INDIRECT($B$3&amp;"."&amp;$B$158&amp;".energy[Tech description]")&amp;INDIRECT($B$3&amp;"."&amp;$B$158&amp;".energy[Energy description]"),0)),0)</f>
        <v>0</v>
      </c>
      <c r="AC172" s="152">
        <f t="array" aca="1" ref="AC172" ca="1">IFERROR(INDEX(INDIRECT($B$3&amp;"."&amp;$B$158&amp;".energy["&amp;This.year&amp;"]"),MATCH($C172&amp;AC$5,INDIRECT($B$3&amp;"."&amp;$B$158&amp;".energy[Tech description]")&amp;INDIRECT($B$3&amp;"."&amp;$B$158&amp;".energy[Energy description]"),0)),0)</f>
        <v>0</v>
      </c>
      <c r="AD172" s="152">
        <f t="array" aca="1" ref="AD172" ca="1">IFERROR(INDEX(INDIRECT($B$3&amp;"."&amp;$B$158&amp;".energy["&amp;This.year&amp;"]"),MATCH($C172&amp;AD$5,INDIRECT($B$3&amp;"."&amp;$B$158&amp;".energy[Tech description]")&amp;INDIRECT($B$3&amp;"."&amp;$B$158&amp;".energy[Energy description]"),0)),0)</f>
        <v>0</v>
      </c>
      <c r="AE172" s="152">
        <f t="array" aca="1" ref="AE172" ca="1">IFERROR(INDEX(INDIRECT($B$3&amp;"."&amp;$B$158&amp;".energy["&amp;This.year&amp;"]"),MATCH($C172&amp;AE$5,INDIRECT($B$3&amp;"."&amp;$B$158&amp;".energy[Tech description]")&amp;INDIRECT($B$3&amp;"."&amp;$B$158&amp;".energy[Energy description]"),0)),0)</f>
        <v>0</v>
      </c>
      <c r="AF172" s="152">
        <f t="array" aca="1" ref="AF172" ca="1">IFERROR(INDEX(INDIRECT($B$3&amp;"."&amp;$B$158&amp;".energy["&amp;This.year&amp;"]"),MATCH($C172&amp;AF$5,INDIRECT($B$3&amp;"."&amp;$B$158&amp;".energy[Tech description]")&amp;INDIRECT($B$3&amp;"."&amp;$B$158&amp;".energy[Energy description]"),0)),0)</f>
        <v>0</v>
      </c>
      <c r="AG172" s="152">
        <f t="array" aca="1" ref="AG172" ca="1">IFERROR(INDEX(INDIRECT($B$3&amp;"."&amp;$B$158&amp;".energy["&amp;This.year&amp;"]"),MATCH($C172&amp;AG$5,INDIRECT($B$3&amp;"."&amp;$B$158&amp;".energy[Tech description]")&amp;INDIRECT($B$3&amp;"."&amp;$B$158&amp;".energy[Energy description]"),0)),0)</f>
        <v>0</v>
      </c>
      <c r="AH172" s="152">
        <f t="array" aca="1" ref="AH172" ca="1">IFERROR(INDEX(INDIRECT($B$3&amp;"."&amp;$B$158&amp;".energy["&amp;This.year&amp;"]"),MATCH($C172&amp;AH$5,INDIRECT($B$3&amp;"."&amp;$B$158&amp;".energy[Tech description]")&amp;INDIRECT($B$3&amp;"."&amp;$B$158&amp;".energy[Energy description]"),0)),0)</f>
        <v>0</v>
      </c>
      <c r="AI172" s="152">
        <f t="array" aca="1" ref="AI172" ca="1">IFERROR(INDEX(INDIRECT($B$3&amp;"."&amp;$B$158&amp;".energy["&amp;This.year&amp;"]"),MATCH($C172&amp;AI$5,INDIRECT($B$3&amp;"."&amp;$B$158&amp;".energy[Tech description]")&amp;INDIRECT($B$3&amp;"."&amp;$B$158&amp;".energy[Energy description]"),0)),0)</f>
        <v>0</v>
      </c>
      <c r="AJ172" s="152">
        <f t="array" aca="1" ref="AJ172" ca="1">IFERROR(INDEX(INDIRECT($B$3&amp;"."&amp;$B$158&amp;".energy["&amp;This.year&amp;"]"),MATCH($C172&amp;AJ$5,INDIRECT($B$3&amp;"."&amp;$B$158&amp;".energy[Tech description]")&amp;INDIRECT($B$3&amp;"."&amp;$B$158&amp;".energy[Energy description]"),0)),0)</f>
        <v>0</v>
      </c>
      <c r="AK172" s="152">
        <f t="array" aca="1" ref="AK172" ca="1">IFERROR(INDEX(INDIRECT($B$3&amp;"."&amp;$B$158&amp;".energy["&amp;This.year&amp;"]"),MATCH($C172&amp;AK$5,INDIRECT($B$3&amp;"."&amp;$B$158&amp;".energy[Tech description]")&amp;INDIRECT($B$3&amp;"."&amp;$B$158&amp;".energy[Energy description]"),0)),0)</f>
        <v>0</v>
      </c>
      <c r="AL172" s="152">
        <f t="array" aca="1" ref="AL172" ca="1">IFERROR(INDEX(INDIRECT($B$3&amp;"."&amp;$B$158&amp;".energy["&amp;This.year&amp;"]"),MATCH($C172&amp;AL$5,INDIRECT($B$3&amp;"."&amp;$B$158&amp;".energy[Tech description]")&amp;INDIRECT($B$3&amp;"."&amp;$B$158&amp;".energy[Energy description]"),0)),0)</f>
        <v>0</v>
      </c>
      <c r="AM172" s="152">
        <f t="array" aca="1" ref="AM172" ca="1">IFERROR(INDEX(INDIRECT($B$3&amp;"."&amp;$B$158&amp;".energy["&amp;This.year&amp;"]"),MATCH($C172&amp;AM$5,INDIRECT($B$3&amp;"."&amp;$B$158&amp;".energy[Tech description]")&amp;INDIRECT($B$3&amp;"."&amp;$B$158&amp;".energy[Energy description]"),0)),0)</f>
        <v>0</v>
      </c>
      <c r="AN172" s="152">
        <f t="array" aca="1" ref="AN172" ca="1">IFERROR(INDEX(INDIRECT($B$3&amp;"."&amp;$B$158&amp;".energy["&amp;This.year&amp;"]"),MATCH($C172&amp;AN$5,INDIRECT($B$3&amp;"."&amp;$B$158&amp;".energy[Tech description]")&amp;INDIRECT($B$3&amp;"."&amp;$B$158&amp;".energy[Energy description]"),0)),0)</f>
        <v>0</v>
      </c>
      <c r="AO172" s="152">
        <f t="shared" ca="1" si="11"/>
        <v>0</v>
      </c>
      <c r="AP172" s="108"/>
      <c r="AQ172" s="21">
        <f t="array" aca="1" ref="AQ172" ca="1">IFERROR(INDEX(INDIRECT($B$3&amp;"."&amp;$B$158&amp;".energy["&amp;This.year&amp;"]"),MATCH($C172&amp;AQ$5,INDIRECT($B$3&amp;"."&amp;$B$158&amp;".energy[Tech description]")&amp;INDIRECT($B$3&amp;"."&amp;$B$158&amp;".energy[Energy description]"),0)),0)</f>
        <v>0</v>
      </c>
      <c r="AR172" s="21">
        <f t="array" aca="1" ref="AR172" ca="1">IFERROR(INDEX(INDIRECT($B$3&amp;"."&amp;$B$158&amp;".energy["&amp;This.year&amp;"]"),MATCH($C172&amp;AR$5,INDIRECT($B$3&amp;"."&amp;$B$158&amp;".energy[Tech description]")&amp;INDIRECT($B$3&amp;"."&amp;$B$158&amp;".energy[Energy description]"),0)),0)</f>
        <v>0</v>
      </c>
      <c r="AS172" s="21">
        <f t="array" aca="1" ref="AS172" ca="1">IFERROR(INDEX(INDIRECT($B$3&amp;"."&amp;$B$158&amp;".energy["&amp;This.year&amp;"]"),MATCH($C172&amp;AS$5,INDIRECT($B$3&amp;"."&amp;$B$158&amp;".energy[Tech description]")&amp;INDIRECT($B$3&amp;"."&amp;$B$158&amp;".energy[Energy description]"),0)),0)</f>
        <v>0</v>
      </c>
      <c r="AT172" s="21">
        <f t="array" aca="1" ref="AT172" ca="1">IFERROR(INDEX(INDIRECT($B$3&amp;"."&amp;$B$158&amp;".energy["&amp;This.year&amp;"]"),MATCH($C172&amp;AT$5,INDIRECT($B$3&amp;"."&amp;$B$158&amp;".energy[Tech description]")&amp;INDIRECT($B$3&amp;"."&amp;$B$158&amp;".energy[Energy description]"),0)),0)</f>
        <v>0</v>
      </c>
      <c r="AU172" s="21">
        <f t="array" aca="1" ref="AU172" ca="1">IFERROR(INDEX(INDIRECT($B$3&amp;"."&amp;$B$158&amp;".energy["&amp;This.year&amp;"]"),MATCH($C172&amp;AU$5,INDIRECT($B$3&amp;"."&amp;$B$158&amp;".energy[Tech description]")&amp;INDIRECT($B$3&amp;"."&amp;$B$158&amp;".energy[Energy description]"),0)),0)</f>
        <v>0</v>
      </c>
      <c r="AV172" s="21">
        <f t="array" aca="1" ref="AV172" ca="1">IFERROR(INDEX(INDIRECT($B$3&amp;"."&amp;$B$158&amp;".energy["&amp;This.year&amp;"]"),MATCH($C172&amp;AV$5,INDIRECT($B$3&amp;"."&amp;$B$158&amp;".energy[Tech description]")&amp;INDIRECT($B$3&amp;"."&amp;$B$158&amp;".energy[Energy description]"),0)),0)</f>
        <v>0</v>
      </c>
      <c r="AW172" s="21">
        <f t="array" aca="1" ref="AW172" ca="1">IFERROR(INDEX(INDIRECT($B$3&amp;"."&amp;$B$158&amp;".energy["&amp;This.year&amp;"]"),MATCH($C172&amp;AW$5,INDIRECT($B$3&amp;"."&amp;$B$158&amp;".energy[Tech description]")&amp;INDIRECT($B$3&amp;"."&amp;$B$158&amp;".energy[Energy description]"),0)),0)</f>
        <v>0</v>
      </c>
      <c r="AX172" s="21">
        <f t="array" aca="1" ref="AX172" ca="1">IFERROR(INDEX(INDIRECT($B$3&amp;"."&amp;$B$158&amp;".energy["&amp;This.year&amp;"]"),MATCH($C172&amp;AX$5,INDIRECT($B$3&amp;"."&amp;$B$158&amp;".energy[Tech description]")&amp;INDIRECT($B$3&amp;"."&amp;$B$158&amp;".energy[Energy description]"),0)),0)</f>
        <v>0</v>
      </c>
      <c r="AY172" s="21">
        <f t="array" aca="1" ref="AY172" ca="1">IFERROR(INDEX(INDIRECT($B$3&amp;"."&amp;$B$158&amp;".energy["&amp;This.year&amp;"]"),MATCH($C172&amp;AY$5,INDIRECT($B$3&amp;"."&amp;$B$158&amp;".energy[Tech description]")&amp;INDIRECT($B$3&amp;"."&amp;$B$158&amp;".energy[Energy description]"),0)),0)</f>
        <v>0</v>
      </c>
      <c r="AZ172" s="21">
        <f t="array" aca="1" ref="AZ172" ca="1">IFERROR(INDEX(INDIRECT($B$3&amp;"."&amp;$B$158&amp;".energy["&amp;This.year&amp;"]"),MATCH($C172&amp;AZ$5,INDIRECT($B$3&amp;"."&amp;$B$158&amp;".energy[Tech description]")&amp;INDIRECT($B$3&amp;"."&amp;$B$158&amp;".energy[Energy description]"),0)),0)</f>
        <v>0</v>
      </c>
      <c r="BA172" s="21">
        <f t="array" aca="1" ref="BA172" ca="1">IFERROR(INDEX(INDIRECT($B$3&amp;"."&amp;$B$158&amp;".energy["&amp;This.year&amp;"]"),MATCH($C172&amp;BA$5,INDIRECT($B$3&amp;"."&amp;$B$158&amp;".energy[Tech description]")&amp;INDIRECT($B$3&amp;"."&amp;$B$158&amp;".energy[Energy description]"),0)),0)</f>
        <v>0</v>
      </c>
      <c r="BB172" s="21">
        <f t="array" aca="1" ref="BB172" ca="1">IFERROR(INDEX(INDIRECT($B$3&amp;"."&amp;$B$158&amp;".energy["&amp;This.year&amp;"]"),MATCH($C172&amp;BB$5,INDIRECT($B$3&amp;"."&amp;$B$158&amp;".energy[Tech description]")&amp;INDIRECT($B$3&amp;"."&amp;$B$158&amp;".energy[Energy description]"),0)),0)</f>
        <v>0</v>
      </c>
      <c r="BC172" s="21">
        <f t="array" aca="1" ref="BC172" ca="1">IFERROR(INDEX(INDIRECT($B$3&amp;"."&amp;$B$158&amp;".energy["&amp;This.year&amp;"]"),MATCH($C172&amp;BC$5,INDIRECT($B$3&amp;"."&amp;$B$158&amp;".energy[Tech description]")&amp;INDIRECT($B$3&amp;"."&amp;$B$158&amp;".energy[Energy description]"),0)),0)</f>
        <v>0</v>
      </c>
      <c r="BD172" s="21">
        <f t="shared" ca="1" si="12"/>
        <v>0</v>
      </c>
      <c r="BE172" s="108"/>
      <c r="BF172" s="49">
        <f t="array" aca="1" ref="BF172" ca="1">IFERROR(INDEX(INDIRECT($B$3&amp;"."&amp;$B$158&amp;".energy["&amp;This.year&amp;"]"),MATCH($C172&amp;BF$5,INDIRECT($B$3&amp;"."&amp;$B$158&amp;".energy[Tech description]")&amp;INDIRECT($B$3&amp;"."&amp;$B$158&amp;".energy[Energy description]"),0)),0)</f>
        <v>0</v>
      </c>
      <c r="BG172" s="49">
        <f t="array" aca="1" ref="BG172" ca="1">IFERROR(INDEX(INDIRECT($B$3&amp;"."&amp;$B$158&amp;".energy["&amp;This.year&amp;"]"),MATCH($C172&amp;BG$5,INDIRECT($B$3&amp;"."&amp;$B$158&amp;".energy[Tech description]")&amp;INDIRECT($B$3&amp;"."&amp;$B$158&amp;".energy[Energy description]"),0)),0)</f>
        <v>0</v>
      </c>
      <c r="BH172" s="49">
        <f t="shared" ca="1" si="13"/>
        <v>0</v>
      </c>
      <c r="BI172" s="219">
        <f t="shared" ca="1" si="9"/>
        <v>0</v>
      </c>
      <c r="BJ172" s="108"/>
    </row>
    <row r="173" spans="1:62" s="54" customFormat="1">
      <c r="A173" s="133"/>
      <c r="B173" s="176" t="s">
        <v>1379</v>
      </c>
      <c r="C173" s="114" t="str">
        <f>INDEX(Regional.Technologies[Description],MATCH($B$3&amp;"."&amp;B173,Regional.Technologies[Code],0))</f>
        <v>Global Electricity use in the Electric steel technology</v>
      </c>
      <c r="E173" s="121">
        <f t="array" aca="1" ref="E173" ca="1">IFERROR(INDEX(INDIRECT($B$3&amp;"."&amp;$B$158&amp;".energy["&amp;This.year&amp;"]"),MATCH($C173&amp;E$5,INDIRECT($B$3&amp;"."&amp;$B$158&amp;".energy[Tech description]")&amp;INDIRECT($B$3&amp;"."&amp;$B$158&amp;".energy[Energy description]"),0)),0)</f>
        <v>0</v>
      </c>
      <c r="F173" s="121">
        <f t="array" aca="1" ref="F173" ca="1">IFERROR(INDEX(INDIRECT($B$3&amp;"."&amp;$B$158&amp;".energy["&amp;This.year&amp;"]"),MATCH($C173&amp;F$5,INDIRECT($B$3&amp;"."&amp;$B$158&amp;".energy[Tech description]")&amp;INDIRECT($B$3&amp;"."&amp;$B$158&amp;".energy[Energy description]"),0)),0)</f>
        <v>0</v>
      </c>
      <c r="G173" s="121">
        <f t="array" aca="1" ref="G173" ca="1">IFERROR(INDEX(INDIRECT($B$3&amp;"."&amp;$B$158&amp;".energy["&amp;This.year&amp;"]"),MATCH($C173&amp;G$5,INDIRECT($B$3&amp;"."&amp;$B$158&amp;".energy[Tech description]")&amp;INDIRECT($B$3&amp;"."&amp;$B$158&amp;".energy[Energy description]"),0)),0)</f>
        <v>0</v>
      </c>
      <c r="H173" s="121">
        <f t="array" aca="1" ref="H173" ca="1">IFERROR(INDEX(INDIRECT($B$3&amp;"."&amp;$B$158&amp;".energy["&amp;This.year&amp;"]"),MATCH($C173&amp;H$5,INDIRECT($B$3&amp;"."&amp;$B$158&amp;".energy[Tech description]")&amp;INDIRECT($B$3&amp;"."&amp;$B$158&amp;".energy[Energy description]"),0)),0)</f>
        <v>0</v>
      </c>
      <c r="I173" s="121">
        <f t="array" aca="1" ref="I173" ca="1">IFERROR(INDEX(INDIRECT($B$3&amp;"."&amp;$B$158&amp;".energy["&amp;This.year&amp;"]"),MATCH($C173&amp;I$5,INDIRECT($B$3&amp;"."&amp;$B$158&amp;".energy[Tech description]")&amp;INDIRECT($B$3&amp;"."&amp;$B$158&amp;".energy[Energy description]"),0)),0)</f>
        <v>0</v>
      </c>
      <c r="J173" s="121">
        <f t="array" aca="1" ref="J173" ca="1">IFERROR(INDEX(INDIRECT($B$3&amp;"."&amp;$B$158&amp;".energy["&amp;This.year&amp;"]"),MATCH($C173&amp;J$5,INDIRECT($B$3&amp;"."&amp;$B$158&amp;".energy[Tech description]")&amp;INDIRECT($B$3&amp;"."&amp;$B$158&amp;".energy[Energy description]"),0)),0)</f>
        <v>1.6352704427314861</v>
      </c>
      <c r="K173" s="121">
        <f t="array" aca="1" ref="K173" ca="1">IFERROR(INDEX(INDIRECT($B$3&amp;"."&amp;$B$158&amp;".energy["&amp;This.year&amp;"]"),MATCH($C173&amp;K$5,INDIRECT($B$3&amp;"."&amp;$B$158&amp;".energy[Tech description]")&amp;INDIRECT($B$3&amp;"."&amp;$B$158&amp;".energy[Energy description]"),0)),0)</f>
        <v>0</v>
      </c>
      <c r="L173" s="121">
        <f t="array" aca="1" ref="L173" ca="1">IFERROR(INDEX(INDIRECT($B$3&amp;"."&amp;$B$158&amp;".energy["&amp;This.year&amp;"]"),MATCH($C173&amp;L$5,INDIRECT($B$3&amp;"."&amp;$B$158&amp;".energy[Tech description]")&amp;INDIRECT($B$3&amp;"."&amp;$B$158&amp;".energy[Energy description]"),0)),0)</f>
        <v>0</v>
      </c>
      <c r="M173" s="121">
        <f t="array" aca="1" ref="M173" ca="1">IFERROR(INDEX(INDIRECT($B$3&amp;"."&amp;$B$158&amp;".energy["&amp;This.year&amp;"]"),MATCH($C173&amp;M$5,INDIRECT($B$3&amp;"."&amp;$B$158&amp;".energy[Tech description]")&amp;INDIRECT($B$3&amp;"."&amp;$B$158&amp;".energy[Energy description]"),0)),0)</f>
        <v>0</v>
      </c>
      <c r="N173" s="121">
        <f t="array" aca="1" ref="N173" ca="1">IFERROR(INDEX(INDIRECT($B$3&amp;"."&amp;$B$158&amp;".energy["&amp;This.year&amp;"]"),MATCH($C173&amp;N$5,INDIRECT($B$3&amp;"."&amp;$B$158&amp;".energy[Tech description]")&amp;INDIRECT($B$3&amp;"."&amp;$B$158&amp;".energy[Energy description]"),0)),0)</f>
        <v>0</v>
      </c>
      <c r="O173" s="121">
        <f t="array" aca="1" ref="O173" ca="1">IFERROR(INDEX(INDIRECT($B$3&amp;"."&amp;$B$158&amp;".energy["&amp;This.year&amp;"]"),MATCH($C173&amp;O$5,INDIRECT($B$3&amp;"."&amp;$B$158&amp;".energy[Tech description]")&amp;INDIRECT($B$3&amp;"."&amp;$B$158&amp;".energy[Energy description]"),0)),0)</f>
        <v>0</v>
      </c>
      <c r="P173" s="121">
        <f t="array" aca="1" ref="P173" ca="1">IFERROR(INDEX(INDIRECT($B$3&amp;"."&amp;$B$158&amp;".energy["&amp;This.year&amp;"]"),MATCH($C173&amp;P$5,INDIRECT($B$3&amp;"."&amp;$B$158&amp;".energy[Tech description]")&amp;INDIRECT($B$3&amp;"."&amp;$B$158&amp;".energy[Energy description]"),0)),0)</f>
        <v>0</v>
      </c>
      <c r="Q173" s="121">
        <f t="array" aca="1" ref="Q173" ca="1">IFERROR(INDEX(INDIRECT($B$3&amp;"."&amp;$B$158&amp;".energy["&amp;This.year&amp;"]"),MATCH($C173&amp;Q$5,INDIRECT($B$3&amp;"."&amp;$B$158&amp;".energy[Tech description]")&amp;INDIRECT($B$3&amp;"."&amp;$B$158&amp;".energy[Energy description]"),0)),0)</f>
        <v>0</v>
      </c>
      <c r="R173" s="121">
        <f t="array" aca="1" ref="R173" ca="1">IFERROR(INDEX(INDIRECT($B$3&amp;"."&amp;$B$158&amp;".energy["&amp;This.year&amp;"]"),MATCH($C173&amp;R$5,INDIRECT($B$3&amp;"."&amp;$B$158&amp;".energy[Tech description]")&amp;INDIRECT($B$3&amp;"."&amp;$B$158&amp;".energy[Energy description]"),0)),0)</f>
        <v>0</v>
      </c>
      <c r="S173" s="121">
        <f t="array" aca="1" ref="S173" ca="1">IFERROR(INDEX(INDIRECT($B$3&amp;"."&amp;$B$158&amp;".energy["&amp;This.year&amp;"]"),MATCH($C173&amp;S$5,INDIRECT($B$3&amp;"."&amp;$B$158&amp;".energy[Tech description]")&amp;INDIRECT($B$3&amp;"."&amp;$B$158&amp;".energy[Energy description]"),0)),0)</f>
        <v>0</v>
      </c>
      <c r="T173" s="121">
        <f t="shared" ca="1" si="10"/>
        <v>1.6352704427314861</v>
      </c>
      <c r="U173" s="109"/>
      <c r="V173" s="152">
        <f t="array" aca="1" ref="V173" ca="1">IFERROR(INDEX(INDIRECT($B$3&amp;"."&amp;$B$158&amp;".energy["&amp;This.year&amp;"]"),MATCH($C173&amp;V$5,INDIRECT($B$3&amp;"."&amp;$B$158&amp;".energy[Tech description]")&amp;INDIRECT($B$3&amp;"."&amp;$B$158&amp;".energy[Energy description]"),0)),0)</f>
        <v>-1.6352704427314861</v>
      </c>
      <c r="W173" s="152">
        <f t="array" aca="1" ref="W173" ca="1">IFERROR(INDEX(INDIRECT($B$3&amp;"."&amp;$B$158&amp;".energy["&amp;This.year&amp;"]"),MATCH($C173&amp;W$5,INDIRECT($B$3&amp;"."&amp;$B$158&amp;".energy[Tech description]")&amp;INDIRECT($B$3&amp;"."&amp;$B$158&amp;".energy[Energy description]"),0)),0)</f>
        <v>0</v>
      </c>
      <c r="X173" s="152">
        <f t="array" aca="1" ref="X173" ca="1">IFERROR(INDEX(INDIRECT($B$3&amp;"."&amp;$B$158&amp;".energy["&amp;This.year&amp;"]"),MATCH($C173&amp;X$5,INDIRECT($B$3&amp;"."&amp;$B$158&amp;".energy[Tech description]")&amp;INDIRECT($B$3&amp;"."&amp;$B$158&amp;".energy[Energy description]"),0)),0)</f>
        <v>0</v>
      </c>
      <c r="Y173" s="152">
        <f t="array" aca="1" ref="Y173" ca="1">IFERROR(INDEX(INDIRECT($B$3&amp;"."&amp;$B$158&amp;".energy["&amp;This.year&amp;"]"),MATCH($C173&amp;Y$5,INDIRECT($B$3&amp;"."&amp;$B$158&amp;".energy[Tech description]")&amp;INDIRECT($B$3&amp;"."&amp;$B$158&amp;".energy[Energy description]"),0)),0)</f>
        <v>0</v>
      </c>
      <c r="Z173" s="152">
        <f t="array" aca="1" ref="Z173" ca="1">IFERROR(INDEX(INDIRECT($B$3&amp;"."&amp;$B$158&amp;".energy["&amp;This.year&amp;"]"),MATCH($C173&amp;Z$5,INDIRECT($B$3&amp;"."&amp;$B$158&amp;".energy[Tech description]")&amp;INDIRECT($B$3&amp;"."&amp;$B$158&amp;".energy[Energy description]"),0)),0)</f>
        <v>0</v>
      </c>
      <c r="AA173" s="152">
        <f t="array" aca="1" ref="AA173" ca="1">IFERROR(INDEX(INDIRECT($B$3&amp;"."&amp;$B$158&amp;".energy["&amp;This.year&amp;"]"),MATCH($C173&amp;AA$5,INDIRECT($B$3&amp;"."&amp;$B$158&amp;".energy[Tech description]")&amp;INDIRECT($B$3&amp;"."&amp;$B$158&amp;".energy[Energy description]"),0)),0)</f>
        <v>0</v>
      </c>
      <c r="AB173" s="152">
        <f t="array" aca="1" ref="AB173" ca="1">IFERROR(INDEX(INDIRECT($B$3&amp;"."&amp;$B$158&amp;".energy["&amp;This.year&amp;"]"),MATCH($C173&amp;AB$5,INDIRECT($B$3&amp;"."&amp;$B$158&amp;".energy[Tech description]")&amp;INDIRECT($B$3&amp;"."&amp;$B$158&amp;".energy[Energy description]"),0)),0)</f>
        <v>0</v>
      </c>
      <c r="AC173" s="152">
        <f t="array" aca="1" ref="AC173" ca="1">IFERROR(INDEX(INDIRECT($B$3&amp;"."&amp;$B$158&amp;".energy["&amp;This.year&amp;"]"),MATCH($C173&amp;AC$5,INDIRECT($B$3&amp;"."&amp;$B$158&amp;".energy[Tech description]")&amp;INDIRECT($B$3&amp;"."&amp;$B$158&amp;".energy[Energy description]"),0)),0)</f>
        <v>0</v>
      </c>
      <c r="AD173" s="152">
        <f t="array" aca="1" ref="AD173" ca="1">IFERROR(INDEX(INDIRECT($B$3&amp;"."&amp;$B$158&amp;".energy["&amp;This.year&amp;"]"),MATCH($C173&amp;AD$5,INDIRECT($B$3&amp;"."&amp;$B$158&amp;".energy[Tech description]")&amp;INDIRECT($B$3&amp;"."&amp;$B$158&amp;".energy[Energy description]"),0)),0)</f>
        <v>0</v>
      </c>
      <c r="AE173" s="152">
        <f t="array" aca="1" ref="AE173" ca="1">IFERROR(INDEX(INDIRECT($B$3&amp;"."&amp;$B$158&amp;".energy["&amp;This.year&amp;"]"),MATCH($C173&amp;AE$5,INDIRECT($B$3&amp;"."&amp;$B$158&amp;".energy[Tech description]")&amp;INDIRECT($B$3&amp;"."&amp;$B$158&amp;".energy[Energy description]"),0)),0)</f>
        <v>0</v>
      </c>
      <c r="AF173" s="152">
        <f t="array" aca="1" ref="AF173" ca="1">IFERROR(INDEX(INDIRECT($B$3&amp;"."&amp;$B$158&amp;".energy["&amp;This.year&amp;"]"),MATCH($C173&amp;AF$5,INDIRECT($B$3&amp;"."&amp;$B$158&amp;".energy[Tech description]")&amp;INDIRECT($B$3&amp;"."&amp;$B$158&amp;".energy[Energy description]"),0)),0)</f>
        <v>0</v>
      </c>
      <c r="AG173" s="152">
        <f t="array" aca="1" ref="AG173" ca="1">IFERROR(INDEX(INDIRECT($B$3&amp;"."&amp;$B$158&amp;".energy["&amp;This.year&amp;"]"),MATCH($C173&amp;AG$5,INDIRECT($B$3&amp;"."&amp;$B$158&amp;".energy[Tech description]")&amp;INDIRECT($B$3&amp;"."&amp;$B$158&amp;".energy[Energy description]"),0)),0)</f>
        <v>0</v>
      </c>
      <c r="AH173" s="152">
        <f t="array" aca="1" ref="AH173" ca="1">IFERROR(INDEX(INDIRECT($B$3&amp;"."&amp;$B$158&amp;".energy["&amp;This.year&amp;"]"),MATCH($C173&amp;AH$5,INDIRECT($B$3&amp;"."&amp;$B$158&amp;".energy[Tech description]")&amp;INDIRECT($B$3&amp;"."&amp;$B$158&amp;".energy[Energy description]"),0)),0)</f>
        <v>0</v>
      </c>
      <c r="AI173" s="152">
        <f t="array" aca="1" ref="AI173" ca="1">IFERROR(INDEX(INDIRECT($B$3&amp;"."&amp;$B$158&amp;".energy["&amp;This.year&amp;"]"),MATCH($C173&amp;AI$5,INDIRECT($B$3&amp;"."&amp;$B$158&amp;".energy[Tech description]")&amp;INDIRECT($B$3&amp;"."&amp;$B$158&amp;".energy[Energy description]"),0)),0)</f>
        <v>0</v>
      </c>
      <c r="AJ173" s="152">
        <f t="array" aca="1" ref="AJ173" ca="1">IFERROR(INDEX(INDIRECT($B$3&amp;"."&amp;$B$158&amp;".energy["&amp;This.year&amp;"]"),MATCH($C173&amp;AJ$5,INDIRECT($B$3&amp;"."&amp;$B$158&amp;".energy[Tech description]")&amp;INDIRECT($B$3&amp;"."&amp;$B$158&amp;".energy[Energy description]"),0)),0)</f>
        <v>0</v>
      </c>
      <c r="AK173" s="152">
        <f t="array" aca="1" ref="AK173" ca="1">IFERROR(INDEX(INDIRECT($B$3&amp;"."&amp;$B$158&amp;".energy["&amp;This.year&amp;"]"),MATCH($C173&amp;AK$5,INDIRECT($B$3&amp;"."&amp;$B$158&amp;".energy[Tech description]")&amp;INDIRECT($B$3&amp;"."&amp;$B$158&amp;".energy[Energy description]"),0)),0)</f>
        <v>0</v>
      </c>
      <c r="AL173" s="152">
        <f t="array" aca="1" ref="AL173" ca="1">IFERROR(INDEX(INDIRECT($B$3&amp;"."&amp;$B$158&amp;".energy["&amp;This.year&amp;"]"),MATCH($C173&amp;AL$5,INDIRECT($B$3&amp;"."&amp;$B$158&amp;".energy[Tech description]")&amp;INDIRECT($B$3&amp;"."&amp;$B$158&amp;".energy[Energy description]"),0)),0)</f>
        <v>0</v>
      </c>
      <c r="AM173" s="152">
        <f t="array" aca="1" ref="AM173" ca="1">IFERROR(INDEX(INDIRECT($B$3&amp;"."&amp;$B$158&amp;".energy["&amp;This.year&amp;"]"),MATCH($C173&amp;AM$5,INDIRECT($B$3&amp;"."&amp;$B$158&amp;".energy[Tech description]")&amp;INDIRECT($B$3&amp;"."&amp;$B$158&amp;".energy[Energy description]"),0)),0)</f>
        <v>0</v>
      </c>
      <c r="AN173" s="152">
        <f t="array" aca="1" ref="AN173" ca="1">IFERROR(INDEX(INDIRECT($B$3&amp;"."&amp;$B$158&amp;".energy["&amp;This.year&amp;"]"),MATCH($C173&amp;AN$5,INDIRECT($B$3&amp;"."&amp;$B$158&amp;".energy[Tech description]")&amp;INDIRECT($B$3&amp;"."&amp;$B$158&amp;".energy[Energy description]"),0)),0)</f>
        <v>0</v>
      </c>
      <c r="AO173" s="152">
        <f t="shared" ca="1" si="11"/>
        <v>-1.6352704427314861</v>
      </c>
      <c r="AP173" s="108"/>
      <c r="AQ173" s="21">
        <f t="array" aca="1" ref="AQ173" ca="1">IFERROR(INDEX(INDIRECT($B$3&amp;"."&amp;$B$158&amp;".energy["&amp;This.year&amp;"]"),MATCH($C173&amp;AQ$5,INDIRECT($B$3&amp;"."&amp;$B$158&amp;".energy[Tech description]")&amp;INDIRECT($B$3&amp;"."&amp;$B$158&amp;".energy[Energy description]"),0)),0)</f>
        <v>0</v>
      </c>
      <c r="AR173" s="21">
        <f t="array" aca="1" ref="AR173" ca="1">IFERROR(INDEX(INDIRECT($B$3&amp;"."&amp;$B$158&amp;".energy["&amp;This.year&amp;"]"),MATCH($C173&amp;AR$5,INDIRECT($B$3&amp;"."&amp;$B$158&amp;".energy[Tech description]")&amp;INDIRECT($B$3&amp;"."&amp;$B$158&amp;".energy[Energy description]"),0)),0)</f>
        <v>0</v>
      </c>
      <c r="AS173" s="21">
        <f t="array" aca="1" ref="AS173" ca="1">IFERROR(INDEX(INDIRECT($B$3&amp;"."&amp;$B$158&amp;".energy["&amp;This.year&amp;"]"),MATCH($C173&amp;AS$5,INDIRECT($B$3&amp;"."&amp;$B$158&amp;".energy[Tech description]")&amp;INDIRECT($B$3&amp;"."&amp;$B$158&amp;".energy[Energy description]"),0)),0)</f>
        <v>0</v>
      </c>
      <c r="AT173" s="21">
        <f t="array" aca="1" ref="AT173" ca="1">IFERROR(INDEX(INDIRECT($B$3&amp;"."&amp;$B$158&amp;".energy["&amp;This.year&amp;"]"),MATCH($C173&amp;AT$5,INDIRECT($B$3&amp;"."&amp;$B$158&amp;".energy[Tech description]")&amp;INDIRECT($B$3&amp;"."&amp;$B$158&amp;".energy[Energy description]"),0)),0)</f>
        <v>0</v>
      </c>
      <c r="AU173" s="21">
        <f t="array" aca="1" ref="AU173" ca="1">IFERROR(INDEX(INDIRECT($B$3&amp;"."&amp;$B$158&amp;".energy["&amp;This.year&amp;"]"),MATCH($C173&amp;AU$5,INDIRECT($B$3&amp;"."&amp;$B$158&amp;".energy[Tech description]")&amp;INDIRECT($B$3&amp;"."&amp;$B$158&amp;".energy[Energy description]"),0)),0)</f>
        <v>0</v>
      </c>
      <c r="AV173" s="21">
        <f t="array" aca="1" ref="AV173" ca="1">IFERROR(INDEX(INDIRECT($B$3&amp;"."&amp;$B$158&amp;".energy["&amp;This.year&amp;"]"),MATCH($C173&amp;AV$5,INDIRECT($B$3&amp;"."&amp;$B$158&amp;".energy[Tech description]")&amp;INDIRECT($B$3&amp;"."&amp;$B$158&amp;".energy[Energy description]"),0)),0)</f>
        <v>0</v>
      </c>
      <c r="AW173" s="21">
        <f t="array" aca="1" ref="AW173" ca="1">IFERROR(INDEX(INDIRECT($B$3&amp;"."&amp;$B$158&amp;".energy["&amp;This.year&amp;"]"),MATCH($C173&amp;AW$5,INDIRECT($B$3&amp;"."&amp;$B$158&amp;".energy[Tech description]")&amp;INDIRECT($B$3&amp;"."&amp;$B$158&amp;".energy[Energy description]"),0)),0)</f>
        <v>0</v>
      </c>
      <c r="AX173" s="21">
        <f t="array" aca="1" ref="AX173" ca="1">IFERROR(INDEX(INDIRECT($B$3&amp;"."&amp;$B$158&amp;".energy["&amp;This.year&amp;"]"),MATCH($C173&amp;AX$5,INDIRECT($B$3&amp;"."&amp;$B$158&amp;".energy[Tech description]")&amp;INDIRECT($B$3&amp;"."&amp;$B$158&amp;".energy[Energy description]"),0)),0)</f>
        <v>0</v>
      </c>
      <c r="AY173" s="21">
        <f t="array" aca="1" ref="AY173" ca="1">IFERROR(INDEX(INDIRECT($B$3&amp;"."&amp;$B$158&amp;".energy["&amp;This.year&amp;"]"),MATCH($C173&amp;AY$5,INDIRECT($B$3&amp;"."&amp;$B$158&amp;".energy[Tech description]")&amp;INDIRECT($B$3&amp;"."&amp;$B$158&amp;".energy[Energy description]"),0)),0)</f>
        <v>0</v>
      </c>
      <c r="AZ173" s="21">
        <f t="array" aca="1" ref="AZ173" ca="1">IFERROR(INDEX(INDIRECT($B$3&amp;"."&amp;$B$158&amp;".energy["&amp;This.year&amp;"]"),MATCH($C173&amp;AZ$5,INDIRECT($B$3&amp;"."&amp;$B$158&amp;".energy[Tech description]")&amp;INDIRECT($B$3&amp;"."&amp;$B$158&amp;".energy[Energy description]"),0)),0)</f>
        <v>0</v>
      </c>
      <c r="BA173" s="21">
        <f t="array" aca="1" ref="BA173" ca="1">IFERROR(INDEX(INDIRECT($B$3&amp;"."&amp;$B$158&amp;".energy["&amp;This.year&amp;"]"),MATCH($C173&amp;BA$5,INDIRECT($B$3&amp;"."&amp;$B$158&amp;".energy[Tech description]")&amp;INDIRECT($B$3&amp;"."&amp;$B$158&amp;".energy[Energy description]"),0)),0)</f>
        <v>0</v>
      </c>
      <c r="BB173" s="21">
        <f t="array" aca="1" ref="BB173" ca="1">IFERROR(INDEX(INDIRECT($B$3&amp;"."&amp;$B$158&amp;".energy["&amp;This.year&amp;"]"),MATCH($C173&amp;BB$5,INDIRECT($B$3&amp;"."&amp;$B$158&amp;".energy[Tech description]")&amp;INDIRECT($B$3&amp;"."&amp;$B$158&amp;".energy[Energy description]"),0)),0)</f>
        <v>0</v>
      </c>
      <c r="BC173" s="21">
        <f t="array" aca="1" ref="BC173" ca="1">IFERROR(INDEX(INDIRECT($B$3&amp;"."&amp;$B$158&amp;".energy["&amp;This.year&amp;"]"),MATCH($C173&amp;BC$5,INDIRECT($B$3&amp;"."&amp;$B$158&amp;".energy[Tech description]")&amp;INDIRECT($B$3&amp;"."&amp;$B$158&amp;".energy[Energy description]"),0)),0)</f>
        <v>0</v>
      </c>
      <c r="BD173" s="21">
        <f t="shared" ca="1" si="12"/>
        <v>0</v>
      </c>
      <c r="BE173" s="108"/>
      <c r="BF173" s="49">
        <f t="array" aca="1" ref="BF173" ca="1">IFERROR(INDEX(INDIRECT($B$3&amp;"."&amp;$B$158&amp;".energy["&amp;This.year&amp;"]"),MATCH($C173&amp;BF$5,INDIRECT($B$3&amp;"."&amp;$B$158&amp;".energy[Tech description]")&amp;INDIRECT($B$3&amp;"."&amp;$B$158&amp;".energy[Energy description]"),0)),0)</f>
        <v>0</v>
      </c>
      <c r="BG173" s="49">
        <f t="array" aca="1" ref="BG173" ca="1">IFERROR(INDEX(INDIRECT($B$3&amp;"."&amp;$B$158&amp;".energy["&amp;This.year&amp;"]"),MATCH($C173&amp;BG$5,INDIRECT($B$3&amp;"."&amp;$B$158&amp;".energy[Tech description]")&amp;INDIRECT($B$3&amp;"."&amp;$B$158&amp;".energy[Energy description]"),0)),0)</f>
        <v>0</v>
      </c>
      <c r="BH173" s="49">
        <f t="shared" ca="1" si="13"/>
        <v>0</v>
      </c>
      <c r="BI173" s="219">
        <f t="shared" ca="1" si="9"/>
        <v>0</v>
      </c>
      <c r="BJ173" s="108"/>
    </row>
    <row r="174" spans="1:62" s="54" customFormat="1">
      <c r="A174" s="133"/>
      <c r="B174" s="176" t="s">
        <v>1803</v>
      </c>
      <c r="C174" s="114" t="str">
        <f>INDEX(Regional.Technologies[Description],MATCH($B$3&amp;"."&amp;B174,Regional.Technologies[Code],0))</f>
        <v>Global Coal use in the Electric steel technology</v>
      </c>
      <c r="E174" s="121">
        <f t="array" aca="1" ref="E174" ca="1">IFERROR(INDEX(INDIRECT($B$3&amp;"."&amp;$B$158&amp;".energy["&amp;This.year&amp;"]"),MATCH($C174&amp;E$5,INDIRECT($B$3&amp;"."&amp;$B$158&amp;".energy[Tech description]")&amp;INDIRECT($B$3&amp;"."&amp;$B$158&amp;".energy[Energy description]"),0)),0)</f>
        <v>0</v>
      </c>
      <c r="F174" s="121">
        <f t="array" aca="1" ref="F174" ca="1">IFERROR(INDEX(INDIRECT($B$3&amp;"."&amp;$B$158&amp;".energy["&amp;This.year&amp;"]"),MATCH($C174&amp;F$5,INDIRECT($B$3&amp;"."&amp;$B$158&amp;".energy[Tech description]")&amp;INDIRECT($B$3&amp;"."&amp;$B$158&amp;".energy[Energy description]"),0)),0)</f>
        <v>0</v>
      </c>
      <c r="G174" s="121">
        <f t="array" aca="1" ref="G174" ca="1">IFERROR(INDEX(INDIRECT($B$3&amp;"."&amp;$B$158&amp;".energy["&amp;This.year&amp;"]"),MATCH($C174&amp;G$5,INDIRECT($B$3&amp;"."&amp;$B$158&amp;".energy[Tech description]")&amp;INDIRECT($B$3&amp;"."&amp;$B$158&amp;".energy[Energy description]"),0)),0)</f>
        <v>0</v>
      </c>
      <c r="H174" s="121">
        <f t="array" aca="1" ref="H174" ca="1">IFERROR(INDEX(INDIRECT($B$3&amp;"."&amp;$B$158&amp;".energy["&amp;This.year&amp;"]"),MATCH($C174&amp;H$5,INDIRECT($B$3&amp;"."&amp;$B$158&amp;".energy[Tech description]")&amp;INDIRECT($B$3&amp;"."&amp;$B$158&amp;".energy[Energy description]"),0)),0)</f>
        <v>0</v>
      </c>
      <c r="I174" s="121">
        <f t="array" aca="1" ref="I174" ca="1">IFERROR(INDEX(INDIRECT($B$3&amp;"."&amp;$B$158&amp;".energy["&amp;This.year&amp;"]"),MATCH($C174&amp;I$5,INDIRECT($B$3&amp;"."&amp;$B$158&amp;".energy[Tech description]")&amp;INDIRECT($B$3&amp;"."&amp;$B$158&amp;".energy[Energy description]"),0)),0)</f>
        <v>0</v>
      </c>
      <c r="J174" s="121">
        <f t="array" aca="1" ref="J174" ca="1">IFERROR(INDEX(INDIRECT($B$3&amp;"."&amp;$B$158&amp;".energy["&amp;This.year&amp;"]"),MATCH($C174&amp;J$5,INDIRECT($B$3&amp;"."&amp;$B$158&amp;".energy[Tech description]")&amp;INDIRECT($B$3&amp;"."&amp;$B$158&amp;".energy[Energy description]"),0)),0)</f>
        <v>10.424196405786889</v>
      </c>
      <c r="K174" s="121">
        <f t="array" aca="1" ref="K174" ca="1">IFERROR(INDEX(INDIRECT($B$3&amp;"."&amp;$B$158&amp;".energy["&amp;This.year&amp;"]"),MATCH($C174&amp;K$5,INDIRECT($B$3&amp;"."&amp;$B$158&amp;".energy[Tech description]")&amp;INDIRECT($B$3&amp;"."&amp;$B$158&amp;".energy[Energy description]"),0)),0)</f>
        <v>0</v>
      </c>
      <c r="L174" s="121">
        <f t="array" aca="1" ref="L174" ca="1">IFERROR(INDEX(INDIRECT($B$3&amp;"."&amp;$B$158&amp;".energy["&amp;This.year&amp;"]"),MATCH($C174&amp;L$5,INDIRECT($B$3&amp;"."&amp;$B$158&amp;".energy[Tech description]")&amp;INDIRECT($B$3&amp;"."&amp;$B$158&amp;".energy[Energy description]"),0)),0)</f>
        <v>0</v>
      </c>
      <c r="M174" s="121">
        <f t="array" aca="1" ref="M174" ca="1">IFERROR(INDEX(INDIRECT($B$3&amp;"."&amp;$B$158&amp;".energy["&amp;This.year&amp;"]"),MATCH($C174&amp;M$5,INDIRECT($B$3&amp;"."&amp;$B$158&amp;".energy[Tech description]")&amp;INDIRECT($B$3&amp;"."&amp;$B$158&amp;".energy[Energy description]"),0)),0)</f>
        <v>0</v>
      </c>
      <c r="N174" s="121">
        <f t="array" aca="1" ref="N174" ca="1">IFERROR(INDEX(INDIRECT($B$3&amp;"."&amp;$B$158&amp;".energy["&amp;This.year&amp;"]"),MATCH($C174&amp;N$5,INDIRECT($B$3&amp;"."&amp;$B$158&amp;".energy[Tech description]")&amp;INDIRECT($B$3&amp;"."&amp;$B$158&amp;".energy[Energy description]"),0)),0)</f>
        <v>0</v>
      </c>
      <c r="O174" s="121">
        <f t="array" aca="1" ref="O174" ca="1">IFERROR(INDEX(INDIRECT($B$3&amp;"."&amp;$B$158&amp;".energy["&amp;This.year&amp;"]"),MATCH($C174&amp;O$5,INDIRECT($B$3&amp;"."&amp;$B$158&amp;".energy[Tech description]")&amp;INDIRECT($B$3&amp;"."&amp;$B$158&amp;".energy[Energy description]"),0)),0)</f>
        <v>0</v>
      </c>
      <c r="P174" s="121">
        <f t="array" aca="1" ref="P174" ca="1">IFERROR(INDEX(INDIRECT($B$3&amp;"."&amp;$B$158&amp;".energy["&amp;This.year&amp;"]"),MATCH($C174&amp;P$5,INDIRECT($B$3&amp;"."&amp;$B$158&amp;".energy[Tech description]")&amp;INDIRECT($B$3&amp;"."&amp;$B$158&amp;".energy[Energy description]"),0)),0)</f>
        <v>0</v>
      </c>
      <c r="Q174" s="121">
        <f t="array" aca="1" ref="Q174" ca="1">IFERROR(INDEX(INDIRECT($B$3&amp;"."&amp;$B$158&amp;".energy["&amp;This.year&amp;"]"),MATCH($C174&amp;Q$5,INDIRECT($B$3&amp;"."&amp;$B$158&amp;".energy[Tech description]")&amp;INDIRECT($B$3&amp;"."&amp;$B$158&amp;".energy[Energy description]"),0)),0)</f>
        <v>0</v>
      </c>
      <c r="R174" s="121">
        <f t="array" aca="1" ref="R174" ca="1">IFERROR(INDEX(INDIRECT($B$3&amp;"."&amp;$B$158&amp;".energy["&amp;This.year&amp;"]"),MATCH($C174&amp;R$5,INDIRECT($B$3&amp;"."&amp;$B$158&amp;".energy[Tech description]")&amp;INDIRECT($B$3&amp;"."&amp;$B$158&amp;".energy[Energy description]"),0)),0)</f>
        <v>0</v>
      </c>
      <c r="S174" s="121">
        <f t="array" aca="1" ref="S174" ca="1">IFERROR(INDEX(INDIRECT($B$3&amp;"."&amp;$B$158&amp;".energy["&amp;This.year&amp;"]"),MATCH($C174&amp;S$5,INDIRECT($B$3&amp;"."&amp;$B$158&amp;".energy[Tech description]")&amp;INDIRECT($B$3&amp;"."&amp;$B$158&amp;".energy[Energy description]"),0)),0)</f>
        <v>0</v>
      </c>
      <c r="T174" s="121">
        <f t="shared" ca="1" si="10"/>
        <v>10.424196405786889</v>
      </c>
      <c r="U174" s="109"/>
      <c r="V174" s="152">
        <f t="array" aca="1" ref="V174" ca="1">IFERROR(INDEX(INDIRECT($B$3&amp;"."&amp;$B$158&amp;".energy["&amp;This.year&amp;"]"),MATCH($C174&amp;V$5,INDIRECT($B$3&amp;"."&amp;$B$158&amp;".energy[Tech description]")&amp;INDIRECT($B$3&amp;"."&amp;$B$158&amp;".energy[Energy description]"),0)),0)</f>
        <v>0</v>
      </c>
      <c r="W174" s="152">
        <f t="array" aca="1" ref="W174" ca="1">IFERROR(INDEX(INDIRECT($B$3&amp;"."&amp;$B$158&amp;".energy["&amp;This.year&amp;"]"),MATCH($C174&amp;W$5,INDIRECT($B$3&amp;"."&amp;$B$158&amp;".energy[Tech description]")&amp;INDIRECT($B$3&amp;"."&amp;$B$158&amp;".energy[Energy description]"),0)),0)</f>
        <v>0</v>
      </c>
      <c r="X174" s="152">
        <f t="array" aca="1" ref="X174" ca="1">IFERROR(INDEX(INDIRECT($B$3&amp;"."&amp;$B$158&amp;".energy["&amp;This.year&amp;"]"),MATCH($C174&amp;X$5,INDIRECT($B$3&amp;"."&amp;$B$158&amp;".energy[Tech description]")&amp;INDIRECT($B$3&amp;"."&amp;$B$158&amp;".energy[Energy description]"),0)),0)</f>
        <v>0</v>
      </c>
      <c r="Y174" s="152">
        <f t="array" aca="1" ref="Y174" ca="1">IFERROR(INDEX(INDIRECT($B$3&amp;"."&amp;$B$158&amp;".energy["&amp;This.year&amp;"]"),MATCH($C174&amp;Y$5,INDIRECT($B$3&amp;"."&amp;$B$158&amp;".energy[Tech description]")&amp;INDIRECT($B$3&amp;"."&amp;$B$158&amp;".energy[Energy description]"),0)),0)</f>
        <v>0</v>
      </c>
      <c r="Z174" s="152">
        <f t="array" aca="1" ref="Z174" ca="1">IFERROR(INDEX(INDIRECT($B$3&amp;"."&amp;$B$158&amp;".energy["&amp;This.year&amp;"]"),MATCH($C174&amp;Z$5,INDIRECT($B$3&amp;"."&amp;$B$158&amp;".energy[Tech description]")&amp;INDIRECT($B$3&amp;"."&amp;$B$158&amp;".energy[Energy description]"),0)),0)</f>
        <v>0</v>
      </c>
      <c r="AA174" s="152">
        <f t="array" aca="1" ref="AA174" ca="1">IFERROR(INDEX(INDIRECT($B$3&amp;"."&amp;$B$158&amp;".energy["&amp;This.year&amp;"]"),MATCH($C174&amp;AA$5,INDIRECT($B$3&amp;"."&amp;$B$158&amp;".energy[Tech description]")&amp;INDIRECT($B$3&amp;"."&amp;$B$158&amp;".energy[Energy description]"),0)),0)</f>
        <v>-10.424196405786889</v>
      </c>
      <c r="AB174" s="152">
        <f t="array" aca="1" ref="AB174" ca="1">IFERROR(INDEX(INDIRECT($B$3&amp;"."&amp;$B$158&amp;".energy["&amp;This.year&amp;"]"),MATCH($C174&amp;AB$5,INDIRECT($B$3&amp;"."&amp;$B$158&amp;".energy[Tech description]")&amp;INDIRECT($B$3&amp;"."&amp;$B$158&amp;".energy[Energy description]"),0)),0)</f>
        <v>0</v>
      </c>
      <c r="AC174" s="152">
        <f t="array" aca="1" ref="AC174" ca="1">IFERROR(INDEX(INDIRECT($B$3&amp;"."&amp;$B$158&amp;".energy["&amp;This.year&amp;"]"),MATCH($C174&amp;AC$5,INDIRECT($B$3&amp;"."&amp;$B$158&amp;".energy[Tech description]")&amp;INDIRECT($B$3&amp;"."&amp;$B$158&amp;".energy[Energy description]"),0)),0)</f>
        <v>0</v>
      </c>
      <c r="AD174" s="152">
        <f t="array" aca="1" ref="AD174" ca="1">IFERROR(INDEX(INDIRECT($B$3&amp;"."&amp;$B$158&amp;".energy["&amp;This.year&amp;"]"),MATCH($C174&amp;AD$5,INDIRECT($B$3&amp;"."&amp;$B$158&amp;".energy[Tech description]")&amp;INDIRECT($B$3&amp;"."&amp;$B$158&amp;".energy[Energy description]"),0)),0)</f>
        <v>0</v>
      </c>
      <c r="AE174" s="152">
        <f t="array" aca="1" ref="AE174" ca="1">IFERROR(INDEX(INDIRECT($B$3&amp;"."&amp;$B$158&amp;".energy["&amp;This.year&amp;"]"),MATCH($C174&amp;AE$5,INDIRECT($B$3&amp;"."&amp;$B$158&amp;".energy[Tech description]")&amp;INDIRECT($B$3&amp;"."&amp;$B$158&amp;".energy[Energy description]"),0)),0)</f>
        <v>0</v>
      </c>
      <c r="AF174" s="152">
        <f t="array" aca="1" ref="AF174" ca="1">IFERROR(INDEX(INDIRECT($B$3&amp;"."&amp;$B$158&amp;".energy["&amp;This.year&amp;"]"),MATCH($C174&amp;AF$5,INDIRECT($B$3&amp;"."&amp;$B$158&amp;".energy[Tech description]")&amp;INDIRECT($B$3&amp;"."&amp;$B$158&amp;".energy[Energy description]"),0)),0)</f>
        <v>0</v>
      </c>
      <c r="AG174" s="152">
        <f t="array" aca="1" ref="AG174" ca="1">IFERROR(INDEX(INDIRECT($B$3&amp;"."&amp;$B$158&amp;".energy["&amp;This.year&amp;"]"),MATCH($C174&amp;AG$5,INDIRECT($B$3&amp;"."&amp;$B$158&amp;".energy[Tech description]")&amp;INDIRECT($B$3&amp;"."&amp;$B$158&amp;".energy[Energy description]"),0)),0)</f>
        <v>0</v>
      </c>
      <c r="AH174" s="152">
        <f t="array" aca="1" ref="AH174" ca="1">IFERROR(INDEX(INDIRECT($B$3&amp;"."&amp;$B$158&amp;".energy["&amp;This.year&amp;"]"),MATCH($C174&amp;AH$5,INDIRECT($B$3&amp;"."&amp;$B$158&amp;".energy[Tech description]")&amp;INDIRECT($B$3&amp;"."&amp;$B$158&amp;".energy[Energy description]"),0)),0)</f>
        <v>0</v>
      </c>
      <c r="AI174" s="152">
        <f t="array" aca="1" ref="AI174" ca="1">IFERROR(INDEX(INDIRECT($B$3&amp;"."&amp;$B$158&amp;".energy["&amp;This.year&amp;"]"),MATCH($C174&amp;AI$5,INDIRECT($B$3&amp;"."&amp;$B$158&amp;".energy[Tech description]")&amp;INDIRECT($B$3&amp;"."&amp;$B$158&amp;".energy[Energy description]"),0)),0)</f>
        <v>0</v>
      </c>
      <c r="AJ174" s="152">
        <f t="array" aca="1" ref="AJ174" ca="1">IFERROR(INDEX(INDIRECT($B$3&amp;"."&amp;$B$158&amp;".energy["&amp;This.year&amp;"]"),MATCH($C174&amp;AJ$5,INDIRECT($B$3&amp;"."&amp;$B$158&amp;".energy[Tech description]")&amp;INDIRECT($B$3&amp;"."&amp;$B$158&amp;".energy[Energy description]"),0)),0)</f>
        <v>0</v>
      </c>
      <c r="AK174" s="152">
        <f t="array" aca="1" ref="AK174" ca="1">IFERROR(INDEX(INDIRECT($B$3&amp;"."&amp;$B$158&amp;".energy["&amp;This.year&amp;"]"),MATCH($C174&amp;AK$5,INDIRECT($B$3&amp;"."&amp;$B$158&amp;".energy[Tech description]")&amp;INDIRECT($B$3&amp;"."&amp;$B$158&amp;".energy[Energy description]"),0)),0)</f>
        <v>0</v>
      </c>
      <c r="AL174" s="152">
        <f t="array" aca="1" ref="AL174" ca="1">IFERROR(INDEX(INDIRECT($B$3&amp;"."&amp;$B$158&amp;".energy["&amp;This.year&amp;"]"),MATCH($C174&amp;AL$5,INDIRECT($B$3&amp;"."&amp;$B$158&amp;".energy[Tech description]")&amp;INDIRECT($B$3&amp;"."&amp;$B$158&amp;".energy[Energy description]"),0)),0)</f>
        <v>0</v>
      </c>
      <c r="AM174" s="152">
        <f t="array" aca="1" ref="AM174" ca="1">IFERROR(INDEX(INDIRECT($B$3&amp;"."&amp;$B$158&amp;".energy["&amp;This.year&amp;"]"),MATCH($C174&amp;AM$5,INDIRECT($B$3&amp;"."&amp;$B$158&amp;".energy[Tech description]")&amp;INDIRECT($B$3&amp;"."&amp;$B$158&amp;".energy[Energy description]"),0)),0)</f>
        <v>0</v>
      </c>
      <c r="AN174" s="152">
        <f t="array" aca="1" ref="AN174" ca="1">IFERROR(INDEX(INDIRECT($B$3&amp;"."&amp;$B$158&amp;".energy["&amp;This.year&amp;"]"),MATCH($C174&amp;AN$5,INDIRECT($B$3&amp;"."&amp;$B$158&amp;".energy[Tech description]")&amp;INDIRECT($B$3&amp;"."&amp;$B$158&amp;".energy[Energy description]"),0)),0)</f>
        <v>0</v>
      </c>
      <c r="AO174" s="152">
        <f t="shared" ca="1" si="11"/>
        <v>-10.424196405786889</v>
      </c>
      <c r="AP174" s="108"/>
      <c r="AQ174" s="21">
        <f t="array" aca="1" ref="AQ174" ca="1">IFERROR(INDEX(INDIRECT($B$3&amp;"."&amp;$B$158&amp;".energy["&amp;This.year&amp;"]"),MATCH($C174&amp;AQ$5,INDIRECT($B$3&amp;"."&amp;$B$158&amp;".energy[Tech description]")&amp;INDIRECT($B$3&amp;"."&amp;$B$158&amp;".energy[Energy description]"),0)),0)</f>
        <v>0</v>
      </c>
      <c r="AR174" s="21">
        <f t="array" aca="1" ref="AR174" ca="1">IFERROR(INDEX(INDIRECT($B$3&amp;"."&amp;$B$158&amp;".energy["&amp;This.year&amp;"]"),MATCH($C174&amp;AR$5,INDIRECT($B$3&amp;"."&amp;$B$158&amp;".energy[Tech description]")&amp;INDIRECT($B$3&amp;"."&amp;$B$158&amp;".energy[Energy description]"),0)),0)</f>
        <v>0</v>
      </c>
      <c r="AS174" s="21">
        <f t="array" aca="1" ref="AS174" ca="1">IFERROR(INDEX(INDIRECT($B$3&amp;"."&amp;$B$158&amp;".energy["&amp;This.year&amp;"]"),MATCH($C174&amp;AS$5,INDIRECT($B$3&amp;"."&amp;$B$158&amp;".energy[Tech description]")&amp;INDIRECT($B$3&amp;"."&amp;$B$158&amp;".energy[Energy description]"),0)),0)</f>
        <v>0</v>
      </c>
      <c r="AT174" s="21">
        <f t="array" aca="1" ref="AT174" ca="1">IFERROR(INDEX(INDIRECT($B$3&amp;"."&amp;$B$158&amp;".energy["&amp;This.year&amp;"]"),MATCH($C174&amp;AT$5,INDIRECT($B$3&amp;"."&amp;$B$158&amp;".energy[Tech description]")&amp;INDIRECT($B$3&amp;"."&amp;$B$158&amp;".energy[Energy description]"),0)),0)</f>
        <v>0</v>
      </c>
      <c r="AU174" s="21">
        <f t="array" aca="1" ref="AU174" ca="1">IFERROR(INDEX(INDIRECT($B$3&amp;"."&amp;$B$158&amp;".energy["&amp;This.year&amp;"]"),MATCH($C174&amp;AU$5,INDIRECT($B$3&amp;"."&amp;$B$158&amp;".energy[Tech description]")&amp;INDIRECT($B$3&amp;"."&amp;$B$158&amp;".energy[Energy description]"),0)),0)</f>
        <v>0</v>
      </c>
      <c r="AV174" s="21">
        <f t="array" aca="1" ref="AV174" ca="1">IFERROR(INDEX(INDIRECT($B$3&amp;"."&amp;$B$158&amp;".energy["&amp;This.year&amp;"]"),MATCH($C174&amp;AV$5,INDIRECT($B$3&amp;"."&amp;$B$158&amp;".energy[Tech description]")&amp;INDIRECT($B$3&amp;"."&amp;$B$158&amp;".energy[Energy description]"),0)),0)</f>
        <v>0</v>
      </c>
      <c r="AW174" s="21">
        <f t="array" aca="1" ref="AW174" ca="1">IFERROR(INDEX(INDIRECT($B$3&amp;"."&amp;$B$158&amp;".energy["&amp;This.year&amp;"]"),MATCH($C174&amp;AW$5,INDIRECT($B$3&amp;"."&amp;$B$158&amp;".energy[Tech description]")&amp;INDIRECT($B$3&amp;"."&amp;$B$158&amp;".energy[Energy description]"),0)),0)</f>
        <v>0</v>
      </c>
      <c r="AX174" s="21">
        <f t="array" aca="1" ref="AX174" ca="1">IFERROR(INDEX(INDIRECT($B$3&amp;"."&amp;$B$158&amp;".energy["&amp;This.year&amp;"]"),MATCH($C174&amp;AX$5,INDIRECT($B$3&amp;"."&amp;$B$158&amp;".energy[Tech description]")&amp;INDIRECT($B$3&amp;"."&amp;$B$158&amp;".energy[Energy description]"),0)),0)</f>
        <v>0</v>
      </c>
      <c r="AY174" s="21">
        <f t="array" aca="1" ref="AY174" ca="1">IFERROR(INDEX(INDIRECT($B$3&amp;"."&amp;$B$158&amp;".energy["&amp;This.year&amp;"]"),MATCH($C174&amp;AY$5,INDIRECT($B$3&amp;"."&amp;$B$158&amp;".energy[Tech description]")&amp;INDIRECT($B$3&amp;"."&amp;$B$158&amp;".energy[Energy description]"),0)),0)</f>
        <v>0</v>
      </c>
      <c r="AZ174" s="21">
        <f t="array" aca="1" ref="AZ174" ca="1">IFERROR(INDEX(INDIRECT($B$3&amp;"."&amp;$B$158&amp;".energy["&amp;This.year&amp;"]"),MATCH($C174&amp;AZ$5,INDIRECT($B$3&amp;"."&amp;$B$158&amp;".energy[Tech description]")&amp;INDIRECT($B$3&amp;"."&amp;$B$158&amp;".energy[Energy description]"),0)),0)</f>
        <v>0</v>
      </c>
      <c r="BA174" s="21">
        <f t="array" aca="1" ref="BA174" ca="1">IFERROR(INDEX(INDIRECT($B$3&amp;"."&amp;$B$158&amp;".energy["&amp;This.year&amp;"]"),MATCH($C174&amp;BA$5,INDIRECT($B$3&amp;"."&amp;$B$158&amp;".energy[Tech description]")&amp;INDIRECT($B$3&amp;"."&amp;$B$158&amp;".energy[Energy description]"),0)),0)</f>
        <v>0</v>
      </c>
      <c r="BB174" s="21">
        <f t="array" aca="1" ref="BB174" ca="1">IFERROR(INDEX(INDIRECT($B$3&amp;"."&amp;$B$158&amp;".energy["&amp;This.year&amp;"]"),MATCH($C174&amp;BB$5,INDIRECT($B$3&amp;"."&amp;$B$158&amp;".energy[Tech description]")&amp;INDIRECT($B$3&amp;"."&amp;$B$158&amp;".energy[Energy description]"),0)),0)</f>
        <v>0</v>
      </c>
      <c r="BC174" s="21">
        <f t="array" aca="1" ref="BC174" ca="1">IFERROR(INDEX(INDIRECT($B$3&amp;"."&amp;$B$158&amp;".energy["&amp;This.year&amp;"]"),MATCH($C174&amp;BC$5,INDIRECT($B$3&amp;"."&amp;$B$158&amp;".energy[Tech description]")&amp;INDIRECT($B$3&amp;"."&amp;$B$158&amp;".energy[Energy description]"),0)),0)</f>
        <v>0</v>
      </c>
      <c r="BD174" s="21">
        <f t="shared" ca="1" si="12"/>
        <v>0</v>
      </c>
      <c r="BE174" s="108"/>
      <c r="BF174" s="49">
        <f t="array" aca="1" ref="BF174" ca="1">IFERROR(INDEX(INDIRECT($B$3&amp;"."&amp;$B$158&amp;".energy["&amp;This.year&amp;"]"),MATCH($C174&amp;BF$5,INDIRECT($B$3&amp;"."&amp;$B$158&amp;".energy[Tech description]")&amp;INDIRECT($B$3&amp;"."&amp;$B$158&amp;".energy[Energy description]"),0)),0)</f>
        <v>0</v>
      </c>
      <c r="BG174" s="49">
        <f t="array" aca="1" ref="BG174" ca="1">IFERROR(INDEX(INDIRECT($B$3&amp;"."&amp;$B$158&amp;".energy["&amp;This.year&amp;"]"),MATCH($C174&amp;BG$5,INDIRECT($B$3&amp;"."&amp;$B$158&amp;".energy[Tech description]")&amp;INDIRECT($B$3&amp;"."&amp;$B$158&amp;".energy[Energy description]"),0)),0)</f>
        <v>0</v>
      </c>
      <c r="BH174" s="49">
        <f t="shared" ca="1" si="13"/>
        <v>0</v>
      </c>
      <c r="BI174" s="219">
        <f t="shared" ca="1" si="9"/>
        <v>0</v>
      </c>
      <c r="BJ174" s="108"/>
    </row>
    <row r="175" spans="1:62" s="54" customFormat="1">
      <c r="A175" s="133"/>
      <c r="B175" s="176" t="s">
        <v>1804</v>
      </c>
      <c r="C175" s="114" t="str">
        <f>INDEX(Regional.Technologies[Description],MATCH($B$3&amp;"."&amp;B175,Regional.Technologies[Code],0))</f>
        <v>Global Oil use in the Electric steel technology</v>
      </c>
      <c r="E175" s="121">
        <f t="array" aca="1" ref="E175" ca="1">IFERROR(INDEX(INDIRECT($B$3&amp;"."&amp;$B$158&amp;".energy["&amp;This.year&amp;"]"),MATCH($C175&amp;E$5,INDIRECT($B$3&amp;"."&amp;$B$158&amp;".energy[Tech description]")&amp;INDIRECT($B$3&amp;"."&amp;$B$158&amp;".energy[Energy description]"),0)),0)</f>
        <v>0</v>
      </c>
      <c r="F175" s="121">
        <f t="array" aca="1" ref="F175" ca="1">IFERROR(INDEX(INDIRECT($B$3&amp;"."&amp;$B$158&amp;".energy["&amp;This.year&amp;"]"),MATCH($C175&amp;F$5,INDIRECT($B$3&amp;"."&amp;$B$158&amp;".energy[Tech description]")&amp;INDIRECT($B$3&amp;"."&amp;$B$158&amp;".energy[Energy description]"),0)),0)</f>
        <v>0</v>
      </c>
      <c r="G175" s="121">
        <f t="array" aca="1" ref="G175" ca="1">IFERROR(INDEX(INDIRECT($B$3&amp;"."&amp;$B$158&amp;".energy["&amp;This.year&amp;"]"),MATCH($C175&amp;G$5,INDIRECT($B$3&amp;"."&amp;$B$158&amp;".energy[Tech description]")&amp;INDIRECT($B$3&amp;"."&amp;$B$158&amp;".energy[Energy description]"),0)),0)</f>
        <v>0</v>
      </c>
      <c r="H175" s="121">
        <f t="array" aca="1" ref="H175" ca="1">IFERROR(INDEX(INDIRECT($B$3&amp;"."&amp;$B$158&amp;".energy["&amp;This.year&amp;"]"),MATCH($C175&amp;H$5,INDIRECT($B$3&amp;"."&amp;$B$158&amp;".energy[Tech description]")&amp;INDIRECT($B$3&amp;"."&amp;$B$158&amp;".energy[Energy description]"),0)),0)</f>
        <v>0</v>
      </c>
      <c r="I175" s="121">
        <f t="array" aca="1" ref="I175" ca="1">IFERROR(INDEX(INDIRECT($B$3&amp;"."&amp;$B$158&amp;".energy["&amp;This.year&amp;"]"),MATCH($C175&amp;I$5,INDIRECT($B$3&amp;"."&amp;$B$158&amp;".energy[Tech description]")&amp;INDIRECT($B$3&amp;"."&amp;$B$158&amp;".energy[Energy description]"),0)),0)</f>
        <v>0</v>
      </c>
      <c r="J175" s="121">
        <f t="array" aca="1" ref="J175" ca="1">IFERROR(INDEX(INDIRECT($B$3&amp;"."&amp;$B$158&amp;".energy["&amp;This.year&amp;"]"),MATCH($C175&amp;J$5,INDIRECT($B$3&amp;"."&amp;$B$158&amp;".energy[Tech description]")&amp;INDIRECT($B$3&amp;"."&amp;$B$158&amp;".energy[Energy description]"),0)),0)</f>
        <v>0</v>
      </c>
      <c r="K175" s="121">
        <f t="array" aca="1" ref="K175" ca="1">IFERROR(INDEX(INDIRECT($B$3&amp;"."&amp;$B$158&amp;".energy["&amp;This.year&amp;"]"),MATCH($C175&amp;K$5,INDIRECT($B$3&amp;"."&amp;$B$158&amp;".energy[Tech description]")&amp;INDIRECT($B$3&amp;"."&amp;$B$158&amp;".energy[Energy description]"),0)),0)</f>
        <v>0</v>
      </c>
      <c r="L175" s="121">
        <f t="array" aca="1" ref="L175" ca="1">IFERROR(INDEX(INDIRECT($B$3&amp;"."&amp;$B$158&amp;".energy["&amp;This.year&amp;"]"),MATCH($C175&amp;L$5,INDIRECT($B$3&amp;"."&amp;$B$158&amp;".energy[Tech description]")&amp;INDIRECT($B$3&amp;"."&amp;$B$158&amp;".energy[Energy description]"),0)),0)</f>
        <v>0</v>
      </c>
      <c r="M175" s="121">
        <f t="array" aca="1" ref="M175" ca="1">IFERROR(INDEX(INDIRECT($B$3&amp;"."&amp;$B$158&amp;".energy["&amp;This.year&amp;"]"),MATCH($C175&amp;M$5,INDIRECT($B$3&amp;"."&amp;$B$158&amp;".energy[Tech description]")&amp;INDIRECT($B$3&amp;"."&amp;$B$158&amp;".energy[Energy description]"),0)),0)</f>
        <v>0</v>
      </c>
      <c r="N175" s="121">
        <f t="array" aca="1" ref="N175" ca="1">IFERROR(INDEX(INDIRECT($B$3&amp;"."&amp;$B$158&amp;".energy["&amp;This.year&amp;"]"),MATCH($C175&amp;N$5,INDIRECT($B$3&amp;"."&amp;$B$158&amp;".energy[Tech description]")&amp;INDIRECT($B$3&amp;"."&amp;$B$158&amp;".energy[Energy description]"),0)),0)</f>
        <v>0</v>
      </c>
      <c r="O175" s="121">
        <f t="array" aca="1" ref="O175" ca="1">IFERROR(INDEX(INDIRECT($B$3&amp;"."&amp;$B$158&amp;".energy["&amp;This.year&amp;"]"),MATCH($C175&amp;O$5,INDIRECT($B$3&amp;"."&amp;$B$158&amp;".energy[Tech description]")&amp;INDIRECT($B$3&amp;"."&amp;$B$158&amp;".energy[Energy description]"),0)),0)</f>
        <v>0</v>
      </c>
      <c r="P175" s="121">
        <f t="array" aca="1" ref="P175" ca="1">IFERROR(INDEX(INDIRECT($B$3&amp;"."&amp;$B$158&amp;".energy["&amp;This.year&amp;"]"),MATCH($C175&amp;P$5,INDIRECT($B$3&amp;"."&amp;$B$158&amp;".energy[Tech description]")&amp;INDIRECT($B$3&amp;"."&amp;$B$158&amp;".energy[Energy description]"),0)),0)</f>
        <v>0</v>
      </c>
      <c r="Q175" s="121">
        <f t="array" aca="1" ref="Q175" ca="1">IFERROR(INDEX(INDIRECT($B$3&amp;"."&amp;$B$158&amp;".energy["&amp;This.year&amp;"]"),MATCH($C175&amp;Q$5,INDIRECT($B$3&amp;"."&amp;$B$158&amp;".energy[Tech description]")&amp;INDIRECT($B$3&amp;"."&amp;$B$158&amp;".energy[Energy description]"),0)),0)</f>
        <v>0</v>
      </c>
      <c r="R175" s="121">
        <f t="array" aca="1" ref="R175" ca="1">IFERROR(INDEX(INDIRECT($B$3&amp;"."&amp;$B$158&amp;".energy["&amp;This.year&amp;"]"),MATCH($C175&amp;R$5,INDIRECT($B$3&amp;"."&amp;$B$158&amp;".energy[Tech description]")&amp;INDIRECT($B$3&amp;"."&amp;$B$158&amp;".energy[Energy description]"),0)),0)</f>
        <v>0</v>
      </c>
      <c r="S175" s="121">
        <f t="array" aca="1" ref="S175" ca="1">IFERROR(INDEX(INDIRECT($B$3&amp;"."&amp;$B$158&amp;".energy["&amp;This.year&amp;"]"),MATCH($C175&amp;S$5,INDIRECT($B$3&amp;"."&amp;$B$158&amp;".energy[Tech description]")&amp;INDIRECT($B$3&amp;"."&amp;$B$158&amp;".energy[Energy description]"),0)),0)</f>
        <v>0</v>
      </c>
      <c r="T175" s="121">
        <f t="shared" ca="1" si="10"/>
        <v>0</v>
      </c>
      <c r="U175" s="109"/>
      <c r="V175" s="152">
        <f t="array" aca="1" ref="V175" ca="1">IFERROR(INDEX(INDIRECT($B$3&amp;"."&amp;$B$158&amp;".energy["&amp;This.year&amp;"]"),MATCH($C175&amp;V$5,INDIRECT($B$3&amp;"."&amp;$B$158&amp;".energy[Tech description]")&amp;INDIRECT($B$3&amp;"."&amp;$B$158&amp;".energy[Energy description]"),0)),0)</f>
        <v>0</v>
      </c>
      <c r="W175" s="152">
        <f t="array" aca="1" ref="W175" ca="1">IFERROR(INDEX(INDIRECT($B$3&amp;"."&amp;$B$158&amp;".energy["&amp;This.year&amp;"]"),MATCH($C175&amp;W$5,INDIRECT($B$3&amp;"."&amp;$B$158&amp;".energy[Tech description]")&amp;INDIRECT($B$3&amp;"."&amp;$B$158&amp;".energy[Energy description]"),0)),0)</f>
        <v>0</v>
      </c>
      <c r="X175" s="152">
        <f t="array" aca="1" ref="X175" ca="1">IFERROR(INDEX(INDIRECT($B$3&amp;"."&amp;$B$158&amp;".energy["&amp;This.year&amp;"]"),MATCH($C175&amp;X$5,INDIRECT($B$3&amp;"."&amp;$B$158&amp;".energy[Tech description]")&amp;INDIRECT($B$3&amp;"."&amp;$B$158&amp;".energy[Energy description]"),0)),0)</f>
        <v>0</v>
      </c>
      <c r="Y175" s="152">
        <f t="array" aca="1" ref="Y175" ca="1">IFERROR(INDEX(INDIRECT($B$3&amp;"."&amp;$B$158&amp;".energy["&amp;This.year&amp;"]"),MATCH($C175&amp;Y$5,INDIRECT($B$3&amp;"."&amp;$B$158&amp;".energy[Tech description]")&amp;INDIRECT($B$3&amp;"."&amp;$B$158&amp;".energy[Energy description]"),0)),0)</f>
        <v>0</v>
      </c>
      <c r="Z175" s="152">
        <f t="array" aca="1" ref="Z175" ca="1">IFERROR(INDEX(INDIRECT($B$3&amp;"."&amp;$B$158&amp;".energy["&amp;This.year&amp;"]"),MATCH($C175&amp;Z$5,INDIRECT($B$3&amp;"."&amp;$B$158&amp;".energy[Tech description]")&amp;INDIRECT($B$3&amp;"."&amp;$B$158&amp;".energy[Energy description]"),0)),0)</f>
        <v>0</v>
      </c>
      <c r="AA175" s="152">
        <f t="array" aca="1" ref="AA175" ca="1">IFERROR(INDEX(INDIRECT($B$3&amp;"."&amp;$B$158&amp;".energy["&amp;This.year&amp;"]"),MATCH($C175&amp;AA$5,INDIRECT($B$3&amp;"."&amp;$B$158&amp;".energy[Tech description]")&amp;INDIRECT($B$3&amp;"."&amp;$B$158&amp;".energy[Energy description]"),0)),0)</f>
        <v>0</v>
      </c>
      <c r="AB175" s="152">
        <f t="array" aca="1" ref="AB175" ca="1">IFERROR(INDEX(INDIRECT($B$3&amp;"."&amp;$B$158&amp;".energy["&amp;This.year&amp;"]"),MATCH($C175&amp;AB$5,INDIRECT($B$3&amp;"."&amp;$B$158&amp;".energy[Tech description]")&amp;INDIRECT($B$3&amp;"."&amp;$B$158&amp;".energy[Energy description]"),0)),0)</f>
        <v>0</v>
      </c>
      <c r="AC175" s="152">
        <f t="array" aca="1" ref="AC175" ca="1">IFERROR(INDEX(INDIRECT($B$3&amp;"."&amp;$B$158&amp;".energy["&amp;This.year&amp;"]"),MATCH($C175&amp;AC$5,INDIRECT($B$3&amp;"."&amp;$B$158&amp;".energy[Tech description]")&amp;INDIRECT($B$3&amp;"."&amp;$B$158&amp;".energy[Energy description]"),0)),0)</f>
        <v>0</v>
      </c>
      <c r="AD175" s="152">
        <f t="array" aca="1" ref="AD175" ca="1">IFERROR(INDEX(INDIRECT($B$3&amp;"."&amp;$B$158&amp;".energy["&amp;This.year&amp;"]"),MATCH($C175&amp;AD$5,INDIRECT($B$3&amp;"."&amp;$B$158&amp;".energy[Tech description]")&amp;INDIRECT($B$3&amp;"."&amp;$B$158&amp;".energy[Energy description]"),0)),0)</f>
        <v>0</v>
      </c>
      <c r="AE175" s="152">
        <f t="array" aca="1" ref="AE175" ca="1">IFERROR(INDEX(INDIRECT($B$3&amp;"."&amp;$B$158&amp;".energy["&amp;This.year&amp;"]"),MATCH($C175&amp;AE$5,INDIRECT($B$3&amp;"."&amp;$B$158&amp;".energy[Tech description]")&amp;INDIRECT($B$3&amp;"."&amp;$B$158&amp;".energy[Energy description]"),0)),0)</f>
        <v>0</v>
      </c>
      <c r="AF175" s="152">
        <f t="array" aca="1" ref="AF175" ca="1">IFERROR(INDEX(INDIRECT($B$3&amp;"."&amp;$B$158&amp;".energy["&amp;This.year&amp;"]"),MATCH($C175&amp;AF$5,INDIRECT($B$3&amp;"."&amp;$B$158&amp;".energy[Tech description]")&amp;INDIRECT($B$3&amp;"."&amp;$B$158&amp;".energy[Energy description]"),0)),0)</f>
        <v>0</v>
      </c>
      <c r="AG175" s="152">
        <f t="array" aca="1" ref="AG175" ca="1">IFERROR(INDEX(INDIRECT($B$3&amp;"."&amp;$B$158&amp;".energy["&amp;This.year&amp;"]"),MATCH($C175&amp;AG$5,INDIRECT($B$3&amp;"."&amp;$B$158&amp;".energy[Tech description]")&amp;INDIRECT($B$3&amp;"."&amp;$B$158&amp;".energy[Energy description]"),0)),0)</f>
        <v>0</v>
      </c>
      <c r="AH175" s="152">
        <f t="array" aca="1" ref="AH175" ca="1">IFERROR(INDEX(INDIRECT($B$3&amp;"."&amp;$B$158&amp;".energy["&amp;This.year&amp;"]"),MATCH($C175&amp;AH$5,INDIRECT($B$3&amp;"."&amp;$B$158&amp;".energy[Tech description]")&amp;INDIRECT($B$3&amp;"."&amp;$B$158&amp;".energy[Energy description]"),0)),0)</f>
        <v>0</v>
      </c>
      <c r="AI175" s="152">
        <f t="array" aca="1" ref="AI175" ca="1">IFERROR(INDEX(INDIRECT($B$3&amp;"."&amp;$B$158&amp;".energy["&amp;This.year&amp;"]"),MATCH($C175&amp;AI$5,INDIRECT($B$3&amp;"."&amp;$B$158&amp;".energy[Tech description]")&amp;INDIRECT($B$3&amp;"."&amp;$B$158&amp;".energy[Energy description]"),0)),0)</f>
        <v>0</v>
      </c>
      <c r="AJ175" s="152">
        <f t="array" aca="1" ref="AJ175" ca="1">IFERROR(INDEX(INDIRECT($B$3&amp;"."&amp;$B$158&amp;".energy["&amp;This.year&amp;"]"),MATCH($C175&amp;AJ$5,INDIRECT($B$3&amp;"."&amp;$B$158&amp;".energy[Tech description]")&amp;INDIRECT($B$3&amp;"."&amp;$B$158&amp;".energy[Energy description]"),0)),0)</f>
        <v>0</v>
      </c>
      <c r="AK175" s="152">
        <f t="array" aca="1" ref="AK175" ca="1">IFERROR(INDEX(INDIRECT($B$3&amp;"."&amp;$B$158&amp;".energy["&amp;This.year&amp;"]"),MATCH($C175&amp;AK$5,INDIRECT($B$3&amp;"."&amp;$B$158&amp;".energy[Tech description]")&amp;INDIRECT($B$3&amp;"."&amp;$B$158&amp;".energy[Energy description]"),0)),0)</f>
        <v>0</v>
      </c>
      <c r="AL175" s="152">
        <f t="array" aca="1" ref="AL175" ca="1">IFERROR(INDEX(INDIRECT($B$3&amp;"."&amp;$B$158&amp;".energy["&amp;This.year&amp;"]"),MATCH($C175&amp;AL$5,INDIRECT($B$3&amp;"."&amp;$B$158&amp;".energy[Tech description]")&amp;INDIRECT($B$3&amp;"."&amp;$B$158&amp;".energy[Energy description]"),0)),0)</f>
        <v>0</v>
      </c>
      <c r="AM175" s="152">
        <f t="array" aca="1" ref="AM175" ca="1">IFERROR(INDEX(INDIRECT($B$3&amp;"."&amp;$B$158&amp;".energy["&amp;This.year&amp;"]"),MATCH($C175&amp;AM$5,INDIRECT($B$3&amp;"."&amp;$B$158&amp;".energy[Tech description]")&amp;INDIRECT($B$3&amp;"."&amp;$B$158&amp;".energy[Energy description]"),0)),0)</f>
        <v>0</v>
      </c>
      <c r="AN175" s="152">
        <f t="array" aca="1" ref="AN175" ca="1">IFERROR(INDEX(INDIRECT($B$3&amp;"."&amp;$B$158&amp;".energy["&amp;This.year&amp;"]"),MATCH($C175&amp;AN$5,INDIRECT($B$3&amp;"."&amp;$B$158&amp;".energy[Tech description]")&amp;INDIRECT($B$3&amp;"."&amp;$B$158&amp;".energy[Energy description]"),0)),0)</f>
        <v>0</v>
      </c>
      <c r="AO175" s="152">
        <f t="shared" ca="1" si="11"/>
        <v>0</v>
      </c>
      <c r="AP175" s="108"/>
      <c r="AQ175" s="21">
        <f t="array" aca="1" ref="AQ175" ca="1">IFERROR(INDEX(INDIRECT($B$3&amp;"."&amp;$B$158&amp;".energy["&amp;This.year&amp;"]"),MATCH($C175&amp;AQ$5,INDIRECT($B$3&amp;"."&amp;$B$158&amp;".energy[Tech description]")&amp;INDIRECT($B$3&amp;"."&amp;$B$158&amp;".energy[Energy description]"),0)),0)</f>
        <v>0</v>
      </c>
      <c r="AR175" s="21">
        <f t="array" aca="1" ref="AR175" ca="1">IFERROR(INDEX(INDIRECT($B$3&amp;"."&amp;$B$158&amp;".energy["&amp;This.year&amp;"]"),MATCH($C175&amp;AR$5,INDIRECT($B$3&amp;"."&amp;$B$158&amp;".energy[Tech description]")&amp;INDIRECT($B$3&amp;"."&amp;$B$158&amp;".energy[Energy description]"),0)),0)</f>
        <v>0</v>
      </c>
      <c r="AS175" s="21">
        <f t="array" aca="1" ref="AS175" ca="1">IFERROR(INDEX(INDIRECT($B$3&amp;"."&amp;$B$158&amp;".energy["&amp;This.year&amp;"]"),MATCH($C175&amp;AS$5,INDIRECT($B$3&amp;"."&amp;$B$158&amp;".energy[Tech description]")&amp;INDIRECT($B$3&amp;"."&amp;$B$158&amp;".energy[Energy description]"),0)),0)</f>
        <v>0</v>
      </c>
      <c r="AT175" s="21">
        <f t="array" aca="1" ref="AT175" ca="1">IFERROR(INDEX(INDIRECT($B$3&amp;"."&amp;$B$158&amp;".energy["&amp;This.year&amp;"]"),MATCH($C175&amp;AT$5,INDIRECT($B$3&amp;"."&amp;$B$158&amp;".energy[Tech description]")&amp;INDIRECT($B$3&amp;"."&amp;$B$158&amp;".energy[Energy description]"),0)),0)</f>
        <v>0</v>
      </c>
      <c r="AU175" s="21">
        <f t="array" aca="1" ref="AU175" ca="1">IFERROR(INDEX(INDIRECT($B$3&amp;"."&amp;$B$158&amp;".energy["&amp;This.year&amp;"]"),MATCH($C175&amp;AU$5,INDIRECT($B$3&amp;"."&amp;$B$158&amp;".energy[Tech description]")&amp;INDIRECT($B$3&amp;"."&amp;$B$158&amp;".energy[Energy description]"),0)),0)</f>
        <v>0</v>
      </c>
      <c r="AV175" s="21">
        <f t="array" aca="1" ref="AV175" ca="1">IFERROR(INDEX(INDIRECT($B$3&amp;"."&amp;$B$158&amp;".energy["&amp;This.year&amp;"]"),MATCH($C175&amp;AV$5,INDIRECT($B$3&amp;"."&amp;$B$158&amp;".energy[Tech description]")&amp;INDIRECT($B$3&amp;"."&amp;$B$158&amp;".energy[Energy description]"),0)),0)</f>
        <v>0</v>
      </c>
      <c r="AW175" s="21">
        <f t="array" aca="1" ref="AW175" ca="1">IFERROR(INDEX(INDIRECT($B$3&amp;"."&amp;$B$158&amp;".energy["&amp;This.year&amp;"]"),MATCH($C175&amp;AW$5,INDIRECT($B$3&amp;"."&amp;$B$158&amp;".energy[Tech description]")&amp;INDIRECT($B$3&amp;"."&amp;$B$158&amp;".energy[Energy description]"),0)),0)</f>
        <v>0</v>
      </c>
      <c r="AX175" s="21">
        <f t="array" aca="1" ref="AX175" ca="1">IFERROR(INDEX(INDIRECT($B$3&amp;"."&amp;$B$158&amp;".energy["&amp;This.year&amp;"]"),MATCH($C175&amp;AX$5,INDIRECT($B$3&amp;"."&amp;$B$158&amp;".energy[Tech description]")&amp;INDIRECT($B$3&amp;"."&amp;$B$158&amp;".energy[Energy description]"),0)),0)</f>
        <v>0</v>
      </c>
      <c r="AY175" s="21">
        <f t="array" aca="1" ref="AY175" ca="1">IFERROR(INDEX(INDIRECT($B$3&amp;"."&amp;$B$158&amp;".energy["&amp;This.year&amp;"]"),MATCH($C175&amp;AY$5,INDIRECT($B$3&amp;"."&amp;$B$158&amp;".energy[Tech description]")&amp;INDIRECT($B$3&amp;"."&amp;$B$158&amp;".energy[Energy description]"),0)),0)</f>
        <v>0</v>
      </c>
      <c r="AZ175" s="21">
        <f t="array" aca="1" ref="AZ175" ca="1">IFERROR(INDEX(INDIRECT($B$3&amp;"."&amp;$B$158&amp;".energy["&amp;This.year&amp;"]"),MATCH($C175&amp;AZ$5,INDIRECT($B$3&amp;"."&amp;$B$158&amp;".energy[Tech description]")&amp;INDIRECT($B$3&amp;"."&amp;$B$158&amp;".energy[Energy description]"),0)),0)</f>
        <v>0</v>
      </c>
      <c r="BA175" s="21">
        <f t="array" aca="1" ref="BA175" ca="1">IFERROR(INDEX(INDIRECT($B$3&amp;"."&amp;$B$158&amp;".energy["&amp;This.year&amp;"]"),MATCH($C175&amp;BA$5,INDIRECT($B$3&amp;"."&amp;$B$158&amp;".energy[Tech description]")&amp;INDIRECT($B$3&amp;"."&amp;$B$158&amp;".energy[Energy description]"),0)),0)</f>
        <v>0</v>
      </c>
      <c r="BB175" s="21">
        <f t="array" aca="1" ref="BB175" ca="1">IFERROR(INDEX(INDIRECT($B$3&amp;"."&amp;$B$158&amp;".energy["&amp;This.year&amp;"]"),MATCH($C175&amp;BB$5,INDIRECT($B$3&amp;"."&amp;$B$158&amp;".energy[Tech description]")&amp;INDIRECT($B$3&amp;"."&amp;$B$158&amp;".energy[Energy description]"),0)),0)</f>
        <v>0</v>
      </c>
      <c r="BC175" s="21">
        <f t="array" aca="1" ref="BC175" ca="1">IFERROR(INDEX(INDIRECT($B$3&amp;"."&amp;$B$158&amp;".energy["&amp;This.year&amp;"]"),MATCH($C175&amp;BC$5,INDIRECT($B$3&amp;"."&amp;$B$158&amp;".energy[Tech description]")&amp;INDIRECT($B$3&amp;"."&amp;$B$158&amp;".energy[Energy description]"),0)),0)</f>
        <v>0</v>
      </c>
      <c r="BD175" s="21">
        <f t="shared" ca="1" si="12"/>
        <v>0</v>
      </c>
      <c r="BE175" s="108"/>
      <c r="BF175" s="49">
        <f t="array" aca="1" ref="BF175" ca="1">IFERROR(INDEX(INDIRECT($B$3&amp;"."&amp;$B$158&amp;".energy["&amp;This.year&amp;"]"),MATCH($C175&amp;BF$5,INDIRECT($B$3&amp;"."&amp;$B$158&amp;".energy[Tech description]")&amp;INDIRECT($B$3&amp;"."&amp;$B$158&amp;".energy[Energy description]"),0)),0)</f>
        <v>0</v>
      </c>
      <c r="BG175" s="49">
        <f t="array" aca="1" ref="BG175" ca="1">IFERROR(INDEX(INDIRECT($B$3&amp;"."&amp;$B$158&amp;".energy["&amp;This.year&amp;"]"),MATCH($C175&amp;BG$5,INDIRECT($B$3&amp;"."&amp;$B$158&amp;".energy[Tech description]")&amp;INDIRECT($B$3&amp;"."&amp;$B$158&amp;".energy[Energy description]"),0)),0)</f>
        <v>0</v>
      </c>
      <c r="BH175" s="49">
        <f t="shared" ca="1" si="13"/>
        <v>0</v>
      </c>
      <c r="BI175" s="219">
        <f t="shared" ca="1" si="9"/>
        <v>0</v>
      </c>
      <c r="BJ175" s="108"/>
    </row>
    <row r="176" spans="1:62" s="54" customFormat="1">
      <c r="A176" s="133"/>
      <c r="B176" s="176" t="s">
        <v>1805</v>
      </c>
      <c r="C176" s="114" t="str">
        <f>INDEX(Regional.Technologies[Description],MATCH($B$3&amp;"."&amp;B176,Regional.Technologies[Code],0))</f>
        <v>Global Natural Gas use in the Electric steel technology</v>
      </c>
      <c r="E176" s="121">
        <f t="array" aca="1" ref="E176" ca="1">IFERROR(INDEX(INDIRECT($B$3&amp;"."&amp;$B$158&amp;".energy["&amp;This.year&amp;"]"),MATCH($C176&amp;E$5,INDIRECT($B$3&amp;"."&amp;$B$158&amp;".energy[Tech description]")&amp;INDIRECT($B$3&amp;"."&amp;$B$158&amp;".energy[Energy description]"),0)),0)</f>
        <v>0</v>
      </c>
      <c r="F176" s="121">
        <f t="array" aca="1" ref="F176" ca="1">IFERROR(INDEX(INDIRECT($B$3&amp;"."&amp;$B$158&amp;".energy["&amp;This.year&amp;"]"),MATCH($C176&amp;F$5,INDIRECT($B$3&amp;"."&amp;$B$158&amp;".energy[Tech description]")&amp;INDIRECT($B$3&amp;"."&amp;$B$158&amp;".energy[Energy description]"),0)),0)</f>
        <v>0</v>
      </c>
      <c r="G176" s="121">
        <f t="array" aca="1" ref="G176" ca="1">IFERROR(INDEX(INDIRECT($B$3&amp;"."&amp;$B$158&amp;".energy["&amp;This.year&amp;"]"),MATCH($C176&amp;G$5,INDIRECT($B$3&amp;"."&amp;$B$158&amp;".energy[Tech description]")&amp;INDIRECT($B$3&amp;"."&amp;$B$158&amp;".energy[Energy description]"),0)),0)</f>
        <v>0</v>
      </c>
      <c r="H176" s="121">
        <f t="array" aca="1" ref="H176" ca="1">IFERROR(INDEX(INDIRECT($B$3&amp;"."&amp;$B$158&amp;".energy["&amp;This.year&amp;"]"),MATCH($C176&amp;H$5,INDIRECT($B$3&amp;"."&amp;$B$158&amp;".energy[Tech description]")&amp;INDIRECT($B$3&amp;"."&amp;$B$158&amp;".energy[Energy description]"),0)),0)</f>
        <v>0</v>
      </c>
      <c r="I176" s="121">
        <f t="array" aca="1" ref="I176" ca="1">IFERROR(INDEX(INDIRECT($B$3&amp;"."&amp;$B$158&amp;".energy["&amp;This.year&amp;"]"),MATCH($C176&amp;I$5,INDIRECT($B$3&amp;"."&amp;$B$158&amp;".energy[Tech description]")&amp;INDIRECT($B$3&amp;"."&amp;$B$158&amp;".energy[Energy description]"),0)),0)</f>
        <v>0</v>
      </c>
      <c r="J176" s="121">
        <f t="array" aca="1" ref="J176" ca="1">IFERROR(INDEX(INDIRECT($B$3&amp;"."&amp;$B$158&amp;".energy["&amp;This.year&amp;"]"),MATCH($C176&amp;J$5,INDIRECT($B$3&amp;"."&amp;$B$158&amp;".energy[Tech description]")&amp;INDIRECT($B$3&amp;"."&amp;$B$158&amp;".energy[Energy description]"),0)),0)</f>
        <v>1.2528070032244134</v>
      </c>
      <c r="K176" s="121">
        <f t="array" aca="1" ref="K176" ca="1">IFERROR(INDEX(INDIRECT($B$3&amp;"."&amp;$B$158&amp;".energy["&amp;This.year&amp;"]"),MATCH($C176&amp;K$5,INDIRECT($B$3&amp;"."&amp;$B$158&amp;".energy[Tech description]")&amp;INDIRECT($B$3&amp;"."&amp;$B$158&amp;".energy[Energy description]"),0)),0)</f>
        <v>0</v>
      </c>
      <c r="L176" s="121">
        <f t="array" aca="1" ref="L176" ca="1">IFERROR(INDEX(INDIRECT($B$3&amp;"."&amp;$B$158&amp;".energy["&amp;This.year&amp;"]"),MATCH($C176&amp;L$5,INDIRECT($B$3&amp;"."&amp;$B$158&amp;".energy[Tech description]")&amp;INDIRECT($B$3&amp;"."&amp;$B$158&amp;".energy[Energy description]"),0)),0)</f>
        <v>0</v>
      </c>
      <c r="M176" s="121">
        <f t="array" aca="1" ref="M176" ca="1">IFERROR(INDEX(INDIRECT($B$3&amp;"."&amp;$B$158&amp;".energy["&amp;This.year&amp;"]"),MATCH($C176&amp;M$5,INDIRECT($B$3&amp;"."&amp;$B$158&amp;".energy[Tech description]")&amp;INDIRECT($B$3&amp;"."&amp;$B$158&amp;".energy[Energy description]"),0)),0)</f>
        <v>0</v>
      </c>
      <c r="N176" s="121">
        <f t="array" aca="1" ref="N176" ca="1">IFERROR(INDEX(INDIRECT($B$3&amp;"."&amp;$B$158&amp;".energy["&amp;This.year&amp;"]"),MATCH($C176&amp;N$5,INDIRECT($B$3&amp;"."&amp;$B$158&amp;".energy[Tech description]")&amp;INDIRECT($B$3&amp;"."&amp;$B$158&amp;".energy[Energy description]"),0)),0)</f>
        <v>0</v>
      </c>
      <c r="O176" s="121">
        <f t="array" aca="1" ref="O176" ca="1">IFERROR(INDEX(INDIRECT($B$3&amp;"."&amp;$B$158&amp;".energy["&amp;This.year&amp;"]"),MATCH($C176&amp;O$5,INDIRECT($B$3&amp;"."&amp;$B$158&amp;".energy[Tech description]")&amp;INDIRECT($B$3&amp;"."&amp;$B$158&amp;".energy[Energy description]"),0)),0)</f>
        <v>0</v>
      </c>
      <c r="P176" s="121">
        <f t="array" aca="1" ref="P176" ca="1">IFERROR(INDEX(INDIRECT($B$3&amp;"."&amp;$B$158&amp;".energy["&amp;This.year&amp;"]"),MATCH($C176&amp;P$5,INDIRECT($B$3&amp;"."&amp;$B$158&amp;".energy[Tech description]")&amp;INDIRECT($B$3&amp;"."&amp;$B$158&amp;".energy[Energy description]"),0)),0)</f>
        <v>0</v>
      </c>
      <c r="Q176" s="121">
        <f t="array" aca="1" ref="Q176" ca="1">IFERROR(INDEX(INDIRECT($B$3&amp;"."&amp;$B$158&amp;".energy["&amp;This.year&amp;"]"),MATCH($C176&amp;Q$5,INDIRECT($B$3&amp;"."&amp;$B$158&amp;".energy[Tech description]")&amp;INDIRECT($B$3&amp;"."&amp;$B$158&amp;".energy[Energy description]"),0)),0)</f>
        <v>0</v>
      </c>
      <c r="R176" s="121">
        <f t="array" aca="1" ref="R176" ca="1">IFERROR(INDEX(INDIRECT($B$3&amp;"."&amp;$B$158&amp;".energy["&amp;This.year&amp;"]"),MATCH($C176&amp;R$5,INDIRECT($B$3&amp;"."&amp;$B$158&amp;".energy[Tech description]")&amp;INDIRECT($B$3&amp;"."&amp;$B$158&amp;".energy[Energy description]"),0)),0)</f>
        <v>0</v>
      </c>
      <c r="S176" s="121">
        <f t="array" aca="1" ref="S176" ca="1">IFERROR(INDEX(INDIRECT($B$3&amp;"."&amp;$B$158&amp;".energy["&amp;This.year&amp;"]"),MATCH($C176&amp;S$5,INDIRECT($B$3&amp;"."&amp;$B$158&amp;".energy[Tech description]")&amp;INDIRECT($B$3&amp;"."&amp;$B$158&amp;".energy[Energy description]"),0)),0)</f>
        <v>0</v>
      </c>
      <c r="T176" s="121">
        <f t="shared" ca="1" si="10"/>
        <v>1.2528070032244134</v>
      </c>
      <c r="U176" s="109"/>
      <c r="V176" s="152">
        <f t="array" aca="1" ref="V176" ca="1">IFERROR(INDEX(INDIRECT($B$3&amp;"."&amp;$B$158&amp;".energy["&amp;This.year&amp;"]"),MATCH($C176&amp;V$5,INDIRECT($B$3&amp;"."&amp;$B$158&amp;".energy[Tech description]")&amp;INDIRECT($B$3&amp;"."&amp;$B$158&amp;".energy[Energy description]"),0)),0)</f>
        <v>0</v>
      </c>
      <c r="W176" s="152">
        <f t="array" aca="1" ref="W176" ca="1">IFERROR(INDEX(INDIRECT($B$3&amp;"."&amp;$B$158&amp;".energy["&amp;This.year&amp;"]"),MATCH($C176&amp;W$5,INDIRECT($B$3&amp;"."&amp;$B$158&amp;".energy[Tech description]")&amp;INDIRECT($B$3&amp;"."&amp;$B$158&amp;".energy[Energy description]"),0)),0)</f>
        <v>0</v>
      </c>
      <c r="X176" s="152">
        <f t="array" aca="1" ref="X176" ca="1">IFERROR(INDEX(INDIRECT($B$3&amp;"."&amp;$B$158&amp;".energy["&amp;This.year&amp;"]"),MATCH($C176&amp;X$5,INDIRECT($B$3&amp;"."&amp;$B$158&amp;".energy[Tech description]")&amp;INDIRECT($B$3&amp;"."&amp;$B$158&amp;".energy[Energy description]"),0)),0)</f>
        <v>0</v>
      </c>
      <c r="Y176" s="152">
        <f t="array" aca="1" ref="Y176" ca="1">IFERROR(INDEX(INDIRECT($B$3&amp;"."&amp;$B$158&amp;".energy["&amp;This.year&amp;"]"),MATCH($C176&amp;Y$5,INDIRECT($B$3&amp;"."&amp;$B$158&amp;".energy[Tech description]")&amp;INDIRECT($B$3&amp;"."&amp;$B$158&amp;".energy[Energy description]"),0)),0)</f>
        <v>0</v>
      </c>
      <c r="Z176" s="152">
        <f t="array" aca="1" ref="Z176" ca="1">IFERROR(INDEX(INDIRECT($B$3&amp;"."&amp;$B$158&amp;".energy["&amp;This.year&amp;"]"),MATCH($C176&amp;Z$5,INDIRECT($B$3&amp;"."&amp;$B$158&amp;".energy[Tech description]")&amp;INDIRECT($B$3&amp;"."&amp;$B$158&amp;".energy[Energy description]"),0)),0)</f>
        <v>0</v>
      </c>
      <c r="AA176" s="152">
        <f t="array" aca="1" ref="AA176" ca="1">IFERROR(INDEX(INDIRECT($B$3&amp;"."&amp;$B$158&amp;".energy["&amp;This.year&amp;"]"),MATCH($C176&amp;AA$5,INDIRECT($B$3&amp;"."&amp;$B$158&amp;".energy[Tech description]")&amp;INDIRECT($B$3&amp;"."&amp;$B$158&amp;".energy[Energy description]"),0)),0)</f>
        <v>0</v>
      </c>
      <c r="AB176" s="152">
        <f t="array" aca="1" ref="AB176" ca="1">IFERROR(INDEX(INDIRECT($B$3&amp;"."&amp;$B$158&amp;".energy["&amp;This.year&amp;"]"),MATCH($C176&amp;AB$5,INDIRECT($B$3&amp;"."&amp;$B$158&amp;".energy[Tech description]")&amp;INDIRECT($B$3&amp;"."&amp;$B$158&amp;".energy[Energy description]"),0)),0)</f>
        <v>0</v>
      </c>
      <c r="AC176" s="152">
        <f t="array" aca="1" ref="AC176" ca="1">IFERROR(INDEX(INDIRECT($B$3&amp;"."&amp;$B$158&amp;".energy["&amp;This.year&amp;"]"),MATCH($C176&amp;AC$5,INDIRECT($B$3&amp;"."&amp;$B$158&amp;".energy[Tech description]")&amp;INDIRECT($B$3&amp;"."&amp;$B$158&amp;".energy[Energy description]"),0)),0)</f>
        <v>-1.2528070032244134</v>
      </c>
      <c r="AD176" s="152">
        <f t="array" aca="1" ref="AD176" ca="1">IFERROR(INDEX(INDIRECT($B$3&amp;"."&amp;$B$158&amp;".energy["&amp;This.year&amp;"]"),MATCH($C176&amp;AD$5,INDIRECT($B$3&amp;"."&amp;$B$158&amp;".energy[Tech description]")&amp;INDIRECT($B$3&amp;"."&amp;$B$158&amp;".energy[Energy description]"),0)),0)</f>
        <v>0</v>
      </c>
      <c r="AE176" s="152">
        <f t="array" aca="1" ref="AE176" ca="1">IFERROR(INDEX(INDIRECT($B$3&amp;"."&amp;$B$158&amp;".energy["&amp;This.year&amp;"]"),MATCH($C176&amp;AE$5,INDIRECT($B$3&amp;"."&amp;$B$158&amp;".energy[Tech description]")&amp;INDIRECT($B$3&amp;"."&amp;$B$158&amp;".energy[Energy description]"),0)),0)</f>
        <v>0</v>
      </c>
      <c r="AF176" s="152">
        <f t="array" aca="1" ref="AF176" ca="1">IFERROR(INDEX(INDIRECT($B$3&amp;"."&amp;$B$158&amp;".energy["&amp;This.year&amp;"]"),MATCH($C176&amp;AF$5,INDIRECT($B$3&amp;"."&amp;$B$158&amp;".energy[Tech description]")&amp;INDIRECT($B$3&amp;"."&amp;$B$158&amp;".energy[Energy description]"),0)),0)</f>
        <v>0</v>
      </c>
      <c r="AG176" s="152">
        <f t="array" aca="1" ref="AG176" ca="1">IFERROR(INDEX(INDIRECT($B$3&amp;"."&amp;$B$158&amp;".energy["&amp;This.year&amp;"]"),MATCH($C176&amp;AG$5,INDIRECT($B$3&amp;"."&amp;$B$158&amp;".energy[Tech description]")&amp;INDIRECT($B$3&amp;"."&amp;$B$158&amp;".energy[Energy description]"),0)),0)</f>
        <v>0</v>
      </c>
      <c r="AH176" s="152">
        <f t="array" aca="1" ref="AH176" ca="1">IFERROR(INDEX(INDIRECT($B$3&amp;"."&amp;$B$158&amp;".energy["&amp;This.year&amp;"]"),MATCH($C176&amp;AH$5,INDIRECT($B$3&amp;"."&amp;$B$158&amp;".energy[Tech description]")&amp;INDIRECT($B$3&amp;"."&amp;$B$158&amp;".energy[Energy description]"),0)),0)</f>
        <v>0</v>
      </c>
      <c r="AI176" s="152">
        <f t="array" aca="1" ref="AI176" ca="1">IFERROR(INDEX(INDIRECT($B$3&amp;"."&amp;$B$158&amp;".energy["&amp;This.year&amp;"]"),MATCH($C176&amp;AI$5,INDIRECT($B$3&amp;"."&amp;$B$158&amp;".energy[Tech description]")&amp;INDIRECT($B$3&amp;"."&amp;$B$158&amp;".energy[Energy description]"),0)),0)</f>
        <v>0</v>
      </c>
      <c r="AJ176" s="152">
        <f t="array" aca="1" ref="AJ176" ca="1">IFERROR(INDEX(INDIRECT($B$3&amp;"."&amp;$B$158&amp;".energy["&amp;This.year&amp;"]"),MATCH($C176&amp;AJ$5,INDIRECT($B$3&amp;"."&amp;$B$158&amp;".energy[Tech description]")&amp;INDIRECT($B$3&amp;"."&amp;$B$158&amp;".energy[Energy description]"),0)),0)</f>
        <v>0</v>
      </c>
      <c r="AK176" s="152">
        <f t="array" aca="1" ref="AK176" ca="1">IFERROR(INDEX(INDIRECT($B$3&amp;"."&amp;$B$158&amp;".energy["&amp;This.year&amp;"]"),MATCH($C176&amp;AK$5,INDIRECT($B$3&amp;"."&amp;$B$158&amp;".energy[Tech description]")&amp;INDIRECT($B$3&amp;"."&amp;$B$158&amp;".energy[Energy description]"),0)),0)</f>
        <v>0</v>
      </c>
      <c r="AL176" s="152">
        <f t="array" aca="1" ref="AL176" ca="1">IFERROR(INDEX(INDIRECT($B$3&amp;"."&amp;$B$158&amp;".energy["&amp;This.year&amp;"]"),MATCH($C176&amp;AL$5,INDIRECT($B$3&amp;"."&amp;$B$158&amp;".energy[Tech description]")&amp;INDIRECT($B$3&amp;"."&amp;$B$158&amp;".energy[Energy description]"),0)),0)</f>
        <v>0</v>
      </c>
      <c r="AM176" s="152">
        <f t="array" aca="1" ref="AM176" ca="1">IFERROR(INDEX(INDIRECT($B$3&amp;"."&amp;$B$158&amp;".energy["&amp;This.year&amp;"]"),MATCH($C176&amp;AM$5,INDIRECT($B$3&amp;"."&amp;$B$158&amp;".energy[Tech description]")&amp;INDIRECT($B$3&amp;"."&amp;$B$158&amp;".energy[Energy description]"),0)),0)</f>
        <v>0</v>
      </c>
      <c r="AN176" s="152">
        <f t="array" aca="1" ref="AN176" ca="1">IFERROR(INDEX(INDIRECT($B$3&amp;"."&amp;$B$158&amp;".energy["&amp;This.year&amp;"]"),MATCH($C176&amp;AN$5,INDIRECT($B$3&amp;"."&amp;$B$158&amp;".energy[Tech description]")&amp;INDIRECT($B$3&amp;"."&amp;$B$158&amp;".energy[Energy description]"),0)),0)</f>
        <v>0</v>
      </c>
      <c r="AO176" s="152">
        <f t="shared" ca="1" si="11"/>
        <v>-1.2528070032244134</v>
      </c>
      <c r="AP176" s="108"/>
      <c r="AQ176" s="21">
        <f t="array" aca="1" ref="AQ176" ca="1">IFERROR(INDEX(INDIRECT($B$3&amp;"."&amp;$B$158&amp;".energy["&amp;This.year&amp;"]"),MATCH($C176&amp;AQ$5,INDIRECT($B$3&amp;"."&amp;$B$158&amp;".energy[Tech description]")&amp;INDIRECT($B$3&amp;"."&amp;$B$158&amp;".energy[Energy description]"),0)),0)</f>
        <v>0</v>
      </c>
      <c r="AR176" s="21">
        <f t="array" aca="1" ref="AR176" ca="1">IFERROR(INDEX(INDIRECT($B$3&amp;"."&amp;$B$158&amp;".energy["&amp;This.year&amp;"]"),MATCH($C176&amp;AR$5,INDIRECT($B$3&amp;"."&amp;$B$158&amp;".energy[Tech description]")&amp;INDIRECT($B$3&amp;"."&amp;$B$158&amp;".energy[Energy description]"),0)),0)</f>
        <v>0</v>
      </c>
      <c r="AS176" s="21">
        <f t="array" aca="1" ref="AS176" ca="1">IFERROR(INDEX(INDIRECT($B$3&amp;"."&amp;$B$158&amp;".energy["&amp;This.year&amp;"]"),MATCH($C176&amp;AS$5,INDIRECT($B$3&amp;"."&amp;$B$158&amp;".energy[Tech description]")&amp;INDIRECT($B$3&amp;"."&amp;$B$158&amp;".energy[Energy description]"),0)),0)</f>
        <v>0</v>
      </c>
      <c r="AT176" s="21">
        <f t="array" aca="1" ref="AT176" ca="1">IFERROR(INDEX(INDIRECT($B$3&amp;"."&amp;$B$158&amp;".energy["&amp;This.year&amp;"]"),MATCH($C176&amp;AT$5,INDIRECT($B$3&amp;"."&amp;$B$158&amp;".energy[Tech description]")&amp;INDIRECT($B$3&amp;"."&amp;$B$158&amp;".energy[Energy description]"),0)),0)</f>
        <v>0</v>
      </c>
      <c r="AU176" s="21">
        <f t="array" aca="1" ref="AU176" ca="1">IFERROR(INDEX(INDIRECT($B$3&amp;"."&amp;$B$158&amp;".energy["&amp;This.year&amp;"]"),MATCH($C176&amp;AU$5,INDIRECT($B$3&amp;"."&amp;$B$158&amp;".energy[Tech description]")&amp;INDIRECT($B$3&amp;"."&amp;$B$158&amp;".energy[Energy description]"),0)),0)</f>
        <v>0</v>
      </c>
      <c r="AV176" s="21">
        <f t="array" aca="1" ref="AV176" ca="1">IFERROR(INDEX(INDIRECT($B$3&amp;"."&amp;$B$158&amp;".energy["&amp;This.year&amp;"]"),MATCH($C176&amp;AV$5,INDIRECT($B$3&amp;"."&amp;$B$158&amp;".energy[Tech description]")&amp;INDIRECT($B$3&amp;"."&amp;$B$158&amp;".energy[Energy description]"),0)),0)</f>
        <v>0</v>
      </c>
      <c r="AW176" s="21">
        <f t="array" aca="1" ref="AW176" ca="1">IFERROR(INDEX(INDIRECT($B$3&amp;"."&amp;$B$158&amp;".energy["&amp;This.year&amp;"]"),MATCH($C176&amp;AW$5,INDIRECT($B$3&amp;"."&amp;$B$158&amp;".energy[Tech description]")&amp;INDIRECT($B$3&amp;"."&amp;$B$158&amp;".energy[Energy description]"),0)),0)</f>
        <v>0</v>
      </c>
      <c r="AX176" s="21">
        <f t="array" aca="1" ref="AX176" ca="1">IFERROR(INDEX(INDIRECT($B$3&amp;"."&amp;$B$158&amp;".energy["&amp;This.year&amp;"]"),MATCH($C176&amp;AX$5,INDIRECT($B$3&amp;"."&amp;$B$158&amp;".energy[Tech description]")&amp;INDIRECT($B$3&amp;"."&amp;$B$158&amp;".energy[Energy description]"),0)),0)</f>
        <v>0</v>
      </c>
      <c r="AY176" s="21">
        <f t="array" aca="1" ref="AY176" ca="1">IFERROR(INDEX(INDIRECT($B$3&amp;"."&amp;$B$158&amp;".energy["&amp;This.year&amp;"]"),MATCH($C176&amp;AY$5,INDIRECT($B$3&amp;"."&amp;$B$158&amp;".energy[Tech description]")&amp;INDIRECT($B$3&amp;"."&amp;$B$158&amp;".energy[Energy description]"),0)),0)</f>
        <v>0</v>
      </c>
      <c r="AZ176" s="21">
        <f t="array" aca="1" ref="AZ176" ca="1">IFERROR(INDEX(INDIRECT($B$3&amp;"."&amp;$B$158&amp;".energy["&amp;This.year&amp;"]"),MATCH($C176&amp;AZ$5,INDIRECT($B$3&amp;"."&amp;$B$158&amp;".energy[Tech description]")&amp;INDIRECT($B$3&amp;"."&amp;$B$158&amp;".energy[Energy description]"),0)),0)</f>
        <v>0</v>
      </c>
      <c r="BA176" s="21">
        <f t="array" aca="1" ref="BA176" ca="1">IFERROR(INDEX(INDIRECT($B$3&amp;"."&amp;$B$158&amp;".energy["&amp;This.year&amp;"]"),MATCH($C176&amp;BA$5,INDIRECT($B$3&amp;"."&amp;$B$158&amp;".energy[Tech description]")&amp;INDIRECT($B$3&amp;"."&amp;$B$158&amp;".energy[Energy description]"),0)),0)</f>
        <v>0</v>
      </c>
      <c r="BB176" s="21">
        <f t="array" aca="1" ref="BB176" ca="1">IFERROR(INDEX(INDIRECT($B$3&amp;"."&amp;$B$158&amp;".energy["&amp;This.year&amp;"]"),MATCH($C176&amp;BB$5,INDIRECT($B$3&amp;"."&amp;$B$158&amp;".energy[Tech description]")&amp;INDIRECT($B$3&amp;"."&amp;$B$158&amp;".energy[Energy description]"),0)),0)</f>
        <v>0</v>
      </c>
      <c r="BC176" s="21">
        <f t="array" aca="1" ref="BC176" ca="1">IFERROR(INDEX(INDIRECT($B$3&amp;"."&amp;$B$158&amp;".energy["&amp;This.year&amp;"]"),MATCH($C176&amp;BC$5,INDIRECT($B$3&amp;"."&amp;$B$158&amp;".energy[Tech description]")&amp;INDIRECT($B$3&amp;"."&amp;$B$158&amp;".energy[Energy description]"),0)),0)</f>
        <v>0</v>
      </c>
      <c r="BD176" s="21">
        <f t="shared" ca="1" si="12"/>
        <v>0</v>
      </c>
      <c r="BE176" s="108"/>
      <c r="BF176" s="49">
        <f t="array" aca="1" ref="BF176" ca="1">IFERROR(INDEX(INDIRECT($B$3&amp;"."&amp;$B$158&amp;".energy["&amp;This.year&amp;"]"),MATCH($C176&amp;BF$5,INDIRECT($B$3&amp;"."&amp;$B$158&amp;".energy[Tech description]")&amp;INDIRECT($B$3&amp;"."&amp;$B$158&amp;".energy[Energy description]"),0)),0)</f>
        <v>0</v>
      </c>
      <c r="BG176" s="49">
        <f t="array" aca="1" ref="BG176" ca="1">IFERROR(INDEX(INDIRECT($B$3&amp;"."&amp;$B$158&amp;".energy["&amp;This.year&amp;"]"),MATCH($C176&amp;BG$5,INDIRECT($B$3&amp;"."&amp;$B$158&amp;".energy[Tech description]")&amp;INDIRECT($B$3&amp;"."&amp;$B$158&amp;".energy[Energy description]"),0)),0)</f>
        <v>0</v>
      </c>
      <c r="BH176" s="49">
        <f t="shared" ca="1" si="13"/>
        <v>0</v>
      </c>
      <c r="BI176" s="219">
        <f t="shared" ca="1" si="9"/>
        <v>0</v>
      </c>
      <c r="BJ176" s="108"/>
    </row>
    <row r="177" spans="1:62" s="54" customFormat="1">
      <c r="A177" s="133"/>
      <c r="B177" s="176" t="s">
        <v>1806</v>
      </c>
      <c r="C177" s="114" t="str">
        <f>INDEX(Regional.Technologies[Description],MATCH($B$3&amp;"."&amp;B177,Regional.Technologies[Code],0))</f>
        <v>Global Solid Hydrocarbons use in the Electric steel technology</v>
      </c>
      <c r="E177" s="121">
        <f t="array" aca="1" ref="E177" ca="1">IFERROR(INDEX(INDIRECT($B$3&amp;"."&amp;$B$158&amp;".energy["&amp;This.year&amp;"]"),MATCH($C177&amp;E$5,INDIRECT($B$3&amp;"."&amp;$B$158&amp;".energy[Tech description]")&amp;INDIRECT($B$3&amp;"."&amp;$B$158&amp;".energy[Energy description]"),0)),0)</f>
        <v>0</v>
      </c>
      <c r="F177" s="121">
        <f t="array" aca="1" ref="F177" ca="1">IFERROR(INDEX(INDIRECT($B$3&amp;"."&amp;$B$158&amp;".energy["&amp;This.year&amp;"]"),MATCH($C177&amp;F$5,INDIRECT($B$3&amp;"."&amp;$B$158&amp;".energy[Tech description]")&amp;INDIRECT($B$3&amp;"."&amp;$B$158&amp;".energy[Energy description]"),0)),0)</f>
        <v>0</v>
      </c>
      <c r="G177" s="121">
        <f t="array" aca="1" ref="G177" ca="1">IFERROR(INDEX(INDIRECT($B$3&amp;"."&amp;$B$158&amp;".energy["&amp;This.year&amp;"]"),MATCH($C177&amp;G$5,INDIRECT($B$3&amp;"."&amp;$B$158&amp;".energy[Tech description]")&amp;INDIRECT($B$3&amp;"."&amp;$B$158&amp;".energy[Energy description]"),0)),0)</f>
        <v>0</v>
      </c>
      <c r="H177" s="121">
        <f t="array" aca="1" ref="H177" ca="1">IFERROR(INDEX(INDIRECT($B$3&amp;"."&amp;$B$158&amp;".energy["&amp;This.year&amp;"]"),MATCH($C177&amp;H$5,INDIRECT($B$3&amp;"."&amp;$B$158&amp;".energy[Tech description]")&amp;INDIRECT($B$3&amp;"."&amp;$B$158&amp;".energy[Energy description]"),0)),0)</f>
        <v>0</v>
      </c>
      <c r="I177" s="121">
        <f t="array" aca="1" ref="I177" ca="1">IFERROR(INDEX(INDIRECT($B$3&amp;"."&amp;$B$158&amp;".energy["&amp;This.year&amp;"]"),MATCH($C177&amp;I$5,INDIRECT($B$3&amp;"."&amp;$B$158&amp;".energy[Tech description]")&amp;INDIRECT($B$3&amp;"."&amp;$B$158&amp;".energy[Energy description]"),0)),0)</f>
        <v>0</v>
      </c>
      <c r="J177" s="121">
        <f t="array" aca="1" ref="J177" ca="1">IFERROR(INDEX(INDIRECT($B$3&amp;"."&amp;$B$158&amp;".energy["&amp;This.year&amp;"]"),MATCH($C177&amp;J$5,INDIRECT($B$3&amp;"."&amp;$B$158&amp;".energy[Tech description]")&amp;INDIRECT($B$3&amp;"."&amp;$B$158&amp;".energy[Energy description]"),0)),0)</f>
        <v>0</v>
      </c>
      <c r="K177" s="121">
        <f t="array" aca="1" ref="K177" ca="1">IFERROR(INDEX(INDIRECT($B$3&amp;"."&amp;$B$158&amp;".energy["&amp;This.year&amp;"]"),MATCH($C177&amp;K$5,INDIRECT($B$3&amp;"."&amp;$B$158&amp;".energy[Tech description]")&amp;INDIRECT($B$3&amp;"."&amp;$B$158&amp;".energy[Energy description]"),0)),0)</f>
        <v>0</v>
      </c>
      <c r="L177" s="121">
        <f t="array" aca="1" ref="L177" ca="1">IFERROR(INDEX(INDIRECT($B$3&amp;"."&amp;$B$158&amp;".energy["&amp;This.year&amp;"]"),MATCH($C177&amp;L$5,INDIRECT($B$3&amp;"."&amp;$B$158&amp;".energy[Tech description]")&amp;INDIRECT($B$3&amp;"."&amp;$B$158&amp;".energy[Energy description]"),0)),0)</f>
        <v>0</v>
      </c>
      <c r="M177" s="121">
        <f t="array" aca="1" ref="M177" ca="1">IFERROR(INDEX(INDIRECT($B$3&amp;"."&amp;$B$158&amp;".energy["&amp;This.year&amp;"]"),MATCH($C177&amp;M$5,INDIRECT($B$3&amp;"."&amp;$B$158&amp;".energy[Tech description]")&amp;INDIRECT($B$3&amp;"."&amp;$B$158&amp;".energy[Energy description]"),0)),0)</f>
        <v>0</v>
      </c>
      <c r="N177" s="121">
        <f t="array" aca="1" ref="N177" ca="1">IFERROR(INDEX(INDIRECT($B$3&amp;"."&amp;$B$158&amp;".energy["&amp;This.year&amp;"]"),MATCH($C177&amp;N$5,INDIRECT($B$3&amp;"."&amp;$B$158&amp;".energy[Tech description]")&amp;INDIRECT($B$3&amp;"."&amp;$B$158&amp;".energy[Energy description]"),0)),0)</f>
        <v>0</v>
      </c>
      <c r="O177" s="121">
        <f t="array" aca="1" ref="O177" ca="1">IFERROR(INDEX(INDIRECT($B$3&amp;"."&amp;$B$158&amp;".energy["&amp;This.year&amp;"]"),MATCH($C177&amp;O$5,INDIRECT($B$3&amp;"."&amp;$B$158&amp;".energy[Tech description]")&amp;INDIRECT($B$3&amp;"."&amp;$B$158&amp;".energy[Energy description]"),0)),0)</f>
        <v>0</v>
      </c>
      <c r="P177" s="121">
        <f t="array" aca="1" ref="P177" ca="1">IFERROR(INDEX(INDIRECT($B$3&amp;"."&amp;$B$158&amp;".energy["&amp;This.year&amp;"]"),MATCH($C177&amp;P$5,INDIRECT($B$3&amp;"."&amp;$B$158&amp;".energy[Tech description]")&amp;INDIRECT($B$3&amp;"."&amp;$B$158&amp;".energy[Energy description]"),0)),0)</f>
        <v>0</v>
      </c>
      <c r="Q177" s="121">
        <f t="array" aca="1" ref="Q177" ca="1">IFERROR(INDEX(INDIRECT($B$3&amp;"."&amp;$B$158&amp;".energy["&amp;This.year&amp;"]"),MATCH($C177&amp;Q$5,INDIRECT($B$3&amp;"."&amp;$B$158&amp;".energy[Tech description]")&amp;INDIRECT($B$3&amp;"."&amp;$B$158&amp;".energy[Energy description]"),0)),0)</f>
        <v>0</v>
      </c>
      <c r="R177" s="121">
        <f t="array" aca="1" ref="R177" ca="1">IFERROR(INDEX(INDIRECT($B$3&amp;"."&amp;$B$158&amp;".energy["&amp;This.year&amp;"]"),MATCH($C177&amp;R$5,INDIRECT($B$3&amp;"."&amp;$B$158&amp;".energy[Tech description]")&amp;INDIRECT($B$3&amp;"."&amp;$B$158&amp;".energy[Energy description]"),0)),0)</f>
        <v>0</v>
      </c>
      <c r="S177" s="121">
        <f t="array" aca="1" ref="S177" ca="1">IFERROR(INDEX(INDIRECT($B$3&amp;"."&amp;$B$158&amp;".energy["&amp;This.year&amp;"]"),MATCH($C177&amp;S$5,INDIRECT($B$3&amp;"."&amp;$B$158&amp;".energy[Tech description]")&amp;INDIRECT($B$3&amp;"."&amp;$B$158&amp;".energy[Energy description]"),0)),0)</f>
        <v>0</v>
      </c>
      <c r="T177" s="121">
        <f t="shared" ca="1" si="10"/>
        <v>0</v>
      </c>
      <c r="U177" s="109"/>
      <c r="V177" s="152">
        <f t="array" aca="1" ref="V177" ca="1">IFERROR(INDEX(INDIRECT($B$3&amp;"."&amp;$B$158&amp;".energy["&amp;This.year&amp;"]"),MATCH($C177&amp;V$5,INDIRECT($B$3&amp;"."&amp;$B$158&amp;".energy[Tech description]")&amp;INDIRECT($B$3&amp;"."&amp;$B$158&amp;".energy[Energy description]"),0)),0)</f>
        <v>0</v>
      </c>
      <c r="W177" s="152">
        <f t="array" aca="1" ref="W177" ca="1">IFERROR(INDEX(INDIRECT($B$3&amp;"."&amp;$B$158&amp;".energy["&amp;This.year&amp;"]"),MATCH($C177&amp;W$5,INDIRECT($B$3&amp;"."&amp;$B$158&amp;".energy[Tech description]")&amp;INDIRECT($B$3&amp;"."&amp;$B$158&amp;".energy[Energy description]"),0)),0)</f>
        <v>0</v>
      </c>
      <c r="X177" s="152">
        <f t="array" aca="1" ref="X177" ca="1">IFERROR(INDEX(INDIRECT($B$3&amp;"."&amp;$B$158&amp;".energy["&amp;This.year&amp;"]"),MATCH($C177&amp;X$5,INDIRECT($B$3&amp;"."&amp;$B$158&amp;".energy[Tech description]")&amp;INDIRECT($B$3&amp;"."&amp;$B$158&amp;".energy[Energy description]"),0)),0)</f>
        <v>0</v>
      </c>
      <c r="Y177" s="152">
        <f t="array" aca="1" ref="Y177" ca="1">IFERROR(INDEX(INDIRECT($B$3&amp;"."&amp;$B$158&amp;".energy["&amp;This.year&amp;"]"),MATCH($C177&amp;Y$5,INDIRECT($B$3&amp;"."&amp;$B$158&amp;".energy[Tech description]")&amp;INDIRECT($B$3&amp;"."&amp;$B$158&amp;".energy[Energy description]"),0)),0)</f>
        <v>0</v>
      </c>
      <c r="Z177" s="152">
        <f t="array" aca="1" ref="Z177" ca="1">IFERROR(INDEX(INDIRECT($B$3&amp;"."&amp;$B$158&amp;".energy["&amp;This.year&amp;"]"),MATCH($C177&amp;Z$5,INDIRECT($B$3&amp;"."&amp;$B$158&amp;".energy[Tech description]")&amp;INDIRECT($B$3&amp;"."&amp;$B$158&amp;".energy[Energy description]"),0)),0)</f>
        <v>0</v>
      </c>
      <c r="AA177" s="152">
        <f t="array" aca="1" ref="AA177" ca="1">IFERROR(INDEX(INDIRECT($B$3&amp;"."&amp;$B$158&amp;".energy["&amp;This.year&amp;"]"),MATCH($C177&amp;AA$5,INDIRECT($B$3&amp;"."&amp;$B$158&amp;".energy[Tech description]")&amp;INDIRECT($B$3&amp;"."&amp;$B$158&amp;".energy[Energy description]"),0)),0)</f>
        <v>0</v>
      </c>
      <c r="AB177" s="152">
        <f t="array" aca="1" ref="AB177" ca="1">IFERROR(INDEX(INDIRECT($B$3&amp;"."&amp;$B$158&amp;".energy["&amp;This.year&amp;"]"),MATCH($C177&amp;AB$5,INDIRECT($B$3&amp;"."&amp;$B$158&amp;".energy[Tech description]")&amp;INDIRECT($B$3&amp;"."&amp;$B$158&amp;".energy[Energy description]"),0)),0)</f>
        <v>0</v>
      </c>
      <c r="AC177" s="152">
        <f t="array" aca="1" ref="AC177" ca="1">IFERROR(INDEX(INDIRECT($B$3&amp;"."&amp;$B$158&amp;".energy["&amp;This.year&amp;"]"),MATCH($C177&amp;AC$5,INDIRECT($B$3&amp;"."&amp;$B$158&amp;".energy[Tech description]")&amp;INDIRECT($B$3&amp;"."&amp;$B$158&amp;".energy[Energy description]"),0)),0)</f>
        <v>0</v>
      </c>
      <c r="AD177" s="152">
        <f t="array" aca="1" ref="AD177" ca="1">IFERROR(INDEX(INDIRECT($B$3&amp;"."&amp;$B$158&amp;".energy["&amp;This.year&amp;"]"),MATCH($C177&amp;AD$5,INDIRECT($B$3&amp;"."&amp;$B$158&amp;".energy[Tech description]")&amp;INDIRECT($B$3&amp;"."&amp;$B$158&amp;".energy[Energy description]"),0)),0)</f>
        <v>0</v>
      </c>
      <c r="AE177" s="152">
        <f t="array" aca="1" ref="AE177" ca="1">IFERROR(INDEX(INDIRECT($B$3&amp;"."&amp;$B$158&amp;".energy["&amp;This.year&amp;"]"),MATCH($C177&amp;AE$5,INDIRECT($B$3&amp;"."&amp;$B$158&amp;".energy[Tech description]")&amp;INDIRECT($B$3&amp;"."&amp;$B$158&amp;".energy[Energy description]"),0)),0)</f>
        <v>0</v>
      </c>
      <c r="AF177" s="152">
        <f t="array" aca="1" ref="AF177" ca="1">IFERROR(INDEX(INDIRECT($B$3&amp;"."&amp;$B$158&amp;".energy["&amp;This.year&amp;"]"),MATCH($C177&amp;AF$5,INDIRECT($B$3&amp;"."&amp;$B$158&amp;".energy[Tech description]")&amp;INDIRECT($B$3&amp;"."&amp;$B$158&amp;".energy[Energy description]"),0)),0)</f>
        <v>0</v>
      </c>
      <c r="AG177" s="152">
        <f t="array" aca="1" ref="AG177" ca="1">IFERROR(INDEX(INDIRECT($B$3&amp;"."&amp;$B$158&amp;".energy["&amp;This.year&amp;"]"),MATCH($C177&amp;AG$5,INDIRECT($B$3&amp;"."&amp;$B$158&amp;".energy[Tech description]")&amp;INDIRECT($B$3&amp;"."&amp;$B$158&amp;".energy[Energy description]"),0)),0)</f>
        <v>0</v>
      </c>
      <c r="AH177" s="152">
        <f t="array" aca="1" ref="AH177" ca="1">IFERROR(INDEX(INDIRECT($B$3&amp;"."&amp;$B$158&amp;".energy["&amp;This.year&amp;"]"),MATCH($C177&amp;AH$5,INDIRECT($B$3&amp;"."&amp;$B$158&amp;".energy[Tech description]")&amp;INDIRECT($B$3&amp;"."&amp;$B$158&amp;".energy[Energy description]"),0)),0)</f>
        <v>0</v>
      </c>
      <c r="AI177" s="152">
        <f t="array" aca="1" ref="AI177" ca="1">IFERROR(INDEX(INDIRECT($B$3&amp;"."&amp;$B$158&amp;".energy["&amp;This.year&amp;"]"),MATCH($C177&amp;AI$5,INDIRECT($B$3&amp;"."&amp;$B$158&amp;".energy[Tech description]")&amp;INDIRECT($B$3&amp;"."&amp;$B$158&amp;".energy[Energy description]"),0)),0)</f>
        <v>0</v>
      </c>
      <c r="AJ177" s="152">
        <f t="array" aca="1" ref="AJ177" ca="1">IFERROR(INDEX(INDIRECT($B$3&amp;"."&amp;$B$158&amp;".energy["&amp;This.year&amp;"]"),MATCH($C177&amp;AJ$5,INDIRECT($B$3&amp;"."&amp;$B$158&amp;".energy[Tech description]")&amp;INDIRECT($B$3&amp;"."&amp;$B$158&amp;".energy[Energy description]"),0)),0)</f>
        <v>0</v>
      </c>
      <c r="AK177" s="152">
        <f t="array" aca="1" ref="AK177" ca="1">IFERROR(INDEX(INDIRECT($B$3&amp;"."&amp;$B$158&amp;".energy["&amp;This.year&amp;"]"),MATCH($C177&amp;AK$5,INDIRECT($B$3&amp;"."&amp;$B$158&amp;".energy[Tech description]")&amp;INDIRECT($B$3&amp;"."&amp;$B$158&amp;".energy[Energy description]"),0)),0)</f>
        <v>0</v>
      </c>
      <c r="AL177" s="152">
        <f t="array" aca="1" ref="AL177" ca="1">IFERROR(INDEX(INDIRECT($B$3&amp;"."&amp;$B$158&amp;".energy["&amp;This.year&amp;"]"),MATCH($C177&amp;AL$5,INDIRECT($B$3&amp;"."&amp;$B$158&amp;".energy[Tech description]")&amp;INDIRECT($B$3&amp;"."&amp;$B$158&amp;".energy[Energy description]"),0)),0)</f>
        <v>0</v>
      </c>
      <c r="AM177" s="152">
        <f t="array" aca="1" ref="AM177" ca="1">IFERROR(INDEX(INDIRECT($B$3&amp;"."&amp;$B$158&amp;".energy["&amp;This.year&amp;"]"),MATCH($C177&amp;AM$5,INDIRECT($B$3&amp;"."&amp;$B$158&amp;".energy[Tech description]")&amp;INDIRECT($B$3&amp;"."&amp;$B$158&amp;".energy[Energy description]"),0)),0)</f>
        <v>0</v>
      </c>
      <c r="AN177" s="152">
        <f t="array" aca="1" ref="AN177" ca="1">IFERROR(INDEX(INDIRECT($B$3&amp;"."&amp;$B$158&amp;".energy["&amp;This.year&amp;"]"),MATCH($C177&amp;AN$5,INDIRECT($B$3&amp;"."&amp;$B$158&amp;".energy[Tech description]")&amp;INDIRECT($B$3&amp;"."&amp;$B$158&amp;".energy[Energy description]"),0)),0)</f>
        <v>0</v>
      </c>
      <c r="AO177" s="152">
        <f t="shared" ca="1" si="11"/>
        <v>0</v>
      </c>
      <c r="AP177" s="108"/>
      <c r="AQ177" s="21">
        <f t="array" aca="1" ref="AQ177" ca="1">IFERROR(INDEX(INDIRECT($B$3&amp;"."&amp;$B$158&amp;".energy["&amp;This.year&amp;"]"),MATCH($C177&amp;AQ$5,INDIRECT($B$3&amp;"."&amp;$B$158&amp;".energy[Tech description]")&amp;INDIRECT($B$3&amp;"."&amp;$B$158&amp;".energy[Energy description]"),0)),0)</f>
        <v>0</v>
      </c>
      <c r="AR177" s="21">
        <f t="array" aca="1" ref="AR177" ca="1">IFERROR(INDEX(INDIRECT($B$3&amp;"."&amp;$B$158&amp;".energy["&amp;This.year&amp;"]"),MATCH($C177&amp;AR$5,INDIRECT($B$3&amp;"."&amp;$B$158&amp;".energy[Tech description]")&amp;INDIRECT($B$3&amp;"."&amp;$B$158&amp;".energy[Energy description]"),0)),0)</f>
        <v>0</v>
      </c>
      <c r="AS177" s="21">
        <f t="array" aca="1" ref="AS177" ca="1">IFERROR(INDEX(INDIRECT($B$3&amp;"."&amp;$B$158&amp;".energy["&amp;This.year&amp;"]"),MATCH($C177&amp;AS$5,INDIRECT($B$3&amp;"."&amp;$B$158&amp;".energy[Tech description]")&amp;INDIRECT($B$3&amp;"."&amp;$B$158&amp;".energy[Energy description]"),0)),0)</f>
        <v>0</v>
      </c>
      <c r="AT177" s="21">
        <f t="array" aca="1" ref="AT177" ca="1">IFERROR(INDEX(INDIRECT($B$3&amp;"."&amp;$B$158&amp;".energy["&amp;This.year&amp;"]"),MATCH($C177&amp;AT$5,INDIRECT($B$3&amp;"."&amp;$B$158&amp;".energy[Tech description]")&amp;INDIRECT($B$3&amp;"."&amp;$B$158&amp;".energy[Energy description]"),0)),0)</f>
        <v>0</v>
      </c>
      <c r="AU177" s="21">
        <f t="array" aca="1" ref="AU177" ca="1">IFERROR(INDEX(INDIRECT($B$3&amp;"."&amp;$B$158&amp;".energy["&amp;This.year&amp;"]"),MATCH($C177&amp;AU$5,INDIRECT($B$3&amp;"."&amp;$B$158&amp;".energy[Tech description]")&amp;INDIRECT($B$3&amp;"."&amp;$B$158&amp;".energy[Energy description]"),0)),0)</f>
        <v>0</v>
      </c>
      <c r="AV177" s="21">
        <f t="array" aca="1" ref="AV177" ca="1">IFERROR(INDEX(INDIRECT($B$3&amp;"."&amp;$B$158&amp;".energy["&amp;This.year&amp;"]"),MATCH($C177&amp;AV$5,INDIRECT($B$3&amp;"."&amp;$B$158&amp;".energy[Tech description]")&amp;INDIRECT($B$3&amp;"."&amp;$B$158&amp;".energy[Energy description]"),0)),0)</f>
        <v>0</v>
      </c>
      <c r="AW177" s="21">
        <f t="array" aca="1" ref="AW177" ca="1">IFERROR(INDEX(INDIRECT($B$3&amp;"."&amp;$B$158&amp;".energy["&amp;This.year&amp;"]"),MATCH($C177&amp;AW$5,INDIRECT($B$3&amp;"."&amp;$B$158&amp;".energy[Tech description]")&amp;INDIRECT($B$3&amp;"."&amp;$B$158&amp;".energy[Energy description]"),0)),0)</f>
        <v>0</v>
      </c>
      <c r="AX177" s="21">
        <f t="array" aca="1" ref="AX177" ca="1">IFERROR(INDEX(INDIRECT($B$3&amp;"."&amp;$B$158&amp;".energy["&amp;This.year&amp;"]"),MATCH($C177&amp;AX$5,INDIRECT($B$3&amp;"."&amp;$B$158&amp;".energy[Tech description]")&amp;INDIRECT($B$3&amp;"."&amp;$B$158&amp;".energy[Energy description]"),0)),0)</f>
        <v>0</v>
      </c>
      <c r="AY177" s="21">
        <f t="array" aca="1" ref="AY177" ca="1">IFERROR(INDEX(INDIRECT($B$3&amp;"."&amp;$B$158&amp;".energy["&amp;This.year&amp;"]"),MATCH($C177&amp;AY$5,INDIRECT($B$3&amp;"."&amp;$B$158&amp;".energy[Tech description]")&amp;INDIRECT($B$3&amp;"."&amp;$B$158&amp;".energy[Energy description]"),0)),0)</f>
        <v>0</v>
      </c>
      <c r="AZ177" s="21">
        <f t="array" aca="1" ref="AZ177" ca="1">IFERROR(INDEX(INDIRECT($B$3&amp;"."&amp;$B$158&amp;".energy["&amp;This.year&amp;"]"),MATCH($C177&amp;AZ$5,INDIRECT($B$3&amp;"."&amp;$B$158&amp;".energy[Tech description]")&amp;INDIRECT($B$3&amp;"."&amp;$B$158&amp;".energy[Energy description]"),0)),0)</f>
        <v>0</v>
      </c>
      <c r="BA177" s="21">
        <f t="array" aca="1" ref="BA177" ca="1">IFERROR(INDEX(INDIRECT($B$3&amp;"."&amp;$B$158&amp;".energy["&amp;This.year&amp;"]"),MATCH($C177&amp;BA$5,INDIRECT($B$3&amp;"."&amp;$B$158&amp;".energy[Tech description]")&amp;INDIRECT($B$3&amp;"."&amp;$B$158&amp;".energy[Energy description]"),0)),0)</f>
        <v>0</v>
      </c>
      <c r="BB177" s="21">
        <f t="array" aca="1" ref="BB177" ca="1">IFERROR(INDEX(INDIRECT($B$3&amp;"."&amp;$B$158&amp;".energy["&amp;This.year&amp;"]"),MATCH($C177&amp;BB$5,INDIRECT($B$3&amp;"."&amp;$B$158&amp;".energy[Tech description]")&amp;INDIRECT($B$3&amp;"."&amp;$B$158&amp;".energy[Energy description]"),0)),0)</f>
        <v>0</v>
      </c>
      <c r="BC177" s="21">
        <f t="array" aca="1" ref="BC177" ca="1">IFERROR(INDEX(INDIRECT($B$3&amp;"."&amp;$B$158&amp;".energy["&amp;This.year&amp;"]"),MATCH($C177&amp;BC$5,INDIRECT($B$3&amp;"."&amp;$B$158&amp;".energy[Tech description]")&amp;INDIRECT($B$3&amp;"."&amp;$B$158&amp;".energy[Energy description]"),0)),0)</f>
        <v>0</v>
      </c>
      <c r="BD177" s="21">
        <f t="shared" ca="1" si="12"/>
        <v>0</v>
      </c>
      <c r="BE177" s="108"/>
      <c r="BF177" s="49">
        <f t="array" aca="1" ref="BF177" ca="1">IFERROR(INDEX(INDIRECT($B$3&amp;"."&amp;$B$158&amp;".energy["&amp;This.year&amp;"]"),MATCH($C177&amp;BF$5,INDIRECT($B$3&amp;"."&amp;$B$158&amp;".energy[Tech description]")&amp;INDIRECT($B$3&amp;"."&amp;$B$158&amp;".energy[Energy description]"),0)),0)</f>
        <v>0</v>
      </c>
      <c r="BG177" s="49">
        <f t="array" aca="1" ref="BG177" ca="1">IFERROR(INDEX(INDIRECT($B$3&amp;"."&amp;$B$158&amp;".energy["&amp;This.year&amp;"]"),MATCH($C177&amp;BG$5,INDIRECT($B$3&amp;"."&amp;$B$158&amp;".energy[Tech description]")&amp;INDIRECT($B$3&amp;"."&amp;$B$158&amp;".energy[Energy description]"),0)),0)</f>
        <v>0</v>
      </c>
      <c r="BH177" s="49">
        <f t="shared" ca="1" si="13"/>
        <v>0</v>
      </c>
      <c r="BI177" s="219">
        <f t="shared" ca="1" si="9"/>
        <v>0</v>
      </c>
      <c r="BJ177" s="108"/>
    </row>
    <row r="178" spans="1:62" s="54" customFormat="1">
      <c r="A178" s="133"/>
      <c r="B178" s="176" t="s">
        <v>1636</v>
      </c>
      <c r="C178" s="114" t="str">
        <f>INDEX(Regional.Technologies[Description],MATCH($B$3&amp;"."&amp;B178,Regional.Technologies[Code],0))</f>
        <v>Global Heat use in the Electric steel technology</v>
      </c>
      <c r="E178" s="121">
        <f t="array" aca="1" ref="E178" ca="1">IFERROR(INDEX(INDIRECT($B$3&amp;"."&amp;$B$158&amp;".energy["&amp;This.year&amp;"]"),MATCH($C178&amp;E$5,INDIRECT($B$3&amp;"."&amp;$B$158&amp;".energy[Tech description]")&amp;INDIRECT($B$3&amp;"."&amp;$B$158&amp;".energy[Energy description]"),0)),0)</f>
        <v>0</v>
      </c>
      <c r="F178" s="121">
        <f t="array" aca="1" ref="F178" ca="1">IFERROR(INDEX(INDIRECT($B$3&amp;"."&amp;$B$158&amp;".energy["&amp;This.year&amp;"]"),MATCH($C178&amp;F$5,INDIRECT($B$3&amp;"."&amp;$B$158&amp;".energy[Tech description]")&amp;INDIRECT($B$3&amp;"."&amp;$B$158&amp;".energy[Energy description]"),0)),0)</f>
        <v>0</v>
      </c>
      <c r="G178" s="121">
        <f t="array" aca="1" ref="G178" ca="1">IFERROR(INDEX(INDIRECT($B$3&amp;"."&amp;$B$158&amp;".energy["&amp;This.year&amp;"]"),MATCH($C178&amp;G$5,INDIRECT($B$3&amp;"."&amp;$B$158&amp;".energy[Tech description]")&amp;INDIRECT($B$3&amp;"."&amp;$B$158&amp;".energy[Energy description]"),0)),0)</f>
        <v>0</v>
      </c>
      <c r="H178" s="121">
        <f t="array" aca="1" ref="H178" ca="1">IFERROR(INDEX(INDIRECT($B$3&amp;"."&amp;$B$158&amp;".energy["&amp;This.year&amp;"]"),MATCH($C178&amp;H$5,INDIRECT($B$3&amp;"."&amp;$B$158&amp;".energy[Tech description]")&amp;INDIRECT($B$3&amp;"."&amp;$B$158&amp;".energy[Energy description]"),0)),0)</f>
        <v>0</v>
      </c>
      <c r="I178" s="121">
        <f t="array" aca="1" ref="I178" ca="1">IFERROR(INDEX(INDIRECT($B$3&amp;"."&amp;$B$158&amp;".energy["&amp;This.year&amp;"]"),MATCH($C178&amp;I$5,INDIRECT($B$3&amp;"."&amp;$B$158&amp;".energy[Tech description]")&amp;INDIRECT($B$3&amp;"."&amp;$B$158&amp;".energy[Energy description]"),0)),0)</f>
        <v>0</v>
      </c>
      <c r="J178" s="121">
        <f t="array" aca="1" ref="J178" ca="1">IFERROR(INDEX(INDIRECT($B$3&amp;"."&amp;$B$158&amp;".energy["&amp;This.year&amp;"]"),MATCH($C178&amp;J$5,INDIRECT($B$3&amp;"."&amp;$B$158&amp;".energy[Tech description]")&amp;INDIRECT($B$3&amp;"."&amp;$B$158&amp;".energy[Energy description]"),0)),0)</f>
        <v>0</v>
      </c>
      <c r="K178" s="121">
        <f t="array" aca="1" ref="K178" ca="1">IFERROR(INDEX(INDIRECT($B$3&amp;"."&amp;$B$158&amp;".energy["&amp;This.year&amp;"]"),MATCH($C178&amp;K$5,INDIRECT($B$3&amp;"."&amp;$B$158&amp;".energy[Tech description]")&amp;INDIRECT($B$3&amp;"."&amp;$B$158&amp;".energy[Energy description]"),0)),0)</f>
        <v>0</v>
      </c>
      <c r="L178" s="121">
        <f t="array" aca="1" ref="L178" ca="1">IFERROR(INDEX(INDIRECT($B$3&amp;"."&amp;$B$158&amp;".energy["&amp;This.year&amp;"]"),MATCH($C178&amp;L$5,INDIRECT($B$3&amp;"."&amp;$B$158&amp;".energy[Tech description]")&amp;INDIRECT($B$3&amp;"."&amp;$B$158&amp;".energy[Energy description]"),0)),0)</f>
        <v>0</v>
      </c>
      <c r="M178" s="121">
        <f t="array" aca="1" ref="M178" ca="1">IFERROR(INDEX(INDIRECT($B$3&amp;"."&amp;$B$158&amp;".energy["&amp;This.year&amp;"]"),MATCH($C178&amp;M$5,INDIRECT($B$3&amp;"."&amp;$B$158&amp;".energy[Tech description]")&amp;INDIRECT($B$3&amp;"."&amp;$B$158&amp;".energy[Energy description]"),0)),0)</f>
        <v>0</v>
      </c>
      <c r="N178" s="121">
        <f t="array" aca="1" ref="N178" ca="1">IFERROR(INDEX(INDIRECT($B$3&amp;"."&amp;$B$158&amp;".energy["&amp;This.year&amp;"]"),MATCH($C178&amp;N$5,INDIRECT($B$3&amp;"."&amp;$B$158&amp;".energy[Tech description]")&amp;INDIRECT($B$3&amp;"."&amp;$B$158&amp;".energy[Energy description]"),0)),0)</f>
        <v>0</v>
      </c>
      <c r="O178" s="121">
        <f t="array" aca="1" ref="O178" ca="1">IFERROR(INDEX(INDIRECT($B$3&amp;"."&amp;$B$158&amp;".energy["&amp;This.year&amp;"]"),MATCH($C178&amp;O$5,INDIRECT($B$3&amp;"."&amp;$B$158&amp;".energy[Tech description]")&amp;INDIRECT($B$3&amp;"."&amp;$B$158&amp;".energy[Energy description]"),0)),0)</f>
        <v>0</v>
      </c>
      <c r="P178" s="121">
        <f t="array" aca="1" ref="P178" ca="1">IFERROR(INDEX(INDIRECT($B$3&amp;"."&amp;$B$158&amp;".energy["&amp;This.year&amp;"]"),MATCH($C178&amp;P$5,INDIRECT($B$3&amp;"."&amp;$B$158&amp;".energy[Tech description]")&amp;INDIRECT($B$3&amp;"."&amp;$B$158&amp;".energy[Energy description]"),0)),0)</f>
        <v>0</v>
      </c>
      <c r="Q178" s="121">
        <f t="array" aca="1" ref="Q178" ca="1">IFERROR(INDEX(INDIRECT($B$3&amp;"."&amp;$B$158&amp;".energy["&amp;This.year&amp;"]"),MATCH($C178&amp;Q$5,INDIRECT($B$3&amp;"."&amp;$B$158&amp;".energy[Tech description]")&amp;INDIRECT($B$3&amp;"."&amp;$B$158&amp;".energy[Energy description]"),0)),0)</f>
        <v>0</v>
      </c>
      <c r="R178" s="121">
        <f t="array" aca="1" ref="R178" ca="1">IFERROR(INDEX(INDIRECT($B$3&amp;"."&amp;$B$158&amp;".energy["&amp;This.year&amp;"]"),MATCH($C178&amp;R$5,INDIRECT($B$3&amp;"."&amp;$B$158&amp;".energy[Tech description]")&amp;INDIRECT($B$3&amp;"."&amp;$B$158&amp;".energy[Energy description]"),0)),0)</f>
        <v>0</v>
      </c>
      <c r="S178" s="121">
        <f t="array" aca="1" ref="S178" ca="1">IFERROR(INDEX(INDIRECT($B$3&amp;"."&amp;$B$158&amp;".energy["&amp;This.year&amp;"]"),MATCH($C178&amp;S$5,INDIRECT($B$3&amp;"."&amp;$B$158&amp;".energy[Tech description]")&amp;INDIRECT($B$3&amp;"."&amp;$B$158&amp;".energy[Energy description]"),0)),0)</f>
        <v>0</v>
      </c>
      <c r="T178" s="121">
        <f t="shared" ca="1" si="10"/>
        <v>0</v>
      </c>
      <c r="U178" s="109"/>
      <c r="V178" s="152">
        <f t="array" aca="1" ref="V178" ca="1">IFERROR(INDEX(INDIRECT($B$3&amp;"."&amp;$B$158&amp;".energy["&amp;This.year&amp;"]"),MATCH($C178&amp;V$5,INDIRECT($B$3&amp;"."&amp;$B$158&amp;".energy[Tech description]")&amp;INDIRECT($B$3&amp;"."&amp;$B$158&amp;".energy[Energy description]"),0)),0)</f>
        <v>0</v>
      </c>
      <c r="W178" s="152">
        <f t="array" aca="1" ref="W178" ca="1">IFERROR(INDEX(INDIRECT($B$3&amp;"."&amp;$B$158&amp;".energy["&amp;This.year&amp;"]"),MATCH($C178&amp;W$5,INDIRECT($B$3&amp;"."&amp;$B$158&amp;".energy[Tech description]")&amp;INDIRECT($B$3&amp;"."&amp;$B$158&amp;".energy[Energy description]"),0)),0)</f>
        <v>0</v>
      </c>
      <c r="X178" s="152">
        <f t="array" aca="1" ref="X178" ca="1">IFERROR(INDEX(INDIRECT($B$3&amp;"."&amp;$B$158&amp;".energy["&amp;This.year&amp;"]"),MATCH($C178&amp;X$5,INDIRECT($B$3&amp;"."&amp;$B$158&amp;".energy[Tech description]")&amp;INDIRECT($B$3&amp;"."&amp;$B$158&amp;".energy[Energy description]"),0)),0)</f>
        <v>0</v>
      </c>
      <c r="Y178" s="152">
        <f t="array" aca="1" ref="Y178" ca="1">IFERROR(INDEX(INDIRECT($B$3&amp;"."&amp;$B$158&amp;".energy["&amp;This.year&amp;"]"),MATCH($C178&amp;Y$5,INDIRECT($B$3&amp;"."&amp;$B$158&amp;".energy[Tech description]")&amp;INDIRECT($B$3&amp;"."&amp;$B$158&amp;".energy[Energy description]"),0)),0)</f>
        <v>0</v>
      </c>
      <c r="Z178" s="152">
        <f t="array" aca="1" ref="Z178" ca="1">IFERROR(INDEX(INDIRECT($B$3&amp;"."&amp;$B$158&amp;".energy["&amp;This.year&amp;"]"),MATCH($C178&amp;Z$5,INDIRECT($B$3&amp;"."&amp;$B$158&amp;".energy[Tech description]")&amp;INDIRECT($B$3&amp;"."&amp;$B$158&amp;".energy[Energy description]"),0)),0)</f>
        <v>0</v>
      </c>
      <c r="AA178" s="152">
        <f t="array" aca="1" ref="AA178" ca="1">IFERROR(INDEX(INDIRECT($B$3&amp;"."&amp;$B$158&amp;".energy["&amp;This.year&amp;"]"),MATCH($C178&amp;AA$5,INDIRECT($B$3&amp;"."&amp;$B$158&amp;".energy[Tech description]")&amp;INDIRECT($B$3&amp;"."&amp;$B$158&amp;".energy[Energy description]"),0)),0)</f>
        <v>0</v>
      </c>
      <c r="AB178" s="152">
        <f t="array" aca="1" ref="AB178" ca="1">IFERROR(INDEX(INDIRECT($B$3&amp;"."&amp;$B$158&amp;".energy["&amp;This.year&amp;"]"),MATCH($C178&amp;AB$5,INDIRECT($B$3&amp;"."&amp;$B$158&amp;".energy[Tech description]")&amp;INDIRECT($B$3&amp;"."&amp;$B$158&amp;".energy[Energy description]"),0)),0)</f>
        <v>0</v>
      </c>
      <c r="AC178" s="152">
        <f t="array" aca="1" ref="AC178" ca="1">IFERROR(INDEX(INDIRECT($B$3&amp;"."&amp;$B$158&amp;".energy["&amp;This.year&amp;"]"),MATCH($C178&amp;AC$5,INDIRECT($B$3&amp;"."&amp;$B$158&amp;".energy[Tech description]")&amp;INDIRECT($B$3&amp;"."&amp;$B$158&amp;".energy[Energy description]"),0)),0)</f>
        <v>0</v>
      </c>
      <c r="AD178" s="152">
        <f t="array" aca="1" ref="AD178" ca="1">IFERROR(INDEX(INDIRECT($B$3&amp;"."&amp;$B$158&amp;".energy["&amp;This.year&amp;"]"),MATCH($C178&amp;AD$5,INDIRECT($B$3&amp;"."&amp;$B$158&amp;".energy[Tech description]")&amp;INDIRECT($B$3&amp;"."&amp;$B$158&amp;".energy[Energy description]"),0)),0)</f>
        <v>0</v>
      </c>
      <c r="AE178" s="152">
        <f t="array" aca="1" ref="AE178" ca="1">IFERROR(INDEX(INDIRECT($B$3&amp;"."&amp;$B$158&amp;".energy["&amp;This.year&amp;"]"),MATCH($C178&amp;AE$5,INDIRECT($B$3&amp;"."&amp;$B$158&amp;".energy[Tech description]")&amp;INDIRECT($B$3&amp;"."&amp;$B$158&amp;".energy[Energy description]"),0)),0)</f>
        <v>0</v>
      </c>
      <c r="AF178" s="152">
        <f t="array" aca="1" ref="AF178" ca="1">IFERROR(INDEX(INDIRECT($B$3&amp;"."&amp;$B$158&amp;".energy["&amp;This.year&amp;"]"),MATCH($C178&amp;AF$5,INDIRECT($B$3&amp;"."&amp;$B$158&amp;".energy[Tech description]")&amp;INDIRECT($B$3&amp;"."&amp;$B$158&amp;".energy[Energy description]"),0)),0)</f>
        <v>0</v>
      </c>
      <c r="AG178" s="152">
        <f t="array" aca="1" ref="AG178" ca="1">IFERROR(INDEX(INDIRECT($B$3&amp;"."&amp;$B$158&amp;".energy["&amp;This.year&amp;"]"),MATCH($C178&amp;AG$5,INDIRECT($B$3&amp;"."&amp;$B$158&amp;".energy[Tech description]")&amp;INDIRECT($B$3&amp;"."&amp;$B$158&amp;".energy[Energy description]"),0)),0)</f>
        <v>0</v>
      </c>
      <c r="AH178" s="152">
        <f t="array" aca="1" ref="AH178" ca="1">IFERROR(INDEX(INDIRECT($B$3&amp;"."&amp;$B$158&amp;".energy["&amp;This.year&amp;"]"),MATCH($C178&amp;AH$5,INDIRECT($B$3&amp;"."&amp;$B$158&amp;".energy[Tech description]")&amp;INDIRECT($B$3&amp;"."&amp;$B$158&amp;".energy[Energy description]"),0)),0)</f>
        <v>0</v>
      </c>
      <c r="AI178" s="152">
        <f t="array" aca="1" ref="AI178" ca="1">IFERROR(INDEX(INDIRECT($B$3&amp;"."&amp;$B$158&amp;".energy["&amp;This.year&amp;"]"),MATCH($C178&amp;AI$5,INDIRECT($B$3&amp;"."&amp;$B$158&amp;".energy[Tech description]")&amp;INDIRECT($B$3&amp;"."&amp;$B$158&amp;".energy[Energy description]"),0)),0)</f>
        <v>0</v>
      </c>
      <c r="AJ178" s="152">
        <f t="array" aca="1" ref="AJ178" ca="1">IFERROR(INDEX(INDIRECT($B$3&amp;"."&amp;$B$158&amp;".energy["&amp;This.year&amp;"]"),MATCH($C178&amp;AJ$5,INDIRECT($B$3&amp;"."&amp;$B$158&amp;".energy[Tech description]")&amp;INDIRECT($B$3&amp;"."&amp;$B$158&amp;".energy[Energy description]"),0)),0)</f>
        <v>0</v>
      </c>
      <c r="AK178" s="152">
        <f t="array" aca="1" ref="AK178" ca="1">IFERROR(INDEX(INDIRECT($B$3&amp;"."&amp;$B$158&amp;".energy["&amp;This.year&amp;"]"),MATCH($C178&amp;AK$5,INDIRECT($B$3&amp;"."&amp;$B$158&amp;".energy[Tech description]")&amp;INDIRECT($B$3&amp;"."&amp;$B$158&amp;".energy[Energy description]"),0)),0)</f>
        <v>0</v>
      </c>
      <c r="AL178" s="152">
        <f t="array" aca="1" ref="AL178" ca="1">IFERROR(INDEX(INDIRECT($B$3&amp;"."&amp;$B$158&amp;".energy["&amp;This.year&amp;"]"),MATCH($C178&amp;AL$5,INDIRECT($B$3&amp;"."&amp;$B$158&amp;".energy[Tech description]")&amp;INDIRECT($B$3&amp;"."&amp;$B$158&amp;".energy[Energy description]"),0)),0)</f>
        <v>0</v>
      </c>
      <c r="AM178" s="152">
        <f t="array" aca="1" ref="AM178" ca="1">IFERROR(INDEX(INDIRECT($B$3&amp;"."&amp;$B$158&amp;".energy["&amp;This.year&amp;"]"),MATCH($C178&amp;AM$5,INDIRECT($B$3&amp;"."&amp;$B$158&amp;".energy[Tech description]")&amp;INDIRECT($B$3&amp;"."&amp;$B$158&amp;".energy[Energy description]"),0)),0)</f>
        <v>0</v>
      </c>
      <c r="AN178" s="152">
        <f t="array" aca="1" ref="AN178" ca="1">IFERROR(INDEX(INDIRECT($B$3&amp;"."&amp;$B$158&amp;".energy["&amp;This.year&amp;"]"),MATCH($C178&amp;AN$5,INDIRECT($B$3&amp;"."&amp;$B$158&amp;".energy[Tech description]")&amp;INDIRECT($B$3&amp;"."&amp;$B$158&amp;".energy[Energy description]"),0)),0)</f>
        <v>0</v>
      </c>
      <c r="AO178" s="152">
        <f t="shared" ca="1" si="11"/>
        <v>0</v>
      </c>
      <c r="AP178" s="108"/>
      <c r="AQ178" s="21">
        <f t="array" aca="1" ref="AQ178" ca="1">IFERROR(INDEX(INDIRECT($B$3&amp;"."&amp;$B$158&amp;".energy["&amp;This.year&amp;"]"),MATCH($C178&amp;AQ$5,INDIRECT($B$3&amp;"."&amp;$B$158&amp;".energy[Tech description]")&amp;INDIRECT($B$3&amp;"."&amp;$B$158&amp;".energy[Energy description]"),0)),0)</f>
        <v>0</v>
      </c>
      <c r="AR178" s="21">
        <f t="array" aca="1" ref="AR178" ca="1">IFERROR(INDEX(INDIRECT($B$3&amp;"."&amp;$B$158&amp;".energy["&amp;This.year&amp;"]"),MATCH($C178&amp;AR$5,INDIRECT($B$3&amp;"."&amp;$B$158&amp;".energy[Tech description]")&amp;INDIRECT($B$3&amp;"."&amp;$B$158&amp;".energy[Energy description]"),0)),0)</f>
        <v>0</v>
      </c>
      <c r="AS178" s="21">
        <f t="array" aca="1" ref="AS178" ca="1">IFERROR(INDEX(INDIRECT($B$3&amp;"."&amp;$B$158&amp;".energy["&amp;This.year&amp;"]"),MATCH($C178&amp;AS$5,INDIRECT($B$3&amp;"."&amp;$B$158&amp;".energy[Tech description]")&amp;INDIRECT($B$3&amp;"."&amp;$B$158&amp;".energy[Energy description]"),0)),0)</f>
        <v>0</v>
      </c>
      <c r="AT178" s="21">
        <f t="array" aca="1" ref="AT178" ca="1">IFERROR(INDEX(INDIRECT($B$3&amp;"."&amp;$B$158&amp;".energy["&amp;This.year&amp;"]"),MATCH($C178&amp;AT$5,INDIRECT($B$3&amp;"."&amp;$B$158&amp;".energy[Tech description]")&amp;INDIRECT($B$3&amp;"."&amp;$B$158&amp;".energy[Energy description]"),0)),0)</f>
        <v>0</v>
      </c>
      <c r="AU178" s="21">
        <f t="array" aca="1" ref="AU178" ca="1">IFERROR(INDEX(INDIRECT($B$3&amp;"."&amp;$B$158&amp;".energy["&amp;This.year&amp;"]"),MATCH($C178&amp;AU$5,INDIRECT($B$3&amp;"."&amp;$B$158&amp;".energy[Tech description]")&amp;INDIRECT($B$3&amp;"."&amp;$B$158&amp;".energy[Energy description]"),0)),0)</f>
        <v>0</v>
      </c>
      <c r="AV178" s="21">
        <f t="array" aca="1" ref="AV178" ca="1">IFERROR(INDEX(INDIRECT($B$3&amp;"."&amp;$B$158&amp;".energy["&amp;This.year&amp;"]"),MATCH($C178&amp;AV$5,INDIRECT($B$3&amp;"."&amp;$B$158&amp;".energy[Tech description]")&amp;INDIRECT($B$3&amp;"."&amp;$B$158&amp;".energy[Energy description]"),0)),0)</f>
        <v>0</v>
      </c>
      <c r="AW178" s="21">
        <f t="array" aca="1" ref="AW178" ca="1">IFERROR(INDEX(INDIRECT($B$3&amp;"."&amp;$B$158&amp;".energy["&amp;This.year&amp;"]"),MATCH($C178&amp;AW$5,INDIRECT($B$3&amp;"."&amp;$B$158&amp;".energy[Tech description]")&amp;INDIRECT($B$3&amp;"."&amp;$B$158&amp;".energy[Energy description]"),0)),0)</f>
        <v>0</v>
      </c>
      <c r="AX178" s="21">
        <f t="array" aca="1" ref="AX178" ca="1">IFERROR(INDEX(INDIRECT($B$3&amp;"."&amp;$B$158&amp;".energy["&amp;This.year&amp;"]"),MATCH($C178&amp;AX$5,INDIRECT($B$3&amp;"."&amp;$B$158&amp;".energy[Tech description]")&amp;INDIRECT($B$3&amp;"."&amp;$B$158&amp;".energy[Energy description]"),0)),0)</f>
        <v>0</v>
      </c>
      <c r="AY178" s="21">
        <f t="array" aca="1" ref="AY178" ca="1">IFERROR(INDEX(INDIRECT($B$3&amp;"."&amp;$B$158&amp;".energy["&amp;This.year&amp;"]"),MATCH($C178&amp;AY$5,INDIRECT($B$3&amp;"."&amp;$B$158&amp;".energy[Tech description]")&amp;INDIRECT($B$3&amp;"."&amp;$B$158&amp;".energy[Energy description]"),0)),0)</f>
        <v>0</v>
      </c>
      <c r="AZ178" s="21">
        <f t="array" aca="1" ref="AZ178" ca="1">IFERROR(INDEX(INDIRECT($B$3&amp;"."&amp;$B$158&amp;".energy["&amp;This.year&amp;"]"),MATCH($C178&amp;AZ$5,INDIRECT($B$3&amp;"."&amp;$B$158&amp;".energy[Tech description]")&amp;INDIRECT($B$3&amp;"."&amp;$B$158&amp;".energy[Energy description]"),0)),0)</f>
        <v>0</v>
      </c>
      <c r="BA178" s="21">
        <f t="array" aca="1" ref="BA178" ca="1">IFERROR(INDEX(INDIRECT($B$3&amp;"."&amp;$B$158&amp;".energy["&amp;This.year&amp;"]"),MATCH($C178&amp;BA$5,INDIRECT($B$3&amp;"."&amp;$B$158&amp;".energy[Tech description]")&amp;INDIRECT($B$3&amp;"."&amp;$B$158&amp;".energy[Energy description]"),0)),0)</f>
        <v>0</v>
      </c>
      <c r="BB178" s="21">
        <f t="array" aca="1" ref="BB178" ca="1">IFERROR(INDEX(INDIRECT($B$3&amp;"."&amp;$B$158&amp;".energy["&amp;This.year&amp;"]"),MATCH($C178&amp;BB$5,INDIRECT($B$3&amp;"."&amp;$B$158&amp;".energy[Tech description]")&amp;INDIRECT($B$3&amp;"."&amp;$B$158&amp;".energy[Energy description]"),0)),0)</f>
        <v>0</v>
      </c>
      <c r="BC178" s="21">
        <f t="array" aca="1" ref="BC178" ca="1">IFERROR(INDEX(INDIRECT($B$3&amp;"."&amp;$B$158&amp;".energy["&amp;This.year&amp;"]"),MATCH($C178&amp;BC$5,INDIRECT($B$3&amp;"."&amp;$B$158&amp;".energy[Tech description]")&amp;INDIRECT($B$3&amp;"."&amp;$B$158&amp;".energy[Energy description]"),0)),0)</f>
        <v>0</v>
      </c>
      <c r="BD178" s="21">
        <f t="shared" ca="1" si="12"/>
        <v>0</v>
      </c>
      <c r="BE178" s="108"/>
      <c r="BF178" s="49">
        <f t="array" aca="1" ref="BF178" ca="1">IFERROR(INDEX(INDIRECT($B$3&amp;"."&amp;$B$158&amp;".energy["&amp;This.year&amp;"]"),MATCH($C178&amp;BF$5,INDIRECT($B$3&amp;"."&amp;$B$158&amp;".energy[Tech description]")&amp;INDIRECT($B$3&amp;"."&amp;$B$158&amp;".energy[Energy description]"),0)),0)</f>
        <v>0</v>
      </c>
      <c r="BG178" s="49">
        <f t="array" aca="1" ref="BG178" ca="1">IFERROR(INDEX(INDIRECT($B$3&amp;"."&amp;$B$158&amp;".energy["&amp;This.year&amp;"]"),MATCH($C178&amp;BG$5,INDIRECT($B$3&amp;"."&amp;$B$158&amp;".energy[Tech description]")&amp;INDIRECT($B$3&amp;"."&amp;$B$158&amp;".energy[Energy description]"),0)),0)</f>
        <v>0</v>
      </c>
      <c r="BH178" s="49">
        <f t="shared" ca="1" si="13"/>
        <v>0</v>
      </c>
      <c r="BI178" s="219">
        <f t="shared" ca="1" si="9"/>
        <v>0</v>
      </c>
      <c r="BJ178" s="108"/>
    </row>
    <row r="179" spans="1:62" s="54" customFormat="1">
      <c r="A179" s="133"/>
      <c r="B179" s="176"/>
      <c r="C179" s="114"/>
      <c r="E179" s="121"/>
      <c r="F179" s="121"/>
      <c r="G179" s="121"/>
      <c r="H179" s="121"/>
      <c r="I179" s="121"/>
      <c r="J179" s="121"/>
      <c r="K179" s="121"/>
      <c r="L179" s="121"/>
      <c r="M179" s="121"/>
      <c r="N179" s="121"/>
      <c r="O179" s="121"/>
      <c r="P179" s="121"/>
      <c r="Q179" s="121"/>
      <c r="R179" s="121"/>
      <c r="S179" s="121"/>
      <c r="T179" s="121"/>
      <c r="U179" s="109"/>
      <c r="V179" s="152"/>
      <c r="W179" s="152"/>
      <c r="X179" s="152"/>
      <c r="Y179" s="152"/>
      <c r="Z179" s="152"/>
      <c r="AA179" s="152"/>
      <c r="AB179" s="152"/>
      <c r="AC179" s="152"/>
      <c r="AD179" s="152"/>
      <c r="AE179" s="152"/>
      <c r="AF179" s="152"/>
      <c r="AG179" s="152"/>
      <c r="AH179" s="152"/>
      <c r="AI179" s="152"/>
      <c r="AJ179" s="152"/>
      <c r="AK179" s="152"/>
      <c r="AL179" s="152"/>
      <c r="AM179" s="152"/>
      <c r="AN179" s="152"/>
      <c r="AO179" s="152"/>
      <c r="AP179" s="108"/>
      <c r="AQ179" s="21"/>
      <c r="AR179" s="21"/>
      <c r="AS179" s="21"/>
      <c r="AT179" s="21"/>
      <c r="AU179" s="21"/>
      <c r="AV179" s="21"/>
      <c r="AW179" s="21"/>
      <c r="AX179" s="21"/>
      <c r="AY179" s="21"/>
      <c r="AZ179" s="21"/>
      <c r="BA179" s="21"/>
      <c r="BB179" s="21"/>
      <c r="BC179" s="21"/>
      <c r="BD179" s="21"/>
      <c r="BE179" s="108"/>
      <c r="BF179" s="49"/>
      <c r="BG179" s="49"/>
      <c r="BH179" s="49"/>
      <c r="BI179" s="219"/>
      <c r="BJ179" s="108"/>
    </row>
    <row r="180" spans="1:62" s="54" customFormat="1">
      <c r="A180" s="133"/>
      <c r="B180" s="176"/>
      <c r="C180" s="187" t="s">
        <v>1418</v>
      </c>
      <c r="E180" s="121">
        <f ca="1">SUM(E181:E198)</f>
        <v>0</v>
      </c>
      <c r="F180" s="121">
        <f t="shared" ref="F180:T180" ca="1" si="14">SUM(F181:F198)</f>
        <v>0</v>
      </c>
      <c r="G180" s="121">
        <f t="shared" ca="1" si="14"/>
        <v>0</v>
      </c>
      <c r="H180" s="121">
        <f t="shared" ca="1" si="14"/>
        <v>0</v>
      </c>
      <c r="I180" s="121">
        <f t="shared" ca="1" si="14"/>
        <v>0</v>
      </c>
      <c r="J180" s="121">
        <f t="shared" ca="1" si="14"/>
        <v>4.3910301887137591</v>
      </c>
      <c r="K180" s="121">
        <f t="shared" ca="1" si="14"/>
        <v>0</v>
      </c>
      <c r="L180" s="121">
        <f t="shared" ca="1" si="14"/>
        <v>0</v>
      </c>
      <c r="M180" s="121">
        <f t="shared" ca="1" si="14"/>
        <v>0</v>
      </c>
      <c r="N180" s="121">
        <f t="shared" ca="1" si="14"/>
        <v>0</v>
      </c>
      <c r="O180" s="121">
        <f t="shared" ref="O180" ca="1" si="15">SUM(O181:O198)</f>
        <v>0</v>
      </c>
      <c r="P180" s="121">
        <f t="shared" ca="1" si="14"/>
        <v>0</v>
      </c>
      <c r="Q180" s="121">
        <f t="shared" ca="1" si="14"/>
        <v>0</v>
      </c>
      <c r="R180" s="121">
        <f t="shared" ca="1" si="14"/>
        <v>0</v>
      </c>
      <c r="S180" s="121">
        <f t="shared" ca="1" si="14"/>
        <v>0</v>
      </c>
      <c r="T180" s="121">
        <f t="shared" ca="1" si="14"/>
        <v>4.3910301887137591</v>
      </c>
      <c r="U180" s="109"/>
      <c r="V180" s="152">
        <f t="shared" ref="V180:AO180" ca="1" si="16">SUM(V181:V198)</f>
        <v>-2.4344505959869513</v>
      </c>
      <c r="W180" s="152">
        <f t="shared" ca="1" si="16"/>
        <v>0</v>
      </c>
      <c r="X180" s="152">
        <f t="shared" ca="1" si="16"/>
        <v>0</v>
      </c>
      <c r="Y180" s="152">
        <f t="shared" ca="1" si="16"/>
        <v>0</v>
      </c>
      <c r="Z180" s="152">
        <f t="shared" ca="1" si="16"/>
        <v>0</v>
      </c>
      <c r="AA180" s="152">
        <f t="shared" ca="1" si="16"/>
        <v>-0.7339274805745355</v>
      </c>
      <c r="AB180" s="152">
        <f t="shared" ca="1" si="16"/>
        <v>-0.54054286086600578</v>
      </c>
      <c r="AC180" s="152">
        <f t="shared" ca="1" si="16"/>
        <v>-0.68210925128626532</v>
      </c>
      <c r="AD180" s="152">
        <f t="shared" ca="1" si="16"/>
        <v>0</v>
      </c>
      <c r="AE180" s="152">
        <f t="shared" ca="1" si="16"/>
        <v>0</v>
      </c>
      <c r="AF180" s="152">
        <f t="shared" ca="1" si="16"/>
        <v>0</v>
      </c>
      <c r="AG180" s="152">
        <f t="shared" ca="1" si="16"/>
        <v>0</v>
      </c>
      <c r="AH180" s="152">
        <f t="shared" ca="1" si="16"/>
        <v>0</v>
      </c>
      <c r="AI180" s="152">
        <f t="shared" ca="1" si="16"/>
        <v>0</v>
      </c>
      <c r="AJ180" s="152">
        <f t="shared" ca="1" si="16"/>
        <v>0</v>
      </c>
      <c r="AK180" s="152">
        <f t="shared" ca="1" si="16"/>
        <v>0</v>
      </c>
      <c r="AL180" s="152">
        <f t="shared" ca="1" si="16"/>
        <v>0</v>
      </c>
      <c r="AM180" s="152">
        <f t="shared" ca="1" si="16"/>
        <v>0</v>
      </c>
      <c r="AN180" s="152">
        <f t="shared" ca="1" si="16"/>
        <v>0</v>
      </c>
      <c r="AO180" s="152">
        <f t="shared" ca="1" si="16"/>
        <v>-4.3910301887137591</v>
      </c>
      <c r="AP180" s="108"/>
      <c r="AQ180" s="21">
        <f t="shared" ref="AQ180:BD180" ca="1" si="17">SUM(AQ181:AQ198)</f>
        <v>0</v>
      </c>
      <c r="AR180" s="21">
        <f t="shared" ca="1" si="17"/>
        <v>0</v>
      </c>
      <c r="AS180" s="21">
        <f t="shared" ca="1" si="17"/>
        <v>0</v>
      </c>
      <c r="AT180" s="21">
        <f t="shared" ca="1" si="17"/>
        <v>0</v>
      </c>
      <c r="AU180" s="21">
        <f t="shared" ca="1" si="17"/>
        <v>0</v>
      </c>
      <c r="AV180" s="21">
        <f t="shared" ca="1" si="17"/>
        <v>0</v>
      </c>
      <c r="AW180" s="21">
        <f t="shared" ca="1" si="17"/>
        <v>0</v>
      </c>
      <c r="AX180" s="21">
        <f t="shared" ca="1" si="17"/>
        <v>0</v>
      </c>
      <c r="AY180" s="21">
        <f t="shared" ca="1" si="17"/>
        <v>0</v>
      </c>
      <c r="AZ180" s="21">
        <f t="shared" ca="1" si="17"/>
        <v>0</v>
      </c>
      <c r="BA180" s="21">
        <f t="shared" ca="1" si="17"/>
        <v>0</v>
      </c>
      <c r="BB180" s="21">
        <f t="shared" ca="1" si="17"/>
        <v>0</v>
      </c>
      <c r="BC180" s="21">
        <f t="shared" ca="1" si="17"/>
        <v>0</v>
      </c>
      <c r="BD180" s="21">
        <f t="shared" ca="1" si="17"/>
        <v>0</v>
      </c>
      <c r="BE180" s="108"/>
      <c r="BF180" s="49">
        <f t="shared" ref="BF180:BH180" ca="1" si="18">SUM(BF181:BF198)</f>
        <v>0</v>
      </c>
      <c r="BG180" s="49">
        <f t="shared" ca="1" si="18"/>
        <v>0</v>
      </c>
      <c r="BH180" s="49">
        <f t="shared" ca="1" si="18"/>
        <v>0</v>
      </c>
      <c r="BI180" s="219">
        <f t="shared" ca="1" si="9"/>
        <v>0</v>
      </c>
      <c r="BJ180" s="108"/>
    </row>
    <row r="181" spans="1:62" s="54" customFormat="1">
      <c r="A181" s="133"/>
      <c r="B181" s="176" t="s">
        <v>1807</v>
      </c>
      <c r="C181" s="114" t="str">
        <f>INDEX(Regional.Technologies[Description],MATCH($B$3&amp;"."&amp;B181,Regional.Technologies[Code],0))</f>
        <v>Global Electricity use in the Alumina Aluminium technology</v>
      </c>
      <c r="E181" s="121">
        <f t="array" aca="1" ref="E181" ca="1">IFERROR(INDEX(INDIRECT($B$3&amp;"."&amp;$B$158&amp;".energy["&amp;This.year&amp;"]"),MATCH($C181&amp;E$5,INDIRECT($B$3&amp;"."&amp;$B$158&amp;".energy[Tech description]")&amp;INDIRECT($B$3&amp;"."&amp;$B$158&amp;".energy[Energy description]"),0)),0)</f>
        <v>0</v>
      </c>
      <c r="F181" s="121">
        <f t="array" aca="1" ref="F181" ca="1">IFERROR(INDEX(INDIRECT($B$3&amp;"."&amp;$B$158&amp;".energy["&amp;This.year&amp;"]"),MATCH($C181&amp;F$5,INDIRECT($B$3&amp;"."&amp;$B$158&amp;".energy[Tech description]")&amp;INDIRECT($B$3&amp;"."&amp;$B$158&amp;".energy[Energy description]"),0)),0)</f>
        <v>0</v>
      </c>
      <c r="G181" s="121">
        <f t="array" aca="1" ref="G181" ca="1">IFERROR(INDEX(INDIRECT($B$3&amp;"."&amp;$B$158&amp;".energy["&amp;This.year&amp;"]"),MATCH($C181&amp;G$5,INDIRECT($B$3&amp;"."&amp;$B$158&amp;".energy[Tech description]")&amp;INDIRECT($B$3&amp;"."&amp;$B$158&amp;".energy[Energy description]"),0)),0)</f>
        <v>0</v>
      </c>
      <c r="H181" s="121">
        <f t="array" aca="1" ref="H181" ca="1">IFERROR(INDEX(INDIRECT($B$3&amp;"."&amp;$B$158&amp;".energy["&amp;This.year&amp;"]"),MATCH($C181&amp;H$5,INDIRECT($B$3&amp;"."&amp;$B$158&amp;".energy[Tech description]")&amp;INDIRECT($B$3&amp;"."&amp;$B$158&amp;".energy[Energy description]"),0)),0)</f>
        <v>0</v>
      </c>
      <c r="I181" s="121">
        <f t="array" aca="1" ref="I181" ca="1">IFERROR(INDEX(INDIRECT($B$3&amp;"."&amp;$B$158&amp;".energy["&amp;This.year&amp;"]"),MATCH($C181&amp;I$5,INDIRECT($B$3&amp;"."&amp;$B$158&amp;".energy[Tech description]")&amp;INDIRECT($B$3&amp;"."&amp;$B$158&amp;".energy[Energy description]"),0)),0)</f>
        <v>0</v>
      </c>
      <c r="J181" s="121">
        <f t="array" aca="1" ref="J181" ca="1">IFERROR(INDEX(INDIRECT($B$3&amp;"."&amp;$B$158&amp;".energy["&amp;This.year&amp;"]"),MATCH($C181&amp;J$5,INDIRECT($B$3&amp;"."&amp;$B$158&amp;".energy[Tech description]")&amp;INDIRECT($B$3&amp;"."&amp;$B$158&amp;".energy[Energy description]"),0)),0)</f>
        <v>5.7780487765234236E-2</v>
      </c>
      <c r="K181" s="121">
        <f t="array" aca="1" ref="K181" ca="1">IFERROR(INDEX(INDIRECT($B$3&amp;"."&amp;$B$158&amp;".energy["&amp;This.year&amp;"]"),MATCH($C181&amp;K$5,INDIRECT($B$3&amp;"."&amp;$B$158&amp;".energy[Tech description]")&amp;INDIRECT($B$3&amp;"."&amp;$B$158&amp;".energy[Energy description]"),0)),0)</f>
        <v>0</v>
      </c>
      <c r="L181" s="121">
        <f t="array" aca="1" ref="L181" ca="1">IFERROR(INDEX(INDIRECT($B$3&amp;"."&amp;$B$158&amp;".energy["&amp;This.year&amp;"]"),MATCH($C181&amp;L$5,INDIRECT($B$3&amp;"."&amp;$B$158&amp;".energy[Tech description]")&amp;INDIRECT($B$3&amp;"."&amp;$B$158&amp;".energy[Energy description]"),0)),0)</f>
        <v>0</v>
      </c>
      <c r="M181" s="121">
        <f t="array" aca="1" ref="M181" ca="1">IFERROR(INDEX(INDIRECT($B$3&amp;"."&amp;$B$158&amp;".energy["&amp;This.year&amp;"]"),MATCH($C181&amp;M$5,INDIRECT($B$3&amp;"."&amp;$B$158&amp;".energy[Tech description]")&amp;INDIRECT($B$3&amp;"."&amp;$B$158&amp;".energy[Energy description]"),0)),0)</f>
        <v>0</v>
      </c>
      <c r="N181" s="121">
        <f t="array" aca="1" ref="N181" ca="1">IFERROR(INDEX(INDIRECT($B$3&amp;"."&amp;$B$158&amp;".energy["&amp;This.year&amp;"]"),MATCH($C181&amp;N$5,INDIRECT($B$3&amp;"."&amp;$B$158&amp;".energy[Tech description]")&amp;INDIRECT($B$3&amp;"."&amp;$B$158&amp;".energy[Energy description]"),0)),0)</f>
        <v>0</v>
      </c>
      <c r="O181" s="121">
        <f t="array" aca="1" ref="O181" ca="1">IFERROR(INDEX(INDIRECT($B$3&amp;"."&amp;$B$158&amp;".energy["&amp;This.year&amp;"]"),MATCH($C181&amp;O$5,INDIRECT($B$3&amp;"."&amp;$B$158&amp;".energy[Tech description]")&amp;INDIRECT($B$3&amp;"."&amp;$B$158&amp;".energy[Energy description]"),0)),0)</f>
        <v>0</v>
      </c>
      <c r="P181" s="121">
        <f t="array" aca="1" ref="P181" ca="1">IFERROR(INDEX(INDIRECT($B$3&amp;"."&amp;$B$158&amp;".energy["&amp;This.year&amp;"]"),MATCH($C181&amp;P$5,INDIRECT($B$3&amp;"."&amp;$B$158&amp;".energy[Tech description]")&amp;INDIRECT($B$3&amp;"."&amp;$B$158&amp;".energy[Energy description]"),0)),0)</f>
        <v>0</v>
      </c>
      <c r="Q181" s="121">
        <f t="array" aca="1" ref="Q181" ca="1">IFERROR(INDEX(INDIRECT($B$3&amp;"."&amp;$B$158&amp;".energy["&amp;This.year&amp;"]"),MATCH($C181&amp;Q$5,INDIRECT($B$3&amp;"."&amp;$B$158&amp;".energy[Tech description]")&amp;INDIRECT($B$3&amp;"."&amp;$B$158&amp;".energy[Energy description]"),0)),0)</f>
        <v>0</v>
      </c>
      <c r="R181" s="121">
        <f t="array" aca="1" ref="R181" ca="1">IFERROR(INDEX(INDIRECT($B$3&amp;"."&amp;$B$158&amp;".energy["&amp;This.year&amp;"]"),MATCH($C181&amp;R$5,INDIRECT($B$3&amp;"."&amp;$B$158&amp;".energy[Tech description]")&amp;INDIRECT($B$3&amp;"."&amp;$B$158&amp;".energy[Energy description]"),0)),0)</f>
        <v>0</v>
      </c>
      <c r="S181" s="121">
        <f t="array" aca="1" ref="S181" ca="1">IFERROR(INDEX(INDIRECT($B$3&amp;"."&amp;$B$158&amp;".energy["&amp;This.year&amp;"]"),MATCH($C181&amp;S$5,INDIRECT($B$3&amp;"."&amp;$B$158&amp;".energy[Tech description]")&amp;INDIRECT($B$3&amp;"."&amp;$B$158&amp;".energy[Energy description]"),0)),0)</f>
        <v>0</v>
      </c>
      <c r="T181" s="121">
        <f t="shared" ref="T181:T198" ca="1" si="19">SUM(E181:S181)</f>
        <v>5.7780487765234236E-2</v>
      </c>
      <c r="U181" s="109"/>
      <c r="V181" s="152">
        <f t="array" aca="1" ref="V181" ca="1">IFERROR(INDEX(INDIRECT($B$3&amp;"."&amp;$B$158&amp;".energy["&amp;This.year&amp;"]"),MATCH($C181&amp;V$5,INDIRECT($B$3&amp;"."&amp;$B$158&amp;".energy[Tech description]")&amp;INDIRECT($B$3&amp;"."&amp;$B$158&amp;".energy[Energy description]"),0)),0)</f>
        <v>-5.7780487765234236E-2</v>
      </c>
      <c r="W181" s="152">
        <f t="array" aca="1" ref="W181" ca="1">IFERROR(INDEX(INDIRECT($B$3&amp;"."&amp;$B$158&amp;".energy["&amp;This.year&amp;"]"),MATCH($C181&amp;W$5,INDIRECT($B$3&amp;"."&amp;$B$158&amp;".energy[Tech description]")&amp;INDIRECT($B$3&amp;"."&amp;$B$158&amp;".energy[Energy description]"),0)),0)</f>
        <v>0</v>
      </c>
      <c r="X181" s="152">
        <f t="array" aca="1" ref="X181" ca="1">IFERROR(INDEX(INDIRECT($B$3&amp;"."&amp;$B$158&amp;".energy["&amp;This.year&amp;"]"),MATCH($C181&amp;X$5,INDIRECT($B$3&amp;"."&amp;$B$158&amp;".energy[Tech description]")&amp;INDIRECT($B$3&amp;"."&amp;$B$158&amp;".energy[Energy description]"),0)),0)</f>
        <v>0</v>
      </c>
      <c r="Y181" s="152">
        <f t="array" aca="1" ref="Y181" ca="1">IFERROR(INDEX(INDIRECT($B$3&amp;"."&amp;$B$158&amp;".energy["&amp;This.year&amp;"]"),MATCH($C181&amp;Y$5,INDIRECT($B$3&amp;"."&amp;$B$158&amp;".energy[Tech description]")&amp;INDIRECT($B$3&amp;"."&amp;$B$158&amp;".energy[Energy description]"),0)),0)</f>
        <v>0</v>
      </c>
      <c r="Z181" s="152">
        <f t="array" aca="1" ref="Z181" ca="1">IFERROR(INDEX(INDIRECT($B$3&amp;"."&amp;$B$158&amp;".energy["&amp;This.year&amp;"]"),MATCH($C181&amp;Z$5,INDIRECT($B$3&amp;"."&amp;$B$158&amp;".energy[Tech description]")&amp;INDIRECT($B$3&amp;"."&amp;$B$158&amp;".energy[Energy description]"),0)),0)</f>
        <v>0</v>
      </c>
      <c r="AA181" s="152">
        <f t="array" aca="1" ref="AA181" ca="1">IFERROR(INDEX(INDIRECT($B$3&amp;"."&amp;$B$158&amp;".energy["&amp;This.year&amp;"]"),MATCH($C181&amp;AA$5,INDIRECT($B$3&amp;"."&amp;$B$158&amp;".energy[Tech description]")&amp;INDIRECT($B$3&amp;"."&amp;$B$158&amp;".energy[Energy description]"),0)),0)</f>
        <v>0</v>
      </c>
      <c r="AB181" s="152">
        <f t="array" aca="1" ref="AB181" ca="1">IFERROR(INDEX(INDIRECT($B$3&amp;"."&amp;$B$158&amp;".energy["&amp;This.year&amp;"]"),MATCH($C181&amp;AB$5,INDIRECT($B$3&amp;"."&amp;$B$158&amp;".energy[Tech description]")&amp;INDIRECT($B$3&amp;"."&amp;$B$158&amp;".energy[Energy description]"),0)),0)</f>
        <v>0</v>
      </c>
      <c r="AC181" s="152">
        <f t="array" aca="1" ref="AC181" ca="1">IFERROR(INDEX(INDIRECT($B$3&amp;"."&amp;$B$158&amp;".energy["&amp;This.year&amp;"]"),MATCH($C181&amp;AC$5,INDIRECT($B$3&amp;"."&amp;$B$158&amp;".energy[Tech description]")&amp;INDIRECT($B$3&amp;"."&amp;$B$158&amp;".energy[Energy description]"),0)),0)</f>
        <v>0</v>
      </c>
      <c r="AD181" s="152">
        <f t="array" aca="1" ref="AD181" ca="1">IFERROR(INDEX(INDIRECT($B$3&amp;"."&amp;$B$158&amp;".energy["&amp;This.year&amp;"]"),MATCH($C181&amp;AD$5,INDIRECT($B$3&amp;"."&amp;$B$158&amp;".energy[Tech description]")&amp;INDIRECT($B$3&amp;"."&amp;$B$158&amp;".energy[Energy description]"),0)),0)</f>
        <v>0</v>
      </c>
      <c r="AE181" s="152">
        <f t="array" aca="1" ref="AE181" ca="1">IFERROR(INDEX(INDIRECT($B$3&amp;"."&amp;$B$158&amp;".energy["&amp;This.year&amp;"]"),MATCH($C181&amp;AE$5,INDIRECT($B$3&amp;"."&amp;$B$158&amp;".energy[Tech description]")&amp;INDIRECT($B$3&amp;"."&amp;$B$158&amp;".energy[Energy description]"),0)),0)</f>
        <v>0</v>
      </c>
      <c r="AF181" s="152">
        <f t="array" aca="1" ref="AF181" ca="1">IFERROR(INDEX(INDIRECT($B$3&amp;"."&amp;$B$158&amp;".energy["&amp;This.year&amp;"]"),MATCH($C181&amp;AF$5,INDIRECT($B$3&amp;"."&amp;$B$158&amp;".energy[Tech description]")&amp;INDIRECT($B$3&amp;"."&amp;$B$158&amp;".energy[Energy description]"),0)),0)</f>
        <v>0</v>
      </c>
      <c r="AG181" s="152">
        <f t="array" aca="1" ref="AG181" ca="1">IFERROR(INDEX(INDIRECT($B$3&amp;"."&amp;$B$158&amp;".energy["&amp;This.year&amp;"]"),MATCH($C181&amp;AG$5,INDIRECT($B$3&amp;"."&amp;$B$158&amp;".energy[Tech description]")&amp;INDIRECT($B$3&amp;"."&amp;$B$158&amp;".energy[Energy description]"),0)),0)</f>
        <v>0</v>
      </c>
      <c r="AH181" s="152">
        <f t="array" aca="1" ref="AH181" ca="1">IFERROR(INDEX(INDIRECT($B$3&amp;"."&amp;$B$158&amp;".energy["&amp;This.year&amp;"]"),MATCH($C181&amp;AH$5,INDIRECT($B$3&amp;"."&amp;$B$158&amp;".energy[Tech description]")&amp;INDIRECT($B$3&amp;"."&amp;$B$158&amp;".energy[Energy description]"),0)),0)</f>
        <v>0</v>
      </c>
      <c r="AI181" s="152">
        <f t="array" aca="1" ref="AI181" ca="1">IFERROR(INDEX(INDIRECT($B$3&amp;"."&amp;$B$158&amp;".energy["&amp;This.year&amp;"]"),MATCH($C181&amp;AI$5,INDIRECT($B$3&amp;"."&amp;$B$158&amp;".energy[Tech description]")&amp;INDIRECT($B$3&amp;"."&amp;$B$158&amp;".energy[Energy description]"),0)),0)</f>
        <v>0</v>
      </c>
      <c r="AJ181" s="152">
        <f t="array" aca="1" ref="AJ181" ca="1">IFERROR(INDEX(INDIRECT($B$3&amp;"."&amp;$B$158&amp;".energy["&amp;This.year&amp;"]"),MATCH($C181&amp;AJ$5,INDIRECT($B$3&amp;"."&amp;$B$158&amp;".energy[Tech description]")&amp;INDIRECT($B$3&amp;"."&amp;$B$158&amp;".energy[Energy description]"),0)),0)</f>
        <v>0</v>
      </c>
      <c r="AK181" s="152">
        <f t="array" aca="1" ref="AK181" ca="1">IFERROR(INDEX(INDIRECT($B$3&amp;"."&amp;$B$158&amp;".energy["&amp;This.year&amp;"]"),MATCH($C181&amp;AK$5,INDIRECT($B$3&amp;"."&amp;$B$158&amp;".energy[Tech description]")&amp;INDIRECT($B$3&amp;"."&amp;$B$158&amp;".energy[Energy description]"),0)),0)</f>
        <v>0</v>
      </c>
      <c r="AL181" s="152">
        <f t="array" aca="1" ref="AL181" ca="1">IFERROR(INDEX(INDIRECT($B$3&amp;"."&amp;$B$158&amp;".energy["&amp;This.year&amp;"]"),MATCH($C181&amp;AL$5,INDIRECT($B$3&amp;"."&amp;$B$158&amp;".energy[Tech description]")&amp;INDIRECT($B$3&amp;"."&amp;$B$158&amp;".energy[Energy description]"),0)),0)</f>
        <v>0</v>
      </c>
      <c r="AM181" s="152">
        <f t="array" aca="1" ref="AM181" ca="1">IFERROR(INDEX(INDIRECT($B$3&amp;"."&amp;$B$158&amp;".energy["&amp;This.year&amp;"]"),MATCH($C181&amp;AM$5,INDIRECT($B$3&amp;"."&amp;$B$158&amp;".energy[Tech description]")&amp;INDIRECT($B$3&amp;"."&amp;$B$158&amp;".energy[Energy description]"),0)),0)</f>
        <v>0</v>
      </c>
      <c r="AN181" s="152">
        <f t="array" aca="1" ref="AN181" ca="1">IFERROR(INDEX(INDIRECT($B$3&amp;"."&amp;$B$158&amp;".energy["&amp;This.year&amp;"]"),MATCH($C181&amp;AN$5,INDIRECT($B$3&amp;"."&amp;$B$158&amp;".energy[Tech description]")&amp;INDIRECT($B$3&amp;"."&amp;$B$158&amp;".energy[Energy description]"),0)),0)</f>
        <v>0</v>
      </c>
      <c r="AO181" s="152">
        <f t="shared" ref="AO181:AO198" ca="1" si="20">SUM(V181:AN181)</f>
        <v>-5.7780487765234236E-2</v>
      </c>
      <c r="AP181" s="108"/>
      <c r="AQ181" s="21">
        <f t="array" aca="1" ref="AQ181" ca="1">IFERROR(INDEX(INDIRECT($B$3&amp;"."&amp;$B$158&amp;".energy["&amp;This.year&amp;"]"),MATCH($C181&amp;AQ$5,INDIRECT($B$3&amp;"."&amp;$B$158&amp;".energy[Tech description]")&amp;INDIRECT($B$3&amp;"."&amp;$B$158&amp;".energy[Energy description]"),0)),0)</f>
        <v>0</v>
      </c>
      <c r="AR181" s="21">
        <f t="array" aca="1" ref="AR181" ca="1">IFERROR(INDEX(INDIRECT($B$3&amp;"."&amp;$B$158&amp;".energy["&amp;This.year&amp;"]"),MATCH($C181&amp;AR$5,INDIRECT($B$3&amp;"."&amp;$B$158&amp;".energy[Tech description]")&amp;INDIRECT($B$3&amp;"."&amp;$B$158&amp;".energy[Energy description]"),0)),0)</f>
        <v>0</v>
      </c>
      <c r="AS181" s="21">
        <f t="array" aca="1" ref="AS181" ca="1">IFERROR(INDEX(INDIRECT($B$3&amp;"."&amp;$B$158&amp;".energy["&amp;This.year&amp;"]"),MATCH($C181&amp;AS$5,INDIRECT($B$3&amp;"."&amp;$B$158&amp;".energy[Tech description]")&amp;INDIRECT($B$3&amp;"."&amp;$B$158&amp;".energy[Energy description]"),0)),0)</f>
        <v>0</v>
      </c>
      <c r="AT181" s="21">
        <f t="array" aca="1" ref="AT181" ca="1">IFERROR(INDEX(INDIRECT($B$3&amp;"."&amp;$B$158&amp;".energy["&amp;This.year&amp;"]"),MATCH($C181&amp;AT$5,INDIRECT($B$3&amp;"."&amp;$B$158&amp;".energy[Tech description]")&amp;INDIRECT($B$3&amp;"."&amp;$B$158&amp;".energy[Energy description]"),0)),0)</f>
        <v>0</v>
      </c>
      <c r="AU181" s="21">
        <f t="array" aca="1" ref="AU181" ca="1">IFERROR(INDEX(INDIRECT($B$3&amp;"."&amp;$B$158&amp;".energy["&amp;This.year&amp;"]"),MATCH($C181&amp;AU$5,INDIRECT($B$3&amp;"."&amp;$B$158&amp;".energy[Tech description]")&amp;INDIRECT($B$3&amp;"."&amp;$B$158&amp;".energy[Energy description]"),0)),0)</f>
        <v>0</v>
      </c>
      <c r="AV181" s="21">
        <f t="array" aca="1" ref="AV181" ca="1">IFERROR(INDEX(INDIRECT($B$3&amp;"."&amp;$B$158&amp;".energy["&amp;This.year&amp;"]"),MATCH($C181&amp;AV$5,INDIRECT($B$3&amp;"."&amp;$B$158&amp;".energy[Tech description]")&amp;INDIRECT($B$3&amp;"."&amp;$B$158&amp;".energy[Energy description]"),0)),0)</f>
        <v>0</v>
      </c>
      <c r="AW181" s="21">
        <f t="array" aca="1" ref="AW181" ca="1">IFERROR(INDEX(INDIRECT($B$3&amp;"."&amp;$B$158&amp;".energy["&amp;This.year&amp;"]"),MATCH($C181&amp;AW$5,INDIRECT($B$3&amp;"."&amp;$B$158&amp;".energy[Tech description]")&amp;INDIRECT($B$3&amp;"."&amp;$B$158&amp;".energy[Energy description]"),0)),0)</f>
        <v>0</v>
      </c>
      <c r="AX181" s="21">
        <f t="array" aca="1" ref="AX181" ca="1">IFERROR(INDEX(INDIRECT($B$3&amp;"."&amp;$B$158&amp;".energy["&amp;This.year&amp;"]"),MATCH($C181&amp;AX$5,INDIRECT($B$3&amp;"."&amp;$B$158&amp;".energy[Tech description]")&amp;INDIRECT($B$3&amp;"."&amp;$B$158&amp;".energy[Energy description]"),0)),0)</f>
        <v>0</v>
      </c>
      <c r="AY181" s="21">
        <f t="array" aca="1" ref="AY181" ca="1">IFERROR(INDEX(INDIRECT($B$3&amp;"."&amp;$B$158&amp;".energy["&amp;This.year&amp;"]"),MATCH($C181&amp;AY$5,INDIRECT($B$3&amp;"."&amp;$B$158&amp;".energy[Tech description]")&amp;INDIRECT($B$3&amp;"."&amp;$B$158&amp;".energy[Energy description]"),0)),0)</f>
        <v>0</v>
      </c>
      <c r="AZ181" s="21">
        <f t="array" aca="1" ref="AZ181" ca="1">IFERROR(INDEX(INDIRECT($B$3&amp;"."&amp;$B$158&amp;".energy["&amp;This.year&amp;"]"),MATCH($C181&amp;AZ$5,INDIRECT($B$3&amp;"."&amp;$B$158&amp;".energy[Tech description]")&amp;INDIRECT($B$3&amp;"."&amp;$B$158&amp;".energy[Energy description]"),0)),0)</f>
        <v>0</v>
      </c>
      <c r="BA181" s="21">
        <f t="array" aca="1" ref="BA181" ca="1">IFERROR(INDEX(INDIRECT($B$3&amp;"."&amp;$B$158&amp;".energy["&amp;This.year&amp;"]"),MATCH($C181&amp;BA$5,INDIRECT($B$3&amp;"."&amp;$B$158&amp;".energy[Tech description]")&amp;INDIRECT($B$3&amp;"."&amp;$B$158&amp;".energy[Energy description]"),0)),0)</f>
        <v>0</v>
      </c>
      <c r="BB181" s="21">
        <f t="array" aca="1" ref="BB181" ca="1">IFERROR(INDEX(INDIRECT($B$3&amp;"."&amp;$B$158&amp;".energy["&amp;This.year&amp;"]"),MATCH($C181&amp;BB$5,INDIRECT($B$3&amp;"."&amp;$B$158&amp;".energy[Tech description]")&amp;INDIRECT($B$3&amp;"."&amp;$B$158&amp;".energy[Energy description]"),0)),0)</f>
        <v>0</v>
      </c>
      <c r="BC181" s="21">
        <f t="array" aca="1" ref="BC181" ca="1">IFERROR(INDEX(INDIRECT($B$3&amp;"."&amp;$B$158&amp;".energy["&amp;This.year&amp;"]"),MATCH($C181&amp;BC$5,INDIRECT($B$3&amp;"."&amp;$B$158&amp;".energy[Tech description]")&amp;INDIRECT($B$3&amp;"."&amp;$B$158&amp;".energy[Energy description]"),0)),0)</f>
        <v>0</v>
      </c>
      <c r="BD181" s="21">
        <f t="shared" ref="BD181:BD198" ca="1" si="21">SUM(AQ181:BC181)</f>
        <v>0</v>
      </c>
      <c r="BE181" s="108"/>
      <c r="BF181" s="49">
        <f t="array" aca="1" ref="BF181" ca="1">IFERROR(INDEX(INDIRECT($B$3&amp;"."&amp;$B$158&amp;".energy["&amp;This.year&amp;"]"),MATCH($C181&amp;BF$5,INDIRECT($B$3&amp;"."&amp;$B$158&amp;".energy[Tech description]")&amp;INDIRECT($B$3&amp;"."&amp;$B$158&amp;".energy[Energy description]"),0)),0)</f>
        <v>0</v>
      </c>
      <c r="BG181" s="49">
        <f t="array" aca="1" ref="BG181" ca="1">IFERROR(INDEX(INDIRECT($B$3&amp;"."&amp;$B$158&amp;".energy["&amp;This.year&amp;"]"),MATCH($C181&amp;BG$5,INDIRECT($B$3&amp;"."&amp;$B$158&amp;".energy[Tech description]")&amp;INDIRECT($B$3&amp;"."&amp;$B$158&amp;".energy[Energy description]"),0)),0)</f>
        <v>0</v>
      </c>
      <c r="BH181" s="49">
        <f t="shared" ref="BH181:BH198" ca="1" si="22">SUM(BF181:BG181)</f>
        <v>0</v>
      </c>
      <c r="BI181" s="219">
        <f t="shared" ca="1" si="9"/>
        <v>0</v>
      </c>
      <c r="BJ181" s="108"/>
    </row>
    <row r="182" spans="1:62" s="54" customFormat="1">
      <c r="A182" s="133"/>
      <c r="B182" s="176" t="s">
        <v>1808</v>
      </c>
      <c r="C182" s="114" t="str">
        <f>INDEX(Regional.Technologies[Description],MATCH($B$3&amp;"."&amp;B182,Regional.Technologies[Code],0))</f>
        <v>Global Coal use in the Alumina Aluminium technology</v>
      </c>
      <c r="E182" s="121">
        <f t="array" aca="1" ref="E182" ca="1">IFERROR(INDEX(INDIRECT($B$3&amp;"."&amp;$B$158&amp;".energy["&amp;This.year&amp;"]"),MATCH($C182&amp;E$5,INDIRECT($B$3&amp;"."&amp;$B$158&amp;".energy[Tech description]")&amp;INDIRECT($B$3&amp;"."&amp;$B$158&amp;".energy[Energy description]"),0)),0)</f>
        <v>0</v>
      </c>
      <c r="F182" s="121">
        <f t="array" aca="1" ref="F182" ca="1">IFERROR(INDEX(INDIRECT($B$3&amp;"."&amp;$B$158&amp;".energy["&amp;This.year&amp;"]"),MATCH($C182&amp;F$5,INDIRECT($B$3&amp;"."&amp;$B$158&amp;".energy[Tech description]")&amp;INDIRECT($B$3&amp;"."&amp;$B$158&amp;".energy[Energy description]"),0)),0)</f>
        <v>0</v>
      </c>
      <c r="G182" s="121">
        <f t="array" aca="1" ref="G182" ca="1">IFERROR(INDEX(INDIRECT($B$3&amp;"."&amp;$B$158&amp;".energy["&amp;This.year&amp;"]"),MATCH($C182&amp;G$5,INDIRECT($B$3&amp;"."&amp;$B$158&amp;".energy[Tech description]")&amp;INDIRECT($B$3&amp;"."&amp;$B$158&amp;".energy[Energy description]"),0)),0)</f>
        <v>0</v>
      </c>
      <c r="H182" s="121">
        <f t="array" aca="1" ref="H182" ca="1">IFERROR(INDEX(INDIRECT($B$3&amp;"."&amp;$B$158&amp;".energy["&amp;This.year&amp;"]"),MATCH($C182&amp;H$5,INDIRECT($B$3&amp;"."&amp;$B$158&amp;".energy[Tech description]")&amp;INDIRECT($B$3&amp;"."&amp;$B$158&amp;".energy[Energy description]"),0)),0)</f>
        <v>0</v>
      </c>
      <c r="I182" s="121">
        <f t="array" aca="1" ref="I182" ca="1">IFERROR(INDEX(INDIRECT($B$3&amp;"."&amp;$B$158&amp;".energy["&amp;This.year&amp;"]"),MATCH($C182&amp;I$5,INDIRECT($B$3&amp;"."&amp;$B$158&amp;".energy[Tech description]")&amp;INDIRECT($B$3&amp;"."&amp;$B$158&amp;".energy[Energy description]"),0)),0)</f>
        <v>0</v>
      </c>
      <c r="J182" s="121">
        <f t="array" aca="1" ref="J182" ca="1">IFERROR(INDEX(INDIRECT($B$3&amp;"."&amp;$B$158&amp;".energy["&amp;This.year&amp;"]"),MATCH($C182&amp;J$5,INDIRECT($B$3&amp;"."&amp;$B$158&amp;".energy[Tech description]")&amp;INDIRECT($B$3&amp;"."&amp;$B$158&amp;".energy[Energy description]"),0)),0)</f>
        <v>0.61777191351520933</v>
      </c>
      <c r="K182" s="121">
        <f t="array" aca="1" ref="K182" ca="1">IFERROR(INDEX(INDIRECT($B$3&amp;"."&amp;$B$158&amp;".energy["&amp;This.year&amp;"]"),MATCH($C182&amp;K$5,INDIRECT($B$3&amp;"."&amp;$B$158&amp;".energy[Tech description]")&amp;INDIRECT($B$3&amp;"."&amp;$B$158&amp;".energy[Energy description]"),0)),0)</f>
        <v>0</v>
      </c>
      <c r="L182" s="121">
        <f t="array" aca="1" ref="L182" ca="1">IFERROR(INDEX(INDIRECT($B$3&amp;"."&amp;$B$158&amp;".energy["&amp;This.year&amp;"]"),MATCH($C182&amp;L$5,INDIRECT($B$3&amp;"."&amp;$B$158&amp;".energy[Tech description]")&amp;INDIRECT($B$3&amp;"."&amp;$B$158&amp;".energy[Energy description]"),0)),0)</f>
        <v>0</v>
      </c>
      <c r="M182" s="121">
        <f t="array" aca="1" ref="M182" ca="1">IFERROR(INDEX(INDIRECT($B$3&amp;"."&amp;$B$158&amp;".energy["&amp;This.year&amp;"]"),MATCH($C182&amp;M$5,INDIRECT($B$3&amp;"."&amp;$B$158&amp;".energy[Tech description]")&amp;INDIRECT($B$3&amp;"."&amp;$B$158&amp;".energy[Energy description]"),0)),0)</f>
        <v>0</v>
      </c>
      <c r="N182" s="121">
        <f t="array" aca="1" ref="N182" ca="1">IFERROR(INDEX(INDIRECT($B$3&amp;"."&amp;$B$158&amp;".energy["&amp;This.year&amp;"]"),MATCH($C182&amp;N$5,INDIRECT($B$3&amp;"."&amp;$B$158&amp;".energy[Tech description]")&amp;INDIRECT($B$3&amp;"."&amp;$B$158&amp;".energy[Energy description]"),0)),0)</f>
        <v>0</v>
      </c>
      <c r="O182" s="121">
        <f t="array" aca="1" ref="O182" ca="1">IFERROR(INDEX(INDIRECT($B$3&amp;"."&amp;$B$158&amp;".energy["&amp;This.year&amp;"]"),MATCH($C182&amp;O$5,INDIRECT($B$3&amp;"."&amp;$B$158&amp;".energy[Tech description]")&amp;INDIRECT($B$3&amp;"."&amp;$B$158&amp;".energy[Energy description]"),0)),0)</f>
        <v>0</v>
      </c>
      <c r="P182" s="121">
        <f t="array" aca="1" ref="P182" ca="1">IFERROR(INDEX(INDIRECT($B$3&amp;"."&amp;$B$158&amp;".energy["&amp;This.year&amp;"]"),MATCH($C182&amp;P$5,INDIRECT($B$3&amp;"."&amp;$B$158&amp;".energy[Tech description]")&amp;INDIRECT($B$3&amp;"."&amp;$B$158&amp;".energy[Energy description]"),0)),0)</f>
        <v>0</v>
      </c>
      <c r="Q182" s="121">
        <f t="array" aca="1" ref="Q182" ca="1">IFERROR(INDEX(INDIRECT($B$3&amp;"."&amp;$B$158&amp;".energy["&amp;This.year&amp;"]"),MATCH($C182&amp;Q$5,INDIRECT($B$3&amp;"."&amp;$B$158&amp;".energy[Tech description]")&amp;INDIRECT($B$3&amp;"."&amp;$B$158&amp;".energy[Energy description]"),0)),0)</f>
        <v>0</v>
      </c>
      <c r="R182" s="121">
        <f t="array" aca="1" ref="R182" ca="1">IFERROR(INDEX(INDIRECT($B$3&amp;"."&amp;$B$158&amp;".energy["&amp;This.year&amp;"]"),MATCH($C182&amp;R$5,INDIRECT($B$3&amp;"."&amp;$B$158&amp;".energy[Tech description]")&amp;INDIRECT($B$3&amp;"."&amp;$B$158&amp;".energy[Energy description]"),0)),0)</f>
        <v>0</v>
      </c>
      <c r="S182" s="121">
        <f t="array" aca="1" ref="S182" ca="1">IFERROR(INDEX(INDIRECT($B$3&amp;"."&amp;$B$158&amp;".energy["&amp;This.year&amp;"]"),MATCH($C182&amp;S$5,INDIRECT($B$3&amp;"."&amp;$B$158&amp;".energy[Tech description]")&amp;INDIRECT($B$3&amp;"."&amp;$B$158&amp;".energy[Energy description]"),0)),0)</f>
        <v>0</v>
      </c>
      <c r="T182" s="121">
        <f t="shared" ca="1" si="19"/>
        <v>0.61777191351520933</v>
      </c>
      <c r="U182" s="109"/>
      <c r="V182" s="152">
        <f t="array" aca="1" ref="V182" ca="1">IFERROR(INDEX(INDIRECT($B$3&amp;"."&amp;$B$158&amp;".energy["&amp;This.year&amp;"]"),MATCH($C182&amp;V$5,INDIRECT($B$3&amp;"."&amp;$B$158&amp;".energy[Tech description]")&amp;INDIRECT($B$3&amp;"."&amp;$B$158&amp;".energy[Energy description]"),0)),0)</f>
        <v>0</v>
      </c>
      <c r="W182" s="152">
        <f t="array" aca="1" ref="W182" ca="1">IFERROR(INDEX(INDIRECT($B$3&amp;"."&amp;$B$158&amp;".energy["&amp;This.year&amp;"]"),MATCH($C182&amp;W$5,INDIRECT($B$3&amp;"."&amp;$B$158&amp;".energy[Tech description]")&amp;INDIRECT($B$3&amp;"."&amp;$B$158&amp;".energy[Energy description]"),0)),0)</f>
        <v>0</v>
      </c>
      <c r="X182" s="152">
        <f t="array" aca="1" ref="X182" ca="1">IFERROR(INDEX(INDIRECT($B$3&amp;"."&amp;$B$158&amp;".energy["&amp;This.year&amp;"]"),MATCH($C182&amp;X$5,INDIRECT($B$3&amp;"."&amp;$B$158&amp;".energy[Tech description]")&amp;INDIRECT($B$3&amp;"."&amp;$B$158&amp;".energy[Energy description]"),0)),0)</f>
        <v>0</v>
      </c>
      <c r="Y182" s="152">
        <f t="array" aca="1" ref="Y182" ca="1">IFERROR(INDEX(INDIRECT($B$3&amp;"."&amp;$B$158&amp;".energy["&amp;This.year&amp;"]"),MATCH($C182&amp;Y$5,INDIRECT($B$3&amp;"."&amp;$B$158&amp;".energy[Tech description]")&amp;INDIRECT($B$3&amp;"."&amp;$B$158&amp;".energy[Energy description]"),0)),0)</f>
        <v>0</v>
      </c>
      <c r="Z182" s="152">
        <f t="array" aca="1" ref="Z182" ca="1">IFERROR(INDEX(INDIRECT($B$3&amp;"."&amp;$B$158&amp;".energy["&amp;This.year&amp;"]"),MATCH($C182&amp;Z$5,INDIRECT($B$3&amp;"."&amp;$B$158&amp;".energy[Tech description]")&amp;INDIRECT($B$3&amp;"."&amp;$B$158&amp;".energy[Energy description]"),0)),0)</f>
        <v>0</v>
      </c>
      <c r="AA182" s="152">
        <f t="array" aca="1" ref="AA182" ca="1">IFERROR(INDEX(INDIRECT($B$3&amp;"."&amp;$B$158&amp;".energy["&amp;This.year&amp;"]"),MATCH($C182&amp;AA$5,INDIRECT($B$3&amp;"."&amp;$B$158&amp;".energy[Tech description]")&amp;INDIRECT($B$3&amp;"."&amp;$B$158&amp;".energy[Energy description]"),0)),0)</f>
        <v>-0.61777191351520933</v>
      </c>
      <c r="AB182" s="152">
        <f t="array" aca="1" ref="AB182" ca="1">IFERROR(INDEX(INDIRECT($B$3&amp;"."&amp;$B$158&amp;".energy["&amp;This.year&amp;"]"),MATCH($C182&amp;AB$5,INDIRECT($B$3&amp;"."&amp;$B$158&amp;".energy[Tech description]")&amp;INDIRECT($B$3&amp;"."&amp;$B$158&amp;".energy[Energy description]"),0)),0)</f>
        <v>0</v>
      </c>
      <c r="AC182" s="152">
        <f t="array" aca="1" ref="AC182" ca="1">IFERROR(INDEX(INDIRECT($B$3&amp;"."&amp;$B$158&amp;".energy["&amp;This.year&amp;"]"),MATCH($C182&amp;AC$5,INDIRECT($B$3&amp;"."&amp;$B$158&amp;".energy[Tech description]")&amp;INDIRECT($B$3&amp;"."&amp;$B$158&amp;".energy[Energy description]"),0)),0)</f>
        <v>0</v>
      </c>
      <c r="AD182" s="152">
        <f t="array" aca="1" ref="AD182" ca="1">IFERROR(INDEX(INDIRECT($B$3&amp;"."&amp;$B$158&amp;".energy["&amp;This.year&amp;"]"),MATCH($C182&amp;AD$5,INDIRECT($B$3&amp;"."&amp;$B$158&amp;".energy[Tech description]")&amp;INDIRECT($B$3&amp;"."&amp;$B$158&amp;".energy[Energy description]"),0)),0)</f>
        <v>0</v>
      </c>
      <c r="AE182" s="152">
        <f t="array" aca="1" ref="AE182" ca="1">IFERROR(INDEX(INDIRECT($B$3&amp;"."&amp;$B$158&amp;".energy["&amp;This.year&amp;"]"),MATCH($C182&amp;AE$5,INDIRECT($B$3&amp;"."&amp;$B$158&amp;".energy[Tech description]")&amp;INDIRECT($B$3&amp;"."&amp;$B$158&amp;".energy[Energy description]"),0)),0)</f>
        <v>0</v>
      </c>
      <c r="AF182" s="152">
        <f t="array" aca="1" ref="AF182" ca="1">IFERROR(INDEX(INDIRECT($B$3&amp;"."&amp;$B$158&amp;".energy["&amp;This.year&amp;"]"),MATCH($C182&amp;AF$5,INDIRECT($B$3&amp;"."&amp;$B$158&amp;".energy[Tech description]")&amp;INDIRECT($B$3&amp;"."&amp;$B$158&amp;".energy[Energy description]"),0)),0)</f>
        <v>0</v>
      </c>
      <c r="AG182" s="152">
        <f t="array" aca="1" ref="AG182" ca="1">IFERROR(INDEX(INDIRECT($B$3&amp;"."&amp;$B$158&amp;".energy["&amp;This.year&amp;"]"),MATCH($C182&amp;AG$5,INDIRECT($B$3&amp;"."&amp;$B$158&amp;".energy[Tech description]")&amp;INDIRECT($B$3&amp;"."&amp;$B$158&amp;".energy[Energy description]"),0)),0)</f>
        <v>0</v>
      </c>
      <c r="AH182" s="152">
        <f t="array" aca="1" ref="AH182" ca="1">IFERROR(INDEX(INDIRECT($B$3&amp;"."&amp;$B$158&amp;".energy["&amp;This.year&amp;"]"),MATCH($C182&amp;AH$5,INDIRECT($B$3&amp;"."&amp;$B$158&amp;".energy[Tech description]")&amp;INDIRECT($B$3&amp;"."&amp;$B$158&amp;".energy[Energy description]"),0)),0)</f>
        <v>0</v>
      </c>
      <c r="AI182" s="152">
        <f t="array" aca="1" ref="AI182" ca="1">IFERROR(INDEX(INDIRECT($B$3&amp;"."&amp;$B$158&amp;".energy["&amp;This.year&amp;"]"),MATCH($C182&amp;AI$5,INDIRECT($B$3&amp;"."&amp;$B$158&amp;".energy[Tech description]")&amp;INDIRECT($B$3&amp;"."&amp;$B$158&amp;".energy[Energy description]"),0)),0)</f>
        <v>0</v>
      </c>
      <c r="AJ182" s="152">
        <f t="array" aca="1" ref="AJ182" ca="1">IFERROR(INDEX(INDIRECT($B$3&amp;"."&amp;$B$158&amp;".energy["&amp;This.year&amp;"]"),MATCH($C182&amp;AJ$5,INDIRECT($B$3&amp;"."&amp;$B$158&amp;".energy[Tech description]")&amp;INDIRECT($B$3&amp;"."&amp;$B$158&amp;".energy[Energy description]"),0)),0)</f>
        <v>0</v>
      </c>
      <c r="AK182" s="152">
        <f t="array" aca="1" ref="AK182" ca="1">IFERROR(INDEX(INDIRECT($B$3&amp;"."&amp;$B$158&amp;".energy["&amp;This.year&amp;"]"),MATCH($C182&amp;AK$5,INDIRECT($B$3&amp;"."&amp;$B$158&amp;".energy[Tech description]")&amp;INDIRECT($B$3&amp;"."&amp;$B$158&amp;".energy[Energy description]"),0)),0)</f>
        <v>0</v>
      </c>
      <c r="AL182" s="152">
        <f t="array" aca="1" ref="AL182" ca="1">IFERROR(INDEX(INDIRECT($B$3&amp;"."&amp;$B$158&amp;".energy["&amp;This.year&amp;"]"),MATCH($C182&amp;AL$5,INDIRECT($B$3&amp;"."&amp;$B$158&amp;".energy[Tech description]")&amp;INDIRECT($B$3&amp;"."&amp;$B$158&amp;".energy[Energy description]"),0)),0)</f>
        <v>0</v>
      </c>
      <c r="AM182" s="152">
        <f t="array" aca="1" ref="AM182" ca="1">IFERROR(INDEX(INDIRECT($B$3&amp;"."&amp;$B$158&amp;".energy["&amp;This.year&amp;"]"),MATCH($C182&amp;AM$5,INDIRECT($B$3&amp;"."&amp;$B$158&amp;".energy[Tech description]")&amp;INDIRECT($B$3&amp;"."&amp;$B$158&amp;".energy[Energy description]"),0)),0)</f>
        <v>0</v>
      </c>
      <c r="AN182" s="152">
        <f t="array" aca="1" ref="AN182" ca="1">IFERROR(INDEX(INDIRECT($B$3&amp;"."&amp;$B$158&amp;".energy["&amp;This.year&amp;"]"),MATCH($C182&amp;AN$5,INDIRECT($B$3&amp;"."&amp;$B$158&amp;".energy[Tech description]")&amp;INDIRECT($B$3&amp;"."&amp;$B$158&amp;".energy[Energy description]"),0)),0)</f>
        <v>0</v>
      </c>
      <c r="AO182" s="152">
        <f t="shared" ca="1" si="20"/>
        <v>-0.61777191351520933</v>
      </c>
      <c r="AP182" s="108"/>
      <c r="AQ182" s="21">
        <f t="array" aca="1" ref="AQ182" ca="1">IFERROR(INDEX(INDIRECT($B$3&amp;"."&amp;$B$158&amp;".energy["&amp;This.year&amp;"]"),MATCH($C182&amp;AQ$5,INDIRECT($B$3&amp;"."&amp;$B$158&amp;".energy[Tech description]")&amp;INDIRECT($B$3&amp;"."&amp;$B$158&amp;".energy[Energy description]"),0)),0)</f>
        <v>0</v>
      </c>
      <c r="AR182" s="21">
        <f t="array" aca="1" ref="AR182" ca="1">IFERROR(INDEX(INDIRECT($B$3&amp;"."&amp;$B$158&amp;".energy["&amp;This.year&amp;"]"),MATCH($C182&amp;AR$5,INDIRECT($B$3&amp;"."&amp;$B$158&amp;".energy[Tech description]")&amp;INDIRECT($B$3&amp;"."&amp;$B$158&amp;".energy[Energy description]"),0)),0)</f>
        <v>0</v>
      </c>
      <c r="AS182" s="21">
        <f t="array" aca="1" ref="AS182" ca="1">IFERROR(INDEX(INDIRECT($B$3&amp;"."&amp;$B$158&amp;".energy["&amp;This.year&amp;"]"),MATCH($C182&amp;AS$5,INDIRECT($B$3&amp;"."&amp;$B$158&amp;".energy[Tech description]")&amp;INDIRECT($B$3&amp;"."&amp;$B$158&amp;".energy[Energy description]"),0)),0)</f>
        <v>0</v>
      </c>
      <c r="AT182" s="21">
        <f t="array" aca="1" ref="AT182" ca="1">IFERROR(INDEX(INDIRECT($B$3&amp;"."&amp;$B$158&amp;".energy["&amp;This.year&amp;"]"),MATCH($C182&amp;AT$5,INDIRECT($B$3&amp;"."&amp;$B$158&amp;".energy[Tech description]")&amp;INDIRECT($B$3&amp;"."&amp;$B$158&amp;".energy[Energy description]"),0)),0)</f>
        <v>0</v>
      </c>
      <c r="AU182" s="21">
        <f t="array" aca="1" ref="AU182" ca="1">IFERROR(INDEX(INDIRECT($B$3&amp;"."&amp;$B$158&amp;".energy["&amp;This.year&amp;"]"),MATCH($C182&amp;AU$5,INDIRECT($B$3&amp;"."&amp;$B$158&amp;".energy[Tech description]")&amp;INDIRECT($B$3&amp;"."&amp;$B$158&amp;".energy[Energy description]"),0)),0)</f>
        <v>0</v>
      </c>
      <c r="AV182" s="21">
        <f t="array" aca="1" ref="AV182" ca="1">IFERROR(INDEX(INDIRECT($B$3&amp;"."&amp;$B$158&amp;".energy["&amp;This.year&amp;"]"),MATCH($C182&amp;AV$5,INDIRECT($B$3&amp;"."&amp;$B$158&amp;".energy[Tech description]")&amp;INDIRECT($B$3&amp;"."&amp;$B$158&amp;".energy[Energy description]"),0)),0)</f>
        <v>0</v>
      </c>
      <c r="AW182" s="21">
        <f t="array" aca="1" ref="AW182" ca="1">IFERROR(INDEX(INDIRECT($B$3&amp;"."&amp;$B$158&amp;".energy["&amp;This.year&amp;"]"),MATCH($C182&amp;AW$5,INDIRECT($B$3&amp;"."&amp;$B$158&amp;".energy[Tech description]")&amp;INDIRECT($B$3&amp;"."&amp;$B$158&amp;".energy[Energy description]"),0)),0)</f>
        <v>0</v>
      </c>
      <c r="AX182" s="21">
        <f t="array" aca="1" ref="AX182" ca="1">IFERROR(INDEX(INDIRECT($B$3&amp;"."&amp;$B$158&amp;".energy["&amp;This.year&amp;"]"),MATCH($C182&amp;AX$5,INDIRECT($B$3&amp;"."&amp;$B$158&amp;".energy[Tech description]")&amp;INDIRECT($B$3&amp;"."&amp;$B$158&amp;".energy[Energy description]"),0)),0)</f>
        <v>0</v>
      </c>
      <c r="AY182" s="21">
        <f t="array" aca="1" ref="AY182" ca="1">IFERROR(INDEX(INDIRECT($B$3&amp;"."&amp;$B$158&amp;".energy["&amp;This.year&amp;"]"),MATCH($C182&amp;AY$5,INDIRECT($B$3&amp;"."&amp;$B$158&amp;".energy[Tech description]")&amp;INDIRECT($B$3&amp;"."&amp;$B$158&amp;".energy[Energy description]"),0)),0)</f>
        <v>0</v>
      </c>
      <c r="AZ182" s="21">
        <f t="array" aca="1" ref="AZ182" ca="1">IFERROR(INDEX(INDIRECT($B$3&amp;"."&amp;$B$158&amp;".energy["&amp;This.year&amp;"]"),MATCH($C182&amp;AZ$5,INDIRECT($B$3&amp;"."&amp;$B$158&amp;".energy[Tech description]")&amp;INDIRECT($B$3&amp;"."&amp;$B$158&amp;".energy[Energy description]"),0)),0)</f>
        <v>0</v>
      </c>
      <c r="BA182" s="21">
        <f t="array" aca="1" ref="BA182" ca="1">IFERROR(INDEX(INDIRECT($B$3&amp;"."&amp;$B$158&amp;".energy["&amp;This.year&amp;"]"),MATCH($C182&amp;BA$5,INDIRECT($B$3&amp;"."&amp;$B$158&amp;".energy[Tech description]")&amp;INDIRECT($B$3&amp;"."&amp;$B$158&amp;".energy[Energy description]"),0)),0)</f>
        <v>0</v>
      </c>
      <c r="BB182" s="21">
        <f t="array" aca="1" ref="BB182" ca="1">IFERROR(INDEX(INDIRECT($B$3&amp;"."&amp;$B$158&amp;".energy["&amp;This.year&amp;"]"),MATCH($C182&amp;BB$5,INDIRECT($B$3&amp;"."&amp;$B$158&amp;".energy[Tech description]")&amp;INDIRECT($B$3&amp;"."&amp;$B$158&amp;".energy[Energy description]"),0)),0)</f>
        <v>0</v>
      </c>
      <c r="BC182" s="21">
        <f t="array" aca="1" ref="BC182" ca="1">IFERROR(INDEX(INDIRECT($B$3&amp;"."&amp;$B$158&amp;".energy["&amp;This.year&amp;"]"),MATCH($C182&amp;BC$5,INDIRECT($B$3&amp;"."&amp;$B$158&amp;".energy[Tech description]")&amp;INDIRECT($B$3&amp;"."&amp;$B$158&amp;".energy[Energy description]"),0)),0)</f>
        <v>0</v>
      </c>
      <c r="BD182" s="21">
        <f t="shared" ca="1" si="21"/>
        <v>0</v>
      </c>
      <c r="BE182" s="108"/>
      <c r="BF182" s="49">
        <f t="array" aca="1" ref="BF182" ca="1">IFERROR(INDEX(INDIRECT($B$3&amp;"."&amp;$B$158&amp;".energy["&amp;This.year&amp;"]"),MATCH($C182&amp;BF$5,INDIRECT($B$3&amp;"."&amp;$B$158&amp;".energy[Tech description]")&amp;INDIRECT($B$3&amp;"."&amp;$B$158&amp;".energy[Energy description]"),0)),0)</f>
        <v>0</v>
      </c>
      <c r="BG182" s="49">
        <f t="array" aca="1" ref="BG182" ca="1">IFERROR(INDEX(INDIRECT($B$3&amp;"."&amp;$B$158&amp;".energy["&amp;This.year&amp;"]"),MATCH($C182&amp;BG$5,INDIRECT($B$3&amp;"."&amp;$B$158&amp;".energy[Tech description]")&amp;INDIRECT($B$3&amp;"."&amp;$B$158&amp;".energy[Energy description]"),0)),0)</f>
        <v>0</v>
      </c>
      <c r="BH182" s="49">
        <f t="shared" ca="1" si="22"/>
        <v>0</v>
      </c>
      <c r="BI182" s="219">
        <f t="shared" ca="1" si="9"/>
        <v>0</v>
      </c>
      <c r="BJ182" s="108"/>
    </row>
    <row r="183" spans="1:62" s="54" customFormat="1">
      <c r="A183" s="133"/>
      <c r="B183" s="176" t="s">
        <v>1809</v>
      </c>
      <c r="C183" s="114" t="str">
        <f>INDEX(Regional.Technologies[Description],MATCH($B$3&amp;"."&amp;B183,Regional.Technologies[Code],0))</f>
        <v>Global Oil use in the Alumina Aluminium technology</v>
      </c>
      <c r="E183" s="121">
        <f t="array" aca="1" ref="E183" ca="1">IFERROR(INDEX(INDIRECT($B$3&amp;"."&amp;$B$158&amp;".energy["&amp;This.year&amp;"]"),MATCH($C183&amp;E$5,INDIRECT($B$3&amp;"."&amp;$B$158&amp;".energy[Tech description]")&amp;INDIRECT($B$3&amp;"."&amp;$B$158&amp;".energy[Energy description]"),0)),0)</f>
        <v>0</v>
      </c>
      <c r="F183" s="121">
        <f t="array" aca="1" ref="F183" ca="1">IFERROR(INDEX(INDIRECT($B$3&amp;"."&amp;$B$158&amp;".energy["&amp;This.year&amp;"]"),MATCH($C183&amp;F$5,INDIRECT($B$3&amp;"."&amp;$B$158&amp;".energy[Tech description]")&amp;INDIRECT($B$3&amp;"."&amp;$B$158&amp;".energy[Energy description]"),0)),0)</f>
        <v>0</v>
      </c>
      <c r="G183" s="121">
        <f t="array" aca="1" ref="G183" ca="1">IFERROR(INDEX(INDIRECT($B$3&amp;"."&amp;$B$158&amp;".energy["&amp;This.year&amp;"]"),MATCH($C183&amp;G$5,INDIRECT($B$3&amp;"."&amp;$B$158&amp;".energy[Tech description]")&amp;INDIRECT($B$3&amp;"."&amp;$B$158&amp;".energy[Energy description]"),0)),0)</f>
        <v>0</v>
      </c>
      <c r="H183" s="121">
        <f t="array" aca="1" ref="H183" ca="1">IFERROR(INDEX(INDIRECT($B$3&amp;"."&amp;$B$158&amp;".energy["&amp;This.year&amp;"]"),MATCH($C183&amp;H$5,INDIRECT($B$3&amp;"."&amp;$B$158&amp;".energy[Tech description]")&amp;INDIRECT($B$3&amp;"."&amp;$B$158&amp;".energy[Energy description]"),0)),0)</f>
        <v>0</v>
      </c>
      <c r="I183" s="121">
        <f t="array" aca="1" ref="I183" ca="1">IFERROR(INDEX(INDIRECT($B$3&amp;"."&amp;$B$158&amp;".energy["&amp;This.year&amp;"]"),MATCH($C183&amp;I$5,INDIRECT($B$3&amp;"."&amp;$B$158&amp;".energy[Tech description]")&amp;INDIRECT($B$3&amp;"."&amp;$B$158&amp;".energy[Energy description]"),0)),0)</f>
        <v>0</v>
      </c>
      <c r="J183" s="121">
        <f t="array" aca="1" ref="J183" ca="1">IFERROR(INDEX(INDIRECT($B$3&amp;"."&amp;$B$158&amp;".energy["&amp;This.year&amp;"]"),MATCH($C183&amp;J$5,INDIRECT($B$3&amp;"."&amp;$B$158&amp;".energy[Tech description]")&amp;INDIRECT($B$3&amp;"."&amp;$B$158&amp;".energy[Energy description]"),0)),0)</f>
        <v>0.36003980562967391</v>
      </c>
      <c r="K183" s="121">
        <f t="array" aca="1" ref="K183" ca="1">IFERROR(INDEX(INDIRECT($B$3&amp;"."&amp;$B$158&amp;".energy["&amp;This.year&amp;"]"),MATCH($C183&amp;K$5,INDIRECT($B$3&amp;"."&amp;$B$158&amp;".energy[Tech description]")&amp;INDIRECT($B$3&amp;"."&amp;$B$158&amp;".energy[Energy description]"),0)),0)</f>
        <v>0</v>
      </c>
      <c r="L183" s="121">
        <f t="array" aca="1" ref="L183" ca="1">IFERROR(INDEX(INDIRECT($B$3&amp;"."&amp;$B$158&amp;".energy["&amp;This.year&amp;"]"),MATCH($C183&amp;L$5,INDIRECT($B$3&amp;"."&amp;$B$158&amp;".energy[Tech description]")&amp;INDIRECT($B$3&amp;"."&amp;$B$158&amp;".energy[Energy description]"),0)),0)</f>
        <v>0</v>
      </c>
      <c r="M183" s="121">
        <f t="array" aca="1" ref="M183" ca="1">IFERROR(INDEX(INDIRECT($B$3&amp;"."&amp;$B$158&amp;".energy["&amp;This.year&amp;"]"),MATCH($C183&amp;M$5,INDIRECT($B$3&amp;"."&amp;$B$158&amp;".energy[Tech description]")&amp;INDIRECT($B$3&amp;"."&amp;$B$158&amp;".energy[Energy description]"),0)),0)</f>
        <v>0</v>
      </c>
      <c r="N183" s="121">
        <f t="array" aca="1" ref="N183" ca="1">IFERROR(INDEX(INDIRECT($B$3&amp;"."&amp;$B$158&amp;".energy["&amp;This.year&amp;"]"),MATCH($C183&amp;N$5,INDIRECT($B$3&amp;"."&amp;$B$158&amp;".energy[Tech description]")&amp;INDIRECT($B$3&amp;"."&amp;$B$158&amp;".energy[Energy description]"),0)),0)</f>
        <v>0</v>
      </c>
      <c r="O183" s="121">
        <f t="array" aca="1" ref="O183" ca="1">IFERROR(INDEX(INDIRECT($B$3&amp;"."&amp;$B$158&amp;".energy["&amp;This.year&amp;"]"),MATCH($C183&amp;O$5,INDIRECT($B$3&amp;"."&amp;$B$158&amp;".energy[Tech description]")&amp;INDIRECT($B$3&amp;"."&amp;$B$158&amp;".energy[Energy description]"),0)),0)</f>
        <v>0</v>
      </c>
      <c r="P183" s="121">
        <f t="array" aca="1" ref="P183" ca="1">IFERROR(INDEX(INDIRECT($B$3&amp;"."&amp;$B$158&amp;".energy["&amp;This.year&amp;"]"),MATCH($C183&amp;P$5,INDIRECT($B$3&amp;"."&amp;$B$158&amp;".energy[Tech description]")&amp;INDIRECT($B$3&amp;"."&amp;$B$158&amp;".energy[Energy description]"),0)),0)</f>
        <v>0</v>
      </c>
      <c r="Q183" s="121">
        <f t="array" aca="1" ref="Q183" ca="1">IFERROR(INDEX(INDIRECT($B$3&amp;"."&amp;$B$158&amp;".energy["&amp;This.year&amp;"]"),MATCH($C183&amp;Q$5,INDIRECT($B$3&amp;"."&amp;$B$158&amp;".energy[Tech description]")&amp;INDIRECT($B$3&amp;"."&amp;$B$158&amp;".energy[Energy description]"),0)),0)</f>
        <v>0</v>
      </c>
      <c r="R183" s="121">
        <f t="array" aca="1" ref="R183" ca="1">IFERROR(INDEX(INDIRECT($B$3&amp;"."&amp;$B$158&amp;".energy["&amp;This.year&amp;"]"),MATCH($C183&amp;R$5,INDIRECT($B$3&amp;"."&amp;$B$158&amp;".energy[Tech description]")&amp;INDIRECT($B$3&amp;"."&amp;$B$158&amp;".energy[Energy description]"),0)),0)</f>
        <v>0</v>
      </c>
      <c r="S183" s="121">
        <f t="array" aca="1" ref="S183" ca="1">IFERROR(INDEX(INDIRECT($B$3&amp;"."&amp;$B$158&amp;".energy["&amp;This.year&amp;"]"),MATCH($C183&amp;S$5,INDIRECT($B$3&amp;"."&amp;$B$158&amp;".energy[Tech description]")&amp;INDIRECT($B$3&amp;"."&amp;$B$158&amp;".energy[Energy description]"),0)),0)</f>
        <v>0</v>
      </c>
      <c r="T183" s="121">
        <f t="shared" ca="1" si="19"/>
        <v>0.36003980562967391</v>
      </c>
      <c r="U183" s="109"/>
      <c r="V183" s="152">
        <f t="array" aca="1" ref="V183" ca="1">IFERROR(INDEX(INDIRECT($B$3&amp;"."&amp;$B$158&amp;".energy["&amp;This.year&amp;"]"),MATCH($C183&amp;V$5,INDIRECT($B$3&amp;"."&amp;$B$158&amp;".energy[Tech description]")&amp;INDIRECT($B$3&amp;"."&amp;$B$158&amp;".energy[Energy description]"),0)),0)</f>
        <v>0</v>
      </c>
      <c r="W183" s="152">
        <f t="array" aca="1" ref="W183" ca="1">IFERROR(INDEX(INDIRECT($B$3&amp;"."&amp;$B$158&amp;".energy["&amp;This.year&amp;"]"),MATCH($C183&amp;W$5,INDIRECT($B$3&amp;"."&amp;$B$158&amp;".energy[Tech description]")&amp;INDIRECT($B$3&amp;"."&amp;$B$158&amp;".energy[Energy description]"),0)),0)</f>
        <v>0</v>
      </c>
      <c r="X183" s="152">
        <f t="array" aca="1" ref="X183" ca="1">IFERROR(INDEX(INDIRECT($B$3&amp;"."&amp;$B$158&amp;".energy["&amp;This.year&amp;"]"),MATCH($C183&amp;X$5,INDIRECT($B$3&amp;"."&amp;$B$158&amp;".energy[Tech description]")&amp;INDIRECT($B$3&amp;"."&amp;$B$158&amp;".energy[Energy description]"),0)),0)</f>
        <v>0</v>
      </c>
      <c r="Y183" s="152">
        <f t="array" aca="1" ref="Y183" ca="1">IFERROR(INDEX(INDIRECT($B$3&amp;"."&amp;$B$158&amp;".energy["&amp;This.year&amp;"]"),MATCH($C183&amp;Y$5,INDIRECT($B$3&amp;"."&amp;$B$158&amp;".energy[Tech description]")&amp;INDIRECT($B$3&amp;"."&amp;$B$158&amp;".energy[Energy description]"),0)),0)</f>
        <v>0</v>
      </c>
      <c r="Z183" s="152">
        <f t="array" aca="1" ref="Z183" ca="1">IFERROR(INDEX(INDIRECT($B$3&amp;"."&amp;$B$158&amp;".energy["&amp;This.year&amp;"]"),MATCH($C183&amp;Z$5,INDIRECT($B$3&amp;"."&amp;$B$158&amp;".energy[Tech description]")&amp;INDIRECT($B$3&amp;"."&amp;$B$158&amp;".energy[Energy description]"),0)),0)</f>
        <v>0</v>
      </c>
      <c r="AA183" s="152">
        <f t="array" aca="1" ref="AA183" ca="1">IFERROR(INDEX(INDIRECT($B$3&amp;"."&amp;$B$158&amp;".energy["&amp;This.year&amp;"]"),MATCH($C183&amp;AA$5,INDIRECT($B$3&amp;"."&amp;$B$158&amp;".energy[Tech description]")&amp;INDIRECT($B$3&amp;"."&amp;$B$158&amp;".energy[Energy description]"),0)),0)</f>
        <v>0</v>
      </c>
      <c r="AB183" s="152">
        <f t="array" aca="1" ref="AB183" ca="1">IFERROR(INDEX(INDIRECT($B$3&amp;"."&amp;$B$158&amp;".energy["&amp;This.year&amp;"]"),MATCH($C183&amp;AB$5,INDIRECT($B$3&amp;"."&amp;$B$158&amp;".energy[Tech description]")&amp;INDIRECT($B$3&amp;"."&amp;$B$158&amp;".energy[Energy description]"),0)),0)</f>
        <v>-0.36003980562967391</v>
      </c>
      <c r="AC183" s="152">
        <f t="array" aca="1" ref="AC183" ca="1">IFERROR(INDEX(INDIRECT($B$3&amp;"."&amp;$B$158&amp;".energy["&amp;This.year&amp;"]"),MATCH($C183&amp;AC$5,INDIRECT($B$3&amp;"."&amp;$B$158&amp;".energy[Tech description]")&amp;INDIRECT($B$3&amp;"."&amp;$B$158&amp;".energy[Energy description]"),0)),0)</f>
        <v>0</v>
      </c>
      <c r="AD183" s="152">
        <f t="array" aca="1" ref="AD183" ca="1">IFERROR(INDEX(INDIRECT($B$3&amp;"."&amp;$B$158&amp;".energy["&amp;This.year&amp;"]"),MATCH($C183&amp;AD$5,INDIRECT($B$3&amp;"."&amp;$B$158&amp;".energy[Tech description]")&amp;INDIRECT($B$3&amp;"."&amp;$B$158&amp;".energy[Energy description]"),0)),0)</f>
        <v>0</v>
      </c>
      <c r="AE183" s="152">
        <f t="array" aca="1" ref="AE183" ca="1">IFERROR(INDEX(INDIRECT($B$3&amp;"."&amp;$B$158&amp;".energy["&amp;This.year&amp;"]"),MATCH($C183&amp;AE$5,INDIRECT($B$3&amp;"."&amp;$B$158&amp;".energy[Tech description]")&amp;INDIRECT($B$3&amp;"."&amp;$B$158&amp;".energy[Energy description]"),0)),0)</f>
        <v>0</v>
      </c>
      <c r="AF183" s="152">
        <f t="array" aca="1" ref="AF183" ca="1">IFERROR(INDEX(INDIRECT($B$3&amp;"."&amp;$B$158&amp;".energy["&amp;This.year&amp;"]"),MATCH($C183&amp;AF$5,INDIRECT($B$3&amp;"."&amp;$B$158&amp;".energy[Tech description]")&amp;INDIRECT($B$3&amp;"."&amp;$B$158&amp;".energy[Energy description]"),0)),0)</f>
        <v>0</v>
      </c>
      <c r="AG183" s="152">
        <f t="array" aca="1" ref="AG183" ca="1">IFERROR(INDEX(INDIRECT($B$3&amp;"."&amp;$B$158&amp;".energy["&amp;This.year&amp;"]"),MATCH($C183&amp;AG$5,INDIRECT($B$3&amp;"."&amp;$B$158&amp;".energy[Tech description]")&amp;INDIRECT($B$3&amp;"."&amp;$B$158&amp;".energy[Energy description]"),0)),0)</f>
        <v>0</v>
      </c>
      <c r="AH183" s="152">
        <f t="array" aca="1" ref="AH183" ca="1">IFERROR(INDEX(INDIRECT($B$3&amp;"."&amp;$B$158&amp;".energy["&amp;This.year&amp;"]"),MATCH($C183&amp;AH$5,INDIRECT($B$3&amp;"."&amp;$B$158&amp;".energy[Tech description]")&amp;INDIRECT($B$3&amp;"."&amp;$B$158&amp;".energy[Energy description]"),0)),0)</f>
        <v>0</v>
      </c>
      <c r="AI183" s="152">
        <f t="array" aca="1" ref="AI183" ca="1">IFERROR(INDEX(INDIRECT($B$3&amp;"."&amp;$B$158&amp;".energy["&amp;This.year&amp;"]"),MATCH($C183&amp;AI$5,INDIRECT($B$3&amp;"."&amp;$B$158&amp;".energy[Tech description]")&amp;INDIRECT($B$3&amp;"."&amp;$B$158&amp;".energy[Energy description]"),0)),0)</f>
        <v>0</v>
      </c>
      <c r="AJ183" s="152">
        <f t="array" aca="1" ref="AJ183" ca="1">IFERROR(INDEX(INDIRECT($B$3&amp;"."&amp;$B$158&amp;".energy["&amp;This.year&amp;"]"),MATCH($C183&amp;AJ$5,INDIRECT($B$3&amp;"."&amp;$B$158&amp;".energy[Tech description]")&amp;INDIRECT($B$3&amp;"."&amp;$B$158&amp;".energy[Energy description]"),0)),0)</f>
        <v>0</v>
      </c>
      <c r="AK183" s="152">
        <f t="array" aca="1" ref="AK183" ca="1">IFERROR(INDEX(INDIRECT($B$3&amp;"."&amp;$B$158&amp;".energy["&amp;This.year&amp;"]"),MATCH($C183&amp;AK$5,INDIRECT($B$3&amp;"."&amp;$B$158&amp;".energy[Tech description]")&amp;INDIRECT($B$3&amp;"."&amp;$B$158&amp;".energy[Energy description]"),0)),0)</f>
        <v>0</v>
      </c>
      <c r="AL183" s="152">
        <f t="array" aca="1" ref="AL183" ca="1">IFERROR(INDEX(INDIRECT($B$3&amp;"."&amp;$B$158&amp;".energy["&amp;This.year&amp;"]"),MATCH($C183&amp;AL$5,INDIRECT($B$3&amp;"."&amp;$B$158&amp;".energy[Tech description]")&amp;INDIRECT($B$3&amp;"."&amp;$B$158&amp;".energy[Energy description]"),0)),0)</f>
        <v>0</v>
      </c>
      <c r="AM183" s="152">
        <f t="array" aca="1" ref="AM183" ca="1">IFERROR(INDEX(INDIRECT($B$3&amp;"."&amp;$B$158&amp;".energy["&amp;This.year&amp;"]"),MATCH($C183&amp;AM$5,INDIRECT($B$3&amp;"."&amp;$B$158&amp;".energy[Tech description]")&amp;INDIRECT($B$3&amp;"."&amp;$B$158&amp;".energy[Energy description]"),0)),0)</f>
        <v>0</v>
      </c>
      <c r="AN183" s="152">
        <f t="array" aca="1" ref="AN183" ca="1">IFERROR(INDEX(INDIRECT($B$3&amp;"."&amp;$B$158&amp;".energy["&amp;This.year&amp;"]"),MATCH($C183&amp;AN$5,INDIRECT($B$3&amp;"."&amp;$B$158&amp;".energy[Tech description]")&amp;INDIRECT($B$3&amp;"."&amp;$B$158&amp;".energy[Energy description]"),0)),0)</f>
        <v>0</v>
      </c>
      <c r="AO183" s="152">
        <f t="shared" ca="1" si="20"/>
        <v>-0.36003980562967391</v>
      </c>
      <c r="AP183" s="108"/>
      <c r="AQ183" s="21">
        <f t="array" aca="1" ref="AQ183" ca="1">IFERROR(INDEX(INDIRECT($B$3&amp;"."&amp;$B$158&amp;".energy["&amp;This.year&amp;"]"),MATCH($C183&amp;AQ$5,INDIRECT($B$3&amp;"."&amp;$B$158&amp;".energy[Tech description]")&amp;INDIRECT($B$3&amp;"."&amp;$B$158&amp;".energy[Energy description]"),0)),0)</f>
        <v>0</v>
      </c>
      <c r="AR183" s="21">
        <f t="array" aca="1" ref="AR183" ca="1">IFERROR(INDEX(INDIRECT($B$3&amp;"."&amp;$B$158&amp;".energy["&amp;This.year&amp;"]"),MATCH($C183&amp;AR$5,INDIRECT($B$3&amp;"."&amp;$B$158&amp;".energy[Tech description]")&amp;INDIRECT($B$3&amp;"."&amp;$B$158&amp;".energy[Energy description]"),0)),0)</f>
        <v>0</v>
      </c>
      <c r="AS183" s="21">
        <f t="array" aca="1" ref="AS183" ca="1">IFERROR(INDEX(INDIRECT($B$3&amp;"."&amp;$B$158&amp;".energy["&amp;This.year&amp;"]"),MATCH($C183&amp;AS$5,INDIRECT($B$3&amp;"."&amp;$B$158&amp;".energy[Tech description]")&amp;INDIRECT($B$3&amp;"."&amp;$B$158&amp;".energy[Energy description]"),0)),0)</f>
        <v>0</v>
      </c>
      <c r="AT183" s="21">
        <f t="array" aca="1" ref="AT183" ca="1">IFERROR(INDEX(INDIRECT($B$3&amp;"."&amp;$B$158&amp;".energy["&amp;This.year&amp;"]"),MATCH($C183&amp;AT$5,INDIRECT($B$3&amp;"."&amp;$B$158&amp;".energy[Tech description]")&amp;INDIRECT($B$3&amp;"."&amp;$B$158&amp;".energy[Energy description]"),0)),0)</f>
        <v>0</v>
      </c>
      <c r="AU183" s="21">
        <f t="array" aca="1" ref="AU183" ca="1">IFERROR(INDEX(INDIRECT($B$3&amp;"."&amp;$B$158&amp;".energy["&amp;This.year&amp;"]"),MATCH($C183&amp;AU$5,INDIRECT($B$3&amp;"."&amp;$B$158&amp;".energy[Tech description]")&amp;INDIRECT($B$3&amp;"."&amp;$B$158&amp;".energy[Energy description]"),0)),0)</f>
        <v>0</v>
      </c>
      <c r="AV183" s="21">
        <f t="array" aca="1" ref="AV183" ca="1">IFERROR(INDEX(INDIRECT($B$3&amp;"."&amp;$B$158&amp;".energy["&amp;This.year&amp;"]"),MATCH($C183&amp;AV$5,INDIRECT($B$3&amp;"."&amp;$B$158&amp;".energy[Tech description]")&amp;INDIRECT($B$3&amp;"."&amp;$B$158&amp;".energy[Energy description]"),0)),0)</f>
        <v>0</v>
      </c>
      <c r="AW183" s="21">
        <f t="array" aca="1" ref="AW183" ca="1">IFERROR(INDEX(INDIRECT($B$3&amp;"."&amp;$B$158&amp;".energy["&amp;This.year&amp;"]"),MATCH($C183&amp;AW$5,INDIRECT($B$3&amp;"."&amp;$B$158&amp;".energy[Tech description]")&amp;INDIRECT($B$3&amp;"."&amp;$B$158&amp;".energy[Energy description]"),0)),0)</f>
        <v>0</v>
      </c>
      <c r="AX183" s="21">
        <f t="array" aca="1" ref="AX183" ca="1">IFERROR(INDEX(INDIRECT($B$3&amp;"."&amp;$B$158&amp;".energy["&amp;This.year&amp;"]"),MATCH($C183&amp;AX$5,INDIRECT($B$3&amp;"."&amp;$B$158&amp;".energy[Tech description]")&amp;INDIRECT($B$3&amp;"."&amp;$B$158&amp;".energy[Energy description]"),0)),0)</f>
        <v>0</v>
      </c>
      <c r="AY183" s="21">
        <f t="array" aca="1" ref="AY183" ca="1">IFERROR(INDEX(INDIRECT($B$3&amp;"."&amp;$B$158&amp;".energy["&amp;This.year&amp;"]"),MATCH($C183&amp;AY$5,INDIRECT($B$3&amp;"."&amp;$B$158&amp;".energy[Tech description]")&amp;INDIRECT($B$3&amp;"."&amp;$B$158&amp;".energy[Energy description]"),0)),0)</f>
        <v>0</v>
      </c>
      <c r="AZ183" s="21">
        <f t="array" aca="1" ref="AZ183" ca="1">IFERROR(INDEX(INDIRECT($B$3&amp;"."&amp;$B$158&amp;".energy["&amp;This.year&amp;"]"),MATCH($C183&amp;AZ$5,INDIRECT($B$3&amp;"."&amp;$B$158&amp;".energy[Tech description]")&amp;INDIRECT($B$3&amp;"."&amp;$B$158&amp;".energy[Energy description]"),0)),0)</f>
        <v>0</v>
      </c>
      <c r="BA183" s="21">
        <f t="array" aca="1" ref="BA183" ca="1">IFERROR(INDEX(INDIRECT($B$3&amp;"."&amp;$B$158&amp;".energy["&amp;This.year&amp;"]"),MATCH($C183&amp;BA$5,INDIRECT($B$3&amp;"."&amp;$B$158&amp;".energy[Tech description]")&amp;INDIRECT($B$3&amp;"."&amp;$B$158&amp;".energy[Energy description]"),0)),0)</f>
        <v>0</v>
      </c>
      <c r="BB183" s="21">
        <f t="array" aca="1" ref="BB183" ca="1">IFERROR(INDEX(INDIRECT($B$3&amp;"."&amp;$B$158&amp;".energy["&amp;This.year&amp;"]"),MATCH($C183&amp;BB$5,INDIRECT($B$3&amp;"."&amp;$B$158&amp;".energy[Tech description]")&amp;INDIRECT($B$3&amp;"."&amp;$B$158&amp;".energy[Energy description]"),0)),0)</f>
        <v>0</v>
      </c>
      <c r="BC183" s="21">
        <f t="array" aca="1" ref="BC183" ca="1">IFERROR(INDEX(INDIRECT($B$3&amp;"."&amp;$B$158&amp;".energy["&amp;This.year&amp;"]"),MATCH($C183&amp;BC$5,INDIRECT($B$3&amp;"."&amp;$B$158&amp;".energy[Tech description]")&amp;INDIRECT($B$3&amp;"."&amp;$B$158&amp;".energy[Energy description]"),0)),0)</f>
        <v>0</v>
      </c>
      <c r="BD183" s="21">
        <f t="shared" ca="1" si="21"/>
        <v>0</v>
      </c>
      <c r="BE183" s="108"/>
      <c r="BF183" s="49">
        <f t="array" aca="1" ref="BF183" ca="1">IFERROR(INDEX(INDIRECT($B$3&amp;"."&amp;$B$158&amp;".energy["&amp;This.year&amp;"]"),MATCH($C183&amp;BF$5,INDIRECT($B$3&amp;"."&amp;$B$158&amp;".energy[Tech description]")&amp;INDIRECT($B$3&amp;"."&amp;$B$158&amp;".energy[Energy description]"),0)),0)</f>
        <v>0</v>
      </c>
      <c r="BG183" s="49">
        <f t="array" aca="1" ref="BG183" ca="1">IFERROR(INDEX(INDIRECT($B$3&amp;"."&amp;$B$158&amp;".energy["&amp;This.year&amp;"]"),MATCH($C183&amp;BG$5,INDIRECT($B$3&amp;"."&amp;$B$158&amp;".energy[Tech description]")&amp;INDIRECT($B$3&amp;"."&amp;$B$158&amp;".energy[Energy description]"),0)),0)</f>
        <v>0</v>
      </c>
      <c r="BH183" s="49">
        <f t="shared" ca="1" si="22"/>
        <v>0</v>
      </c>
      <c r="BI183" s="219">
        <f t="shared" ca="1" si="9"/>
        <v>0</v>
      </c>
      <c r="BJ183" s="108"/>
    </row>
    <row r="184" spans="1:62" s="54" customFormat="1">
      <c r="A184" s="133"/>
      <c r="B184" s="176" t="s">
        <v>1810</v>
      </c>
      <c r="C184" s="114" t="str">
        <f>INDEX(Regional.Technologies[Description],MATCH($B$3&amp;"."&amp;B184,Regional.Technologies[Code],0))</f>
        <v>Global Natural Gas use in the Alumina Aluminium technology</v>
      </c>
      <c r="E184" s="121">
        <f t="array" aca="1" ref="E184" ca="1">IFERROR(INDEX(INDIRECT($B$3&amp;"."&amp;$B$158&amp;".energy["&amp;This.year&amp;"]"),MATCH($C184&amp;E$5,INDIRECT($B$3&amp;"."&amp;$B$158&amp;".energy[Tech description]")&amp;INDIRECT($B$3&amp;"."&amp;$B$158&amp;".energy[Energy description]"),0)),0)</f>
        <v>0</v>
      </c>
      <c r="F184" s="121">
        <f t="array" aca="1" ref="F184" ca="1">IFERROR(INDEX(INDIRECT($B$3&amp;"."&amp;$B$158&amp;".energy["&amp;This.year&amp;"]"),MATCH($C184&amp;F$5,INDIRECT($B$3&amp;"."&amp;$B$158&amp;".energy[Tech description]")&amp;INDIRECT($B$3&amp;"."&amp;$B$158&amp;".energy[Energy description]"),0)),0)</f>
        <v>0</v>
      </c>
      <c r="G184" s="121">
        <f t="array" aca="1" ref="G184" ca="1">IFERROR(INDEX(INDIRECT($B$3&amp;"."&amp;$B$158&amp;".energy["&amp;This.year&amp;"]"),MATCH($C184&amp;G$5,INDIRECT($B$3&amp;"."&amp;$B$158&amp;".energy[Tech description]")&amp;INDIRECT($B$3&amp;"."&amp;$B$158&amp;".energy[Energy description]"),0)),0)</f>
        <v>0</v>
      </c>
      <c r="H184" s="121">
        <f t="array" aca="1" ref="H184" ca="1">IFERROR(INDEX(INDIRECT($B$3&amp;"."&amp;$B$158&amp;".energy["&amp;This.year&amp;"]"),MATCH($C184&amp;H$5,INDIRECT($B$3&amp;"."&amp;$B$158&amp;".energy[Tech description]")&amp;INDIRECT($B$3&amp;"."&amp;$B$158&amp;".energy[Energy description]"),0)),0)</f>
        <v>0</v>
      </c>
      <c r="I184" s="121">
        <f t="array" aca="1" ref="I184" ca="1">IFERROR(INDEX(INDIRECT($B$3&amp;"."&amp;$B$158&amp;".energy["&amp;This.year&amp;"]"),MATCH($C184&amp;I$5,INDIRECT($B$3&amp;"."&amp;$B$158&amp;".energy[Tech description]")&amp;INDIRECT($B$3&amp;"."&amp;$B$158&amp;".energy[Energy description]"),0)),0)</f>
        <v>0</v>
      </c>
      <c r="J184" s="121">
        <f t="array" aca="1" ref="J184" ca="1">IFERROR(INDEX(INDIRECT($B$3&amp;"."&amp;$B$158&amp;".energy["&amp;This.year&amp;"]"),MATCH($C184&amp;J$5,INDIRECT($B$3&amp;"."&amp;$B$158&amp;".energy[Tech description]")&amp;INDIRECT($B$3&amp;"."&amp;$B$158&amp;".energy[Energy description]"),0)),0)</f>
        <v>0.33333998618469551</v>
      </c>
      <c r="K184" s="121">
        <f t="array" aca="1" ref="K184" ca="1">IFERROR(INDEX(INDIRECT($B$3&amp;"."&amp;$B$158&amp;".energy["&amp;This.year&amp;"]"),MATCH($C184&amp;K$5,INDIRECT($B$3&amp;"."&amp;$B$158&amp;".energy[Tech description]")&amp;INDIRECT($B$3&amp;"."&amp;$B$158&amp;".energy[Energy description]"),0)),0)</f>
        <v>0</v>
      </c>
      <c r="L184" s="121">
        <f t="array" aca="1" ref="L184" ca="1">IFERROR(INDEX(INDIRECT($B$3&amp;"."&amp;$B$158&amp;".energy["&amp;This.year&amp;"]"),MATCH($C184&amp;L$5,INDIRECT($B$3&amp;"."&amp;$B$158&amp;".energy[Tech description]")&amp;INDIRECT($B$3&amp;"."&amp;$B$158&amp;".energy[Energy description]"),0)),0)</f>
        <v>0</v>
      </c>
      <c r="M184" s="121">
        <f t="array" aca="1" ref="M184" ca="1">IFERROR(INDEX(INDIRECT($B$3&amp;"."&amp;$B$158&amp;".energy["&amp;This.year&amp;"]"),MATCH($C184&amp;M$5,INDIRECT($B$3&amp;"."&amp;$B$158&amp;".energy[Tech description]")&amp;INDIRECT($B$3&amp;"."&amp;$B$158&amp;".energy[Energy description]"),0)),0)</f>
        <v>0</v>
      </c>
      <c r="N184" s="121">
        <f t="array" aca="1" ref="N184" ca="1">IFERROR(INDEX(INDIRECT($B$3&amp;"."&amp;$B$158&amp;".energy["&amp;This.year&amp;"]"),MATCH($C184&amp;N$5,INDIRECT($B$3&amp;"."&amp;$B$158&amp;".energy[Tech description]")&amp;INDIRECT($B$3&amp;"."&amp;$B$158&amp;".energy[Energy description]"),0)),0)</f>
        <v>0</v>
      </c>
      <c r="O184" s="121">
        <f t="array" aca="1" ref="O184" ca="1">IFERROR(INDEX(INDIRECT($B$3&amp;"."&amp;$B$158&amp;".energy["&amp;This.year&amp;"]"),MATCH($C184&amp;O$5,INDIRECT($B$3&amp;"."&amp;$B$158&amp;".energy[Tech description]")&amp;INDIRECT($B$3&amp;"."&amp;$B$158&amp;".energy[Energy description]"),0)),0)</f>
        <v>0</v>
      </c>
      <c r="P184" s="121">
        <f t="array" aca="1" ref="P184" ca="1">IFERROR(INDEX(INDIRECT($B$3&amp;"."&amp;$B$158&amp;".energy["&amp;This.year&amp;"]"),MATCH($C184&amp;P$5,INDIRECT($B$3&amp;"."&amp;$B$158&amp;".energy[Tech description]")&amp;INDIRECT($B$3&amp;"."&amp;$B$158&amp;".energy[Energy description]"),0)),0)</f>
        <v>0</v>
      </c>
      <c r="Q184" s="121">
        <f t="array" aca="1" ref="Q184" ca="1">IFERROR(INDEX(INDIRECT($B$3&amp;"."&amp;$B$158&amp;".energy["&amp;This.year&amp;"]"),MATCH($C184&amp;Q$5,INDIRECT($B$3&amp;"."&amp;$B$158&amp;".energy[Tech description]")&amp;INDIRECT($B$3&amp;"."&amp;$B$158&amp;".energy[Energy description]"),0)),0)</f>
        <v>0</v>
      </c>
      <c r="R184" s="121">
        <f t="array" aca="1" ref="R184" ca="1">IFERROR(INDEX(INDIRECT($B$3&amp;"."&amp;$B$158&amp;".energy["&amp;This.year&amp;"]"),MATCH($C184&amp;R$5,INDIRECT($B$3&amp;"."&amp;$B$158&amp;".energy[Tech description]")&amp;INDIRECT($B$3&amp;"."&amp;$B$158&amp;".energy[Energy description]"),0)),0)</f>
        <v>0</v>
      </c>
      <c r="S184" s="121">
        <f t="array" aca="1" ref="S184" ca="1">IFERROR(INDEX(INDIRECT($B$3&amp;"."&amp;$B$158&amp;".energy["&amp;This.year&amp;"]"),MATCH($C184&amp;S$5,INDIRECT($B$3&amp;"."&amp;$B$158&amp;".energy[Tech description]")&amp;INDIRECT($B$3&amp;"."&amp;$B$158&amp;".energy[Energy description]"),0)),0)</f>
        <v>0</v>
      </c>
      <c r="T184" s="121">
        <f t="shared" ca="1" si="19"/>
        <v>0.33333998618469551</v>
      </c>
      <c r="U184" s="109"/>
      <c r="V184" s="152">
        <f t="array" aca="1" ref="V184" ca="1">IFERROR(INDEX(INDIRECT($B$3&amp;"."&amp;$B$158&amp;".energy["&amp;This.year&amp;"]"),MATCH($C184&amp;V$5,INDIRECT($B$3&amp;"."&amp;$B$158&amp;".energy[Tech description]")&amp;INDIRECT($B$3&amp;"."&amp;$B$158&amp;".energy[Energy description]"),0)),0)</f>
        <v>0</v>
      </c>
      <c r="W184" s="152">
        <f t="array" aca="1" ref="W184" ca="1">IFERROR(INDEX(INDIRECT($B$3&amp;"."&amp;$B$158&amp;".energy["&amp;This.year&amp;"]"),MATCH($C184&amp;W$5,INDIRECT($B$3&amp;"."&amp;$B$158&amp;".energy[Tech description]")&amp;INDIRECT($B$3&amp;"."&amp;$B$158&amp;".energy[Energy description]"),0)),0)</f>
        <v>0</v>
      </c>
      <c r="X184" s="152">
        <f t="array" aca="1" ref="X184" ca="1">IFERROR(INDEX(INDIRECT($B$3&amp;"."&amp;$B$158&amp;".energy["&amp;This.year&amp;"]"),MATCH($C184&amp;X$5,INDIRECT($B$3&amp;"."&amp;$B$158&amp;".energy[Tech description]")&amp;INDIRECT($B$3&amp;"."&amp;$B$158&amp;".energy[Energy description]"),0)),0)</f>
        <v>0</v>
      </c>
      <c r="Y184" s="152">
        <f t="array" aca="1" ref="Y184" ca="1">IFERROR(INDEX(INDIRECT($B$3&amp;"."&amp;$B$158&amp;".energy["&amp;This.year&amp;"]"),MATCH($C184&amp;Y$5,INDIRECT($B$3&amp;"."&amp;$B$158&amp;".energy[Tech description]")&amp;INDIRECT($B$3&amp;"."&amp;$B$158&amp;".energy[Energy description]"),0)),0)</f>
        <v>0</v>
      </c>
      <c r="Z184" s="152">
        <f t="array" aca="1" ref="Z184" ca="1">IFERROR(INDEX(INDIRECT($B$3&amp;"."&amp;$B$158&amp;".energy["&amp;This.year&amp;"]"),MATCH($C184&amp;Z$5,INDIRECT($B$3&amp;"."&amp;$B$158&amp;".energy[Tech description]")&amp;INDIRECT($B$3&amp;"."&amp;$B$158&amp;".energy[Energy description]"),0)),0)</f>
        <v>0</v>
      </c>
      <c r="AA184" s="152">
        <f t="array" aca="1" ref="AA184" ca="1">IFERROR(INDEX(INDIRECT($B$3&amp;"."&amp;$B$158&amp;".energy["&amp;This.year&amp;"]"),MATCH($C184&amp;AA$5,INDIRECT($B$3&amp;"."&amp;$B$158&amp;".energy[Tech description]")&amp;INDIRECT($B$3&amp;"."&amp;$B$158&amp;".energy[Energy description]"),0)),0)</f>
        <v>0</v>
      </c>
      <c r="AB184" s="152">
        <f t="array" aca="1" ref="AB184" ca="1">IFERROR(INDEX(INDIRECT($B$3&amp;"."&amp;$B$158&amp;".energy["&amp;This.year&amp;"]"),MATCH($C184&amp;AB$5,INDIRECT($B$3&amp;"."&amp;$B$158&amp;".energy[Tech description]")&amp;INDIRECT($B$3&amp;"."&amp;$B$158&amp;".energy[Energy description]"),0)),0)</f>
        <v>0</v>
      </c>
      <c r="AC184" s="152">
        <f t="array" aca="1" ref="AC184" ca="1">IFERROR(INDEX(INDIRECT($B$3&amp;"."&amp;$B$158&amp;".energy["&amp;This.year&amp;"]"),MATCH($C184&amp;AC$5,INDIRECT($B$3&amp;"."&amp;$B$158&amp;".energy[Tech description]")&amp;INDIRECT($B$3&amp;"."&amp;$B$158&amp;".energy[Energy description]"),0)),0)</f>
        <v>-0.33333998618469551</v>
      </c>
      <c r="AD184" s="152">
        <f t="array" aca="1" ref="AD184" ca="1">IFERROR(INDEX(INDIRECT($B$3&amp;"."&amp;$B$158&amp;".energy["&amp;This.year&amp;"]"),MATCH($C184&amp;AD$5,INDIRECT($B$3&amp;"."&amp;$B$158&amp;".energy[Tech description]")&amp;INDIRECT($B$3&amp;"."&amp;$B$158&amp;".energy[Energy description]"),0)),0)</f>
        <v>0</v>
      </c>
      <c r="AE184" s="152">
        <f t="array" aca="1" ref="AE184" ca="1">IFERROR(INDEX(INDIRECT($B$3&amp;"."&amp;$B$158&amp;".energy["&amp;This.year&amp;"]"),MATCH($C184&amp;AE$5,INDIRECT($B$3&amp;"."&amp;$B$158&amp;".energy[Tech description]")&amp;INDIRECT($B$3&amp;"."&amp;$B$158&amp;".energy[Energy description]"),0)),0)</f>
        <v>0</v>
      </c>
      <c r="AF184" s="152">
        <f t="array" aca="1" ref="AF184" ca="1">IFERROR(INDEX(INDIRECT($B$3&amp;"."&amp;$B$158&amp;".energy["&amp;This.year&amp;"]"),MATCH($C184&amp;AF$5,INDIRECT($B$3&amp;"."&amp;$B$158&amp;".energy[Tech description]")&amp;INDIRECT($B$3&amp;"."&amp;$B$158&amp;".energy[Energy description]"),0)),0)</f>
        <v>0</v>
      </c>
      <c r="AG184" s="152">
        <f t="array" aca="1" ref="AG184" ca="1">IFERROR(INDEX(INDIRECT($B$3&amp;"."&amp;$B$158&amp;".energy["&amp;This.year&amp;"]"),MATCH($C184&amp;AG$5,INDIRECT($B$3&amp;"."&amp;$B$158&amp;".energy[Tech description]")&amp;INDIRECT($B$3&amp;"."&amp;$B$158&amp;".energy[Energy description]"),0)),0)</f>
        <v>0</v>
      </c>
      <c r="AH184" s="152">
        <f t="array" aca="1" ref="AH184" ca="1">IFERROR(INDEX(INDIRECT($B$3&amp;"."&amp;$B$158&amp;".energy["&amp;This.year&amp;"]"),MATCH($C184&amp;AH$5,INDIRECT($B$3&amp;"."&amp;$B$158&amp;".energy[Tech description]")&amp;INDIRECT($B$3&amp;"."&amp;$B$158&amp;".energy[Energy description]"),0)),0)</f>
        <v>0</v>
      </c>
      <c r="AI184" s="152">
        <f t="array" aca="1" ref="AI184" ca="1">IFERROR(INDEX(INDIRECT($B$3&amp;"."&amp;$B$158&amp;".energy["&amp;This.year&amp;"]"),MATCH($C184&amp;AI$5,INDIRECT($B$3&amp;"."&amp;$B$158&amp;".energy[Tech description]")&amp;INDIRECT($B$3&amp;"."&amp;$B$158&amp;".energy[Energy description]"),0)),0)</f>
        <v>0</v>
      </c>
      <c r="AJ184" s="152">
        <f t="array" aca="1" ref="AJ184" ca="1">IFERROR(INDEX(INDIRECT($B$3&amp;"."&amp;$B$158&amp;".energy["&amp;This.year&amp;"]"),MATCH($C184&amp;AJ$5,INDIRECT($B$3&amp;"."&amp;$B$158&amp;".energy[Tech description]")&amp;INDIRECT($B$3&amp;"."&amp;$B$158&amp;".energy[Energy description]"),0)),0)</f>
        <v>0</v>
      </c>
      <c r="AK184" s="152">
        <f t="array" aca="1" ref="AK184" ca="1">IFERROR(INDEX(INDIRECT($B$3&amp;"."&amp;$B$158&amp;".energy["&amp;This.year&amp;"]"),MATCH($C184&amp;AK$5,INDIRECT($B$3&amp;"."&amp;$B$158&amp;".energy[Tech description]")&amp;INDIRECT($B$3&amp;"."&amp;$B$158&amp;".energy[Energy description]"),0)),0)</f>
        <v>0</v>
      </c>
      <c r="AL184" s="152">
        <f t="array" aca="1" ref="AL184" ca="1">IFERROR(INDEX(INDIRECT($B$3&amp;"."&amp;$B$158&amp;".energy["&amp;This.year&amp;"]"),MATCH($C184&amp;AL$5,INDIRECT($B$3&amp;"."&amp;$B$158&amp;".energy[Tech description]")&amp;INDIRECT($B$3&amp;"."&amp;$B$158&amp;".energy[Energy description]"),0)),0)</f>
        <v>0</v>
      </c>
      <c r="AM184" s="152">
        <f t="array" aca="1" ref="AM184" ca="1">IFERROR(INDEX(INDIRECT($B$3&amp;"."&amp;$B$158&amp;".energy["&amp;This.year&amp;"]"),MATCH($C184&amp;AM$5,INDIRECT($B$3&amp;"."&amp;$B$158&amp;".energy[Tech description]")&amp;INDIRECT($B$3&amp;"."&amp;$B$158&amp;".energy[Energy description]"),0)),0)</f>
        <v>0</v>
      </c>
      <c r="AN184" s="152">
        <f t="array" aca="1" ref="AN184" ca="1">IFERROR(INDEX(INDIRECT($B$3&amp;"."&amp;$B$158&amp;".energy["&amp;This.year&amp;"]"),MATCH($C184&amp;AN$5,INDIRECT($B$3&amp;"."&amp;$B$158&amp;".energy[Tech description]")&amp;INDIRECT($B$3&amp;"."&amp;$B$158&amp;".energy[Energy description]"),0)),0)</f>
        <v>0</v>
      </c>
      <c r="AO184" s="152">
        <f t="shared" ca="1" si="20"/>
        <v>-0.33333998618469551</v>
      </c>
      <c r="AP184" s="108"/>
      <c r="AQ184" s="21">
        <f t="array" aca="1" ref="AQ184" ca="1">IFERROR(INDEX(INDIRECT($B$3&amp;"."&amp;$B$158&amp;".energy["&amp;This.year&amp;"]"),MATCH($C184&amp;AQ$5,INDIRECT($B$3&amp;"."&amp;$B$158&amp;".energy[Tech description]")&amp;INDIRECT($B$3&amp;"."&amp;$B$158&amp;".energy[Energy description]"),0)),0)</f>
        <v>0</v>
      </c>
      <c r="AR184" s="21">
        <f t="array" aca="1" ref="AR184" ca="1">IFERROR(INDEX(INDIRECT($B$3&amp;"."&amp;$B$158&amp;".energy["&amp;This.year&amp;"]"),MATCH($C184&amp;AR$5,INDIRECT($B$3&amp;"."&amp;$B$158&amp;".energy[Tech description]")&amp;INDIRECT($B$3&amp;"."&amp;$B$158&amp;".energy[Energy description]"),0)),0)</f>
        <v>0</v>
      </c>
      <c r="AS184" s="21">
        <f t="array" aca="1" ref="AS184" ca="1">IFERROR(INDEX(INDIRECT($B$3&amp;"."&amp;$B$158&amp;".energy["&amp;This.year&amp;"]"),MATCH($C184&amp;AS$5,INDIRECT($B$3&amp;"."&amp;$B$158&amp;".energy[Tech description]")&amp;INDIRECT($B$3&amp;"."&amp;$B$158&amp;".energy[Energy description]"),0)),0)</f>
        <v>0</v>
      </c>
      <c r="AT184" s="21">
        <f t="array" aca="1" ref="AT184" ca="1">IFERROR(INDEX(INDIRECT($B$3&amp;"."&amp;$B$158&amp;".energy["&amp;This.year&amp;"]"),MATCH($C184&amp;AT$5,INDIRECT($B$3&amp;"."&amp;$B$158&amp;".energy[Tech description]")&amp;INDIRECT($B$3&amp;"."&amp;$B$158&amp;".energy[Energy description]"),0)),0)</f>
        <v>0</v>
      </c>
      <c r="AU184" s="21">
        <f t="array" aca="1" ref="AU184" ca="1">IFERROR(INDEX(INDIRECT($B$3&amp;"."&amp;$B$158&amp;".energy["&amp;This.year&amp;"]"),MATCH($C184&amp;AU$5,INDIRECT($B$3&amp;"."&amp;$B$158&amp;".energy[Tech description]")&amp;INDIRECT($B$3&amp;"."&amp;$B$158&amp;".energy[Energy description]"),0)),0)</f>
        <v>0</v>
      </c>
      <c r="AV184" s="21">
        <f t="array" aca="1" ref="AV184" ca="1">IFERROR(INDEX(INDIRECT($B$3&amp;"."&amp;$B$158&amp;".energy["&amp;This.year&amp;"]"),MATCH($C184&amp;AV$5,INDIRECT($B$3&amp;"."&amp;$B$158&amp;".energy[Tech description]")&amp;INDIRECT($B$3&amp;"."&amp;$B$158&amp;".energy[Energy description]"),0)),0)</f>
        <v>0</v>
      </c>
      <c r="AW184" s="21">
        <f t="array" aca="1" ref="AW184" ca="1">IFERROR(INDEX(INDIRECT($B$3&amp;"."&amp;$B$158&amp;".energy["&amp;This.year&amp;"]"),MATCH($C184&amp;AW$5,INDIRECT($B$3&amp;"."&amp;$B$158&amp;".energy[Tech description]")&amp;INDIRECT($B$3&amp;"."&amp;$B$158&amp;".energy[Energy description]"),0)),0)</f>
        <v>0</v>
      </c>
      <c r="AX184" s="21">
        <f t="array" aca="1" ref="AX184" ca="1">IFERROR(INDEX(INDIRECT($B$3&amp;"."&amp;$B$158&amp;".energy["&amp;This.year&amp;"]"),MATCH($C184&amp;AX$5,INDIRECT($B$3&amp;"."&amp;$B$158&amp;".energy[Tech description]")&amp;INDIRECT($B$3&amp;"."&amp;$B$158&amp;".energy[Energy description]"),0)),0)</f>
        <v>0</v>
      </c>
      <c r="AY184" s="21">
        <f t="array" aca="1" ref="AY184" ca="1">IFERROR(INDEX(INDIRECT($B$3&amp;"."&amp;$B$158&amp;".energy["&amp;This.year&amp;"]"),MATCH($C184&amp;AY$5,INDIRECT($B$3&amp;"."&amp;$B$158&amp;".energy[Tech description]")&amp;INDIRECT($B$3&amp;"."&amp;$B$158&amp;".energy[Energy description]"),0)),0)</f>
        <v>0</v>
      </c>
      <c r="AZ184" s="21">
        <f t="array" aca="1" ref="AZ184" ca="1">IFERROR(INDEX(INDIRECT($B$3&amp;"."&amp;$B$158&amp;".energy["&amp;This.year&amp;"]"),MATCH($C184&amp;AZ$5,INDIRECT($B$3&amp;"."&amp;$B$158&amp;".energy[Tech description]")&amp;INDIRECT($B$3&amp;"."&amp;$B$158&amp;".energy[Energy description]"),0)),0)</f>
        <v>0</v>
      </c>
      <c r="BA184" s="21">
        <f t="array" aca="1" ref="BA184" ca="1">IFERROR(INDEX(INDIRECT($B$3&amp;"."&amp;$B$158&amp;".energy["&amp;This.year&amp;"]"),MATCH($C184&amp;BA$5,INDIRECT($B$3&amp;"."&amp;$B$158&amp;".energy[Tech description]")&amp;INDIRECT($B$3&amp;"."&amp;$B$158&amp;".energy[Energy description]"),0)),0)</f>
        <v>0</v>
      </c>
      <c r="BB184" s="21">
        <f t="array" aca="1" ref="BB184" ca="1">IFERROR(INDEX(INDIRECT($B$3&amp;"."&amp;$B$158&amp;".energy["&amp;This.year&amp;"]"),MATCH($C184&amp;BB$5,INDIRECT($B$3&amp;"."&amp;$B$158&amp;".energy[Tech description]")&amp;INDIRECT($B$3&amp;"."&amp;$B$158&amp;".energy[Energy description]"),0)),0)</f>
        <v>0</v>
      </c>
      <c r="BC184" s="21">
        <f t="array" aca="1" ref="BC184" ca="1">IFERROR(INDEX(INDIRECT($B$3&amp;"."&amp;$B$158&amp;".energy["&amp;This.year&amp;"]"),MATCH($C184&amp;BC$5,INDIRECT($B$3&amp;"."&amp;$B$158&amp;".energy[Tech description]")&amp;INDIRECT($B$3&amp;"."&amp;$B$158&amp;".energy[Energy description]"),0)),0)</f>
        <v>0</v>
      </c>
      <c r="BD184" s="21">
        <f t="shared" ca="1" si="21"/>
        <v>0</v>
      </c>
      <c r="BE184" s="108"/>
      <c r="BF184" s="49">
        <f t="array" aca="1" ref="BF184" ca="1">IFERROR(INDEX(INDIRECT($B$3&amp;"."&amp;$B$158&amp;".energy["&amp;This.year&amp;"]"),MATCH($C184&amp;BF$5,INDIRECT($B$3&amp;"."&amp;$B$158&amp;".energy[Tech description]")&amp;INDIRECT($B$3&amp;"."&amp;$B$158&amp;".energy[Energy description]"),0)),0)</f>
        <v>0</v>
      </c>
      <c r="BG184" s="49">
        <f t="array" aca="1" ref="BG184" ca="1">IFERROR(INDEX(INDIRECT($B$3&amp;"."&amp;$B$158&amp;".energy["&amp;This.year&amp;"]"),MATCH($C184&amp;BG$5,INDIRECT($B$3&amp;"."&amp;$B$158&amp;".energy[Tech description]")&amp;INDIRECT($B$3&amp;"."&amp;$B$158&amp;".energy[Energy description]"),0)),0)</f>
        <v>0</v>
      </c>
      <c r="BH184" s="49">
        <f t="shared" ca="1" si="22"/>
        <v>0</v>
      </c>
      <c r="BI184" s="219">
        <f t="shared" ca="1" si="9"/>
        <v>0</v>
      </c>
      <c r="BJ184" s="108"/>
    </row>
    <row r="185" spans="1:62" s="54" customFormat="1">
      <c r="A185" s="133"/>
      <c r="B185" s="176" t="s">
        <v>1811</v>
      </c>
      <c r="C185" s="114" t="str">
        <f>INDEX(Regional.Technologies[Description],MATCH($B$3&amp;"."&amp;B185,Regional.Technologies[Code],0))</f>
        <v>Global Solid Hydrocarbons use in the Alumina Aluminium technology</v>
      </c>
      <c r="E185" s="121">
        <f t="array" aca="1" ref="E185" ca="1">IFERROR(INDEX(INDIRECT($B$3&amp;"."&amp;$B$158&amp;".energy["&amp;This.year&amp;"]"),MATCH($C185&amp;E$5,INDIRECT($B$3&amp;"."&amp;$B$158&amp;".energy[Tech description]")&amp;INDIRECT($B$3&amp;"."&amp;$B$158&amp;".energy[Energy description]"),0)),0)</f>
        <v>0</v>
      </c>
      <c r="F185" s="121">
        <f t="array" aca="1" ref="F185" ca="1">IFERROR(INDEX(INDIRECT($B$3&amp;"."&amp;$B$158&amp;".energy["&amp;This.year&amp;"]"),MATCH($C185&amp;F$5,INDIRECT($B$3&amp;"."&amp;$B$158&amp;".energy[Tech description]")&amp;INDIRECT($B$3&amp;"."&amp;$B$158&amp;".energy[Energy description]"),0)),0)</f>
        <v>0</v>
      </c>
      <c r="G185" s="121">
        <f t="array" aca="1" ref="G185" ca="1">IFERROR(INDEX(INDIRECT($B$3&amp;"."&amp;$B$158&amp;".energy["&amp;This.year&amp;"]"),MATCH($C185&amp;G$5,INDIRECT($B$3&amp;"."&amp;$B$158&amp;".energy[Tech description]")&amp;INDIRECT($B$3&amp;"."&amp;$B$158&amp;".energy[Energy description]"),0)),0)</f>
        <v>0</v>
      </c>
      <c r="H185" s="121">
        <f t="array" aca="1" ref="H185" ca="1">IFERROR(INDEX(INDIRECT($B$3&amp;"."&amp;$B$158&amp;".energy["&amp;This.year&amp;"]"),MATCH($C185&amp;H$5,INDIRECT($B$3&amp;"."&amp;$B$158&amp;".energy[Tech description]")&amp;INDIRECT($B$3&amp;"."&amp;$B$158&amp;".energy[Energy description]"),0)),0)</f>
        <v>0</v>
      </c>
      <c r="I185" s="121">
        <f t="array" aca="1" ref="I185" ca="1">IFERROR(INDEX(INDIRECT($B$3&amp;"."&amp;$B$158&amp;".energy["&amp;This.year&amp;"]"),MATCH($C185&amp;I$5,INDIRECT($B$3&amp;"."&amp;$B$158&amp;".energy[Tech description]")&amp;INDIRECT($B$3&amp;"."&amp;$B$158&amp;".energy[Energy description]"),0)),0)</f>
        <v>0</v>
      </c>
      <c r="J185" s="121">
        <f t="array" aca="1" ref="J185" ca="1">IFERROR(INDEX(INDIRECT($B$3&amp;"."&amp;$B$158&amp;".energy["&amp;This.year&amp;"]"),MATCH($C185&amp;J$5,INDIRECT($B$3&amp;"."&amp;$B$158&amp;".energy[Tech description]")&amp;INDIRECT($B$3&amp;"."&amp;$B$158&amp;".energy[Energy description]"),0)),0)</f>
        <v>0</v>
      </c>
      <c r="K185" s="121">
        <f t="array" aca="1" ref="K185" ca="1">IFERROR(INDEX(INDIRECT($B$3&amp;"."&amp;$B$158&amp;".energy["&amp;This.year&amp;"]"),MATCH($C185&amp;K$5,INDIRECT($B$3&amp;"."&amp;$B$158&amp;".energy[Tech description]")&amp;INDIRECT($B$3&amp;"."&amp;$B$158&amp;".energy[Energy description]"),0)),0)</f>
        <v>0</v>
      </c>
      <c r="L185" s="121">
        <f t="array" aca="1" ref="L185" ca="1">IFERROR(INDEX(INDIRECT($B$3&amp;"."&amp;$B$158&amp;".energy["&amp;This.year&amp;"]"),MATCH($C185&amp;L$5,INDIRECT($B$3&amp;"."&amp;$B$158&amp;".energy[Tech description]")&amp;INDIRECT($B$3&amp;"."&amp;$B$158&amp;".energy[Energy description]"),0)),0)</f>
        <v>0</v>
      </c>
      <c r="M185" s="121">
        <f t="array" aca="1" ref="M185" ca="1">IFERROR(INDEX(INDIRECT($B$3&amp;"."&amp;$B$158&amp;".energy["&amp;This.year&amp;"]"),MATCH($C185&amp;M$5,INDIRECT($B$3&amp;"."&amp;$B$158&amp;".energy[Tech description]")&amp;INDIRECT($B$3&amp;"."&amp;$B$158&amp;".energy[Energy description]"),0)),0)</f>
        <v>0</v>
      </c>
      <c r="N185" s="121">
        <f t="array" aca="1" ref="N185" ca="1">IFERROR(INDEX(INDIRECT($B$3&amp;"."&amp;$B$158&amp;".energy["&amp;This.year&amp;"]"),MATCH($C185&amp;N$5,INDIRECT($B$3&amp;"."&amp;$B$158&amp;".energy[Tech description]")&amp;INDIRECT($B$3&amp;"."&amp;$B$158&amp;".energy[Energy description]"),0)),0)</f>
        <v>0</v>
      </c>
      <c r="O185" s="121">
        <f t="array" aca="1" ref="O185" ca="1">IFERROR(INDEX(INDIRECT($B$3&amp;"."&amp;$B$158&amp;".energy["&amp;This.year&amp;"]"),MATCH($C185&amp;O$5,INDIRECT($B$3&amp;"."&amp;$B$158&amp;".energy[Tech description]")&amp;INDIRECT($B$3&amp;"."&amp;$B$158&amp;".energy[Energy description]"),0)),0)</f>
        <v>0</v>
      </c>
      <c r="P185" s="121">
        <f t="array" aca="1" ref="P185" ca="1">IFERROR(INDEX(INDIRECT($B$3&amp;"."&amp;$B$158&amp;".energy["&amp;This.year&amp;"]"),MATCH($C185&amp;P$5,INDIRECT($B$3&amp;"."&amp;$B$158&amp;".energy[Tech description]")&amp;INDIRECT($B$3&amp;"."&amp;$B$158&amp;".energy[Energy description]"),0)),0)</f>
        <v>0</v>
      </c>
      <c r="Q185" s="121">
        <f t="array" aca="1" ref="Q185" ca="1">IFERROR(INDEX(INDIRECT($B$3&amp;"."&amp;$B$158&amp;".energy["&amp;This.year&amp;"]"),MATCH($C185&amp;Q$5,INDIRECT($B$3&amp;"."&amp;$B$158&amp;".energy[Tech description]")&amp;INDIRECT($B$3&amp;"."&amp;$B$158&amp;".energy[Energy description]"),0)),0)</f>
        <v>0</v>
      </c>
      <c r="R185" s="121">
        <f t="array" aca="1" ref="R185" ca="1">IFERROR(INDEX(INDIRECT($B$3&amp;"."&amp;$B$158&amp;".energy["&amp;This.year&amp;"]"),MATCH($C185&amp;R$5,INDIRECT($B$3&amp;"."&amp;$B$158&amp;".energy[Tech description]")&amp;INDIRECT($B$3&amp;"."&amp;$B$158&amp;".energy[Energy description]"),0)),0)</f>
        <v>0</v>
      </c>
      <c r="S185" s="121">
        <f t="array" aca="1" ref="S185" ca="1">IFERROR(INDEX(INDIRECT($B$3&amp;"."&amp;$B$158&amp;".energy["&amp;This.year&amp;"]"),MATCH($C185&amp;S$5,INDIRECT($B$3&amp;"."&amp;$B$158&amp;".energy[Tech description]")&amp;INDIRECT($B$3&amp;"."&amp;$B$158&amp;".energy[Energy description]"),0)),0)</f>
        <v>0</v>
      </c>
      <c r="T185" s="121">
        <f t="shared" ca="1" si="19"/>
        <v>0</v>
      </c>
      <c r="U185" s="109"/>
      <c r="V185" s="152">
        <f t="array" aca="1" ref="V185" ca="1">IFERROR(INDEX(INDIRECT($B$3&amp;"."&amp;$B$158&amp;".energy["&amp;This.year&amp;"]"),MATCH($C185&amp;V$5,INDIRECT($B$3&amp;"."&amp;$B$158&amp;".energy[Tech description]")&amp;INDIRECT($B$3&amp;"."&amp;$B$158&amp;".energy[Energy description]"),0)),0)</f>
        <v>0</v>
      </c>
      <c r="W185" s="152">
        <f t="array" aca="1" ref="W185" ca="1">IFERROR(INDEX(INDIRECT($B$3&amp;"."&amp;$B$158&amp;".energy["&amp;This.year&amp;"]"),MATCH($C185&amp;W$5,INDIRECT($B$3&amp;"."&amp;$B$158&amp;".energy[Tech description]")&amp;INDIRECT($B$3&amp;"."&amp;$B$158&amp;".energy[Energy description]"),0)),0)</f>
        <v>0</v>
      </c>
      <c r="X185" s="152">
        <f t="array" aca="1" ref="X185" ca="1">IFERROR(INDEX(INDIRECT($B$3&amp;"."&amp;$B$158&amp;".energy["&amp;This.year&amp;"]"),MATCH($C185&amp;X$5,INDIRECT($B$3&amp;"."&amp;$B$158&amp;".energy[Tech description]")&amp;INDIRECT($B$3&amp;"."&amp;$B$158&amp;".energy[Energy description]"),0)),0)</f>
        <v>0</v>
      </c>
      <c r="Y185" s="152">
        <f t="array" aca="1" ref="Y185" ca="1">IFERROR(INDEX(INDIRECT($B$3&amp;"."&amp;$B$158&amp;".energy["&amp;This.year&amp;"]"),MATCH($C185&amp;Y$5,INDIRECT($B$3&amp;"."&amp;$B$158&amp;".energy[Tech description]")&amp;INDIRECT($B$3&amp;"."&amp;$B$158&amp;".energy[Energy description]"),0)),0)</f>
        <v>0</v>
      </c>
      <c r="Z185" s="152">
        <f t="array" aca="1" ref="Z185" ca="1">IFERROR(INDEX(INDIRECT($B$3&amp;"."&amp;$B$158&amp;".energy["&amp;This.year&amp;"]"),MATCH($C185&amp;Z$5,INDIRECT($B$3&amp;"."&amp;$B$158&amp;".energy[Tech description]")&amp;INDIRECT($B$3&amp;"."&amp;$B$158&amp;".energy[Energy description]"),0)),0)</f>
        <v>0</v>
      </c>
      <c r="AA185" s="152">
        <f t="array" aca="1" ref="AA185" ca="1">IFERROR(INDEX(INDIRECT($B$3&amp;"."&amp;$B$158&amp;".energy["&amp;This.year&amp;"]"),MATCH($C185&amp;AA$5,INDIRECT($B$3&amp;"."&amp;$B$158&amp;".energy[Tech description]")&amp;INDIRECT($B$3&amp;"."&amp;$B$158&amp;".energy[Energy description]"),0)),0)</f>
        <v>0</v>
      </c>
      <c r="AB185" s="152">
        <f t="array" aca="1" ref="AB185" ca="1">IFERROR(INDEX(INDIRECT($B$3&amp;"."&amp;$B$158&amp;".energy["&amp;This.year&amp;"]"),MATCH($C185&amp;AB$5,INDIRECT($B$3&amp;"."&amp;$B$158&amp;".energy[Tech description]")&amp;INDIRECT($B$3&amp;"."&amp;$B$158&amp;".energy[Energy description]"),0)),0)</f>
        <v>0</v>
      </c>
      <c r="AC185" s="152">
        <f t="array" aca="1" ref="AC185" ca="1">IFERROR(INDEX(INDIRECT($B$3&amp;"."&amp;$B$158&amp;".energy["&amp;This.year&amp;"]"),MATCH($C185&amp;AC$5,INDIRECT($B$3&amp;"."&amp;$B$158&amp;".energy[Tech description]")&amp;INDIRECT($B$3&amp;"."&amp;$B$158&amp;".energy[Energy description]"),0)),0)</f>
        <v>0</v>
      </c>
      <c r="AD185" s="152">
        <f t="array" aca="1" ref="AD185" ca="1">IFERROR(INDEX(INDIRECT($B$3&amp;"."&amp;$B$158&amp;".energy["&amp;This.year&amp;"]"),MATCH($C185&amp;AD$5,INDIRECT($B$3&amp;"."&amp;$B$158&amp;".energy[Tech description]")&amp;INDIRECT($B$3&amp;"."&amp;$B$158&amp;".energy[Energy description]"),0)),0)</f>
        <v>0</v>
      </c>
      <c r="AE185" s="152">
        <f t="array" aca="1" ref="AE185" ca="1">IFERROR(INDEX(INDIRECT($B$3&amp;"."&amp;$B$158&amp;".energy["&amp;This.year&amp;"]"),MATCH($C185&amp;AE$5,INDIRECT($B$3&amp;"."&amp;$B$158&amp;".energy[Tech description]")&amp;INDIRECT($B$3&amp;"."&amp;$B$158&amp;".energy[Energy description]"),0)),0)</f>
        <v>0</v>
      </c>
      <c r="AF185" s="152">
        <f t="array" aca="1" ref="AF185" ca="1">IFERROR(INDEX(INDIRECT($B$3&amp;"."&amp;$B$158&amp;".energy["&amp;This.year&amp;"]"),MATCH($C185&amp;AF$5,INDIRECT($B$3&amp;"."&amp;$B$158&amp;".energy[Tech description]")&amp;INDIRECT($B$3&amp;"."&amp;$B$158&amp;".energy[Energy description]"),0)),0)</f>
        <v>0</v>
      </c>
      <c r="AG185" s="152">
        <f t="array" aca="1" ref="AG185" ca="1">IFERROR(INDEX(INDIRECT($B$3&amp;"."&amp;$B$158&amp;".energy["&amp;This.year&amp;"]"),MATCH($C185&amp;AG$5,INDIRECT($B$3&amp;"."&amp;$B$158&amp;".energy[Tech description]")&amp;INDIRECT($B$3&amp;"."&amp;$B$158&amp;".energy[Energy description]"),0)),0)</f>
        <v>0</v>
      </c>
      <c r="AH185" s="152">
        <f t="array" aca="1" ref="AH185" ca="1">IFERROR(INDEX(INDIRECT($B$3&amp;"."&amp;$B$158&amp;".energy["&amp;This.year&amp;"]"),MATCH($C185&amp;AH$5,INDIRECT($B$3&amp;"."&amp;$B$158&amp;".energy[Tech description]")&amp;INDIRECT($B$3&amp;"."&amp;$B$158&amp;".energy[Energy description]"),0)),0)</f>
        <v>0</v>
      </c>
      <c r="AI185" s="152">
        <f t="array" aca="1" ref="AI185" ca="1">IFERROR(INDEX(INDIRECT($B$3&amp;"."&amp;$B$158&amp;".energy["&amp;This.year&amp;"]"),MATCH($C185&amp;AI$5,INDIRECT($B$3&amp;"."&amp;$B$158&amp;".energy[Tech description]")&amp;INDIRECT($B$3&amp;"."&amp;$B$158&amp;".energy[Energy description]"),0)),0)</f>
        <v>0</v>
      </c>
      <c r="AJ185" s="152">
        <f t="array" aca="1" ref="AJ185" ca="1">IFERROR(INDEX(INDIRECT($B$3&amp;"."&amp;$B$158&amp;".energy["&amp;This.year&amp;"]"),MATCH($C185&amp;AJ$5,INDIRECT($B$3&amp;"."&amp;$B$158&amp;".energy[Tech description]")&amp;INDIRECT($B$3&amp;"."&amp;$B$158&amp;".energy[Energy description]"),0)),0)</f>
        <v>0</v>
      </c>
      <c r="AK185" s="152">
        <f t="array" aca="1" ref="AK185" ca="1">IFERROR(INDEX(INDIRECT($B$3&amp;"."&amp;$B$158&amp;".energy["&amp;This.year&amp;"]"),MATCH($C185&amp;AK$5,INDIRECT($B$3&amp;"."&amp;$B$158&amp;".energy[Tech description]")&amp;INDIRECT($B$3&amp;"."&amp;$B$158&amp;".energy[Energy description]"),0)),0)</f>
        <v>0</v>
      </c>
      <c r="AL185" s="152">
        <f t="array" aca="1" ref="AL185" ca="1">IFERROR(INDEX(INDIRECT($B$3&amp;"."&amp;$B$158&amp;".energy["&amp;This.year&amp;"]"),MATCH($C185&amp;AL$5,INDIRECT($B$3&amp;"."&amp;$B$158&amp;".energy[Tech description]")&amp;INDIRECT($B$3&amp;"."&amp;$B$158&amp;".energy[Energy description]"),0)),0)</f>
        <v>0</v>
      </c>
      <c r="AM185" s="152">
        <f t="array" aca="1" ref="AM185" ca="1">IFERROR(INDEX(INDIRECT($B$3&amp;"."&amp;$B$158&amp;".energy["&amp;This.year&amp;"]"),MATCH($C185&amp;AM$5,INDIRECT($B$3&amp;"."&amp;$B$158&amp;".energy[Tech description]")&amp;INDIRECT($B$3&amp;"."&amp;$B$158&amp;".energy[Energy description]"),0)),0)</f>
        <v>0</v>
      </c>
      <c r="AN185" s="152">
        <f t="array" aca="1" ref="AN185" ca="1">IFERROR(INDEX(INDIRECT($B$3&amp;"."&amp;$B$158&amp;".energy["&amp;This.year&amp;"]"),MATCH($C185&amp;AN$5,INDIRECT($B$3&amp;"."&amp;$B$158&amp;".energy[Tech description]")&amp;INDIRECT($B$3&amp;"."&amp;$B$158&amp;".energy[Energy description]"),0)),0)</f>
        <v>0</v>
      </c>
      <c r="AO185" s="152">
        <f t="shared" ca="1" si="20"/>
        <v>0</v>
      </c>
      <c r="AP185" s="108"/>
      <c r="AQ185" s="21">
        <f t="array" aca="1" ref="AQ185" ca="1">IFERROR(INDEX(INDIRECT($B$3&amp;"."&amp;$B$158&amp;".energy["&amp;This.year&amp;"]"),MATCH($C185&amp;AQ$5,INDIRECT($B$3&amp;"."&amp;$B$158&amp;".energy[Tech description]")&amp;INDIRECT($B$3&amp;"."&amp;$B$158&amp;".energy[Energy description]"),0)),0)</f>
        <v>0</v>
      </c>
      <c r="AR185" s="21">
        <f t="array" aca="1" ref="AR185" ca="1">IFERROR(INDEX(INDIRECT($B$3&amp;"."&amp;$B$158&amp;".energy["&amp;This.year&amp;"]"),MATCH($C185&amp;AR$5,INDIRECT($B$3&amp;"."&amp;$B$158&amp;".energy[Tech description]")&amp;INDIRECT($B$3&amp;"."&amp;$B$158&amp;".energy[Energy description]"),0)),0)</f>
        <v>0</v>
      </c>
      <c r="AS185" s="21">
        <f t="array" aca="1" ref="AS185" ca="1">IFERROR(INDEX(INDIRECT($B$3&amp;"."&amp;$B$158&amp;".energy["&amp;This.year&amp;"]"),MATCH($C185&amp;AS$5,INDIRECT($B$3&amp;"."&amp;$B$158&amp;".energy[Tech description]")&amp;INDIRECT($B$3&amp;"."&amp;$B$158&amp;".energy[Energy description]"),0)),0)</f>
        <v>0</v>
      </c>
      <c r="AT185" s="21">
        <f t="array" aca="1" ref="AT185" ca="1">IFERROR(INDEX(INDIRECT($B$3&amp;"."&amp;$B$158&amp;".energy["&amp;This.year&amp;"]"),MATCH($C185&amp;AT$5,INDIRECT($B$3&amp;"."&amp;$B$158&amp;".energy[Tech description]")&amp;INDIRECT($B$3&amp;"."&amp;$B$158&amp;".energy[Energy description]"),0)),0)</f>
        <v>0</v>
      </c>
      <c r="AU185" s="21">
        <f t="array" aca="1" ref="AU185" ca="1">IFERROR(INDEX(INDIRECT($B$3&amp;"."&amp;$B$158&amp;".energy["&amp;This.year&amp;"]"),MATCH($C185&amp;AU$5,INDIRECT($B$3&amp;"."&amp;$B$158&amp;".energy[Tech description]")&amp;INDIRECT($B$3&amp;"."&amp;$B$158&amp;".energy[Energy description]"),0)),0)</f>
        <v>0</v>
      </c>
      <c r="AV185" s="21">
        <f t="array" aca="1" ref="AV185" ca="1">IFERROR(INDEX(INDIRECT($B$3&amp;"."&amp;$B$158&amp;".energy["&amp;This.year&amp;"]"),MATCH($C185&amp;AV$5,INDIRECT($B$3&amp;"."&amp;$B$158&amp;".energy[Tech description]")&amp;INDIRECT($B$3&amp;"."&amp;$B$158&amp;".energy[Energy description]"),0)),0)</f>
        <v>0</v>
      </c>
      <c r="AW185" s="21">
        <f t="array" aca="1" ref="AW185" ca="1">IFERROR(INDEX(INDIRECT($B$3&amp;"."&amp;$B$158&amp;".energy["&amp;This.year&amp;"]"),MATCH($C185&amp;AW$5,INDIRECT($B$3&amp;"."&amp;$B$158&amp;".energy[Tech description]")&amp;INDIRECT($B$3&amp;"."&amp;$B$158&amp;".energy[Energy description]"),0)),0)</f>
        <v>0</v>
      </c>
      <c r="AX185" s="21">
        <f t="array" aca="1" ref="AX185" ca="1">IFERROR(INDEX(INDIRECT($B$3&amp;"."&amp;$B$158&amp;".energy["&amp;This.year&amp;"]"),MATCH($C185&amp;AX$5,INDIRECT($B$3&amp;"."&amp;$B$158&amp;".energy[Tech description]")&amp;INDIRECT($B$3&amp;"."&amp;$B$158&amp;".energy[Energy description]"),0)),0)</f>
        <v>0</v>
      </c>
      <c r="AY185" s="21">
        <f t="array" aca="1" ref="AY185" ca="1">IFERROR(INDEX(INDIRECT($B$3&amp;"."&amp;$B$158&amp;".energy["&amp;This.year&amp;"]"),MATCH($C185&amp;AY$5,INDIRECT($B$3&amp;"."&amp;$B$158&amp;".energy[Tech description]")&amp;INDIRECT($B$3&amp;"."&amp;$B$158&amp;".energy[Energy description]"),0)),0)</f>
        <v>0</v>
      </c>
      <c r="AZ185" s="21">
        <f t="array" aca="1" ref="AZ185" ca="1">IFERROR(INDEX(INDIRECT($B$3&amp;"."&amp;$B$158&amp;".energy["&amp;This.year&amp;"]"),MATCH($C185&amp;AZ$5,INDIRECT($B$3&amp;"."&amp;$B$158&amp;".energy[Tech description]")&amp;INDIRECT($B$3&amp;"."&amp;$B$158&amp;".energy[Energy description]"),0)),0)</f>
        <v>0</v>
      </c>
      <c r="BA185" s="21">
        <f t="array" aca="1" ref="BA185" ca="1">IFERROR(INDEX(INDIRECT($B$3&amp;"."&amp;$B$158&amp;".energy["&amp;This.year&amp;"]"),MATCH($C185&amp;BA$5,INDIRECT($B$3&amp;"."&amp;$B$158&amp;".energy[Tech description]")&amp;INDIRECT($B$3&amp;"."&amp;$B$158&amp;".energy[Energy description]"),0)),0)</f>
        <v>0</v>
      </c>
      <c r="BB185" s="21">
        <f t="array" aca="1" ref="BB185" ca="1">IFERROR(INDEX(INDIRECT($B$3&amp;"."&amp;$B$158&amp;".energy["&amp;This.year&amp;"]"),MATCH($C185&amp;BB$5,INDIRECT($B$3&amp;"."&amp;$B$158&amp;".energy[Tech description]")&amp;INDIRECT($B$3&amp;"."&amp;$B$158&amp;".energy[Energy description]"),0)),0)</f>
        <v>0</v>
      </c>
      <c r="BC185" s="21">
        <f t="array" aca="1" ref="BC185" ca="1">IFERROR(INDEX(INDIRECT($B$3&amp;"."&amp;$B$158&amp;".energy["&amp;This.year&amp;"]"),MATCH($C185&amp;BC$5,INDIRECT($B$3&amp;"."&amp;$B$158&amp;".energy[Tech description]")&amp;INDIRECT($B$3&amp;"."&amp;$B$158&amp;".energy[Energy description]"),0)),0)</f>
        <v>0</v>
      </c>
      <c r="BD185" s="21">
        <f t="shared" ca="1" si="21"/>
        <v>0</v>
      </c>
      <c r="BE185" s="108"/>
      <c r="BF185" s="49">
        <f t="array" aca="1" ref="BF185" ca="1">IFERROR(INDEX(INDIRECT($B$3&amp;"."&amp;$B$158&amp;".energy["&amp;This.year&amp;"]"),MATCH($C185&amp;BF$5,INDIRECT($B$3&amp;"."&amp;$B$158&amp;".energy[Tech description]")&amp;INDIRECT($B$3&amp;"."&amp;$B$158&amp;".energy[Energy description]"),0)),0)</f>
        <v>0</v>
      </c>
      <c r="BG185" s="49">
        <f t="array" aca="1" ref="BG185" ca="1">IFERROR(INDEX(INDIRECT($B$3&amp;"."&amp;$B$158&amp;".energy["&amp;This.year&amp;"]"),MATCH($C185&amp;BG$5,INDIRECT($B$3&amp;"."&amp;$B$158&amp;".energy[Tech description]")&amp;INDIRECT($B$3&amp;"."&amp;$B$158&amp;".energy[Energy description]"),0)),0)</f>
        <v>0</v>
      </c>
      <c r="BH185" s="49">
        <f t="shared" ca="1" si="22"/>
        <v>0</v>
      </c>
      <c r="BI185" s="219">
        <f t="shared" ca="1" si="9"/>
        <v>0</v>
      </c>
      <c r="BJ185" s="108"/>
    </row>
    <row r="186" spans="1:62" s="54" customFormat="1">
      <c r="A186" s="133"/>
      <c r="B186" s="176" t="s">
        <v>1812</v>
      </c>
      <c r="C186" s="114" t="str">
        <f>INDEX(Regional.Technologies[Description],MATCH($B$3&amp;"."&amp;B186,Regional.Technologies[Code],0))</f>
        <v>Global Heat use in the Alumina Aluminium technology</v>
      </c>
      <c r="E186" s="121">
        <f t="array" aca="1" ref="E186" ca="1">IFERROR(INDEX(INDIRECT($B$3&amp;"."&amp;$B$158&amp;".energy["&amp;This.year&amp;"]"),MATCH($C186&amp;E$5,INDIRECT($B$3&amp;"."&amp;$B$158&amp;".energy[Tech description]")&amp;INDIRECT($B$3&amp;"."&amp;$B$158&amp;".energy[Energy description]"),0)),0)</f>
        <v>0</v>
      </c>
      <c r="F186" s="121">
        <f t="array" aca="1" ref="F186" ca="1">IFERROR(INDEX(INDIRECT($B$3&amp;"."&amp;$B$158&amp;".energy["&amp;This.year&amp;"]"),MATCH($C186&amp;F$5,INDIRECT($B$3&amp;"."&amp;$B$158&amp;".energy[Tech description]")&amp;INDIRECT($B$3&amp;"."&amp;$B$158&amp;".energy[Energy description]"),0)),0)</f>
        <v>0</v>
      </c>
      <c r="G186" s="121">
        <f t="array" aca="1" ref="G186" ca="1">IFERROR(INDEX(INDIRECT($B$3&amp;"."&amp;$B$158&amp;".energy["&amp;This.year&amp;"]"),MATCH($C186&amp;G$5,INDIRECT($B$3&amp;"."&amp;$B$158&amp;".energy[Tech description]")&amp;INDIRECT($B$3&amp;"."&amp;$B$158&amp;".energy[Energy description]"),0)),0)</f>
        <v>0</v>
      </c>
      <c r="H186" s="121">
        <f t="array" aca="1" ref="H186" ca="1">IFERROR(INDEX(INDIRECT($B$3&amp;"."&amp;$B$158&amp;".energy["&amp;This.year&amp;"]"),MATCH($C186&amp;H$5,INDIRECT($B$3&amp;"."&amp;$B$158&amp;".energy[Tech description]")&amp;INDIRECT($B$3&amp;"."&amp;$B$158&amp;".energy[Energy description]"),0)),0)</f>
        <v>0</v>
      </c>
      <c r="I186" s="121">
        <f t="array" aca="1" ref="I186" ca="1">IFERROR(INDEX(INDIRECT($B$3&amp;"."&amp;$B$158&amp;".energy["&amp;This.year&amp;"]"),MATCH($C186&amp;I$5,INDIRECT($B$3&amp;"."&amp;$B$158&amp;".energy[Tech description]")&amp;INDIRECT($B$3&amp;"."&amp;$B$158&amp;".energy[Energy description]"),0)),0)</f>
        <v>0</v>
      </c>
      <c r="J186" s="121">
        <f t="array" aca="1" ref="J186" ca="1">IFERROR(INDEX(INDIRECT($B$3&amp;"."&amp;$B$158&amp;".energy["&amp;This.year&amp;"]"),MATCH($C186&amp;J$5,INDIRECT($B$3&amp;"."&amp;$B$158&amp;".energy[Tech description]")&amp;INDIRECT($B$3&amp;"."&amp;$B$158&amp;".energy[Energy description]"),0)),0)</f>
        <v>0</v>
      </c>
      <c r="K186" s="121">
        <f t="array" aca="1" ref="K186" ca="1">IFERROR(INDEX(INDIRECT($B$3&amp;"."&amp;$B$158&amp;".energy["&amp;This.year&amp;"]"),MATCH($C186&amp;K$5,INDIRECT($B$3&amp;"."&amp;$B$158&amp;".energy[Tech description]")&amp;INDIRECT($B$3&amp;"."&amp;$B$158&amp;".energy[Energy description]"),0)),0)</f>
        <v>0</v>
      </c>
      <c r="L186" s="121">
        <f t="array" aca="1" ref="L186" ca="1">IFERROR(INDEX(INDIRECT($B$3&amp;"."&amp;$B$158&amp;".energy["&amp;This.year&amp;"]"),MATCH($C186&amp;L$5,INDIRECT($B$3&amp;"."&amp;$B$158&amp;".energy[Tech description]")&amp;INDIRECT($B$3&amp;"."&amp;$B$158&amp;".energy[Energy description]"),0)),0)</f>
        <v>0</v>
      </c>
      <c r="M186" s="121">
        <f t="array" aca="1" ref="M186" ca="1">IFERROR(INDEX(INDIRECT($B$3&amp;"."&amp;$B$158&amp;".energy["&amp;This.year&amp;"]"),MATCH($C186&amp;M$5,INDIRECT($B$3&amp;"."&amp;$B$158&amp;".energy[Tech description]")&amp;INDIRECT($B$3&amp;"."&amp;$B$158&amp;".energy[Energy description]"),0)),0)</f>
        <v>0</v>
      </c>
      <c r="N186" s="121">
        <f t="array" aca="1" ref="N186" ca="1">IFERROR(INDEX(INDIRECT($B$3&amp;"."&amp;$B$158&amp;".energy["&amp;This.year&amp;"]"),MATCH($C186&amp;N$5,INDIRECT($B$3&amp;"."&amp;$B$158&amp;".energy[Tech description]")&amp;INDIRECT($B$3&amp;"."&amp;$B$158&amp;".energy[Energy description]"),0)),0)</f>
        <v>0</v>
      </c>
      <c r="O186" s="121">
        <f t="array" aca="1" ref="O186" ca="1">IFERROR(INDEX(INDIRECT($B$3&amp;"."&amp;$B$158&amp;".energy["&amp;This.year&amp;"]"),MATCH($C186&amp;O$5,INDIRECT($B$3&amp;"."&amp;$B$158&amp;".energy[Tech description]")&amp;INDIRECT($B$3&amp;"."&amp;$B$158&amp;".energy[Energy description]"),0)),0)</f>
        <v>0</v>
      </c>
      <c r="P186" s="121">
        <f t="array" aca="1" ref="P186" ca="1">IFERROR(INDEX(INDIRECT($B$3&amp;"."&amp;$B$158&amp;".energy["&amp;This.year&amp;"]"),MATCH($C186&amp;P$5,INDIRECT($B$3&amp;"."&amp;$B$158&amp;".energy[Tech description]")&amp;INDIRECT($B$3&amp;"."&amp;$B$158&amp;".energy[Energy description]"),0)),0)</f>
        <v>0</v>
      </c>
      <c r="Q186" s="121">
        <f t="array" aca="1" ref="Q186" ca="1">IFERROR(INDEX(INDIRECT($B$3&amp;"."&amp;$B$158&amp;".energy["&amp;This.year&amp;"]"),MATCH($C186&amp;Q$5,INDIRECT($B$3&amp;"."&amp;$B$158&amp;".energy[Tech description]")&amp;INDIRECT($B$3&amp;"."&amp;$B$158&amp;".energy[Energy description]"),0)),0)</f>
        <v>0</v>
      </c>
      <c r="R186" s="121">
        <f t="array" aca="1" ref="R186" ca="1">IFERROR(INDEX(INDIRECT($B$3&amp;"."&amp;$B$158&amp;".energy["&amp;This.year&amp;"]"),MATCH($C186&amp;R$5,INDIRECT($B$3&amp;"."&amp;$B$158&amp;".energy[Tech description]")&amp;INDIRECT($B$3&amp;"."&amp;$B$158&amp;".energy[Energy description]"),0)),0)</f>
        <v>0</v>
      </c>
      <c r="S186" s="121">
        <f t="array" aca="1" ref="S186" ca="1">IFERROR(INDEX(INDIRECT($B$3&amp;"."&amp;$B$158&amp;".energy["&amp;This.year&amp;"]"),MATCH($C186&amp;S$5,INDIRECT($B$3&amp;"."&amp;$B$158&amp;".energy[Tech description]")&amp;INDIRECT($B$3&amp;"."&amp;$B$158&amp;".energy[Energy description]"),0)),0)</f>
        <v>0</v>
      </c>
      <c r="T186" s="121">
        <f t="shared" ca="1" si="19"/>
        <v>0</v>
      </c>
      <c r="U186" s="109"/>
      <c r="V186" s="152">
        <f t="array" aca="1" ref="V186" ca="1">IFERROR(INDEX(INDIRECT($B$3&amp;"."&amp;$B$158&amp;".energy["&amp;This.year&amp;"]"),MATCH($C186&amp;V$5,INDIRECT($B$3&amp;"."&amp;$B$158&amp;".energy[Tech description]")&amp;INDIRECT($B$3&amp;"."&amp;$B$158&amp;".energy[Energy description]"),0)),0)</f>
        <v>0</v>
      </c>
      <c r="W186" s="152">
        <f t="array" aca="1" ref="W186" ca="1">IFERROR(INDEX(INDIRECT($B$3&amp;"."&amp;$B$158&amp;".energy["&amp;This.year&amp;"]"),MATCH($C186&amp;W$5,INDIRECT($B$3&amp;"."&amp;$B$158&amp;".energy[Tech description]")&amp;INDIRECT($B$3&amp;"."&amp;$B$158&amp;".energy[Energy description]"),0)),0)</f>
        <v>0</v>
      </c>
      <c r="X186" s="152">
        <f t="array" aca="1" ref="X186" ca="1">IFERROR(INDEX(INDIRECT($B$3&amp;"."&amp;$B$158&amp;".energy["&amp;This.year&amp;"]"),MATCH($C186&amp;X$5,INDIRECT($B$3&amp;"."&amp;$B$158&amp;".energy[Tech description]")&amp;INDIRECT($B$3&amp;"."&amp;$B$158&amp;".energy[Energy description]"),0)),0)</f>
        <v>0</v>
      </c>
      <c r="Y186" s="152">
        <f t="array" aca="1" ref="Y186" ca="1">IFERROR(INDEX(INDIRECT($B$3&amp;"."&amp;$B$158&amp;".energy["&amp;This.year&amp;"]"),MATCH($C186&amp;Y$5,INDIRECT($B$3&amp;"."&amp;$B$158&amp;".energy[Tech description]")&amp;INDIRECT($B$3&amp;"."&amp;$B$158&amp;".energy[Energy description]"),0)),0)</f>
        <v>0</v>
      </c>
      <c r="Z186" s="152">
        <f t="array" aca="1" ref="Z186" ca="1">IFERROR(INDEX(INDIRECT($B$3&amp;"."&amp;$B$158&amp;".energy["&amp;This.year&amp;"]"),MATCH($C186&amp;Z$5,INDIRECT($B$3&amp;"."&amp;$B$158&amp;".energy[Tech description]")&amp;INDIRECT($B$3&amp;"."&amp;$B$158&amp;".energy[Energy description]"),0)),0)</f>
        <v>0</v>
      </c>
      <c r="AA186" s="152">
        <f t="array" aca="1" ref="AA186" ca="1">IFERROR(INDEX(INDIRECT($B$3&amp;"."&amp;$B$158&amp;".energy["&amp;This.year&amp;"]"),MATCH($C186&amp;AA$5,INDIRECT($B$3&amp;"."&amp;$B$158&amp;".energy[Tech description]")&amp;INDIRECT($B$3&amp;"."&amp;$B$158&amp;".energy[Energy description]"),0)),0)</f>
        <v>0</v>
      </c>
      <c r="AB186" s="152">
        <f t="array" aca="1" ref="AB186" ca="1">IFERROR(INDEX(INDIRECT($B$3&amp;"."&amp;$B$158&amp;".energy["&amp;This.year&amp;"]"),MATCH($C186&amp;AB$5,INDIRECT($B$3&amp;"."&amp;$B$158&amp;".energy[Tech description]")&amp;INDIRECT($B$3&amp;"."&amp;$B$158&amp;".energy[Energy description]"),0)),0)</f>
        <v>0</v>
      </c>
      <c r="AC186" s="152">
        <f t="array" aca="1" ref="AC186" ca="1">IFERROR(INDEX(INDIRECT($B$3&amp;"."&amp;$B$158&amp;".energy["&amp;This.year&amp;"]"),MATCH($C186&amp;AC$5,INDIRECT($B$3&amp;"."&amp;$B$158&amp;".energy[Tech description]")&amp;INDIRECT($B$3&amp;"."&amp;$B$158&amp;".energy[Energy description]"),0)),0)</f>
        <v>0</v>
      </c>
      <c r="AD186" s="152">
        <f t="array" aca="1" ref="AD186" ca="1">IFERROR(INDEX(INDIRECT($B$3&amp;"."&amp;$B$158&amp;".energy["&amp;This.year&amp;"]"),MATCH($C186&amp;AD$5,INDIRECT($B$3&amp;"."&amp;$B$158&amp;".energy[Tech description]")&amp;INDIRECT($B$3&amp;"."&amp;$B$158&amp;".energy[Energy description]"),0)),0)</f>
        <v>0</v>
      </c>
      <c r="AE186" s="152">
        <f t="array" aca="1" ref="AE186" ca="1">IFERROR(INDEX(INDIRECT($B$3&amp;"."&amp;$B$158&amp;".energy["&amp;This.year&amp;"]"),MATCH($C186&amp;AE$5,INDIRECT($B$3&amp;"."&amp;$B$158&amp;".energy[Tech description]")&amp;INDIRECT($B$3&amp;"."&amp;$B$158&amp;".energy[Energy description]"),0)),0)</f>
        <v>0</v>
      </c>
      <c r="AF186" s="152">
        <f t="array" aca="1" ref="AF186" ca="1">IFERROR(INDEX(INDIRECT($B$3&amp;"."&amp;$B$158&amp;".energy["&amp;This.year&amp;"]"),MATCH($C186&amp;AF$5,INDIRECT($B$3&amp;"."&amp;$B$158&amp;".energy[Tech description]")&amp;INDIRECT($B$3&amp;"."&amp;$B$158&amp;".energy[Energy description]"),0)),0)</f>
        <v>0</v>
      </c>
      <c r="AG186" s="152">
        <f t="array" aca="1" ref="AG186" ca="1">IFERROR(INDEX(INDIRECT($B$3&amp;"."&amp;$B$158&amp;".energy["&amp;This.year&amp;"]"),MATCH($C186&amp;AG$5,INDIRECT($B$3&amp;"."&amp;$B$158&amp;".energy[Tech description]")&amp;INDIRECT($B$3&amp;"."&amp;$B$158&amp;".energy[Energy description]"),0)),0)</f>
        <v>0</v>
      </c>
      <c r="AH186" s="152">
        <f t="array" aca="1" ref="AH186" ca="1">IFERROR(INDEX(INDIRECT($B$3&amp;"."&amp;$B$158&amp;".energy["&amp;This.year&amp;"]"),MATCH($C186&amp;AH$5,INDIRECT($B$3&amp;"."&amp;$B$158&amp;".energy[Tech description]")&amp;INDIRECT($B$3&amp;"."&amp;$B$158&amp;".energy[Energy description]"),0)),0)</f>
        <v>0</v>
      </c>
      <c r="AI186" s="152">
        <f t="array" aca="1" ref="AI186" ca="1">IFERROR(INDEX(INDIRECT($B$3&amp;"."&amp;$B$158&amp;".energy["&amp;This.year&amp;"]"),MATCH($C186&amp;AI$5,INDIRECT($B$3&amp;"."&amp;$B$158&amp;".energy[Tech description]")&amp;INDIRECT($B$3&amp;"."&amp;$B$158&amp;".energy[Energy description]"),0)),0)</f>
        <v>0</v>
      </c>
      <c r="AJ186" s="152">
        <f t="array" aca="1" ref="AJ186" ca="1">IFERROR(INDEX(INDIRECT($B$3&amp;"."&amp;$B$158&amp;".energy["&amp;This.year&amp;"]"),MATCH($C186&amp;AJ$5,INDIRECT($B$3&amp;"."&amp;$B$158&amp;".energy[Tech description]")&amp;INDIRECT($B$3&amp;"."&amp;$B$158&amp;".energy[Energy description]"),0)),0)</f>
        <v>0</v>
      </c>
      <c r="AK186" s="152">
        <f t="array" aca="1" ref="AK186" ca="1">IFERROR(INDEX(INDIRECT($B$3&amp;"."&amp;$B$158&amp;".energy["&amp;This.year&amp;"]"),MATCH($C186&amp;AK$5,INDIRECT($B$3&amp;"."&amp;$B$158&amp;".energy[Tech description]")&amp;INDIRECT($B$3&amp;"."&amp;$B$158&amp;".energy[Energy description]"),0)),0)</f>
        <v>0</v>
      </c>
      <c r="AL186" s="152">
        <f t="array" aca="1" ref="AL186" ca="1">IFERROR(INDEX(INDIRECT($B$3&amp;"."&amp;$B$158&amp;".energy["&amp;This.year&amp;"]"),MATCH($C186&amp;AL$5,INDIRECT($B$3&amp;"."&amp;$B$158&amp;".energy[Tech description]")&amp;INDIRECT($B$3&amp;"."&amp;$B$158&amp;".energy[Energy description]"),0)),0)</f>
        <v>0</v>
      </c>
      <c r="AM186" s="152">
        <f t="array" aca="1" ref="AM186" ca="1">IFERROR(INDEX(INDIRECT($B$3&amp;"."&amp;$B$158&amp;".energy["&amp;This.year&amp;"]"),MATCH($C186&amp;AM$5,INDIRECT($B$3&amp;"."&amp;$B$158&amp;".energy[Tech description]")&amp;INDIRECT($B$3&amp;"."&amp;$B$158&amp;".energy[Energy description]"),0)),0)</f>
        <v>0</v>
      </c>
      <c r="AN186" s="152">
        <f t="array" aca="1" ref="AN186" ca="1">IFERROR(INDEX(INDIRECT($B$3&amp;"."&amp;$B$158&amp;".energy["&amp;This.year&amp;"]"),MATCH($C186&amp;AN$5,INDIRECT($B$3&amp;"."&amp;$B$158&amp;".energy[Tech description]")&amp;INDIRECT($B$3&amp;"."&amp;$B$158&amp;".energy[Energy description]"),0)),0)</f>
        <v>0</v>
      </c>
      <c r="AO186" s="152">
        <f t="shared" ca="1" si="20"/>
        <v>0</v>
      </c>
      <c r="AP186" s="108"/>
      <c r="AQ186" s="21">
        <f t="array" aca="1" ref="AQ186" ca="1">IFERROR(INDEX(INDIRECT($B$3&amp;"."&amp;$B$158&amp;".energy["&amp;This.year&amp;"]"),MATCH($C186&amp;AQ$5,INDIRECT($B$3&amp;"."&amp;$B$158&amp;".energy[Tech description]")&amp;INDIRECT($B$3&amp;"."&amp;$B$158&amp;".energy[Energy description]"),0)),0)</f>
        <v>0</v>
      </c>
      <c r="AR186" s="21">
        <f t="array" aca="1" ref="AR186" ca="1">IFERROR(INDEX(INDIRECT($B$3&amp;"."&amp;$B$158&amp;".energy["&amp;This.year&amp;"]"),MATCH($C186&amp;AR$5,INDIRECT($B$3&amp;"."&amp;$B$158&amp;".energy[Tech description]")&amp;INDIRECT($B$3&amp;"."&amp;$B$158&amp;".energy[Energy description]"),0)),0)</f>
        <v>0</v>
      </c>
      <c r="AS186" s="21">
        <f t="array" aca="1" ref="AS186" ca="1">IFERROR(INDEX(INDIRECT($B$3&amp;"."&amp;$B$158&amp;".energy["&amp;This.year&amp;"]"),MATCH($C186&amp;AS$5,INDIRECT($B$3&amp;"."&amp;$B$158&amp;".energy[Tech description]")&amp;INDIRECT($B$3&amp;"."&amp;$B$158&amp;".energy[Energy description]"),0)),0)</f>
        <v>0</v>
      </c>
      <c r="AT186" s="21">
        <f t="array" aca="1" ref="AT186" ca="1">IFERROR(INDEX(INDIRECT($B$3&amp;"."&amp;$B$158&amp;".energy["&amp;This.year&amp;"]"),MATCH($C186&amp;AT$5,INDIRECT($B$3&amp;"."&amp;$B$158&amp;".energy[Tech description]")&amp;INDIRECT($B$3&amp;"."&amp;$B$158&amp;".energy[Energy description]"),0)),0)</f>
        <v>0</v>
      </c>
      <c r="AU186" s="21">
        <f t="array" aca="1" ref="AU186" ca="1">IFERROR(INDEX(INDIRECT($B$3&amp;"."&amp;$B$158&amp;".energy["&amp;This.year&amp;"]"),MATCH($C186&amp;AU$5,INDIRECT($B$3&amp;"."&amp;$B$158&amp;".energy[Tech description]")&amp;INDIRECT($B$3&amp;"."&amp;$B$158&amp;".energy[Energy description]"),0)),0)</f>
        <v>0</v>
      </c>
      <c r="AV186" s="21">
        <f t="array" aca="1" ref="AV186" ca="1">IFERROR(INDEX(INDIRECT($B$3&amp;"."&amp;$B$158&amp;".energy["&amp;This.year&amp;"]"),MATCH($C186&amp;AV$5,INDIRECT($B$3&amp;"."&amp;$B$158&amp;".energy[Tech description]")&amp;INDIRECT($B$3&amp;"."&amp;$B$158&amp;".energy[Energy description]"),0)),0)</f>
        <v>0</v>
      </c>
      <c r="AW186" s="21">
        <f t="array" aca="1" ref="AW186" ca="1">IFERROR(INDEX(INDIRECT($B$3&amp;"."&amp;$B$158&amp;".energy["&amp;This.year&amp;"]"),MATCH($C186&amp;AW$5,INDIRECT($B$3&amp;"."&amp;$B$158&amp;".energy[Tech description]")&amp;INDIRECT($B$3&amp;"."&amp;$B$158&amp;".energy[Energy description]"),0)),0)</f>
        <v>0</v>
      </c>
      <c r="AX186" s="21">
        <f t="array" aca="1" ref="AX186" ca="1">IFERROR(INDEX(INDIRECT($B$3&amp;"."&amp;$B$158&amp;".energy["&amp;This.year&amp;"]"),MATCH($C186&amp;AX$5,INDIRECT($B$3&amp;"."&amp;$B$158&amp;".energy[Tech description]")&amp;INDIRECT($B$3&amp;"."&amp;$B$158&amp;".energy[Energy description]"),0)),0)</f>
        <v>0</v>
      </c>
      <c r="AY186" s="21">
        <f t="array" aca="1" ref="AY186" ca="1">IFERROR(INDEX(INDIRECT($B$3&amp;"."&amp;$B$158&amp;".energy["&amp;This.year&amp;"]"),MATCH($C186&amp;AY$5,INDIRECT($B$3&amp;"."&amp;$B$158&amp;".energy[Tech description]")&amp;INDIRECT($B$3&amp;"."&amp;$B$158&amp;".energy[Energy description]"),0)),0)</f>
        <v>0</v>
      </c>
      <c r="AZ186" s="21">
        <f t="array" aca="1" ref="AZ186" ca="1">IFERROR(INDEX(INDIRECT($B$3&amp;"."&amp;$B$158&amp;".energy["&amp;This.year&amp;"]"),MATCH($C186&amp;AZ$5,INDIRECT($B$3&amp;"."&amp;$B$158&amp;".energy[Tech description]")&amp;INDIRECT($B$3&amp;"."&amp;$B$158&amp;".energy[Energy description]"),0)),0)</f>
        <v>0</v>
      </c>
      <c r="BA186" s="21">
        <f t="array" aca="1" ref="BA186" ca="1">IFERROR(INDEX(INDIRECT($B$3&amp;"."&amp;$B$158&amp;".energy["&amp;This.year&amp;"]"),MATCH($C186&amp;BA$5,INDIRECT($B$3&amp;"."&amp;$B$158&amp;".energy[Tech description]")&amp;INDIRECT($B$3&amp;"."&amp;$B$158&amp;".energy[Energy description]"),0)),0)</f>
        <v>0</v>
      </c>
      <c r="BB186" s="21">
        <f t="array" aca="1" ref="BB186" ca="1">IFERROR(INDEX(INDIRECT($B$3&amp;"."&amp;$B$158&amp;".energy["&amp;This.year&amp;"]"),MATCH($C186&amp;BB$5,INDIRECT($B$3&amp;"."&amp;$B$158&amp;".energy[Tech description]")&amp;INDIRECT($B$3&amp;"."&amp;$B$158&amp;".energy[Energy description]"),0)),0)</f>
        <v>0</v>
      </c>
      <c r="BC186" s="21">
        <f t="array" aca="1" ref="BC186" ca="1">IFERROR(INDEX(INDIRECT($B$3&amp;"."&amp;$B$158&amp;".energy["&amp;This.year&amp;"]"),MATCH($C186&amp;BC$5,INDIRECT($B$3&amp;"."&amp;$B$158&amp;".energy[Tech description]")&amp;INDIRECT($B$3&amp;"."&amp;$B$158&amp;".energy[Energy description]"),0)),0)</f>
        <v>0</v>
      </c>
      <c r="BD186" s="21">
        <f t="shared" ca="1" si="21"/>
        <v>0</v>
      </c>
      <c r="BE186" s="108"/>
      <c r="BF186" s="49">
        <f t="array" aca="1" ref="BF186" ca="1">IFERROR(INDEX(INDIRECT($B$3&amp;"."&amp;$B$158&amp;".energy["&amp;This.year&amp;"]"),MATCH($C186&amp;BF$5,INDIRECT($B$3&amp;"."&amp;$B$158&amp;".energy[Tech description]")&amp;INDIRECT($B$3&amp;"."&amp;$B$158&amp;".energy[Energy description]"),0)),0)</f>
        <v>0</v>
      </c>
      <c r="BG186" s="49">
        <f t="array" aca="1" ref="BG186" ca="1">IFERROR(INDEX(INDIRECT($B$3&amp;"."&amp;$B$158&amp;".energy["&amp;This.year&amp;"]"),MATCH($C186&amp;BG$5,INDIRECT($B$3&amp;"."&amp;$B$158&amp;".energy[Tech description]")&amp;INDIRECT($B$3&amp;"."&amp;$B$158&amp;".energy[Energy description]"),0)),0)</f>
        <v>0</v>
      </c>
      <c r="BH186" s="49">
        <f t="shared" ca="1" si="22"/>
        <v>0</v>
      </c>
      <c r="BI186" s="219">
        <f t="shared" ca="1" si="9"/>
        <v>0</v>
      </c>
      <c r="BJ186" s="108"/>
    </row>
    <row r="187" spans="1:62" s="54" customFormat="1">
      <c r="A187" s="133"/>
      <c r="B187" s="176" t="s">
        <v>1639</v>
      </c>
      <c r="C187" s="114" t="str">
        <f>INDEX(Regional.Technologies[Description],MATCH($B$3&amp;"."&amp;B187,Regional.Technologies[Code],0))</f>
        <v>Global Electricity use in the Primary Aluminium technology</v>
      </c>
      <c r="E187" s="121">
        <f t="array" aca="1" ref="E187" ca="1">IFERROR(INDEX(INDIRECT($B$3&amp;"."&amp;$B$158&amp;".energy["&amp;This.year&amp;"]"),MATCH($C187&amp;E$5,INDIRECT($B$3&amp;"."&amp;$B$158&amp;".energy[Tech description]")&amp;INDIRECT($B$3&amp;"."&amp;$B$158&amp;".energy[Energy description]"),0)),0)</f>
        <v>0</v>
      </c>
      <c r="F187" s="121">
        <f t="array" aca="1" ref="F187" ca="1">IFERROR(INDEX(INDIRECT($B$3&amp;"."&amp;$B$158&amp;".energy["&amp;This.year&amp;"]"),MATCH($C187&amp;F$5,INDIRECT($B$3&amp;"."&amp;$B$158&amp;".energy[Tech description]")&amp;INDIRECT($B$3&amp;"."&amp;$B$158&amp;".energy[Energy description]"),0)),0)</f>
        <v>0</v>
      </c>
      <c r="G187" s="121">
        <f t="array" aca="1" ref="G187" ca="1">IFERROR(INDEX(INDIRECT($B$3&amp;"."&amp;$B$158&amp;".energy["&amp;This.year&amp;"]"),MATCH($C187&amp;G$5,INDIRECT($B$3&amp;"."&amp;$B$158&amp;".energy[Tech description]")&amp;INDIRECT($B$3&amp;"."&amp;$B$158&amp;".energy[Energy description]"),0)),0)</f>
        <v>0</v>
      </c>
      <c r="H187" s="121">
        <f t="array" aca="1" ref="H187" ca="1">IFERROR(INDEX(INDIRECT($B$3&amp;"."&amp;$B$158&amp;".energy["&amp;This.year&amp;"]"),MATCH($C187&amp;H$5,INDIRECT($B$3&amp;"."&amp;$B$158&amp;".energy[Tech description]")&amp;INDIRECT($B$3&amp;"."&amp;$B$158&amp;".energy[Energy description]"),0)),0)</f>
        <v>0</v>
      </c>
      <c r="I187" s="121">
        <f t="array" aca="1" ref="I187" ca="1">IFERROR(INDEX(INDIRECT($B$3&amp;"."&amp;$B$158&amp;".energy["&amp;This.year&amp;"]"),MATCH($C187&amp;I$5,INDIRECT($B$3&amp;"."&amp;$B$158&amp;".energy[Tech description]")&amp;INDIRECT($B$3&amp;"."&amp;$B$158&amp;".energy[Energy description]"),0)),0)</f>
        <v>0</v>
      </c>
      <c r="J187" s="121">
        <f t="array" aca="1" ref="J187" ca="1">IFERROR(INDEX(INDIRECT($B$3&amp;"."&amp;$B$158&amp;".energy["&amp;This.year&amp;"]"),MATCH($C187&amp;J$5,INDIRECT($B$3&amp;"."&amp;$B$158&amp;".energy[Tech description]")&amp;INDIRECT($B$3&amp;"."&amp;$B$158&amp;".energy[Energy description]"),0)),0)</f>
        <v>2.3556733001938612</v>
      </c>
      <c r="K187" s="121">
        <f t="array" aca="1" ref="K187" ca="1">IFERROR(INDEX(INDIRECT($B$3&amp;"."&amp;$B$158&amp;".energy["&amp;This.year&amp;"]"),MATCH($C187&amp;K$5,INDIRECT($B$3&amp;"."&amp;$B$158&amp;".energy[Tech description]")&amp;INDIRECT($B$3&amp;"."&amp;$B$158&amp;".energy[Energy description]"),0)),0)</f>
        <v>0</v>
      </c>
      <c r="L187" s="121">
        <f t="array" aca="1" ref="L187" ca="1">IFERROR(INDEX(INDIRECT($B$3&amp;"."&amp;$B$158&amp;".energy["&amp;This.year&amp;"]"),MATCH($C187&amp;L$5,INDIRECT($B$3&amp;"."&amp;$B$158&amp;".energy[Tech description]")&amp;INDIRECT($B$3&amp;"."&amp;$B$158&amp;".energy[Energy description]"),0)),0)</f>
        <v>0</v>
      </c>
      <c r="M187" s="121">
        <f t="array" aca="1" ref="M187" ca="1">IFERROR(INDEX(INDIRECT($B$3&amp;"."&amp;$B$158&amp;".energy["&amp;This.year&amp;"]"),MATCH($C187&amp;M$5,INDIRECT($B$3&amp;"."&amp;$B$158&amp;".energy[Tech description]")&amp;INDIRECT($B$3&amp;"."&amp;$B$158&amp;".energy[Energy description]"),0)),0)</f>
        <v>0</v>
      </c>
      <c r="N187" s="121">
        <f t="array" aca="1" ref="N187" ca="1">IFERROR(INDEX(INDIRECT($B$3&amp;"."&amp;$B$158&amp;".energy["&amp;This.year&amp;"]"),MATCH($C187&amp;N$5,INDIRECT($B$3&amp;"."&amp;$B$158&amp;".energy[Tech description]")&amp;INDIRECT($B$3&amp;"."&amp;$B$158&amp;".energy[Energy description]"),0)),0)</f>
        <v>0</v>
      </c>
      <c r="O187" s="121">
        <f t="array" aca="1" ref="O187" ca="1">IFERROR(INDEX(INDIRECT($B$3&amp;"."&amp;$B$158&amp;".energy["&amp;This.year&amp;"]"),MATCH($C187&amp;O$5,INDIRECT($B$3&amp;"."&amp;$B$158&amp;".energy[Tech description]")&amp;INDIRECT($B$3&amp;"."&amp;$B$158&amp;".energy[Energy description]"),0)),0)</f>
        <v>0</v>
      </c>
      <c r="P187" s="121">
        <f t="array" aca="1" ref="P187" ca="1">IFERROR(INDEX(INDIRECT($B$3&amp;"."&amp;$B$158&amp;".energy["&amp;This.year&amp;"]"),MATCH($C187&amp;P$5,INDIRECT($B$3&amp;"."&amp;$B$158&amp;".energy[Tech description]")&amp;INDIRECT($B$3&amp;"."&amp;$B$158&amp;".energy[Energy description]"),0)),0)</f>
        <v>0</v>
      </c>
      <c r="Q187" s="121">
        <f t="array" aca="1" ref="Q187" ca="1">IFERROR(INDEX(INDIRECT($B$3&amp;"."&amp;$B$158&amp;".energy["&amp;This.year&amp;"]"),MATCH($C187&amp;Q$5,INDIRECT($B$3&amp;"."&amp;$B$158&amp;".energy[Tech description]")&amp;INDIRECT($B$3&amp;"."&amp;$B$158&amp;".energy[Energy description]"),0)),0)</f>
        <v>0</v>
      </c>
      <c r="R187" s="121">
        <f t="array" aca="1" ref="R187" ca="1">IFERROR(INDEX(INDIRECT($B$3&amp;"."&amp;$B$158&amp;".energy["&amp;This.year&amp;"]"),MATCH($C187&amp;R$5,INDIRECT($B$3&amp;"."&amp;$B$158&amp;".energy[Tech description]")&amp;INDIRECT($B$3&amp;"."&amp;$B$158&amp;".energy[Energy description]"),0)),0)</f>
        <v>0</v>
      </c>
      <c r="S187" s="121">
        <f t="array" aca="1" ref="S187" ca="1">IFERROR(INDEX(INDIRECT($B$3&amp;"."&amp;$B$158&amp;".energy["&amp;This.year&amp;"]"),MATCH($C187&amp;S$5,INDIRECT($B$3&amp;"."&amp;$B$158&amp;".energy[Tech description]")&amp;INDIRECT($B$3&amp;"."&amp;$B$158&amp;".energy[Energy description]"),0)),0)</f>
        <v>0</v>
      </c>
      <c r="T187" s="121">
        <f t="shared" ca="1" si="19"/>
        <v>2.3556733001938612</v>
      </c>
      <c r="U187" s="109"/>
      <c r="V187" s="152">
        <f t="array" aca="1" ref="V187" ca="1">IFERROR(INDEX(INDIRECT($B$3&amp;"."&amp;$B$158&amp;".energy["&amp;This.year&amp;"]"),MATCH($C187&amp;V$5,INDIRECT($B$3&amp;"."&amp;$B$158&amp;".energy[Tech description]")&amp;INDIRECT($B$3&amp;"."&amp;$B$158&amp;".energy[Energy description]"),0)),0)</f>
        <v>-2.3556733001938612</v>
      </c>
      <c r="W187" s="152">
        <f t="array" aca="1" ref="W187" ca="1">IFERROR(INDEX(INDIRECT($B$3&amp;"."&amp;$B$158&amp;".energy["&amp;This.year&amp;"]"),MATCH($C187&amp;W$5,INDIRECT($B$3&amp;"."&amp;$B$158&amp;".energy[Tech description]")&amp;INDIRECT($B$3&amp;"."&amp;$B$158&amp;".energy[Energy description]"),0)),0)</f>
        <v>0</v>
      </c>
      <c r="X187" s="152">
        <f t="array" aca="1" ref="X187" ca="1">IFERROR(INDEX(INDIRECT($B$3&amp;"."&amp;$B$158&amp;".energy["&amp;This.year&amp;"]"),MATCH($C187&amp;X$5,INDIRECT($B$3&amp;"."&amp;$B$158&amp;".energy[Tech description]")&amp;INDIRECT($B$3&amp;"."&amp;$B$158&amp;".energy[Energy description]"),0)),0)</f>
        <v>0</v>
      </c>
      <c r="Y187" s="152">
        <f t="array" aca="1" ref="Y187" ca="1">IFERROR(INDEX(INDIRECT($B$3&amp;"."&amp;$B$158&amp;".energy["&amp;This.year&amp;"]"),MATCH($C187&amp;Y$5,INDIRECT($B$3&amp;"."&amp;$B$158&amp;".energy[Tech description]")&amp;INDIRECT($B$3&amp;"."&amp;$B$158&amp;".energy[Energy description]"),0)),0)</f>
        <v>0</v>
      </c>
      <c r="Z187" s="152">
        <f t="array" aca="1" ref="Z187" ca="1">IFERROR(INDEX(INDIRECT($B$3&amp;"."&amp;$B$158&amp;".energy["&amp;This.year&amp;"]"),MATCH($C187&amp;Z$5,INDIRECT($B$3&amp;"."&amp;$B$158&amp;".energy[Tech description]")&amp;INDIRECT($B$3&amp;"."&amp;$B$158&amp;".energy[Energy description]"),0)),0)</f>
        <v>0</v>
      </c>
      <c r="AA187" s="152">
        <f t="array" aca="1" ref="AA187" ca="1">IFERROR(INDEX(INDIRECT($B$3&amp;"."&amp;$B$158&amp;".energy["&amp;This.year&amp;"]"),MATCH($C187&amp;AA$5,INDIRECT($B$3&amp;"."&amp;$B$158&amp;".energy[Tech description]")&amp;INDIRECT($B$3&amp;"."&amp;$B$158&amp;".energy[Energy description]"),0)),0)</f>
        <v>0</v>
      </c>
      <c r="AB187" s="152">
        <f t="array" aca="1" ref="AB187" ca="1">IFERROR(INDEX(INDIRECT($B$3&amp;"."&amp;$B$158&amp;".energy["&amp;This.year&amp;"]"),MATCH($C187&amp;AB$5,INDIRECT($B$3&amp;"."&amp;$B$158&amp;".energy[Tech description]")&amp;INDIRECT($B$3&amp;"."&amp;$B$158&amp;".energy[Energy description]"),0)),0)</f>
        <v>0</v>
      </c>
      <c r="AC187" s="152">
        <f t="array" aca="1" ref="AC187" ca="1">IFERROR(INDEX(INDIRECT($B$3&amp;"."&amp;$B$158&amp;".energy["&amp;This.year&amp;"]"),MATCH($C187&amp;AC$5,INDIRECT($B$3&amp;"."&amp;$B$158&amp;".energy[Tech description]")&amp;INDIRECT($B$3&amp;"."&amp;$B$158&amp;".energy[Energy description]"),0)),0)</f>
        <v>0</v>
      </c>
      <c r="AD187" s="152">
        <f t="array" aca="1" ref="AD187" ca="1">IFERROR(INDEX(INDIRECT($B$3&amp;"."&amp;$B$158&amp;".energy["&amp;This.year&amp;"]"),MATCH($C187&amp;AD$5,INDIRECT($B$3&amp;"."&amp;$B$158&amp;".energy[Tech description]")&amp;INDIRECT($B$3&amp;"."&amp;$B$158&amp;".energy[Energy description]"),0)),0)</f>
        <v>0</v>
      </c>
      <c r="AE187" s="152">
        <f t="array" aca="1" ref="AE187" ca="1">IFERROR(INDEX(INDIRECT($B$3&amp;"."&amp;$B$158&amp;".energy["&amp;This.year&amp;"]"),MATCH($C187&amp;AE$5,INDIRECT($B$3&amp;"."&amp;$B$158&amp;".energy[Tech description]")&amp;INDIRECT($B$3&amp;"."&amp;$B$158&amp;".energy[Energy description]"),0)),0)</f>
        <v>0</v>
      </c>
      <c r="AF187" s="152">
        <f t="array" aca="1" ref="AF187" ca="1">IFERROR(INDEX(INDIRECT($B$3&amp;"."&amp;$B$158&amp;".energy["&amp;This.year&amp;"]"),MATCH($C187&amp;AF$5,INDIRECT($B$3&amp;"."&amp;$B$158&amp;".energy[Tech description]")&amp;INDIRECT($B$3&amp;"."&amp;$B$158&amp;".energy[Energy description]"),0)),0)</f>
        <v>0</v>
      </c>
      <c r="AG187" s="152">
        <f t="array" aca="1" ref="AG187" ca="1">IFERROR(INDEX(INDIRECT($B$3&amp;"."&amp;$B$158&amp;".energy["&amp;This.year&amp;"]"),MATCH($C187&amp;AG$5,INDIRECT($B$3&amp;"."&amp;$B$158&amp;".energy[Tech description]")&amp;INDIRECT($B$3&amp;"."&amp;$B$158&amp;".energy[Energy description]"),0)),0)</f>
        <v>0</v>
      </c>
      <c r="AH187" s="152">
        <f t="array" aca="1" ref="AH187" ca="1">IFERROR(INDEX(INDIRECT($B$3&amp;"."&amp;$B$158&amp;".energy["&amp;This.year&amp;"]"),MATCH($C187&amp;AH$5,INDIRECT($B$3&amp;"."&amp;$B$158&amp;".energy[Tech description]")&amp;INDIRECT($B$3&amp;"."&amp;$B$158&amp;".energy[Energy description]"),0)),0)</f>
        <v>0</v>
      </c>
      <c r="AI187" s="152">
        <f t="array" aca="1" ref="AI187" ca="1">IFERROR(INDEX(INDIRECT($B$3&amp;"."&amp;$B$158&amp;".energy["&amp;This.year&amp;"]"),MATCH($C187&amp;AI$5,INDIRECT($B$3&amp;"."&amp;$B$158&amp;".energy[Tech description]")&amp;INDIRECT($B$3&amp;"."&amp;$B$158&amp;".energy[Energy description]"),0)),0)</f>
        <v>0</v>
      </c>
      <c r="AJ187" s="152">
        <f t="array" aca="1" ref="AJ187" ca="1">IFERROR(INDEX(INDIRECT($B$3&amp;"."&amp;$B$158&amp;".energy["&amp;This.year&amp;"]"),MATCH($C187&amp;AJ$5,INDIRECT($B$3&amp;"."&amp;$B$158&amp;".energy[Tech description]")&amp;INDIRECT($B$3&amp;"."&amp;$B$158&amp;".energy[Energy description]"),0)),0)</f>
        <v>0</v>
      </c>
      <c r="AK187" s="152">
        <f t="array" aca="1" ref="AK187" ca="1">IFERROR(INDEX(INDIRECT($B$3&amp;"."&amp;$B$158&amp;".energy["&amp;This.year&amp;"]"),MATCH($C187&amp;AK$5,INDIRECT($B$3&amp;"."&amp;$B$158&amp;".energy[Tech description]")&amp;INDIRECT($B$3&amp;"."&amp;$B$158&amp;".energy[Energy description]"),0)),0)</f>
        <v>0</v>
      </c>
      <c r="AL187" s="152">
        <f t="array" aca="1" ref="AL187" ca="1">IFERROR(INDEX(INDIRECT($B$3&amp;"."&amp;$B$158&amp;".energy["&amp;This.year&amp;"]"),MATCH($C187&amp;AL$5,INDIRECT($B$3&amp;"."&amp;$B$158&amp;".energy[Tech description]")&amp;INDIRECT($B$3&amp;"."&amp;$B$158&amp;".energy[Energy description]"),0)),0)</f>
        <v>0</v>
      </c>
      <c r="AM187" s="152">
        <f t="array" aca="1" ref="AM187" ca="1">IFERROR(INDEX(INDIRECT($B$3&amp;"."&amp;$B$158&amp;".energy["&amp;This.year&amp;"]"),MATCH($C187&amp;AM$5,INDIRECT($B$3&amp;"."&amp;$B$158&amp;".energy[Tech description]")&amp;INDIRECT($B$3&amp;"."&amp;$B$158&amp;".energy[Energy description]"),0)),0)</f>
        <v>0</v>
      </c>
      <c r="AN187" s="152">
        <f t="array" aca="1" ref="AN187" ca="1">IFERROR(INDEX(INDIRECT($B$3&amp;"."&amp;$B$158&amp;".energy["&amp;This.year&amp;"]"),MATCH($C187&amp;AN$5,INDIRECT($B$3&amp;"."&amp;$B$158&amp;".energy[Tech description]")&amp;INDIRECT($B$3&amp;"."&amp;$B$158&amp;".energy[Energy description]"),0)),0)</f>
        <v>0</v>
      </c>
      <c r="AO187" s="152">
        <f t="shared" ca="1" si="20"/>
        <v>-2.3556733001938612</v>
      </c>
      <c r="AP187" s="108"/>
      <c r="AQ187" s="21">
        <f t="array" aca="1" ref="AQ187" ca="1">IFERROR(INDEX(INDIRECT($B$3&amp;"."&amp;$B$158&amp;".energy["&amp;This.year&amp;"]"),MATCH($C187&amp;AQ$5,INDIRECT($B$3&amp;"."&amp;$B$158&amp;".energy[Tech description]")&amp;INDIRECT($B$3&amp;"."&amp;$B$158&amp;".energy[Energy description]"),0)),0)</f>
        <v>0</v>
      </c>
      <c r="AR187" s="21">
        <f t="array" aca="1" ref="AR187" ca="1">IFERROR(INDEX(INDIRECT($B$3&amp;"."&amp;$B$158&amp;".energy["&amp;This.year&amp;"]"),MATCH($C187&amp;AR$5,INDIRECT($B$3&amp;"."&amp;$B$158&amp;".energy[Tech description]")&amp;INDIRECT($B$3&amp;"."&amp;$B$158&amp;".energy[Energy description]"),0)),0)</f>
        <v>0</v>
      </c>
      <c r="AS187" s="21">
        <f t="array" aca="1" ref="AS187" ca="1">IFERROR(INDEX(INDIRECT($B$3&amp;"."&amp;$B$158&amp;".energy["&amp;This.year&amp;"]"),MATCH($C187&amp;AS$5,INDIRECT($B$3&amp;"."&amp;$B$158&amp;".energy[Tech description]")&amp;INDIRECT($B$3&amp;"."&amp;$B$158&amp;".energy[Energy description]"),0)),0)</f>
        <v>0</v>
      </c>
      <c r="AT187" s="21">
        <f t="array" aca="1" ref="AT187" ca="1">IFERROR(INDEX(INDIRECT($B$3&amp;"."&amp;$B$158&amp;".energy["&amp;This.year&amp;"]"),MATCH($C187&amp;AT$5,INDIRECT($B$3&amp;"."&amp;$B$158&amp;".energy[Tech description]")&amp;INDIRECT($B$3&amp;"."&amp;$B$158&amp;".energy[Energy description]"),0)),0)</f>
        <v>0</v>
      </c>
      <c r="AU187" s="21">
        <f t="array" aca="1" ref="AU187" ca="1">IFERROR(INDEX(INDIRECT($B$3&amp;"."&amp;$B$158&amp;".energy["&amp;This.year&amp;"]"),MATCH($C187&amp;AU$5,INDIRECT($B$3&amp;"."&amp;$B$158&amp;".energy[Tech description]")&amp;INDIRECT($B$3&amp;"."&amp;$B$158&amp;".energy[Energy description]"),0)),0)</f>
        <v>0</v>
      </c>
      <c r="AV187" s="21">
        <f t="array" aca="1" ref="AV187" ca="1">IFERROR(INDEX(INDIRECT($B$3&amp;"."&amp;$B$158&amp;".energy["&amp;This.year&amp;"]"),MATCH($C187&amp;AV$5,INDIRECT($B$3&amp;"."&amp;$B$158&amp;".energy[Tech description]")&amp;INDIRECT($B$3&amp;"."&amp;$B$158&amp;".energy[Energy description]"),0)),0)</f>
        <v>0</v>
      </c>
      <c r="AW187" s="21">
        <f t="array" aca="1" ref="AW187" ca="1">IFERROR(INDEX(INDIRECT($B$3&amp;"."&amp;$B$158&amp;".energy["&amp;This.year&amp;"]"),MATCH($C187&amp;AW$5,INDIRECT($B$3&amp;"."&amp;$B$158&amp;".energy[Tech description]")&amp;INDIRECT($B$3&amp;"."&amp;$B$158&amp;".energy[Energy description]"),0)),0)</f>
        <v>0</v>
      </c>
      <c r="AX187" s="21">
        <f t="array" aca="1" ref="AX187" ca="1">IFERROR(INDEX(INDIRECT($B$3&amp;"."&amp;$B$158&amp;".energy["&amp;This.year&amp;"]"),MATCH($C187&amp;AX$5,INDIRECT($B$3&amp;"."&amp;$B$158&amp;".energy[Tech description]")&amp;INDIRECT($B$3&amp;"."&amp;$B$158&amp;".energy[Energy description]"),0)),0)</f>
        <v>0</v>
      </c>
      <c r="AY187" s="21">
        <f t="array" aca="1" ref="AY187" ca="1">IFERROR(INDEX(INDIRECT($B$3&amp;"."&amp;$B$158&amp;".energy["&amp;This.year&amp;"]"),MATCH($C187&amp;AY$5,INDIRECT($B$3&amp;"."&amp;$B$158&amp;".energy[Tech description]")&amp;INDIRECT($B$3&amp;"."&amp;$B$158&amp;".energy[Energy description]"),0)),0)</f>
        <v>0</v>
      </c>
      <c r="AZ187" s="21">
        <f t="array" aca="1" ref="AZ187" ca="1">IFERROR(INDEX(INDIRECT($B$3&amp;"."&amp;$B$158&amp;".energy["&amp;This.year&amp;"]"),MATCH($C187&amp;AZ$5,INDIRECT($B$3&amp;"."&amp;$B$158&amp;".energy[Tech description]")&amp;INDIRECT($B$3&amp;"."&amp;$B$158&amp;".energy[Energy description]"),0)),0)</f>
        <v>0</v>
      </c>
      <c r="BA187" s="21">
        <f t="array" aca="1" ref="BA187" ca="1">IFERROR(INDEX(INDIRECT($B$3&amp;"."&amp;$B$158&amp;".energy["&amp;This.year&amp;"]"),MATCH($C187&amp;BA$5,INDIRECT($B$3&amp;"."&amp;$B$158&amp;".energy[Tech description]")&amp;INDIRECT($B$3&amp;"."&amp;$B$158&amp;".energy[Energy description]"),0)),0)</f>
        <v>0</v>
      </c>
      <c r="BB187" s="21">
        <f t="array" aca="1" ref="BB187" ca="1">IFERROR(INDEX(INDIRECT($B$3&amp;"."&amp;$B$158&amp;".energy["&amp;This.year&amp;"]"),MATCH($C187&amp;BB$5,INDIRECT($B$3&amp;"."&amp;$B$158&amp;".energy[Tech description]")&amp;INDIRECT($B$3&amp;"."&amp;$B$158&amp;".energy[Energy description]"),0)),0)</f>
        <v>0</v>
      </c>
      <c r="BC187" s="21">
        <f t="array" aca="1" ref="BC187" ca="1">IFERROR(INDEX(INDIRECT($B$3&amp;"."&amp;$B$158&amp;".energy["&amp;This.year&amp;"]"),MATCH($C187&amp;BC$5,INDIRECT($B$3&amp;"."&amp;$B$158&amp;".energy[Tech description]")&amp;INDIRECT($B$3&amp;"."&amp;$B$158&amp;".energy[Energy description]"),0)),0)</f>
        <v>0</v>
      </c>
      <c r="BD187" s="21">
        <f t="shared" ca="1" si="21"/>
        <v>0</v>
      </c>
      <c r="BE187" s="108"/>
      <c r="BF187" s="49">
        <f t="array" aca="1" ref="BF187" ca="1">IFERROR(INDEX(INDIRECT($B$3&amp;"."&amp;$B$158&amp;".energy["&amp;This.year&amp;"]"),MATCH($C187&amp;BF$5,INDIRECT($B$3&amp;"."&amp;$B$158&amp;".energy[Tech description]")&amp;INDIRECT($B$3&amp;"."&amp;$B$158&amp;".energy[Energy description]"),0)),0)</f>
        <v>0</v>
      </c>
      <c r="BG187" s="49">
        <f t="array" aca="1" ref="BG187" ca="1">IFERROR(INDEX(INDIRECT($B$3&amp;"."&amp;$B$158&amp;".energy["&amp;This.year&amp;"]"),MATCH($C187&amp;BG$5,INDIRECT($B$3&amp;"."&amp;$B$158&amp;".energy[Tech description]")&amp;INDIRECT($B$3&amp;"."&amp;$B$158&amp;".energy[Energy description]"),0)),0)</f>
        <v>0</v>
      </c>
      <c r="BH187" s="49">
        <f t="shared" ca="1" si="22"/>
        <v>0</v>
      </c>
      <c r="BI187" s="219">
        <f t="shared" ca="1" si="9"/>
        <v>0</v>
      </c>
      <c r="BJ187" s="108"/>
    </row>
    <row r="188" spans="1:62" s="54" customFormat="1">
      <c r="A188" s="133"/>
      <c r="B188" s="176" t="s">
        <v>1813</v>
      </c>
      <c r="C188" s="114" t="str">
        <f>INDEX(Regional.Technologies[Description],MATCH($B$3&amp;"."&amp;B188,Regional.Technologies[Code],0))</f>
        <v>Global Coal use in the Primary Aluminium technology</v>
      </c>
      <c r="E188" s="121">
        <f t="array" aca="1" ref="E188" ca="1">IFERROR(INDEX(INDIRECT($B$3&amp;"."&amp;$B$158&amp;".energy["&amp;This.year&amp;"]"),MATCH($C188&amp;E$5,INDIRECT($B$3&amp;"."&amp;$B$158&amp;".energy[Tech description]")&amp;INDIRECT($B$3&amp;"."&amp;$B$158&amp;".energy[Energy description]"),0)),0)</f>
        <v>0</v>
      </c>
      <c r="F188" s="121">
        <f t="array" aca="1" ref="F188" ca="1">IFERROR(INDEX(INDIRECT($B$3&amp;"."&amp;$B$158&amp;".energy["&amp;This.year&amp;"]"),MATCH($C188&amp;F$5,INDIRECT($B$3&amp;"."&amp;$B$158&amp;".energy[Tech description]")&amp;INDIRECT($B$3&amp;"."&amp;$B$158&amp;".energy[Energy description]"),0)),0)</f>
        <v>0</v>
      </c>
      <c r="G188" s="121">
        <f t="array" aca="1" ref="G188" ca="1">IFERROR(INDEX(INDIRECT($B$3&amp;"."&amp;$B$158&amp;".energy["&amp;This.year&amp;"]"),MATCH($C188&amp;G$5,INDIRECT($B$3&amp;"."&amp;$B$158&amp;".energy[Tech description]")&amp;INDIRECT($B$3&amp;"."&amp;$B$158&amp;".energy[Energy description]"),0)),0)</f>
        <v>0</v>
      </c>
      <c r="H188" s="121">
        <f t="array" aca="1" ref="H188" ca="1">IFERROR(INDEX(INDIRECT($B$3&amp;"."&amp;$B$158&amp;".energy["&amp;This.year&amp;"]"),MATCH($C188&amp;H$5,INDIRECT($B$3&amp;"."&amp;$B$158&amp;".energy[Tech description]")&amp;INDIRECT($B$3&amp;"."&amp;$B$158&amp;".energy[Energy description]"),0)),0)</f>
        <v>0</v>
      </c>
      <c r="I188" s="121">
        <f t="array" aca="1" ref="I188" ca="1">IFERROR(INDEX(INDIRECT($B$3&amp;"."&amp;$B$158&amp;".energy["&amp;This.year&amp;"]"),MATCH($C188&amp;I$5,INDIRECT($B$3&amp;"."&amp;$B$158&amp;".energy[Tech description]")&amp;INDIRECT($B$3&amp;"."&amp;$B$158&amp;".energy[Energy description]"),0)),0)</f>
        <v>0</v>
      </c>
      <c r="J188" s="121">
        <f t="array" aca="1" ref="J188" ca="1">IFERROR(INDEX(INDIRECT($B$3&amp;"."&amp;$B$158&amp;".energy["&amp;This.year&amp;"]"),MATCH($C188&amp;J$5,INDIRECT($B$3&amp;"."&amp;$B$158&amp;".energy[Tech description]")&amp;INDIRECT($B$3&amp;"."&amp;$B$158&amp;".energy[Energy description]"),0)),0)</f>
        <v>0.11615556705932617</v>
      </c>
      <c r="K188" s="121">
        <f t="array" aca="1" ref="K188" ca="1">IFERROR(INDEX(INDIRECT($B$3&amp;"."&amp;$B$158&amp;".energy["&amp;This.year&amp;"]"),MATCH($C188&amp;K$5,INDIRECT($B$3&amp;"."&amp;$B$158&amp;".energy[Tech description]")&amp;INDIRECT($B$3&amp;"."&amp;$B$158&amp;".energy[Energy description]"),0)),0)</f>
        <v>0</v>
      </c>
      <c r="L188" s="121">
        <f t="array" aca="1" ref="L188" ca="1">IFERROR(INDEX(INDIRECT($B$3&amp;"."&amp;$B$158&amp;".energy["&amp;This.year&amp;"]"),MATCH($C188&amp;L$5,INDIRECT($B$3&amp;"."&amp;$B$158&amp;".energy[Tech description]")&amp;INDIRECT($B$3&amp;"."&amp;$B$158&amp;".energy[Energy description]"),0)),0)</f>
        <v>0</v>
      </c>
      <c r="M188" s="121">
        <f t="array" aca="1" ref="M188" ca="1">IFERROR(INDEX(INDIRECT($B$3&amp;"."&amp;$B$158&amp;".energy["&amp;This.year&amp;"]"),MATCH($C188&amp;M$5,INDIRECT($B$3&amp;"."&amp;$B$158&amp;".energy[Tech description]")&amp;INDIRECT($B$3&amp;"."&amp;$B$158&amp;".energy[Energy description]"),0)),0)</f>
        <v>0</v>
      </c>
      <c r="N188" s="121">
        <f t="array" aca="1" ref="N188" ca="1">IFERROR(INDEX(INDIRECT($B$3&amp;"."&amp;$B$158&amp;".energy["&amp;This.year&amp;"]"),MATCH($C188&amp;N$5,INDIRECT($B$3&amp;"."&amp;$B$158&amp;".energy[Tech description]")&amp;INDIRECT($B$3&amp;"."&amp;$B$158&amp;".energy[Energy description]"),0)),0)</f>
        <v>0</v>
      </c>
      <c r="O188" s="121">
        <f t="array" aca="1" ref="O188" ca="1">IFERROR(INDEX(INDIRECT($B$3&amp;"."&amp;$B$158&amp;".energy["&amp;This.year&amp;"]"),MATCH($C188&amp;O$5,INDIRECT($B$3&amp;"."&amp;$B$158&amp;".energy[Tech description]")&amp;INDIRECT($B$3&amp;"."&amp;$B$158&amp;".energy[Energy description]"),0)),0)</f>
        <v>0</v>
      </c>
      <c r="P188" s="121">
        <f t="array" aca="1" ref="P188" ca="1">IFERROR(INDEX(INDIRECT($B$3&amp;"."&amp;$B$158&amp;".energy["&amp;This.year&amp;"]"),MATCH($C188&amp;P$5,INDIRECT($B$3&amp;"."&amp;$B$158&amp;".energy[Tech description]")&amp;INDIRECT($B$3&amp;"."&amp;$B$158&amp;".energy[Energy description]"),0)),0)</f>
        <v>0</v>
      </c>
      <c r="Q188" s="121">
        <f t="array" aca="1" ref="Q188" ca="1">IFERROR(INDEX(INDIRECT($B$3&amp;"."&amp;$B$158&amp;".energy["&amp;This.year&amp;"]"),MATCH($C188&amp;Q$5,INDIRECT($B$3&amp;"."&amp;$B$158&amp;".energy[Tech description]")&amp;INDIRECT($B$3&amp;"."&amp;$B$158&amp;".energy[Energy description]"),0)),0)</f>
        <v>0</v>
      </c>
      <c r="R188" s="121">
        <f t="array" aca="1" ref="R188" ca="1">IFERROR(INDEX(INDIRECT($B$3&amp;"."&amp;$B$158&amp;".energy["&amp;This.year&amp;"]"),MATCH($C188&amp;R$5,INDIRECT($B$3&amp;"."&amp;$B$158&amp;".energy[Tech description]")&amp;INDIRECT($B$3&amp;"."&amp;$B$158&amp;".energy[Energy description]"),0)),0)</f>
        <v>0</v>
      </c>
      <c r="S188" s="121">
        <f t="array" aca="1" ref="S188" ca="1">IFERROR(INDEX(INDIRECT($B$3&amp;"."&amp;$B$158&amp;".energy["&amp;This.year&amp;"]"),MATCH($C188&amp;S$5,INDIRECT($B$3&amp;"."&amp;$B$158&amp;".energy[Tech description]")&amp;INDIRECT($B$3&amp;"."&amp;$B$158&amp;".energy[Energy description]"),0)),0)</f>
        <v>0</v>
      </c>
      <c r="T188" s="121">
        <f t="shared" ca="1" si="19"/>
        <v>0.11615556705932617</v>
      </c>
      <c r="U188" s="109"/>
      <c r="V188" s="152">
        <f t="array" aca="1" ref="V188" ca="1">IFERROR(INDEX(INDIRECT($B$3&amp;"."&amp;$B$158&amp;".energy["&amp;This.year&amp;"]"),MATCH($C188&amp;V$5,INDIRECT($B$3&amp;"."&amp;$B$158&amp;".energy[Tech description]")&amp;INDIRECT($B$3&amp;"."&amp;$B$158&amp;".energy[Energy description]"),0)),0)</f>
        <v>0</v>
      </c>
      <c r="W188" s="152">
        <f t="array" aca="1" ref="W188" ca="1">IFERROR(INDEX(INDIRECT($B$3&amp;"."&amp;$B$158&amp;".energy["&amp;This.year&amp;"]"),MATCH($C188&amp;W$5,INDIRECT($B$3&amp;"."&amp;$B$158&amp;".energy[Tech description]")&amp;INDIRECT($B$3&amp;"."&amp;$B$158&amp;".energy[Energy description]"),0)),0)</f>
        <v>0</v>
      </c>
      <c r="X188" s="152">
        <f t="array" aca="1" ref="X188" ca="1">IFERROR(INDEX(INDIRECT($B$3&amp;"."&amp;$B$158&amp;".energy["&amp;This.year&amp;"]"),MATCH($C188&amp;X$5,INDIRECT($B$3&amp;"."&amp;$B$158&amp;".energy[Tech description]")&amp;INDIRECT($B$3&amp;"."&amp;$B$158&amp;".energy[Energy description]"),0)),0)</f>
        <v>0</v>
      </c>
      <c r="Y188" s="152">
        <f t="array" aca="1" ref="Y188" ca="1">IFERROR(INDEX(INDIRECT($B$3&amp;"."&amp;$B$158&amp;".energy["&amp;This.year&amp;"]"),MATCH($C188&amp;Y$5,INDIRECT($B$3&amp;"."&amp;$B$158&amp;".energy[Tech description]")&amp;INDIRECT($B$3&amp;"."&amp;$B$158&amp;".energy[Energy description]"),0)),0)</f>
        <v>0</v>
      </c>
      <c r="Z188" s="152">
        <f t="array" aca="1" ref="Z188" ca="1">IFERROR(INDEX(INDIRECT($B$3&amp;"."&amp;$B$158&amp;".energy["&amp;This.year&amp;"]"),MATCH($C188&amp;Z$5,INDIRECT($B$3&amp;"."&amp;$B$158&amp;".energy[Tech description]")&amp;INDIRECT($B$3&amp;"."&amp;$B$158&amp;".energy[Energy description]"),0)),0)</f>
        <v>0</v>
      </c>
      <c r="AA188" s="152">
        <f t="array" aca="1" ref="AA188" ca="1">IFERROR(INDEX(INDIRECT($B$3&amp;"."&amp;$B$158&amp;".energy["&amp;This.year&amp;"]"),MATCH($C188&amp;AA$5,INDIRECT($B$3&amp;"."&amp;$B$158&amp;".energy[Tech description]")&amp;INDIRECT($B$3&amp;"."&amp;$B$158&amp;".energy[Energy description]"),0)),0)</f>
        <v>-0.11615556705932617</v>
      </c>
      <c r="AB188" s="152">
        <f t="array" aca="1" ref="AB188" ca="1">IFERROR(INDEX(INDIRECT($B$3&amp;"."&amp;$B$158&amp;".energy["&amp;This.year&amp;"]"),MATCH($C188&amp;AB$5,INDIRECT($B$3&amp;"."&amp;$B$158&amp;".energy[Tech description]")&amp;INDIRECT($B$3&amp;"."&amp;$B$158&amp;".energy[Energy description]"),0)),0)</f>
        <v>0</v>
      </c>
      <c r="AC188" s="152">
        <f t="array" aca="1" ref="AC188" ca="1">IFERROR(INDEX(INDIRECT($B$3&amp;"."&amp;$B$158&amp;".energy["&amp;This.year&amp;"]"),MATCH($C188&amp;AC$5,INDIRECT($B$3&amp;"."&amp;$B$158&amp;".energy[Tech description]")&amp;INDIRECT($B$3&amp;"."&amp;$B$158&amp;".energy[Energy description]"),0)),0)</f>
        <v>0</v>
      </c>
      <c r="AD188" s="152">
        <f t="array" aca="1" ref="AD188" ca="1">IFERROR(INDEX(INDIRECT($B$3&amp;"."&amp;$B$158&amp;".energy["&amp;This.year&amp;"]"),MATCH($C188&amp;AD$5,INDIRECT($B$3&amp;"."&amp;$B$158&amp;".energy[Tech description]")&amp;INDIRECT($B$3&amp;"."&amp;$B$158&amp;".energy[Energy description]"),0)),0)</f>
        <v>0</v>
      </c>
      <c r="AE188" s="152">
        <f t="array" aca="1" ref="AE188" ca="1">IFERROR(INDEX(INDIRECT($B$3&amp;"."&amp;$B$158&amp;".energy["&amp;This.year&amp;"]"),MATCH($C188&amp;AE$5,INDIRECT($B$3&amp;"."&amp;$B$158&amp;".energy[Tech description]")&amp;INDIRECT($B$3&amp;"."&amp;$B$158&amp;".energy[Energy description]"),0)),0)</f>
        <v>0</v>
      </c>
      <c r="AF188" s="152">
        <f t="array" aca="1" ref="AF188" ca="1">IFERROR(INDEX(INDIRECT($B$3&amp;"."&amp;$B$158&amp;".energy["&amp;This.year&amp;"]"),MATCH($C188&amp;AF$5,INDIRECT($B$3&amp;"."&amp;$B$158&amp;".energy[Tech description]")&amp;INDIRECT($B$3&amp;"."&amp;$B$158&amp;".energy[Energy description]"),0)),0)</f>
        <v>0</v>
      </c>
      <c r="AG188" s="152">
        <f t="array" aca="1" ref="AG188" ca="1">IFERROR(INDEX(INDIRECT($B$3&amp;"."&amp;$B$158&amp;".energy["&amp;This.year&amp;"]"),MATCH($C188&amp;AG$5,INDIRECT($B$3&amp;"."&amp;$B$158&amp;".energy[Tech description]")&amp;INDIRECT($B$3&amp;"."&amp;$B$158&amp;".energy[Energy description]"),0)),0)</f>
        <v>0</v>
      </c>
      <c r="AH188" s="152">
        <f t="array" aca="1" ref="AH188" ca="1">IFERROR(INDEX(INDIRECT($B$3&amp;"."&amp;$B$158&amp;".energy["&amp;This.year&amp;"]"),MATCH($C188&amp;AH$5,INDIRECT($B$3&amp;"."&amp;$B$158&amp;".energy[Tech description]")&amp;INDIRECT($B$3&amp;"."&amp;$B$158&amp;".energy[Energy description]"),0)),0)</f>
        <v>0</v>
      </c>
      <c r="AI188" s="152">
        <f t="array" aca="1" ref="AI188" ca="1">IFERROR(INDEX(INDIRECT($B$3&amp;"."&amp;$B$158&amp;".energy["&amp;This.year&amp;"]"),MATCH($C188&amp;AI$5,INDIRECT($B$3&amp;"."&amp;$B$158&amp;".energy[Tech description]")&amp;INDIRECT($B$3&amp;"."&amp;$B$158&amp;".energy[Energy description]"),0)),0)</f>
        <v>0</v>
      </c>
      <c r="AJ188" s="152">
        <f t="array" aca="1" ref="AJ188" ca="1">IFERROR(INDEX(INDIRECT($B$3&amp;"."&amp;$B$158&amp;".energy["&amp;This.year&amp;"]"),MATCH($C188&amp;AJ$5,INDIRECT($B$3&amp;"."&amp;$B$158&amp;".energy[Tech description]")&amp;INDIRECT($B$3&amp;"."&amp;$B$158&amp;".energy[Energy description]"),0)),0)</f>
        <v>0</v>
      </c>
      <c r="AK188" s="152">
        <f t="array" aca="1" ref="AK188" ca="1">IFERROR(INDEX(INDIRECT($B$3&amp;"."&amp;$B$158&amp;".energy["&amp;This.year&amp;"]"),MATCH($C188&amp;AK$5,INDIRECT($B$3&amp;"."&amp;$B$158&amp;".energy[Tech description]")&amp;INDIRECT($B$3&amp;"."&amp;$B$158&amp;".energy[Energy description]"),0)),0)</f>
        <v>0</v>
      </c>
      <c r="AL188" s="152">
        <f t="array" aca="1" ref="AL188" ca="1">IFERROR(INDEX(INDIRECT($B$3&amp;"."&amp;$B$158&amp;".energy["&amp;This.year&amp;"]"),MATCH($C188&amp;AL$5,INDIRECT($B$3&amp;"."&amp;$B$158&amp;".energy[Tech description]")&amp;INDIRECT($B$3&amp;"."&amp;$B$158&amp;".energy[Energy description]"),0)),0)</f>
        <v>0</v>
      </c>
      <c r="AM188" s="152">
        <f t="array" aca="1" ref="AM188" ca="1">IFERROR(INDEX(INDIRECT($B$3&amp;"."&amp;$B$158&amp;".energy["&amp;This.year&amp;"]"),MATCH($C188&amp;AM$5,INDIRECT($B$3&amp;"."&amp;$B$158&amp;".energy[Tech description]")&amp;INDIRECT($B$3&amp;"."&amp;$B$158&amp;".energy[Energy description]"),0)),0)</f>
        <v>0</v>
      </c>
      <c r="AN188" s="152">
        <f t="array" aca="1" ref="AN188" ca="1">IFERROR(INDEX(INDIRECT($B$3&amp;"."&amp;$B$158&amp;".energy["&amp;This.year&amp;"]"),MATCH($C188&amp;AN$5,INDIRECT($B$3&amp;"."&amp;$B$158&amp;".energy[Tech description]")&amp;INDIRECT($B$3&amp;"."&amp;$B$158&amp;".energy[Energy description]"),0)),0)</f>
        <v>0</v>
      </c>
      <c r="AO188" s="152">
        <f t="shared" ca="1" si="20"/>
        <v>-0.11615556705932617</v>
      </c>
      <c r="AP188" s="108"/>
      <c r="AQ188" s="21">
        <f t="array" aca="1" ref="AQ188" ca="1">IFERROR(INDEX(INDIRECT($B$3&amp;"."&amp;$B$158&amp;".energy["&amp;This.year&amp;"]"),MATCH($C188&amp;AQ$5,INDIRECT($B$3&amp;"."&amp;$B$158&amp;".energy[Tech description]")&amp;INDIRECT($B$3&amp;"."&amp;$B$158&amp;".energy[Energy description]"),0)),0)</f>
        <v>0</v>
      </c>
      <c r="AR188" s="21">
        <f t="array" aca="1" ref="AR188" ca="1">IFERROR(INDEX(INDIRECT($B$3&amp;"."&amp;$B$158&amp;".energy["&amp;This.year&amp;"]"),MATCH($C188&amp;AR$5,INDIRECT($B$3&amp;"."&amp;$B$158&amp;".energy[Tech description]")&amp;INDIRECT($B$3&amp;"."&amp;$B$158&amp;".energy[Energy description]"),0)),0)</f>
        <v>0</v>
      </c>
      <c r="AS188" s="21">
        <f t="array" aca="1" ref="AS188" ca="1">IFERROR(INDEX(INDIRECT($B$3&amp;"."&amp;$B$158&amp;".energy["&amp;This.year&amp;"]"),MATCH($C188&amp;AS$5,INDIRECT($B$3&amp;"."&amp;$B$158&amp;".energy[Tech description]")&amp;INDIRECT($B$3&amp;"."&amp;$B$158&amp;".energy[Energy description]"),0)),0)</f>
        <v>0</v>
      </c>
      <c r="AT188" s="21">
        <f t="array" aca="1" ref="AT188" ca="1">IFERROR(INDEX(INDIRECT($B$3&amp;"."&amp;$B$158&amp;".energy["&amp;This.year&amp;"]"),MATCH($C188&amp;AT$5,INDIRECT($B$3&amp;"."&amp;$B$158&amp;".energy[Tech description]")&amp;INDIRECT($B$3&amp;"."&amp;$B$158&amp;".energy[Energy description]"),0)),0)</f>
        <v>0</v>
      </c>
      <c r="AU188" s="21">
        <f t="array" aca="1" ref="AU188" ca="1">IFERROR(INDEX(INDIRECT($B$3&amp;"."&amp;$B$158&amp;".energy["&amp;This.year&amp;"]"),MATCH($C188&amp;AU$5,INDIRECT($B$3&amp;"."&amp;$B$158&amp;".energy[Tech description]")&amp;INDIRECT($B$3&amp;"."&amp;$B$158&amp;".energy[Energy description]"),0)),0)</f>
        <v>0</v>
      </c>
      <c r="AV188" s="21">
        <f t="array" aca="1" ref="AV188" ca="1">IFERROR(INDEX(INDIRECT($B$3&amp;"."&amp;$B$158&amp;".energy["&amp;This.year&amp;"]"),MATCH($C188&amp;AV$5,INDIRECT($B$3&amp;"."&amp;$B$158&amp;".energy[Tech description]")&amp;INDIRECT($B$3&amp;"."&amp;$B$158&amp;".energy[Energy description]"),0)),0)</f>
        <v>0</v>
      </c>
      <c r="AW188" s="21">
        <f t="array" aca="1" ref="AW188" ca="1">IFERROR(INDEX(INDIRECT($B$3&amp;"."&amp;$B$158&amp;".energy["&amp;This.year&amp;"]"),MATCH($C188&amp;AW$5,INDIRECT($B$3&amp;"."&amp;$B$158&amp;".energy[Tech description]")&amp;INDIRECT($B$3&amp;"."&amp;$B$158&amp;".energy[Energy description]"),0)),0)</f>
        <v>0</v>
      </c>
      <c r="AX188" s="21">
        <f t="array" aca="1" ref="AX188" ca="1">IFERROR(INDEX(INDIRECT($B$3&amp;"."&amp;$B$158&amp;".energy["&amp;This.year&amp;"]"),MATCH($C188&amp;AX$5,INDIRECT($B$3&amp;"."&amp;$B$158&amp;".energy[Tech description]")&amp;INDIRECT($B$3&amp;"."&amp;$B$158&amp;".energy[Energy description]"),0)),0)</f>
        <v>0</v>
      </c>
      <c r="AY188" s="21">
        <f t="array" aca="1" ref="AY188" ca="1">IFERROR(INDEX(INDIRECT($B$3&amp;"."&amp;$B$158&amp;".energy["&amp;This.year&amp;"]"),MATCH($C188&amp;AY$5,INDIRECT($B$3&amp;"."&amp;$B$158&amp;".energy[Tech description]")&amp;INDIRECT($B$3&amp;"."&amp;$B$158&amp;".energy[Energy description]"),0)),0)</f>
        <v>0</v>
      </c>
      <c r="AZ188" s="21">
        <f t="array" aca="1" ref="AZ188" ca="1">IFERROR(INDEX(INDIRECT($B$3&amp;"."&amp;$B$158&amp;".energy["&amp;This.year&amp;"]"),MATCH($C188&amp;AZ$5,INDIRECT($B$3&amp;"."&amp;$B$158&amp;".energy[Tech description]")&amp;INDIRECT($B$3&amp;"."&amp;$B$158&amp;".energy[Energy description]"),0)),0)</f>
        <v>0</v>
      </c>
      <c r="BA188" s="21">
        <f t="array" aca="1" ref="BA188" ca="1">IFERROR(INDEX(INDIRECT($B$3&amp;"."&amp;$B$158&amp;".energy["&amp;This.year&amp;"]"),MATCH($C188&amp;BA$5,INDIRECT($B$3&amp;"."&amp;$B$158&amp;".energy[Tech description]")&amp;INDIRECT($B$3&amp;"."&amp;$B$158&amp;".energy[Energy description]"),0)),0)</f>
        <v>0</v>
      </c>
      <c r="BB188" s="21">
        <f t="array" aca="1" ref="BB188" ca="1">IFERROR(INDEX(INDIRECT($B$3&amp;"."&amp;$B$158&amp;".energy["&amp;This.year&amp;"]"),MATCH($C188&amp;BB$5,INDIRECT($B$3&amp;"."&amp;$B$158&amp;".energy[Tech description]")&amp;INDIRECT($B$3&amp;"."&amp;$B$158&amp;".energy[Energy description]"),0)),0)</f>
        <v>0</v>
      </c>
      <c r="BC188" s="21">
        <f t="array" aca="1" ref="BC188" ca="1">IFERROR(INDEX(INDIRECT($B$3&amp;"."&amp;$B$158&amp;".energy["&amp;This.year&amp;"]"),MATCH($C188&amp;BC$5,INDIRECT($B$3&amp;"."&amp;$B$158&amp;".energy[Tech description]")&amp;INDIRECT($B$3&amp;"."&amp;$B$158&amp;".energy[Energy description]"),0)),0)</f>
        <v>0</v>
      </c>
      <c r="BD188" s="21">
        <f t="shared" ca="1" si="21"/>
        <v>0</v>
      </c>
      <c r="BE188" s="108"/>
      <c r="BF188" s="49">
        <f t="array" aca="1" ref="BF188" ca="1">IFERROR(INDEX(INDIRECT($B$3&amp;"."&amp;$B$158&amp;".energy["&amp;This.year&amp;"]"),MATCH($C188&amp;BF$5,INDIRECT($B$3&amp;"."&amp;$B$158&amp;".energy[Tech description]")&amp;INDIRECT($B$3&amp;"."&amp;$B$158&amp;".energy[Energy description]"),0)),0)</f>
        <v>0</v>
      </c>
      <c r="BG188" s="49">
        <f t="array" aca="1" ref="BG188" ca="1">IFERROR(INDEX(INDIRECT($B$3&amp;"."&amp;$B$158&amp;".energy["&amp;This.year&amp;"]"),MATCH($C188&amp;BG$5,INDIRECT($B$3&amp;"."&amp;$B$158&amp;".energy[Tech description]")&amp;INDIRECT($B$3&amp;"."&amp;$B$158&amp;".energy[Energy description]"),0)),0)</f>
        <v>0</v>
      </c>
      <c r="BH188" s="49">
        <f t="shared" ca="1" si="22"/>
        <v>0</v>
      </c>
      <c r="BI188" s="219">
        <f t="shared" ca="1" si="9"/>
        <v>0</v>
      </c>
      <c r="BJ188" s="108"/>
    </row>
    <row r="189" spans="1:62" s="54" customFormat="1">
      <c r="A189" s="133"/>
      <c r="B189" s="176" t="s">
        <v>1814</v>
      </c>
      <c r="C189" s="114" t="str">
        <f>INDEX(Regional.Technologies[Description],MATCH($B$3&amp;"."&amp;B189,Regional.Technologies[Code],0))</f>
        <v>Global Oil use in the Primary Aluminium technology</v>
      </c>
      <c r="E189" s="121">
        <f t="array" aca="1" ref="E189" ca="1">IFERROR(INDEX(INDIRECT($B$3&amp;"."&amp;$B$158&amp;".energy["&amp;This.year&amp;"]"),MATCH($C189&amp;E$5,INDIRECT($B$3&amp;"."&amp;$B$158&amp;".energy[Tech description]")&amp;INDIRECT($B$3&amp;"."&amp;$B$158&amp;".energy[Energy description]"),0)),0)</f>
        <v>0</v>
      </c>
      <c r="F189" s="121">
        <f t="array" aca="1" ref="F189" ca="1">IFERROR(INDEX(INDIRECT($B$3&amp;"."&amp;$B$158&amp;".energy["&amp;This.year&amp;"]"),MATCH($C189&amp;F$5,INDIRECT($B$3&amp;"."&amp;$B$158&amp;".energy[Tech description]")&amp;INDIRECT($B$3&amp;"."&amp;$B$158&amp;".energy[Energy description]"),0)),0)</f>
        <v>0</v>
      </c>
      <c r="G189" s="121">
        <f t="array" aca="1" ref="G189" ca="1">IFERROR(INDEX(INDIRECT($B$3&amp;"."&amp;$B$158&amp;".energy["&amp;This.year&amp;"]"),MATCH($C189&amp;G$5,INDIRECT($B$3&amp;"."&amp;$B$158&amp;".energy[Tech description]")&amp;INDIRECT($B$3&amp;"."&amp;$B$158&amp;".energy[Energy description]"),0)),0)</f>
        <v>0</v>
      </c>
      <c r="H189" s="121">
        <f t="array" aca="1" ref="H189" ca="1">IFERROR(INDEX(INDIRECT($B$3&amp;"."&amp;$B$158&amp;".energy["&amp;This.year&amp;"]"),MATCH($C189&amp;H$5,INDIRECT($B$3&amp;"."&amp;$B$158&amp;".energy[Tech description]")&amp;INDIRECT($B$3&amp;"."&amp;$B$158&amp;".energy[Energy description]"),0)),0)</f>
        <v>0</v>
      </c>
      <c r="I189" s="121">
        <f t="array" aca="1" ref="I189" ca="1">IFERROR(INDEX(INDIRECT($B$3&amp;"."&amp;$B$158&amp;".energy["&amp;This.year&amp;"]"),MATCH($C189&amp;I$5,INDIRECT($B$3&amp;"."&amp;$B$158&amp;".energy[Tech description]")&amp;INDIRECT($B$3&amp;"."&amp;$B$158&amp;".energy[Energy description]"),0)),0)</f>
        <v>0</v>
      </c>
      <c r="J189" s="121">
        <f t="array" aca="1" ref="J189" ca="1">IFERROR(INDEX(INDIRECT($B$3&amp;"."&amp;$B$158&amp;".energy["&amp;This.year&amp;"]"),MATCH($C189&amp;J$5,INDIRECT($B$3&amp;"."&amp;$B$158&amp;".energy[Tech description]")&amp;INDIRECT($B$3&amp;"."&amp;$B$158&amp;".energy[Energy description]"),0)),0)</f>
        <v>0.18032133468483588</v>
      </c>
      <c r="K189" s="121">
        <f t="array" aca="1" ref="K189" ca="1">IFERROR(INDEX(INDIRECT($B$3&amp;"."&amp;$B$158&amp;".energy["&amp;This.year&amp;"]"),MATCH($C189&amp;K$5,INDIRECT($B$3&amp;"."&amp;$B$158&amp;".energy[Tech description]")&amp;INDIRECT($B$3&amp;"."&amp;$B$158&amp;".energy[Energy description]"),0)),0)</f>
        <v>0</v>
      </c>
      <c r="L189" s="121">
        <f t="array" aca="1" ref="L189" ca="1">IFERROR(INDEX(INDIRECT($B$3&amp;"."&amp;$B$158&amp;".energy["&amp;This.year&amp;"]"),MATCH($C189&amp;L$5,INDIRECT($B$3&amp;"."&amp;$B$158&amp;".energy[Tech description]")&amp;INDIRECT($B$3&amp;"."&amp;$B$158&amp;".energy[Energy description]"),0)),0)</f>
        <v>0</v>
      </c>
      <c r="M189" s="121">
        <f t="array" aca="1" ref="M189" ca="1">IFERROR(INDEX(INDIRECT($B$3&amp;"."&amp;$B$158&amp;".energy["&amp;This.year&amp;"]"),MATCH($C189&amp;M$5,INDIRECT($B$3&amp;"."&amp;$B$158&amp;".energy[Tech description]")&amp;INDIRECT($B$3&amp;"."&amp;$B$158&amp;".energy[Energy description]"),0)),0)</f>
        <v>0</v>
      </c>
      <c r="N189" s="121">
        <f t="array" aca="1" ref="N189" ca="1">IFERROR(INDEX(INDIRECT($B$3&amp;"."&amp;$B$158&amp;".energy["&amp;This.year&amp;"]"),MATCH($C189&amp;N$5,INDIRECT($B$3&amp;"."&amp;$B$158&amp;".energy[Tech description]")&amp;INDIRECT($B$3&amp;"."&amp;$B$158&amp;".energy[Energy description]"),0)),0)</f>
        <v>0</v>
      </c>
      <c r="O189" s="121">
        <f t="array" aca="1" ref="O189" ca="1">IFERROR(INDEX(INDIRECT($B$3&amp;"."&amp;$B$158&amp;".energy["&amp;This.year&amp;"]"),MATCH($C189&amp;O$5,INDIRECT($B$3&amp;"."&amp;$B$158&amp;".energy[Tech description]")&amp;INDIRECT($B$3&amp;"."&amp;$B$158&amp;".energy[Energy description]"),0)),0)</f>
        <v>0</v>
      </c>
      <c r="P189" s="121">
        <f t="array" aca="1" ref="P189" ca="1">IFERROR(INDEX(INDIRECT($B$3&amp;"."&amp;$B$158&amp;".energy["&amp;This.year&amp;"]"),MATCH($C189&amp;P$5,INDIRECT($B$3&amp;"."&amp;$B$158&amp;".energy[Tech description]")&amp;INDIRECT($B$3&amp;"."&amp;$B$158&amp;".energy[Energy description]"),0)),0)</f>
        <v>0</v>
      </c>
      <c r="Q189" s="121">
        <f t="array" aca="1" ref="Q189" ca="1">IFERROR(INDEX(INDIRECT($B$3&amp;"."&amp;$B$158&amp;".energy["&amp;This.year&amp;"]"),MATCH($C189&amp;Q$5,INDIRECT($B$3&amp;"."&amp;$B$158&amp;".energy[Tech description]")&amp;INDIRECT($B$3&amp;"."&amp;$B$158&amp;".energy[Energy description]"),0)),0)</f>
        <v>0</v>
      </c>
      <c r="R189" s="121">
        <f t="array" aca="1" ref="R189" ca="1">IFERROR(INDEX(INDIRECT($B$3&amp;"."&amp;$B$158&amp;".energy["&amp;This.year&amp;"]"),MATCH($C189&amp;R$5,INDIRECT($B$3&amp;"."&amp;$B$158&amp;".energy[Tech description]")&amp;INDIRECT($B$3&amp;"."&amp;$B$158&amp;".energy[Energy description]"),0)),0)</f>
        <v>0</v>
      </c>
      <c r="S189" s="121">
        <f t="array" aca="1" ref="S189" ca="1">IFERROR(INDEX(INDIRECT($B$3&amp;"."&amp;$B$158&amp;".energy["&amp;This.year&amp;"]"),MATCH($C189&amp;S$5,INDIRECT($B$3&amp;"."&amp;$B$158&amp;".energy[Tech description]")&amp;INDIRECT($B$3&amp;"."&amp;$B$158&amp;".energy[Energy description]"),0)),0)</f>
        <v>0</v>
      </c>
      <c r="T189" s="121">
        <f t="shared" ca="1" si="19"/>
        <v>0.18032133468483588</v>
      </c>
      <c r="U189" s="109"/>
      <c r="V189" s="152">
        <f t="array" aca="1" ref="V189" ca="1">IFERROR(INDEX(INDIRECT($B$3&amp;"."&amp;$B$158&amp;".energy["&amp;This.year&amp;"]"),MATCH($C189&amp;V$5,INDIRECT($B$3&amp;"."&amp;$B$158&amp;".energy[Tech description]")&amp;INDIRECT($B$3&amp;"."&amp;$B$158&amp;".energy[Energy description]"),0)),0)</f>
        <v>0</v>
      </c>
      <c r="W189" s="152">
        <f t="array" aca="1" ref="W189" ca="1">IFERROR(INDEX(INDIRECT($B$3&amp;"."&amp;$B$158&amp;".energy["&amp;This.year&amp;"]"),MATCH($C189&amp;W$5,INDIRECT($B$3&amp;"."&amp;$B$158&amp;".energy[Tech description]")&amp;INDIRECT($B$3&amp;"."&amp;$B$158&amp;".energy[Energy description]"),0)),0)</f>
        <v>0</v>
      </c>
      <c r="X189" s="152">
        <f t="array" aca="1" ref="X189" ca="1">IFERROR(INDEX(INDIRECT($B$3&amp;"."&amp;$B$158&amp;".energy["&amp;This.year&amp;"]"),MATCH($C189&amp;X$5,INDIRECT($B$3&amp;"."&amp;$B$158&amp;".energy[Tech description]")&amp;INDIRECT($B$3&amp;"."&amp;$B$158&amp;".energy[Energy description]"),0)),0)</f>
        <v>0</v>
      </c>
      <c r="Y189" s="152">
        <f t="array" aca="1" ref="Y189" ca="1">IFERROR(INDEX(INDIRECT($B$3&amp;"."&amp;$B$158&amp;".energy["&amp;This.year&amp;"]"),MATCH($C189&amp;Y$5,INDIRECT($B$3&amp;"."&amp;$B$158&amp;".energy[Tech description]")&amp;INDIRECT($B$3&amp;"."&amp;$B$158&amp;".energy[Energy description]"),0)),0)</f>
        <v>0</v>
      </c>
      <c r="Z189" s="152">
        <f t="array" aca="1" ref="Z189" ca="1">IFERROR(INDEX(INDIRECT($B$3&amp;"."&amp;$B$158&amp;".energy["&amp;This.year&amp;"]"),MATCH($C189&amp;Z$5,INDIRECT($B$3&amp;"."&amp;$B$158&amp;".energy[Tech description]")&amp;INDIRECT($B$3&amp;"."&amp;$B$158&amp;".energy[Energy description]"),0)),0)</f>
        <v>0</v>
      </c>
      <c r="AA189" s="152">
        <f t="array" aca="1" ref="AA189" ca="1">IFERROR(INDEX(INDIRECT($B$3&amp;"."&amp;$B$158&amp;".energy["&amp;This.year&amp;"]"),MATCH($C189&amp;AA$5,INDIRECT($B$3&amp;"."&amp;$B$158&amp;".energy[Tech description]")&amp;INDIRECT($B$3&amp;"."&amp;$B$158&amp;".energy[Energy description]"),0)),0)</f>
        <v>0</v>
      </c>
      <c r="AB189" s="152">
        <f t="array" aca="1" ref="AB189" ca="1">IFERROR(INDEX(INDIRECT($B$3&amp;"."&amp;$B$158&amp;".energy["&amp;This.year&amp;"]"),MATCH($C189&amp;AB$5,INDIRECT($B$3&amp;"."&amp;$B$158&amp;".energy[Tech description]")&amp;INDIRECT($B$3&amp;"."&amp;$B$158&amp;".energy[Energy description]"),0)),0)</f>
        <v>-0.18032133468483588</v>
      </c>
      <c r="AC189" s="152">
        <f t="array" aca="1" ref="AC189" ca="1">IFERROR(INDEX(INDIRECT($B$3&amp;"."&amp;$B$158&amp;".energy["&amp;This.year&amp;"]"),MATCH($C189&amp;AC$5,INDIRECT($B$3&amp;"."&amp;$B$158&amp;".energy[Tech description]")&amp;INDIRECT($B$3&amp;"."&amp;$B$158&amp;".energy[Energy description]"),0)),0)</f>
        <v>0</v>
      </c>
      <c r="AD189" s="152">
        <f t="array" aca="1" ref="AD189" ca="1">IFERROR(INDEX(INDIRECT($B$3&amp;"."&amp;$B$158&amp;".energy["&amp;This.year&amp;"]"),MATCH($C189&amp;AD$5,INDIRECT($B$3&amp;"."&amp;$B$158&amp;".energy[Tech description]")&amp;INDIRECT($B$3&amp;"."&amp;$B$158&amp;".energy[Energy description]"),0)),0)</f>
        <v>0</v>
      </c>
      <c r="AE189" s="152">
        <f t="array" aca="1" ref="AE189" ca="1">IFERROR(INDEX(INDIRECT($B$3&amp;"."&amp;$B$158&amp;".energy["&amp;This.year&amp;"]"),MATCH($C189&amp;AE$5,INDIRECT($B$3&amp;"."&amp;$B$158&amp;".energy[Tech description]")&amp;INDIRECT($B$3&amp;"."&amp;$B$158&amp;".energy[Energy description]"),0)),0)</f>
        <v>0</v>
      </c>
      <c r="AF189" s="152">
        <f t="array" aca="1" ref="AF189" ca="1">IFERROR(INDEX(INDIRECT($B$3&amp;"."&amp;$B$158&amp;".energy["&amp;This.year&amp;"]"),MATCH($C189&amp;AF$5,INDIRECT($B$3&amp;"."&amp;$B$158&amp;".energy[Tech description]")&amp;INDIRECT($B$3&amp;"."&amp;$B$158&amp;".energy[Energy description]"),0)),0)</f>
        <v>0</v>
      </c>
      <c r="AG189" s="152">
        <f t="array" aca="1" ref="AG189" ca="1">IFERROR(INDEX(INDIRECT($B$3&amp;"."&amp;$B$158&amp;".energy["&amp;This.year&amp;"]"),MATCH($C189&amp;AG$5,INDIRECT($B$3&amp;"."&amp;$B$158&amp;".energy[Tech description]")&amp;INDIRECT($B$3&amp;"."&amp;$B$158&amp;".energy[Energy description]"),0)),0)</f>
        <v>0</v>
      </c>
      <c r="AH189" s="152">
        <f t="array" aca="1" ref="AH189" ca="1">IFERROR(INDEX(INDIRECT($B$3&amp;"."&amp;$B$158&amp;".energy["&amp;This.year&amp;"]"),MATCH($C189&amp;AH$5,INDIRECT($B$3&amp;"."&amp;$B$158&amp;".energy[Tech description]")&amp;INDIRECT($B$3&amp;"."&amp;$B$158&amp;".energy[Energy description]"),0)),0)</f>
        <v>0</v>
      </c>
      <c r="AI189" s="152">
        <f t="array" aca="1" ref="AI189" ca="1">IFERROR(INDEX(INDIRECT($B$3&amp;"."&amp;$B$158&amp;".energy["&amp;This.year&amp;"]"),MATCH($C189&amp;AI$5,INDIRECT($B$3&amp;"."&amp;$B$158&amp;".energy[Tech description]")&amp;INDIRECT($B$3&amp;"."&amp;$B$158&amp;".energy[Energy description]"),0)),0)</f>
        <v>0</v>
      </c>
      <c r="AJ189" s="152">
        <f t="array" aca="1" ref="AJ189" ca="1">IFERROR(INDEX(INDIRECT($B$3&amp;"."&amp;$B$158&amp;".energy["&amp;This.year&amp;"]"),MATCH($C189&amp;AJ$5,INDIRECT($B$3&amp;"."&amp;$B$158&amp;".energy[Tech description]")&amp;INDIRECT($B$3&amp;"."&amp;$B$158&amp;".energy[Energy description]"),0)),0)</f>
        <v>0</v>
      </c>
      <c r="AK189" s="152">
        <f t="array" aca="1" ref="AK189" ca="1">IFERROR(INDEX(INDIRECT($B$3&amp;"."&amp;$B$158&amp;".energy["&amp;This.year&amp;"]"),MATCH($C189&amp;AK$5,INDIRECT($B$3&amp;"."&amp;$B$158&amp;".energy[Tech description]")&amp;INDIRECT($B$3&amp;"."&amp;$B$158&amp;".energy[Energy description]"),0)),0)</f>
        <v>0</v>
      </c>
      <c r="AL189" s="152">
        <f t="array" aca="1" ref="AL189" ca="1">IFERROR(INDEX(INDIRECT($B$3&amp;"."&amp;$B$158&amp;".energy["&amp;This.year&amp;"]"),MATCH($C189&amp;AL$5,INDIRECT($B$3&amp;"."&amp;$B$158&amp;".energy[Tech description]")&amp;INDIRECT($B$3&amp;"."&amp;$B$158&amp;".energy[Energy description]"),0)),0)</f>
        <v>0</v>
      </c>
      <c r="AM189" s="152">
        <f t="array" aca="1" ref="AM189" ca="1">IFERROR(INDEX(INDIRECT($B$3&amp;"."&amp;$B$158&amp;".energy["&amp;This.year&amp;"]"),MATCH($C189&amp;AM$5,INDIRECT($B$3&amp;"."&amp;$B$158&amp;".energy[Tech description]")&amp;INDIRECT($B$3&amp;"."&amp;$B$158&amp;".energy[Energy description]"),0)),0)</f>
        <v>0</v>
      </c>
      <c r="AN189" s="152">
        <f t="array" aca="1" ref="AN189" ca="1">IFERROR(INDEX(INDIRECT($B$3&amp;"."&amp;$B$158&amp;".energy["&amp;This.year&amp;"]"),MATCH($C189&amp;AN$5,INDIRECT($B$3&amp;"."&amp;$B$158&amp;".energy[Tech description]")&amp;INDIRECT($B$3&amp;"."&amp;$B$158&amp;".energy[Energy description]"),0)),0)</f>
        <v>0</v>
      </c>
      <c r="AO189" s="152">
        <f t="shared" ca="1" si="20"/>
        <v>-0.18032133468483588</v>
      </c>
      <c r="AP189" s="108"/>
      <c r="AQ189" s="21">
        <f t="array" aca="1" ref="AQ189" ca="1">IFERROR(INDEX(INDIRECT($B$3&amp;"."&amp;$B$158&amp;".energy["&amp;This.year&amp;"]"),MATCH($C189&amp;AQ$5,INDIRECT($B$3&amp;"."&amp;$B$158&amp;".energy[Tech description]")&amp;INDIRECT($B$3&amp;"."&amp;$B$158&amp;".energy[Energy description]"),0)),0)</f>
        <v>0</v>
      </c>
      <c r="AR189" s="21">
        <f t="array" aca="1" ref="AR189" ca="1">IFERROR(INDEX(INDIRECT($B$3&amp;"."&amp;$B$158&amp;".energy["&amp;This.year&amp;"]"),MATCH($C189&amp;AR$5,INDIRECT($B$3&amp;"."&amp;$B$158&amp;".energy[Tech description]")&amp;INDIRECT($B$3&amp;"."&amp;$B$158&amp;".energy[Energy description]"),0)),0)</f>
        <v>0</v>
      </c>
      <c r="AS189" s="21">
        <f t="array" aca="1" ref="AS189" ca="1">IFERROR(INDEX(INDIRECT($B$3&amp;"."&amp;$B$158&amp;".energy["&amp;This.year&amp;"]"),MATCH($C189&amp;AS$5,INDIRECT($B$3&amp;"."&amp;$B$158&amp;".energy[Tech description]")&amp;INDIRECT($B$3&amp;"."&amp;$B$158&amp;".energy[Energy description]"),0)),0)</f>
        <v>0</v>
      </c>
      <c r="AT189" s="21">
        <f t="array" aca="1" ref="AT189" ca="1">IFERROR(INDEX(INDIRECT($B$3&amp;"."&amp;$B$158&amp;".energy["&amp;This.year&amp;"]"),MATCH($C189&amp;AT$5,INDIRECT($B$3&amp;"."&amp;$B$158&amp;".energy[Tech description]")&amp;INDIRECT($B$3&amp;"."&amp;$B$158&amp;".energy[Energy description]"),0)),0)</f>
        <v>0</v>
      </c>
      <c r="AU189" s="21">
        <f t="array" aca="1" ref="AU189" ca="1">IFERROR(INDEX(INDIRECT($B$3&amp;"."&amp;$B$158&amp;".energy["&amp;This.year&amp;"]"),MATCH($C189&amp;AU$5,INDIRECT($B$3&amp;"."&amp;$B$158&amp;".energy[Tech description]")&amp;INDIRECT($B$3&amp;"."&amp;$B$158&amp;".energy[Energy description]"),0)),0)</f>
        <v>0</v>
      </c>
      <c r="AV189" s="21">
        <f t="array" aca="1" ref="AV189" ca="1">IFERROR(INDEX(INDIRECT($B$3&amp;"."&amp;$B$158&amp;".energy["&amp;This.year&amp;"]"),MATCH($C189&amp;AV$5,INDIRECT($B$3&amp;"."&amp;$B$158&amp;".energy[Tech description]")&amp;INDIRECT($B$3&amp;"."&amp;$B$158&amp;".energy[Energy description]"),0)),0)</f>
        <v>0</v>
      </c>
      <c r="AW189" s="21">
        <f t="array" aca="1" ref="AW189" ca="1">IFERROR(INDEX(INDIRECT($B$3&amp;"."&amp;$B$158&amp;".energy["&amp;This.year&amp;"]"),MATCH($C189&amp;AW$5,INDIRECT($B$3&amp;"."&amp;$B$158&amp;".energy[Tech description]")&amp;INDIRECT($B$3&amp;"."&amp;$B$158&amp;".energy[Energy description]"),0)),0)</f>
        <v>0</v>
      </c>
      <c r="AX189" s="21">
        <f t="array" aca="1" ref="AX189" ca="1">IFERROR(INDEX(INDIRECT($B$3&amp;"."&amp;$B$158&amp;".energy["&amp;This.year&amp;"]"),MATCH($C189&amp;AX$5,INDIRECT($B$3&amp;"."&amp;$B$158&amp;".energy[Tech description]")&amp;INDIRECT($B$3&amp;"."&amp;$B$158&amp;".energy[Energy description]"),0)),0)</f>
        <v>0</v>
      </c>
      <c r="AY189" s="21">
        <f t="array" aca="1" ref="AY189" ca="1">IFERROR(INDEX(INDIRECT($B$3&amp;"."&amp;$B$158&amp;".energy["&amp;This.year&amp;"]"),MATCH($C189&amp;AY$5,INDIRECT($B$3&amp;"."&amp;$B$158&amp;".energy[Tech description]")&amp;INDIRECT($B$3&amp;"."&amp;$B$158&amp;".energy[Energy description]"),0)),0)</f>
        <v>0</v>
      </c>
      <c r="AZ189" s="21">
        <f t="array" aca="1" ref="AZ189" ca="1">IFERROR(INDEX(INDIRECT($B$3&amp;"."&amp;$B$158&amp;".energy["&amp;This.year&amp;"]"),MATCH($C189&amp;AZ$5,INDIRECT($B$3&amp;"."&amp;$B$158&amp;".energy[Tech description]")&amp;INDIRECT($B$3&amp;"."&amp;$B$158&amp;".energy[Energy description]"),0)),0)</f>
        <v>0</v>
      </c>
      <c r="BA189" s="21">
        <f t="array" aca="1" ref="BA189" ca="1">IFERROR(INDEX(INDIRECT($B$3&amp;"."&amp;$B$158&amp;".energy["&amp;This.year&amp;"]"),MATCH($C189&amp;BA$5,INDIRECT($B$3&amp;"."&amp;$B$158&amp;".energy[Tech description]")&amp;INDIRECT($B$3&amp;"."&amp;$B$158&amp;".energy[Energy description]"),0)),0)</f>
        <v>0</v>
      </c>
      <c r="BB189" s="21">
        <f t="array" aca="1" ref="BB189" ca="1">IFERROR(INDEX(INDIRECT($B$3&amp;"."&amp;$B$158&amp;".energy["&amp;This.year&amp;"]"),MATCH($C189&amp;BB$5,INDIRECT($B$3&amp;"."&amp;$B$158&amp;".energy[Tech description]")&amp;INDIRECT($B$3&amp;"."&amp;$B$158&amp;".energy[Energy description]"),0)),0)</f>
        <v>0</v>
      </c>
      <c r="BC189" s="21">
        <f t="array" aca="1" ref="BC189" ca="1">IFERROR(INDEX(INDIRECT($B$3&amp;"."&amp;$B$158&amp;".energy["&amp;This.year&amp;"]"),MATCH($C189&amp;BC$5,INDIRECT($B$3&amp;"."&amp;$B$158&amp;".energy[Tech description]")&amp;INDIRECT($B$3&amp;"."&amp;$B$158&amp;".energy[Energy description]"),0)),0)</f>
        <v>0</v>
      </c>
      <c r="BD189" s="21">
        <f t="shared" ca="1" si="21"/>
        <v>0</v>
      </c>
      <c r="BE189" s="108"/>
      <c r="BF189" s="49">
        <f t="array" aca="1" ref="BF189" ca="1">IFERROR(INDEX(INDIRECT($B$3&amp;"."&amp;$B$158&amp;".energy["&amp;This.year&amp;"]"),MATCH($C189&amp;BF$5,INDIRECT($B$3&amp;"."&amp;$B$158&amp;".energy[Tech description]")&amp;INDIRECT($B$3&amp;"."&amp;$B$158&amp;".energy[Energy description]"),0)),0)</f>
        <v>0</v>
      </c>
      <c r="BG189" s="49">
        <f t="array" aca="1" ref="BG189" ca="1">IFERROR(INDEX(INDIRECT($B$3&amp;"."&amp;$B$158&amp;".energy["&amp;This.year&amp;"]"),MATCH($C189&amp;BG$5,INDIRECT($B$3&amp;"."&amp;$B$158&amp;".energy[Tech description]")&amp;INDIRECT($B$3&amp;"."&amp;$B$158&amp;".energy[Energy description]"),0)),0)</f>
        <v>0</v>
      </c>
      <c r="BH189" s="49">
        <f t="shared" ca="1" si="22"/>
        <v>0</v>
      </c>
      <c r="BI189" s="219">
        <f t="shared" ca="1" si="9"/>
        <v>0</v>
      </c>
      <c r="BJ189" s="108"/>
    </row>
    <row r="190" spans="1:62" s="54" customFormat="1">
      <c r="A190" s="133"/>
      <c r="B190" s="176" t="s">
        <v>1815</v>
      </c>
      <c r="C190" s="114" t="str">
        <f>INDEX(Regional.Technologies[Description],MATCH($B$3&amp;"."&amp;B190,Regional.Technologies[Code],0))</f>
        <v>Global Natural Gas use in the Primary Aluminium technology</v>
      </c>
      <c r="E190" s="121">
        <f t="array" aca="1" ref="E190" ca="1">IFERROR(INDEX(INDIRECT($B$3&amp;"."&amp;$B$158&amp;".energy["&amp;This.year&amp;"]"),MATCH($C190&amp;E$5,INDIRECT($B$3&amp;"."&amp;$B$158&amp;".energy[Tech description]")&amp;INDIRECT($B$3&amp;"."&amp;$B$158&amp;".energy[Energy description]"),0)),0)</f>
        <v>0</v>
      </c>
      <c r="F190" s="121">
        <f t="array" aca="1" ref="F190" ca="1">IFERROR(INDEX(INDIRECT($B$3&amp;"."&amp;$B$158&amp;".energy["&amp;This.year&amp;"]"),MATCH($C190&amp;F$5,INDIRECT($B$3&amp;"."&amp;$B$158&amp;".energy[Tech description]")&amp;INDIRECT($B$3&amp;"."&amp;$B$158&amp;".energy[Energy description]"),0)),0)</f>
        <v>0</v>
      </c>
      <c r="G190" s="121">
        <f t="array" aca="1" ref="G190" ca="1">IFERROR(INDEX(INDIRECT($B$3&amp;"."&amp;$B$158&amp;".energy["&amp;This.year&amp;"]"),MATCH($C190&amp;G$5,INDIRECT($B$3&amp;"."&amp;$B$158&amp;".energy[Tech description]")&amp;INDIRECT($B$3&amp;"."&amp;$B$158&amp;".energy[Energy description]"),0)),0)</f>
        <v>0</v>
      </c>
      <c r="H190" s="121">
        <f t="array" aca="1" ref="H190" ca="1">IFERROR(INDEX(INDIRECT($B$3&amp;"."&amp;$B$158&amp;".energy["&amp;This.year&amp;"]"),MATCH($C190&amp;H$5,INDIRECT($B$3&amp;"."&amp;$B$158&amp;".energy[Tech description]")&amp;INDIRECT($B$3&amp;"."&amp;$B$158&amp;".energy[Energy description]"),0)),0)</f>
        <v>0</v>
      </c>
      <c r="I190" s="121">
        <f t="array" aca="1" ref="I190" ca="1">IFERROR(INDEX(INDIRECT($B$3&amp;"."&amp;$B$158&amp;".energy["&amp;This.year&amp;"]"),MATCH($C190&amp;I$5,INDIRECT($B$3&amp;"."&amp;$B$158&amp;".energy[Tech description]")&amp;INDIRECT($B$3&amp;"."&amp;$B$158&amp;".energy[Energy description]"),0)),0)</f>
        <v>0</v>
      </c>
      <c r="J190" s="121">
        <f t="array" aca="1" ref="J190" ca="1">IFERROR(INDEX(INDIRECT($B$3&amp;"."&amp;$B$158&amp;".energy["&amp;This.year&amp;"]"),MATCH($C190&amp;J$5,INDIRECT($B$3&amp;"."&amp;$B$158&amp;".energy[Tech description]")&amp;INDIRECT($B$3&amp;"."&amp;$B$158&amp;".energy[Energy description]"),0)),0)</f>
        <v>0.10632786060601518</v>
      </c>
      <c r="K190" s="121">
        <f t="array" aca="1" ref="K190" ca="1">IFERROR(INDEX(INDIRECT($B$3&amp;"."&amp;$B$158&amp;".energy["&amp;This.year&amp;"]"),MATCH($C190&amp;K$5,INDIRECT($B$3&amp;"."&amp;$B$158&amp;".energy[Tech description]")&amp;INDIRECT($B$3&amp;"."&amp;$B$158&amp;".energy[Energy description]"),0)),0)</f>
        <v>0</v>
      </c>
      <c r="L190" s="121">
        <f t="array" aca="1" ref="L190" ca="1">IFERROR(INDEX(INDIRECT($B$3&amp;"."&amp;$B$158&amp;".energy["&amp;This.year&amp;"]"),MATCH($C190&amp;L$5,INDIRECT($B$3&amp;"."&amp;$B$158&amp;".energy[Tech description]")&amp;INDIRECT($B$3&amp;"."&amp;$B$158&amp;".energy[Energy description]"),0)),0)</f>
        <v>0</v>
      </c>
      <c r="M190" s="121">
        <f t="array" aca="1" ref="M190" ca="1">IFERROR(INDEX(INDIRECT($B$3&amp;"."&amp;$B$158&amp;".energy["&amp;This.year&amp;"]"),MATCH($C190&amp;M$5,INDIRECT($B$3&amp;"."&amp;$B$158&amp;".energy[Tech description]")&amp;INDIRECT($B$3&amp;"."&amp;$B$158&amp;".energy[Energy description]"),0)),0)</f>
        <v>0</v>
      </c>
      <c r="N190" s="121">
        <f t="array" aca="1" ref="N190" ca="1">IFERROR(INDEX(INDIRECT($B$3&amp;"."&amp;$B$158&amp;".energy["&amp;This.year&amp;"]"),MATCH($C190&amp;N$5,INDIRECT($B$3&amp;"."&amp;$B$158&amp;".energy[Tech description]")&amp;INDIRECT($B$3&amp;"."&amp;$B$158&amp;".energy[Energy description]"),0)),0)</f>
        <v>0</v>
      </c>
      <c r="O190" s="121">
        <f t="array" aca="1" ref="O190" ca="1">IFERROR(INDEX(INDIRECT($B$3&amp;"."&amp;$B$158&amp;".energy["&amp;This.year&amp;"]"),MATCH($C190&amp;O$5,INDIRECT($B$3&amp;"."&amp;$B$158&amp;".energy[Tech description]")&amp;INDIRECT($B$3&amp;"."&amp;$B$158&amp;".energy[Energy description]"),0)),0)</f>
        <v>0</v>
      </c>
      <c r="P190" s="121">
        <f t="array" aca="1" ref="P190" ca="1">IFERROR(INDEX(INDIRECT($B$3&amp;"."&amp;$B$158&amp;".energy["&amp;This.year&amp;"]"),MATCH($C190&amp;P$5,INDIRECT($B$3&amp;"."&amp;$B$158&amp;".energy[Tech description]")&amp;INDIRECT($B$3&amp;"."&amp;$B$158&amp;".energy[Energy description]"),0)),0)</f>
        <v>0</v>
      </c>
      <c r="Q190" s="121">
        <f t="array" aca="1" ref="Q190" ca="1">IFERROR(INDEX(INDIRECT($B$3&amp;"."&amp;$B$158&amp;".energy["&amp;This.year&amp;"]"),MATCH($C190&amp;Q$5,INDIRECT($B$3&amp;"."&amp;$B$158&amp;".energy[Tech description]")&amp;INDIRECT($B$3&amp;"."&amp;$B$158&amp;".energy[Energy description]"),0)),0)</f>
        <v>0</v>
      </c>
      <c r="R190" s="121">
        <f t="array" aca="1" ref="R190" ca="1">IFERROR(INDEX(INDIRECT($B$3&amp;"."&amp;$B$158&amp;".energy["&amp;This.year&amp;"]"),MATCH($C190&amp;R$5,INDIRECT($B$3&amp;"."&amp;$B$158&amp;".energy[Tech description]")&amp;INDIRECT($B$3&amp;"."&amp;$B$158&amp;".energy[Energy description]"),0)),0)</f>
        <v>0</v>
      </c>
      <c r="S190" s="121">
        <f t="array" aca="1" ref="S190" ca="1">IFERROR(INDEX(INDIRECT($B$3&amp;"."&amp;$B$158&amp;".energy["&amp;This.year&amp;"]"),MATCH($C190&amp;S$5,INDIRECT($B$3&amp;"."&amp;$B$158&amp;".energy[Tech description]")&amp;INDIRECT($B$3&amp;"."&amp;$B$158&amp;".energy[Energy description]"),0)),0)</f>
        <v>0</v>
      </c>
      <c r="T190" s="121">
        <f t="shared" ca="1" si="19"/>
        <v>0.10632786060601518</v>
      </c>
      <c r="U190" s="109"/>
      <c r="V190" s="152">
        <f t="array" aca="1" ref="V190" ca="1">IFERROR(INDEX(INDIRECT($B$3&amp;"."&amp;$B$158&amp;".energy["&amp;This.year&amp;"]"),MATCH($C190&amp;V$5,INDIRECT($B$3&amp;"."&amp;$B$158&amp;".energy[Tech description]")&amp;INDIRECT($B$3&amp;"."&amp;$B$158&amp;".energy[Energy description]"),0)),0)</f>
        <v>0</v>
      </c>
      <c r="W190" s="152">
        <f t="array" aca="1" ref="W190" ca="1">IFERROR(INDEX(INDIRECT($B$3&amp;"."&amp;$B$158&amp;".energy["&amp;This.year&amp;"]"),MATCH($C190&amp;W$5,INDIRECT($B$3&amp;"."&amp;$B$158&amp;".energy[Tech description]")&amp;INDIRECT($B$3&amp;"."&amp;$B$158&amp;".energy[Energy description]"),0)),0)</f>
        <v>0</v>
      </c>
      <c r="X190" s="152">
        <f t="array" aca="1" ref="X190" ca="1">IFERROR(INDEX(INDIRECT($B$3&amp;"."&amp;$B$158&amp;".energy["&amp;This.year&amp;"]"),MATCH($C190&amp;X$5,INDIRECT($B$3&amp;"."&amp;$B$158&amp;".energy[Tech description]")&amp;INDIRECT($B$3&amp;"."&amp;$B$158&amp;".energy[Energy description]"),0)),0)</f>
        <v>0</v>
      </c>
      <c r="Y190" s="152">
        <f t="array" aca="1" ref="Y190" ca="1">IFERROR(INDEX(INDIRECT($B$3&amp;"."&amp;$B$158&amp;".energy["&amp;This.year&amp;"]"),MATCH($C190&amp;Y$5,INDIRECT($B$3&amp;"."&amp;$B$158&amp;".energy[Tech description]")&amp;INDIRECT($B$3&amp;"."&amp;$B$158&amp;".energy[Energy description]"),0)),0)</f>
        <v>0</v>
      </c>
      <c r="Z190" s="152">
        <f t="array" aca="1" ref="Z190" ca="1">IFERROR(INDEX(INDIRECT($B$3&amp;"."&amp;$B$158&amp;".energy["&amp;This.year&amp;"]"),MATCH($C190&amp;Z$5,INDIRECT($B$3&amp;"."&amp;$B$158&amp;".energy[Tech description]")&amp;INDIRECT($B$3&amp;"."&amp;$B$158&amp;".energy[Energy description]"),0)),0)</f>
        <v>0</v>
      </c>
      <c r="AA190" s="152">
        <f t="array" aca="1" ref="AA190" ca="1">IFERROR(INDEX(INDIRECT($B$3&amp;"."&amp;$B$158&amp;".energy["&amp;This.year&amp;"]"),MATCH($C190&amp;AA$5,INDIRECT($B$3&amp;"."&amp;$B$158&amp;".energy[Tech description]")&amp;INDIRECT($B$3&amp;"."&amp;$B$158&amp;".energy[Energy description]"),0)),0)</f>
        <v>0</v>
      </c>
      <c r="AB190" s="152">
        <f t="array" aca="1" ref="AB190" ca="1">IFERROR(INDEX(INDIRECT($B$3&amp;"."&amp;$B$158&amp;".energy["&amp;This.year&amp;"]"),MATCH($C190&amp;AB$5,INDIRECT($B$3&amp;"."&amp;$B$158&amp;".energy[Tech description]")&amp;INDIRECT($B$3&amp;"."&amp;$B$158&amp;".energy[Energy description]"),0)),0)</f>
        <v>0</v>
      </c>
      <c r="AC190" s="152">
        <f t="array" aca="1" ref="AC190" ca="1">IFERROR(INDEX(INDIRECT($B$3&amp;"."&amp;$B$158&amp;".energy["&amp;This.year&amp;"]"),MATCH($C190&amp;AC$5,INDIRECT($B$3&amp;"."&amp;$B$158&amp;".energy[Tech description]")&amp;INDIRECT($B$3&amp;"."&amp;$B$158&amp;".energy[Energy description]"),0)),0)</f>
        <v>-0.10632786060601518</v>
      </c>
      <c r="AD190" s="152">
        <f t="array" aca="1" ref="AD190" ca="1">IFERROR(INDEX(INDIRECT($B$3&amp;"."&amp;$B$158&amp;".energy["&amp;This.year&amp;"]"),MATCH($C190&amp;AD$5,INDIRECT($B$3&amp;"."&amp;$B$158&amp;".energy[Tech description]")&amp;INDIRECT($B$3&amp;"."&amp;$B$158&amp;".energy[Energy description]"),0)),0)</f>
        <v>0</v>
      </c>
      <c r="AE190" s="152">
        <f t="array" aca="1" ref="AE190" ca="1">IFERROR(INDEX(INDIRECT($B$3&amp;"."&amp;$B$158&amp;".energy["&amp;This.year&amp;"]"),MATCH($C190&amp;AE$5,INDIRECT($B$3&amp;"."&amp;$B$158&amp;".energy[Tech description]")&amp;INDIRECT($B$3&amp;"."&amp;$B$158&amp;".energy[Energy description]"),0)),0)</f>
        <v>0</v>
      </c>
      <c r="AF190" s="152">
        <f t="array" aca="1" ref="AF190" ca="1">IFERROR(INDEX(INDIRECT($B$3&amp;"."&amp;$B$158&amp;".energy["&amp;This.year&amp;"]"),MATCH($C190&amp;AF$5,INDIRECT($B$3&amp;"."&amp;$B$158&amp;".energy[Tech description]")&amp;INDIRECT($B$3&amp;"."&amp;$B$158&amp;".energy[Energy description]"),0)),0)</f>
        <v>0</v>
      </c>
      <c r="AG190" s="152">
        <f t="array" aca="1" ref="AG190" ca="1">IFERROR(INDEX(INDIRECT($B$3&amp;"."&amp;$B$158&amp;".energy["&amp;This.year&amp;"]"),MATCH($C190&amp;AG$5,INDIRECT($B$3&amp;"."&amp;$B$158&amp;".energy[Tech description]")&amp;INDIRECT($B$3&amp;"."&amp;$B$158&amp;".energy[Energy description]"),0)),0)</f>
        <v>0</v>
      </c>
      <c r="AH190" s="152">
        <f t="array" aca="1" ref="AH190" ca="1">IFERROR(INDEX(INDIRECT($B$3&amp;"."&amp;$B$158&amp;".energy["&amp;This.year&amp;"]"),MATCH($C190&amp;AH$5,INDIRECT($B$3&amp;"."&amp;$B$158&amp;".energy[Tech description]")&amp;INDIRECT($B$3&amp;"."&amp;$B$158&amp;".energy[Energy description]"),0)),0)</f>
        <v>0</v>
      </c>
      <c r="AI190" s="152">
        <f t="array" aca="1" ref="AI190" ca="1">IFERROR(INDEX(INDIRECT($B$3&amp;"."&amp;$B$158&amp;".energy["&amp;This.year&amp;"]"),MATCH($C190&amp;AI$5,INDIRECT($B$3&amp;"."&amp;$B$158&amp;".energy[Tech description]")&amp;INDIRECT($B$3&amp;"."&amp;$B$158&amp;".energy[Energy description]"),0)),0)</f>
        <v>0</v>
      </c>
      <c r="AJ190" s="152">
        <f t="array" aca="1" ref="AJ190" ca="1">IFERROR(INDEX(INDIRECT($B$3&amp;"."&amp;$B$158&amp;".energy["&amp;This.year&amp;"]"),MATCH($C190&amp;AJ$5,INDIRECT($B$3&amp;"."&amp;$B$158&amp;".energy[Tech description]")&amp;INDIRECT($B$3&amp;"."&amp;$B$158&amp;".energy[Energy description]"),0)),0)</f>
        <v>0</v>
      </c>
      <c r="AK190" s="152">
        <f t="array" aca="1" ref="AK190" ca="1">IFERROR(INDEX(INDIRECT($B$3&amp;"."&amp;$B$158&amp;".energy["&amp;This.year&amp;"]"),MATCH($C190&amp;AK$5,INDIRECT($B$3&amp;"."&amp;$B$158&amp;".energy[Tech description]")&amp;INDIRECT($B$3&amp;"."&amp;$B$158&amp;".energy[Energy description]"),0)),0)</f>
        <v>0</v>
      </c>
      <c r="AL190" s="152">
        <f t="array" aca="1" ref="AL190" ca="1">IFERROR(INDEX(INDIRECT($B$3&amp;"."&amp;$B$158&amp;".energy["&amp;This.year&amp;"]"),MATCH($C190&amp;AL$5,INDIRECT($B$3&amp;"."&amp;$B$158&amp;".energy[Tech description]")&amp;INDIRECT($B$3&amp;"."&amp;$B$158&amp;".energy[Energy description]"),0)),0)</f>
        <v>0</v>
      </c>
      <c r="AM190" s="152">
        <f t="array" aca="1" ref="AM190" ca="1">IFERROR(INDEX(INDIRECT($B$3&amp;"."&amp;$B$158&amp;".energy["&amp;This.year&amp;"]"),MATCH($C190&amp;AM$5,INDIRECT($B$3&amp;"."&amp;$B$158&amp;".energy[Tech description]")&amp;INDIRECT($B$3&amp;"."&amp;$B$158&amp;".energy[Energy description]"),0)),0)</f>
        <v>0</v>
      </c>
      <c r="AN190" s="152">
        <f t="array" aca="1" ref="AN190" ca="1">IFERROR(INDEX(INDIRECT($B$3&amp;"."&amp;$B$158&amp;".energy["&amp;This.year&amp;"]"),MATCH($C190&amp;AN$5,INDIRECT($B$3&amp;"."&amp;$B$158&amp;".energy[Tech description]")&amp;INDIRECT($B$3&amp;"."&amp;$B$158&amp;".energy[Energy description]"),0)),0)</f>
        <v>0</v>
      </c>
      <c r="AO190" s="152">
        <f t="shared" ca="1" si="20"/>
        <v>-0.10632786060601518</v>
      </c>
      <c r="AP190" s="108"/>
      <c r="AQ190" s="21">
        <f t="array" aca="1" ref="AQ190" ca="1">IFERROR(INDEX(INDIRECT($B$3&amp;"."&amp;$B$158&amp;".energy["&amp;This.year&amp;"]"),MATCH($C190&amp;AQ$5,INDIRECT($B$3&amp;"."&amp;$B$158&amp;".energy[Tech description]")&amp;INDIRECT($B$3&amp;"."&amp;$B$158&amp;".energy[Energy description]"),0)),0)</f>
        <v>0</v>
      </c>
      <c r="AR190" s="21">
        <f t="array" aca="1" ref="AR190" ca="1">IFERROR(INDEX(INDIRECT($B$3&amp;"."&amp;$B$158&amp;".energy["&amp;This.year&amp;"]"),MATCH($C190&amp;AR$5,INDIRECT($B$3&amp;"."&amp;$B$158&amp;".energy[Tech description]")&amp;INDIRECT($B$3&amp;"."&amp;$B$158&amp;".energy[Energy description]"),0)),0)</f>
        <v>0</v>
      </c>
      <c r="AS190" s="21">
        <f t="array" aca="1" ref="AS190" ca="1">IFERROR(INDEX(INDIRECT($B$3&amp;"."&amp;$B$158&amp;".energy["&amp;This.year&amp;"]"),MATCH($C190&amp;AS$5,INDIRECT($B$3&amp;"."&amp;$B$158&amp;".energy[Tech description]")&amp;INDIRECT($B$3&amp;"."&amp;$B$158&amp;".energy[Energy description]"),0)),0)</f>
        <v>0</v>
      </c>
      <c r="AT190" s="21">
        <f t="array" aca="1" ref="AT190" ca="1">IFERROR(INDEX(INDIRECT($B$3&amp;"."&amp;$B$158&amp;".energy["&amp;This.year&amp;"]"),MATCH($C190&amp;AT$5,INDIRECT($B$3&amp;"."&amp;$B$158&amp;".energy[Tech description]")&amp;INDIRECT($B$3&amp;"."&amp;$B$158&amp;".energy[Energy description]"),0)),0)</f>
        <v>0</v>
      </c>
      <c r="AU190" s="21">
        <f t="array" aca="1" ref="AU190" ca="1">IFERROR(INDEX(INDIRECT($B$3&amp;"."&amp;$B$158&amp;".energy["&amp;This.year&amp;"]"),MATCH($C190&amp;AU$5,INDIRECT($B$3&amp;"."&amp;$B$158&amp;".energy[Tech description]")&amp;INDIRECT($B$3&amp;"."&amp;$B$158&amp;".energy[Energy description]"),0)),0)</f>
        <v>0</v>
      </c>
      <c r="AV190" s="21">
        <f t="array" aca="1" ref="AV190" ca="1">IFERROR(INDEX(INDIRECT($B$3&amp;"."&amp;$B$158&amp;".energy["&amp;This.year&amp;"]"),MATCH($C190&amp;AV$5,INDIRECT($B$3&amp;"."&amp;$B$158&amp;".energy[Tech description]")&amp;INDIRECT($B$3&amp;"."&amp;$B$158&amp;".energy[Energy description]"),0)),0)</f>
        <v>0</v>
      </c>
      <c r="AW190" s="21">
        <f t="array" aca="1" ref="AW190" ca="1">IFERROR(INDEX(INDIRECT($B$3&amp;"."&amp;$B$158&amp;".energy["&amp;This.year&amp;"]"),MATCH($C190&amp;AW$5,INDIRECT($B$3&amp;"."&amp;$B$158&amp;".energy[Tech description]")&amp;INDIRECT($B$3&amp;"."&amp;$B$158&amp;".energy[Energy description]"),0)),0)</f>
        <v>0</v>
      </c>
      <c r="AX190" s="21">
        <f t="array" aca="1" ref="AX190" ca="1">IFERROR(INDEX(INDIRECT($B$3&amp;"."&amp;$B$158&amp;".energy["&amp;This.year&amp;"]"),MATCH($C190&amp;AX$5,INDIRECT($B$3&amp;"."&amp;$B$158&amp;".energy[Tech description]")&amp;INDIRECT($B$3&amp;"."&amp;$B$158&amp;".energy[Energy description]"),0)),0)</f>
        <v>0</v>
      </c>
      <c r="AY190" s="21">
        <f t="array" aca="1" ref="AY190" ca="1">IFERROR(INDEX(INDIRECT($B$3&amp;"."&amp;$B$158&amp;".energy["&amp;This.year&amp;"]"),MATCH($C190&amp;AY$5,INDIRECT($B$3&amp;"."&amp;$B$158&amp;".energy[Tech description]")&amp;INDIRECT($B$3&amp;"."&amp;$B$158&amp;".energy[Energy description]"),0)),0)</f>
        <v>0</v>
      </c>
      <c r="AZ190" s="21">
        <f t="array" aca="1" ref="AZ190" ca="1">IFERROR(INDEX(INDIRECT($B$3&amp;"."&amp;$B$158&amp;".energy["&amp;This.year&amp;"]"),MATCH($C190&amp;AZ$5,INDIRECT($B$3&amp;"."&amp;$B$158&amp;".energy[Tech description]")&amp;INDIRECT($B$3&amp;"."&amp;$B$158&amp;".energy[Energy description]"),0)),0)</f>
        <v>0</v>
      </c>
      <c r="BA190" s="21">
        <f t="array" aca="1" ref="BA190" ca="1">IFERROR(INDEX(INDIRECT($B$3&amp;"."&amp;$B$158&amp;".energy["&amp;This.year&amp;"]"),MATCH($C190&amp;BA$5,INDIRECT($B$3&amp;"."&amp;$B$158&amp;".energy[Tech description]")&amp;INDIRECT($B$3&amp;"."&amp;$B$158&amp;".energy[Energy description]"),0)),0)</f>
        <v>0</v>
      </c>
      <c r="BB190" s="21">
        <f t="array" aca="1" ref="BB190" ca="1">IFERROR(INDEX(INDIRECT($B$3&amp;"."&amp;$B$158&amp;".energy["&amp;This.year&amp;"]"),MATCH($C190&amp;BB$5,INDIRECT($B$3&amp;"."&amp;$B$158&amp;".energy[Tech description]")&amp;INDIRECT($B$3&amp;"."&amp;$B$158&amp;".energy[Energy description]"),0)),0)</f>
        <v>0</v>
      </c>
      <c r="BC190" s="21">
        <f t="array" aca="1" ref="BC190" ca="1">IFERROR(INDEX(INDIRECT($B$3&amp;"."&amp;$B$158&amp;".energy["&amp;This.year&amp;"]"),MATCH($C190&amp;BC$5,INDIRECT($B$3&amp;"."&amp;$B$158&amp;".energy[Tech description]")&amp;INDIRECT($B$3&amp;"."&amp;$B$158&amp;".energy[Energy description]"),0)),0)</f>
        <v>0</v>
      </c>
      <c r="BD190" s="21">
        <f t="shared" ca="1" si="21"/>
        <v>0</v>
      </c>
      <c r="BE190" s="108"/>
      <c r="BF190" s="49">
        <f t="array" aca="1" ref="BF190" ca="1">IFERROR(INDEX(INDIRECT($B$3&amp;"."&amp;$B$158&amp;".energy["&amp;This.year&amp;"]"),MATCH($C190&amp;BF$5,INDIRECT($B$3&amp;"."&amp;$B$158&amp;".energy[Tech description]")&amp;INDIRECT($B$3&amp;"."&amp;$B$158&amp;".energy[Energy description]"),0)),0)</f>
        <v>0</v>
      </c>
      <c r="BG190" s="49">
        <f t="array" aca="1" ref="BG190" ca="1">IFERROR(INDEX(INDIRECT($B$3&amp;"."&amp;$B$158&amp;".energy["&amp;This.year&amp;"]"),MATCH($C190&amp;BG$5,INDIRECT($B$3&amp;"."&amp;$B$158&amp;".energy[Tech description]")&amp;INDIRECT($B$3&amp;"."&amp;$B$158&amp;".energy[Energy description]"),0)),0)</f>
        <v>0</v>
      </c>
      <c r="BH190" s="49">
        <f t="shared" ca="1" si="22"/>
        <v>0</v>
      </c>
      <c r="BI190" s="219">
        <f t="shared" ca="1" si="9"/>
        <v>0</v>
      </c>
      <c r="BJ190" s="108"/>
    </row>
    <row r="191" spans="1:62" s="54" customFormat="1">
      <c r="A191" s="133"/>
      <c r="B191" s="176" t="s">
        <v>1816</v>
      </c>
      <c r="C191" s="114" t="str">
        <f>INDEX(Regional.Technologies[Description],MATCH($B$3&amp;"."&amp;B191,Regional.Technologies[Code],0))</f>
        <v>Global Solid Hydrocarbons use in the Primary Aluminium technology</v>
      </c>
      <c r="E191" s="121">
        <f t="array" aca="1" ref="E191" ca="1">IFERROR(INDEX(INDIRECT($B$3&amp;"."&amp;$B$158&amp;".energy["&amp;This.year&amp;"]"),MATCH($C191&amp;E$5,INDIRECT($B$3&amp;"."&amp;$B$158&amp;".energy[Tech description]")&amp;INDIRECT($B$3&amp;"."&amp;$B$158&amp;".energy[Energy description]"),0)),0)</f>
        <v>0</v>
      </c>
      <c r="F191" s="121">
        <f t="array" aca="1" ref="F191" ca="1">IFERROR(INDEX(INDIRECT($B$3&amp;"."&amp;$B$158&amp;".energy["&amp;This.year&amp;"]"),MATCH($C191&amp;F$5,INDIRECT($B$3&amp;"."&amp;$B$158&amp;".energy[Tech description]")&amp;INDIRECT($B$3&amp;"."&amp;$B$158&amp;".energy[Energy description]"),0)),0)</f>
        <v>0</v>
      </c>
      <c r="G191" s="121">
        <f t="array" aca="1" ref="G191" ca="1">IFERROR(INDEX(INDIRECT($B$3&amp;"."&amp;$B$158&amp;".energy["&amp;This.year&amp;"]"),MATCH($C191&amp;G$5,INDIRECT($B$3&amp;"."&amp;$B$158&amp;".energy[Tech description]")&amp;INDIRECT($B$3&amp;"."&amp;$B$158&amp;".energy[Energy description]"),0)),0)</f>
        <v>0</v>
      </c>
      <c r="H191" s="121">
        <f t="array" aca="1" ref="H191" ca="1">IFERROR(INDEX(INDIRECT($B$3&amp;"."&amp;$B$158&amp;".energy["&amp;This.year&amp;"]"),MATCH($C191&amp;H$5,INDIRECT($B$3&amp;"."&amp;$B$158&amp;".energy[Tech description]")&amp;INDIRECT($B$3&amp;"."&amp;$B$158&amp;".energy[Energy description]"),0)),0)</f>
        <v>0</v>
      </c>
      <c r="I191" s="121">
        <f t="array" aca="1" ref="I191" ca="1">IFERROR(INDEX(INDIRECT($B$3&amp;"."&amp;$B$158&amp;".energy["&amp;This.year&amp;"]"),MATCH($C191&amp;I$5,INDIRECT($B$3&amp;"."&amp;$B$158&amp;".energy[Tech description]")&amp;INDIRECT($B$3&amp;"."&amp;$B$158&amp;".energy[Energy description]"),0)),0)</f>
        <v>0</v>
      </c>
      <c r="J191" s="121">
        <f t="array" aca="1" ref="J191" ca="1">IFERROR(INDEX(INDIRECT($B$3&amp;"."&amp;$B$158&amp;".energy["&amp;This.year&amp;"]"),MATCH($C191&amp;J$5,INDIRECT($B$3&amp;"."&amp;$B$158&amp;".energy[Tech description]")&amp;INDIRECT($B$3&amp;"."&amp;$B$158&amp;".energy[Energy description]"),0)),0)</f>
        <v>0</v>
      </c>
      <c r="K191" s="121">
        <f t="array" aca="1" ref="K191" ca="1">IFERROR(INDEX(INDIRECT($B$3&amp;"."&amp;$B$158&amp;".energy["&amp;This.year&amp;"]"),MATCH($C191&amp;K$5,INDIRECT($B$3&amp;"."&amp;$B$158&amp;".energy[Tech description]")&amp;INDIRECT($B$3&amp;"."&amp;$B$158&amp;".energy[Energy description]"),0)),0)</f>
        <v>0</v>
      </c>
      <c r="L191" s="121">
        <f t="array" aca="1" ref="L191" ca="1">IFERROR(INDEX(INDIRECT($B$3&amp;"."&amp;$B$158&amp;".energy["&amp;This.year&amp;"]"),MATCH($C191&amp;L$5,INDIRECT($B$3&amp;"."&amp;$B$158&amp;".energy[Tech description]")&amp;INDIRECT($B$3&amp;"."&amp;$B$158&amp;".energy[Energy description]"),0)),0)</f>
        <v>0</v>
      </c>
      <c r="M191" s="121">
        <f t="array" aca="1" ref="M191" ca="1">IFERROR(INDEX(INDIRECT($B$3&amp;"."&amp;$B$158&amp;".energy["&amp;This.year&amp;"]"),MATCH($C191&amp;M$5,INDIRECT($B$3&amp;"."&amp;$B$158&amp;".energy[Tech description]")&amp;INDIRECT($B$3&amp;"."&amp;$B$158&amp;".energy[Energy description]"),0)),0)</f>
        <v>0</v>
      </c>
      <c r="N191" s="121">
        <f t="array" aca="1" ref="N191" ca="1">IFERROR(INDEX(INDIRECT($B$3&amp;"."&amp;$B$158&amp;".energy["&amp;This.year&amp;"]"),MATCH($C191&amp;N$5,INDIRECT($B$3&amp;"."&amp;$B$158&amp;".energy[Tech description]")&amp;INDIRECT($B$3&amp;"."&amp;$B$158&amp;".energy[Energy description]"),0)),0)</f>
        <v>0</v>
      </c>
      <c r="O191" s="121">
        <f t="array" aca="1" ref="O191" ca="1">IFERROR(INDEX(INDIRECT($B$3&amp;"."&amp;$B$158&amp;".energy["&amp;This.year&amp;"]"),MATCH($C191&amp;O$5,INDIRECT($B$3&amp;"."&amp;$B$158&amp;".energy[Tech description]")&amp;INDIRECT($B$3&amp;"."&amp;$B$158&amp;".energy[Energy description]"),0)),0)</f>
        <v>0</v>
      </c>
      <c r="P191" s="121">
        <f t="array" aca="1" ref="P191" ca="1">IFERROR(INDEX(INDIRECT($B$3&amp;"."&amp;$B$158&amp;".energy["&amp;This.year&amp;"]"),MATCH($C191&amp;P$5,INDIRECT($B$3&amp;"."&amp;$B$158&amp;".energy[Tech description]")&amp;INDIRECT($B$3&amp;"."&amp;$B$158&amp;".energy[Energy description]"),0)),0)</f>
        <v>0</v>
      </c>
      <c r="Q191" s="121">
        <f t="array" aca="1" ref="Q191" ca="1">IFERROR(INDEX(INDIRECT($B$3&amp;"."&amp;$B$158&amp;".energy["&amp;This.year&amp;"]"),MATCH($C191&amp;Q$5,INDIRECT($B$3&amp;"."&amp;$B$158&amp;".energy[Tech description]")&amp;INDIRECT($B$3&amp;"."&amp;$B$158&amp;".energy[Energy description]"),0)),0)</f>
        <v>0</v>
      </c>
      <c r="R191" s="121">
        <f t="array" aca="1" ref="R191" ca="1">IFERROR(INDEX(INDIRECT($B$3&amp;"."&amp;$B$158&amp;".energy["&amp;This.year&amp;"]"),MATCH($C191&amp;R$5,INDIRECT($B$3&amp;"."&amp;$B$158&amp;".energy[Tech description]")&amp;INDIRECT($B$3&amp;"."&amp;$B$158&amp;".energy[Energy description]"),0)),0)</f>
        <v>0</v>
      </c>
      <c r="S191" s="121">
        <f t="array" aca="1" ref="S191" ca="1">IFERROR(INDEX(INDIRECT($B$3&amp;"."&amp;$B$158&amp;".energy["&amp;This.year&amp;"]"),MATCH($C191&amp;S$5,INDIRECT($B$3&amp;"."&amp;$B$158&amp;".energy[Tech description]")&amp;INDIRECT($B$3&amp;"."&amp;$B$158&amp;".energy[Energy description]"),0)),0)</f>
        <v>0</v>
      </c>
      <c r="T191" s="121">
        <f t="shared" ca="1" si="19"/>
        <v>0</v>
      </c>
      <c r="U191" s="109"/>
      <c r="V191" s="152">
        <f t="array" aca="1" ref="V191" ca="1">IFERROR(INDEX(INDIRECT($B$3&amp;"."&amp;$B$158&amp;".energy["&amp;This.year&amp;"]"),MATCH($C191&amp;V$5,INDIRECT($B$3&amp;"."&amp;$B$158&amp;".energy[Tech description]")&amp;INDIRECT($B$3&amp;"."&amp;$B$158&amp;".energy[Energy description]"),0)),0)</f>
        <v>0</v>
      </c>
      <c r="W191" s="152">
        <f t="array" aca="1" ref="W191" ca="1">IFERROR(INDEX(INDIRECT($B$3&amp;"."&amp;$B$158&amp;".energy["&amp;This.year&amp;"]"),MATCH($C191&amp;W$5,INDIRECT($B$3&amp;"."&amp;$B$158&amp;".energy[Tech description]")&amp;INDIRECT($B$3&amp;"."&amp;$B$158&amp;".energy[Energy description]"),0)),0)</f>
        <v>0</v>
      </c>
      <c r="X191" s="152">
        <f t="array" aca="1" ref="X191" ca="1">IFERROR(INDEX(INDIRECT($B$3&amp;"."&amp;$B$158&amp;".energy["&amp;This.year&amp;"]"),MATCH($C191&amp;X$5,INDIRECT($B$3&amp;"."&amp;$B$158&amp;".energy[Tech description]")&amp;INDIRECT($B$3&amp;"."&amp;$B$158&amp;".energy[Energy description]"),0)),0)</f>
        <v>0</v>
      </c>
      <c r="Y191" s="152">
        <f t="array" aca="1" ref="Y191" ca="1">IFERROR(INDEX(INDIRECT($B$3&amp;"."&amp;$B$158&amp;".energy["&amp;This.year&amp;"]"),MATCH($C191&amp;Y$5,INDIRECT($B$3&amp;"."&amp;$B$158&amp;".energy[Tech description]")&amp;INDIRECT($B$3&amp;"."&amp;$B$158&amp;".energy[Energy description]"),0)),0)</f>
        <v>0</v>
      </c>
      <c r="Z191" s="152">
        <f t="array" aca="1" ref="Z191" ca="1">IFERROR(INDEX(INDIRECT($B$3&amp;"."&amp;$B$158&amp;".energy["&amp;This.year&amp;"]"),MATCH($C191&amp;Z$5,INDIRECT($B$3&amp;"."&amp;$B$158&amp;".energy[Tech description]")&amp;INDIRECT($B$3&amp;"."&amp;$B$158&amp;".energy[Energy description]"),0)),0)</f>
        <v>0</v>
      </c>
      <c r="AA191" s="152">
        <f t="array" aca="1" ref="AA191" ca="1">IFERROR(INDEX(INDIRECT($B$3&amp;"."&amp;$B$158&amp;".energy["&amp;This.year&amp;"]"),MATCH($C191&amp;AA$5,INDIRECT($B$3&amp;"."&amp;$B$158&amp;".energy[Tech description]")&amp;INDIRECT($B$3&amp;"."&amp;$B$158&amp;".energy[Energy description]"),0)),0)</f>
        <v>0</v>
      </c>
      <c r="AB191" s="152">
        <f t="array" aca="1" ref="AB191" ca="1">IFERROR(INDEX(INDIRECT($B$3&amp;"."&amp;$B$158&amp;".energy["&amp;This.year&amp;"]"),MATCH($C191&amp;AB$5,INDIRECT($B$3&amp;"."&amp;$B$158&amp;".energy[Tech description]")&amp;INDIRECT($B$3&amp;"."&amp;$B$158&amp;".energy[Energy description]"),0)),0)</f>
        <v>0</v>
      </c>
      <c r="AC191" s="152">
        <f t="array" aca="1" ref="AC191" ca="1">IFERROR(INDEX(INDIRECT($B$3&amp;"."&amp;$B$158&amp;".energy["&amp;This.year&amp;"]"),MATCH($C191&amp;AC$5,INDIRECT($B$3&amp;"."&amp;$B$158&amp;".energy[Tech description]")&amp;INDIRECT($B$3&amp;"."&amp;$B$158&amp;".energy[Energy description]"),0)),0)</f>
        <v>0</v>
      </c>
      <c r="AD191" s="152">
        <f t="array" aca="1" ref="AD191" ca="1">IFERROR(INDEX(INDIRECT($B$3&amp;"."&amp;$B$158&amp;".energy["&amp;This.year&amp;"]"),MATCH($C191&amp;AD$5,INDIRECT($B$3&amp;"."&amp;$B$158&amp;".energy[Tech description]")&amp;INDIRECT($B$3&amp;"."&amp;$B$158&amp;".energy[Energy description]"),0)),0)</f>
        <v>0</v>
      </c>
      <c r="AE191" s="152">
        <f t="array" aca="1" ref="AE191" ca="1">IFERROR(INDEX(INDIRECT($B$3&amp;"."&amp;$B$158&amp;".energy["&amp;This.year&amp;"]"),MATCH($C191&amp;AE$5,INDIRECT($B$3&amp;"."&amp;$B$158&amp;".energy[Tech description]")&amp;INDIRECT($B$3&amp;"."&amp;$B$158&amp;".energy[Energy description]"),0)),0)</f>
        <v>0</v>
      </c>
      <c r="AF191" s="152">
        <f t="array" aca="1" ref="AF191" ca="1">IFERROR(INDEX(INDIRECT($B$3&amp;"."&amp;$B$158&amp;".energy["&amp;This.year&amp;"]"),MATCH($C191&amp;AF$5,INDIRECT($B$3&amp;"."&amp;$B$158&amp;".energy[Tech description]")&amp;INDIRECT($B$3&amp;"."&amp;$B$158&amp;".energy[Energy description]"),0)),0)</f>
        <v>0</v>
      </c>
      <c r="AG191" s="152">
        <f t="array" aca="1" ref="AG191" ca="1">IFERROR(INDEX(INDIRECT($B$3&amp;"."&amp;$B$158&amp;".energy["&amp;This.year&amp;"]"),MATCH($C191&amp;AG$5,INDIRECT($B$3&amp;"."&amp;$B$158&amp;".energy[Tech description]")&amp;INDIRECT($B$3&amp;"."&amp;$B$158&amp;".energy[Energy description]"),0)),0)</f>
        <v>0</v>
      </c>
      <c r="AH191" s="152">
        <f t="array" aca="1" ref="AH191" ca="1">IFERROR(INDEX(INDIRECT($B$3&amp;"."&amp;$B$158&amp;".energy["&amp;This.year&amp;"]"),MATCH($C191&amp;AH$5,INDIRECT($B$3&amp;"."&amp;$B$158&amp;".energy[Tech description]")&amp;INDIRECT($B$3&amp;"."&amp;$B$158&amp;".energy[Energy description]"),0)),0)</f>
        <v>0</v>
      </c>
      <c r="AI191" s="152">
        <f t="array" aca="1" ref="AI191" ca="1">IFERROR(INDEX(INDIRECT($B$3&amp;"."&amp;$B$158&amp;".energy["&amp;This.year&amp;"]"),MATCH($C191&amp;AI$5,INDIRECT($B$3&amp;"."&amp;$B$158&amp;".energy[Tech description]")&amp;INDIRECT($B$3&amp;"."&amp;$B$158&amp;".energy[Energy description]"),0)),0)</f>
        <v>0</v>
      </c>
      <c r="AJ191" s="152">
        <f t="array" aca="1" ref="AJ191" ca="1">IFERROR(INDEX(INDIRECT($B$3&amp;"."&amp;$B$158&amp;".energy["&amp;This.year&amp;"]"),MATCH($C191&amp;AJ$5,INDIRECT($B$3&amp;"."&amp;$B$158&amp;".energy[Tech description]")&amp;INDIRECT($B$3&amp;"."&amp;$B$158&amp;".energy[Energy description]"),0)),0)</f>
        <v>0</v>
      </c>
      <c r="AK191" s="152">
        <f t="array" aca="1" ref="AK191" ca="1">IFERROR(INDEX(INDIRECT($B$3&amp;"."&amp;$B$158&amp;".energy["&amp;This.year&amp;"]"),MATCH($C191&amp;AK$5,INDIRECT($B$3&amp;"."&amp;$B$158&amp;".energy[Tech description]")&amp;INDIRECT($B$3&amp;"."&amp;$B$158&amp;".energy[Energy description]"),0)),0)</f>
        <v>0</v>
      </c>
      <c r="AL191" s="152">
        <f t="array" aca="1" ref="AL191" ca="1">IFERROR(INDEX(INDIRECT($B$3&amp;"."&amp;$B$158&amp;".energy["&amp;This.year&amp;"]"),MATCH($C191&amp;AL$5,INDIRECT($B$3&amp;"."&amp;$B$158&amp;".energy[Tech description]")&amp;INDIRECT($B$3&amp;"."&amp;$B$158&amp;".energy[Energy description]"),0)),0)</f>
        <v>0</v>
      </c>
      <c r="AM191" s="152">
        <f t="array" aca="1" ref="AM191" ca="1">IFERROR(INDEX(INDIRECT($B$3&amp;"."&amp;$B$158&amp;".energy["&amp;This.year&amp;"]"),MATCH($C191&amp;AM$5,INDIRECT($B$3&amp;"."&amp;$B$158&amp;".energy[Tech description]")&amp;INDIRECT($B$3&amp;"."&amp;$B$158&amp;".energy[Energy description]"),0)),0)</f>
        <v>0</v>
      </c>
      <c r="AN191" s="152">
        <f t="array" aca="1" ref="AN191" ca="1">IFERROR(INDEX(INDIRECT($B$3&amp;"."&amp;$B$158&amp;".energy["&amp;This.year&amp;"]"),MATCH($C191&amp;AN$5,INDIRECT($B$3&amp;"."&amp;$B$158&amp;".energy[Tech description]")&amp;INDIRECT($B$3&amp;"."&amp;$B$158&amp;".energy[Energy description]"),0)),0)</f>
        <v>0</v>
      </c>
      <c r="AO191" s="152">
        <f t="shared" ca="1" si="20"/>
        <v>0</v>
      </c>
      <c r="AP191" s="108"/>
      <c r="AQ191" s="21">
        <f t="array" aca="1" ref="AQ191" ca="1">IFERROR(INDEX(INDIRECT($B$3&amp;"."&amp;$B$158&amp;".energy["&amp;This.year&amp;"]"),MATCH($C191&amp;AQ$5,INDIRECT($B$3&amp;"."&amp;$B$158&amp;".energy[Tech description]")&amp;INDIRECT($B$3&amp;"."&amp;$B$158&amp;".energy[Energy description]"),0)),0)</f>
        <v>0</v>
      </c>
      <c r="AR191" s="21">
        <f t="array" aca="1" ref="AR191" ca="1">IFERROR(INDEX(INDIRECT($B$3&amp;"."&amp;$B$158&amp;".energy["&amp;This.year&amp;"]"),MATCH($C191&amp;AR$5,INDIRECT($B$3&amp;"."&amp;$B$158&amp;".energy[Tech description]")&amp;INDIRECT($B$3&amp;"."&amp;$B$158&amp;".energy[Energy description]"),0)),0)</f>
        <v>0</v>
      </c>
      <c r="AS191" s="21">
        <f t="array" aca="1" ref="AS191" ca="1">IFERROR(INDEX(INDIRECT($B$3&amp;"."&amp;$B$158&amp;".energy["&amp;This.year&amp;"]"),MATCH($C191&amp;AS$5,INDIRECT($B$3&amp;"."&amp;$B$158&amp;".energy[Tech description]")&amp;INDIRECT($B$3&amp;"."&amp;$B$158&amp;".energy[Energy description]"),0)),0)</f>
        <v>0</v>
      </c>
      <c r="AT191" s="21">
        <f t="array" aca="1" ref="AT191" ca="1">IFERROR(INDEX(INDIRECT($B$3&amp;"."&amp;$B$158&amp;".energy["&amp;This.year&amp;"]"),MATCH($C191&amp;AT$5,INDIRECT($B$3&amp;"."&amp;$B$158&amp;".energy[Tech description]")&amp;INDIRECT($B$3&amp;"."&amp;$B$158&amp;".energy[Energy description]"),0)),0)</f>
        <v>0</v>
      </c>
      <c r="AU191" s="21">
        <f t="array" aca="1" ref="AU191" ca="1">IFERROR(INDEX(INDIRECT($B$3&amp;"."&amp;$B$158&amp;".energy["&amp;This.year&amp;"]"),MATCH($C191&amp;AU$5,INDIRECT($B$3&amp;"."&amp;$B$158&amp;".energy[Tech description]")&amp;INDIRECT($B$3&amp;"."&amp;$B$158&amp;".energy[Energy description]"),0)),0)</f>
        <v>0</v>
      </c>
      <c r="AV191" s="21">
        <f t="array" aca="1" ref="AV191" ca="1">IFERROR(INDEX(INDIRECT($B$3&amp;"."&amp;$B$158&amp;".energy["&amp;This.year&amp;"]"),MATCH($C191&amp;AV$5,INDIRECT($B$3&amp;"."&amp;$B$158&amp;".energy[Tech description]")&amp;INDIRECT($B$3&amp;"."&amp;$B$158&amp;".energy[Energy description]"),0)),0)</f>
        <v>0</v>
      </c>
      <c r="AW191" s="21">
        <f t="array" aca="1" ref="AW191" ca="1">IFERROR(INDEX(INDIRECT($B$3&amp;"."&amp;$B$158&amp;".energy["&amp;This.year&amp;"]"),MATCH($C191&amp;AW$5,INDIRECT($B$3&amp;"."&amp;$B$158&amp;".energy[Tech description]")&amp;INDIRECT($B$3&amp;"."&amp;$B$158&amp;".energy[Energy description]"),0)),0)</f>
        <v>0</v>
      </c>
      <c r="AX191" s="21">
        <f t="array" aca="1" ref="AX191" ca="1">IFERROR(INDEX(INDIRECT($B$3&amp;"."&amp;$B$158&amp;".energy["&amp;This.year&amp;"]"),MATCH($C191&amp;AX$5,INDIRECT($B$3&amp;"."&amp;$B$158&amp;".energy[Tech description]")&amp;INDIRECT($B$3&amp;"."&amp;$B$158&amp;".energy[Energy description]"),0)),0)</f>
        <v>0</v>
      </c>
      <c r="AY191" s="21">
        <f t="array" aca="1" ref="AY191" ca="1">IFERROR(INDEX(INDIRECT($B$3&amp;"."&amp;$B$158&amp;".energy["&amp;This.year&amp;"]"),MATCH($C191&amp;AY$5,INDIRECT($B$3&amp;"."&amp;$B$158&amp;".energy[Tech description]")&amp;INDIRECT($B$3&amp;"."&amp;$B$158&amp;".energy[Energy description]"),0)),0)</f>
        <v>0</v>
      </c>
      <c r="AZ191" s="21">
        <f t="array" aca="1" ref="AZ191" ca="1">IFERROR(INDEX(INDIRECT($B$3&amp;"."&amp;$B$158&amp;".energy["&amp;This.year&amp;"]"),MATCH($C191&amp;AZ$5,INDIRECT($B$3&amp;"."&amp;$B$158&amp;".energy[Tech description]")&amp;INDIRECT($B$3&amp;"."&amp;$B$158&amp;".energy[Energy description]"),0)),0)</f>
        <v>0</v>
      </c>
      <c r="BA191" s="21">
        <f t="array" aca="1" ref="BA191" ca="1">IFERROR(INDEX(INDIRECT($B$3&amp;"."&amp;$B$158&amp;".energy["&amp;This.year&amp;"]"),MATCH($C191&amp;BA$5,INDIRECT($B$3&amp;"."&amp;$B$158&amp;".energy[Tech description]")&amp;INDIRECT($B$3&amp;"."&amp;$B$158&amp;".energy[Energy description]"),0)),0)</f>
        <v>0</v>
      </c>
      <c r="BB191" s="21">
        <f t="array" aca="1" ref="BB191" ca="1">IFERROR(INDEX(INDIRECT($B$3&amp;"."&amp;$B$158&amp;".energy["&amp;This.year&amp;"]"),MATCH($C191&amp;BB$5,INDIRECT($B$3&amp;"."&amp;$B$158&amp;".energy[Tech description]")&amp;INDIRECT($B$3&amp;"."&amp;$B$158&amp;".energy[Energy description]"),0)),0)</f>
        <v>0</v>
      </c>
      <c r="BC191" s="21">
        <f t="array" aca="1" ref="BC191" ca="1">IFERROR(INDEX(INDIRECT($B$3&amp;"."&amp;$B$158&amp;".energy["&amp;This.year&amp;"]"),MATCH($C191&amp;BC$5,INDIRECT($B$3&amp;"."&amp;$B$158&amp;".energy[Tech description]")&amp;INDIRECT($B$3&amp;"."&amp;$B$158&amp;".energy[Energy description]"),0)),0)</f>
        <v>0</v>
      </c>
      <c r="BD191" s="21">
        <f t="shared" ca="1" si="21"/>
        <v>0</v>
      </c>
      <c r="BE191" s="108"/>
      <c r="BF191" s="49">
        <f t="array" aca="1" ref="BF191" ca="1">IFERROR(INDEX(INDIRECT($B$3&amp;"."&amp;$B$158&amp;".energy["&amp;This.year&amp;"]"),MATCH($C191&amp;BF$5,INDIRECT($B$3&amp;"."&amp;$B$158&amp;".energy[Tech description]")&amp;INDIRECT($B$3&amp;"."&amp;$B$158&amp;".energy[Energy description]"),0)),0)</f>
        <v>0</v>
      </c>
      <c r="BG191" s="49">
        <f t="array" aca="1" ref="BG191" ca="1">IFERROR(INDEX(INDIRECT($B$3&amp;"."&amp;$B$158&amp;".energy["&amp;This.year&amp;"]"),MATCH($C191&amp;BG$5,INDIRECT($B$3&amp;"."&amp;$B$158&amp;".energy[Tech description]")&amp;INDIRECT($B$3&amp;"."&amp;$B$158&amp;".energy[Energy description]"),0)),0)</f>
        <v>0</v>
      </c>
      <c r="BH191" s="49">
        <f t="shared" ca="1" si="22"/>
        <v>0</v>
      </c>
      <c r="BI191" s="219">
        <f t="shared" ca="1" si="9"/>
        <v>0</v>
      </c>
      <c r="BJ191" s="108"/>
    </row>
    <row r="192" spans="1:62" s="54" customFormat="1">
      <c r="A192" s="133"/>
      <c r="B192" s="176" t="s">
        <v>1640</v>
      </c>
      <c r="C192" s="114" t="str">
        <f>INDEX(Regional.Technologies[Description],MATCH($B$3&amp;"."&amp;B192,Regional.Technologies[Code],0))</f>
        <v>Global Heat use in the Primary Aluminium technology</v>
      </c>
      <c r="E192" s="121">
        <f t="array" aca="1" ref="E192" ca="1">IFERROR(INDEX(INDIRECT($B$3&amp;"."&amp;$B$158&amp;".energy["&amp;This.year&amp;"]"),MATCH($C192&amp;E$5,INDIRECT($B$3&amp;"."&amp;$B$158&amp;".energy[Tech description]")&amp;INDIRECT($B$3&amp;"."&amp;$B$158&amp;".energy[Energy description]"),0)),0)</f>
        <v>0</v>
      </c>
      <c r="F192" s="121">
        <f t="array" aca="1" ref="F192" ca="1">IFERROR(INDEX(INDIRECT($B$3&amp;"."&amp;$B$158&amp;".energy["&amp;This.year&amp;"]"),MATCH($C192&amp;F$5,INDIRECT($B$3&amp;"."&amp;$B$158&amp;".energy[Tech description]")&amp;INDIRECT($B$3&amp;"."&amp;$B$158&amp;".energy[Energy description]"),0)),0)</f>
        <v>0</v>
      </c>
      <c r="G192" s="121">
        <f t="array" aca="1" ref="G192" ca="1">IFERROR(INDEX(INDIRECT($B$3&amp;"."&amp;$B$158&amp;".energy["&amp;This.year&amp;"]"),MATCH($C192&amp;G$5,INDIRECT($B$3&amp;"."&amp;$B$158&amp;".energy[Tech description]")&amp;INDIRECT($B$3&amp;"."&amp;$B$158&amp;".energy[Energy description]"),0)),0)</f>
        <v>0</v>
      </c>
      <c r="H192" s="121">
        <f t="array" aca="1" ref="H192" ca="1">IFERROR(INDEX(INDIRECT($B$3&amp;"."&amp;$B$158&amp;".energy["&amp;This.year&amp;"]"),MATCH($C192&amp;H$5,INDIRECT($B$3&amp;"."&amp;$B$158&amp;".energy[Tech description]")&amp;INDIRECT($B$3&amp;"."&amp;$B$158&amp;".energy[Energy description]"),0)),0)</f>
        <v>0</v>
      </c>
      <c r="I192" s="121">
        <f t="array" aca="1" ref="I192" ca="1">IFERROR(INDEX(INDIRECT($B$3&amp;"."&amp;$B$158&amp;".energy["&amp;This.year&amp;"]"),MATCH($C192&amp;I$5,INDIRECT($B$3&amp;"."&amp;$B$158&amp;".energy[Tech description]")&amp;INDIRECT($B$3&amp;"."&amp;$B$158&amp;".energy[Energy description]"),0)),0)</f>
        <v>0</v>
      </c>
      <c r="J192" s="121">
        <f t="array" aca="1" ref="J192" ca="1">IFERROR(INDEX(INDIRECT($B$3&amp;"."&amp;$B$158&amp;".energy["&amp;This.year&amp;"]"),MATCH($C192&amp;J$5,INDIRECT($B$3&amp;"."&amp;$B$158&amp;".energy[Tech description]")&amp;INDIRECT($B$3&amp;"."&amp;$B$158&amp;".energy[Energy description]"),0)),0)</f>
        <v>0</v>
      </c>
      <c r="K192" s="121">
        <f t="array" aca="1" ref="K192" ca="1">IFERROR(INDEX(INDIRECT($B$3&amp;"."&amp;$B$158&amp;".energy["&amp;This.year&amp;"]"),MATCH($C192&amp;K$5,INDIRECT($B$3&amp;"."&amp;$B$158&amp;".energy[Tech description]")&amp;INDIRECT($B$3&amp;"."&amp;$B$158&amp;".energy[Energy description]"),0)),0)</f>
        <v>0</v>
      </c>
      <c r="L192" s="121">
        <f t="array" aca="1" ref="L192" ca="1">IFERROR(INDEX(INDIRECT($B$3&amp;"."&amp;$B$158&amp;".energy["&amp;This.year&amp;"]"),MATCH($C192&amp;L$5,INDIRECT($B$3&amp;"."&amp;$B$158&amp;".energy[Tech description]")&amp;INDIRECT($B$3&amp;"."&amp;$B$158&amp;".energy[Energy description]"),0)),0)</f>
        <v>0</v>
      </c>
      <c r="M192" s="121">
        <f t="array" aca="1" ref="M192" ca="1">IFERROR(INDEX(INDIRECT($B$3&amp;"."&amp;$B$158&amp;".energy["&amp;This.year&amp;"]"),MATCH($C192&amp;M$5,INDIRECT($B$3&amp;"."&amp;$B$158&amp;".energy[Tech description]")&amp;INDIRECT($B$3&amp;"."&amp;$B$158&amp;".energy[Energy description]"),0)),0)</f>
        <v>0</v>
      </c>
      <c r="N192" s="121">
        <f t="array" aca="1" ref="N192" ca="1">IFERROR(INDEX(INDIRECT($B$3&amp;"."&amp;$B$158&amp;".energy["&amp;This.year&amp;"]"),MATCH($C192&amp;N$5,INDIRECT($B$3&amp;"."&amp;$B$158&amp;".energy[Tech description]")&amp;INDIRECT($B$3&amp;"."&amp;$B$158&amp;".energy[Energy description]"),0)),0)</f>
        <v>0</v>
      </c>
      <c r="O192" s="121">
        <f t="array" aca="1" ref="O192" ca="1">IFERROR(INDEX(INDIRECT($B$3&amp;"."&amp;$B$158&amp;".energy["&amp;This.year&amp;"]"),MATCH($C192&amp;O$5,INDIRECT($B$3&amp;"."&amp;$B$158&amp;".energy[Tech description]")&amp;INDIRECT($B$3&amp;"."&amp;$B$158&amp;".energy[Energy description]"),0)),0)</f>
        <v>0</v>
      </c>
      <c r="P192" s="121">
        <f t="array" aca="1" ref="P192" ca="1">IFERROR(INDEX(INDIRECT($B$3&amp;"."&amp;$B$158&amp;".energy["&amp;This.year&amp;"]"),MATCH($C192&amp;P$5,INDIRECT($B$3&amp;"."&amp;$B$158&amp;".energy[Tech description]")&amp;INDIRECT($B$3&amp;"."&amp;$B$158&amp;".energy[Energy description]"),0)),0)</f>
        <v>0</v>
      </c>
      <c r="Q192" s="121">
        <f t="array" aca="1" ref="Q192" ca="1">IFERROR(INDEX(INDIRECT($B$3&amp;"."&amp;$B$158&amp;".energy["&amp;This.year&amp;"]"),MATCH($C192&amp;Q$5,INDIRECT($B$3&amp;"."&amp;$B$158&amp;".energy[Tech description]")&amp;INDIRECT($B$3&amp;"."&amp;$B$158&amp;".energy[Energy description]"),0)),0)</f>
        <v>0</v>
      </c>
      <c r="R192" s="121">
        <f t="array" aca="1" ref="R192" ca="1">IFERROR(INDEX(INDIRECT($B$3&amp;"."&amp;$B$158&amp;".energy["&amp;This.year&amp;"]"),MATCH($C192&amp;R$5,INDIRECT($B$3&amp;"."&amp;$B$158&amp;".energy[Tech description]")&amp;INDIRECT($B$3&amp;"."&amp;$B$158&amp;".energy[Energy description]"),0)),0)</f>
        <v>0</v>
      </c>
      <c r="S192" s="121">
        <f t="array" aca="1" ref="S192" ca="1">IFERROR(INDEX(INDIRECT($B$3&amp;"."&amp;$B$158&amp;".energy["&amp;This.year&amp;"]"),MATCH($C192&amp;S$5,INDIRECT($B$3&amp;"."&amp;$B$158&amp;".energy[Tech description]")&amp;INDIRECT($B$3&amp;"."&amp;$B$158&amp;".energy[Energy description]"),0)),0)</f>
        <v>0</v>
      </c>
      <c r="T192" s="121">
        <f t="shared" ca="1" si="19"/>
        <v>0</v>
      </c>
      <c r="U192" s="109"/>
      <c r="V192" s="152">
        <f t="array" aca="1" ref="V192" ca="1">IFERROR(INDEX(INDIRECT($B$3&amp;"."&amp;$B$158&amp;".energy["&amp;This.year&amp;"]"),MATCH($C192&amp;V$5,INDIRECT($B$3&amp;"."&amp;$B$158&amp;".energy[Tech description]")&amp;INDIRECT($B$3&amp;"."&amp;$B$158&amp;".energy[Energy description]"),0)),0)</f>
        <v>0</v>
      </c>
      <c r="W192" s="152">
        <f t="array" aca="1" ref="W192" ca="1">IFERROR(INDEX(INDIRECT($B$3&amp;"."&amp;$B$158&amp;".energy["&amp;This.year&amp;"]"),MATCH($C192&amp;W$5,INDIRECT($B$3&amp;"."&amp;$B$158&amp;".energy[Tech description]")&amp;INDIRECT($B$3&amp;"."&amp;$B$158&amp;".energy[Energy description]"),0)),0)</f>
        <v>0</v>
      </c>
      <c r="X192" s="152">
        <f t="array" aca="1" ref="X192" ca="1">IFERROR(INDEX(INDIRECT($B$3&amp;"."&amp;$B$158&amp;".energy["&amp;This.year&amp;"]"),MATCH($C192&amp;X$5,INDIRECT($B$3&amp;"."&amp;$B$158&amp;".energy[Tech description]")&amp;INDIRECT($B$3&amp;"."&amp;$B$158&amp;".energy[Energy description]"),0)),0)</f>
        <v>0</v>
      </c>
      <c r="Y192" s="152">
        <f t="array" aca="1" ref="Y192" ca="1">IFERROR(INDEX(INDIRECT($B$3&amp;"."&amp;$B$158&amp;".energy["&amp;This.year&amp;"]"),MATCH($C192&amp;Y$5,INDIRECT($B$3&amp;"."&amp;$B$158&amp;".energy[Tech description]")&amp;INDIRECT($B$3&amp;"."&amp;$B$158&amp;".energy[Energy description]"),0)),0)</f>
        <v>0</v>
      </c>
      <c r="Z192" s="152">
        <f t="array" aca="1" ref="Z192" ca="1">IFERROR(INDEX(INDIRECT($B$3&amp;"."&amp;$B$158&amp;".energy["&amp;This.year&amp;"]"),MATCH($C192&amp;Z$5,INDIRECT($B$3&amp;"."&amp;$B$158&amp;".energy[Tech description]")&amp;INDIRECT($B$3&amp;"."&amp;$B$158&amp;".energy[Energy description]"),0)),0)</f>
        <v>0</v>
      </c>
      <c r="AA192" s="152">
        <f t="array" aca="1" ref="AA192" ca="1">IFERROR(INDEX(INDIRECT($B$3&amp;"."&amp;$B$158&amp;".energy["&amp;This.year&amp;"]"),MATCH($C192&amp;AA$5,INDIRECT($B$3&amp;"."&amp;$B$158&amp;".energy[Tech description]")&amp;INDIRECT($B$3&amp;"."&amp;$B$158&amp;".energy[Energy description]"),0)),0)</f>
        <v>0</v>
      </c>
      <c r="AB192" s="152">
        <f t="array" aca="1" ref="AB192" ca="1">IFERROR(INDEX(INDIRECT($B$3&amp;"."&amp;$B$158&amp;".energy["&amp;This.year&amp;"]"),MATCH($C192&amp;AB$5,INDIRECT($B$3&amp;"."&amp;$B$158&amp;".energy[Tech description]")&amp;INDIRECT($B$3&amp;"."&amp;$B$158&amp;".energy[Energy description]"),0)),0)</f>
        <v>0</v>
      </c>
      <c r="AC192" s="152">
        <f t="array" aca="1" ref="AC192" ca="1">IFERROR(INDEX(INDIRECT($B$3&amp;"."&amp;$B$158&amp;".energy["&amp;This.year&amp;"]"),MATCH($C192&amp;AC$5,INDIRECT($B$3&amp;"."&amp;$B$158&amp;".energy[Tech description]")&amp;INDIRECT($B$3&amp;"."&amp;$B$158&amp;".energy[Energy description]"),0)),0)</f>
        <v>0</v>
      </c>
      <c r="AD192" s="152">
        <f t="array" aca="1" ref="AD192" ca="1">IFERROR(INDEX(INDIRECT($B$3&amp;"."&amp;$B$158&amp;".energy["&amp;This.year&amp;"]"),MATCH($C192&amp;AD$5,INDIRECT($B$3&amp;"."&amp;$B$158&amp;".energy[Tech description]")&amp;INDIRECT($B$3&amp;"."&amp;$B$158&amp;".energy[Energy description]"),0)),0)</f>
        <v>0</v>
      </c>
      <c r="AE192" s="152">
        <f t="array" aca="1" ref="AE192" ca="1">IFERROR(INDEX(INDIRECT($B$3&amp;"."&amp;$B$158&amp;".energy["&amp;This.year&amp;"]"),MATCH($C192&amp;AE$5,INDIRECT($B$3&amp;"."&amp;$B$158&amp;".energy[Tech description]")&amp;INDIRECT($B$3&amp;"."&amp;$B$158&amp;".energy[Energy description]"),0)),0)</f>
        <v>0</v>
      </c>
      <c r="AF192" s="152">
        <f t="array" aca="1" ref="AF192" ca="1">IFERROR(INDEX(INDIRECT($B$3&amp;"."&amp;$B$158&amp;".energy["&amp;This.year&amp;"]"),MATCH($C192&amp;AF$5,INDIRECT($B$3&amp;"."&amp;$B$158&amp;".energy[Tech description]")&amp;INDIRECT($B$3&amp;"."&amp;$B$158&amp;".energy[Energy description]"),0)),0)</f>
        <v>0</v>
      </c>
      <c r="AG192" s="152">
        <f t="array" aca="1" ref="AG192" ca="1">IFERROR(INDEX(INDIRECT($B$3&amp;"."&amp;$B$158&amp;".energy["&amp;This.year&amp;"]"),MATCH($C192&amp;AG$5,INDIRECT($B$3&amp;"."&amp;$B$158&amp;".energy[Tech description]")&amp;INDIRECT($B$3&amp;"."&amp;$B$158&amp;".energy[Energy description]"),0)),0)</f>
        <v>0</v>
      </c>
      <c r="AH192" s="152">
        <f t="array" aca="1" ref="AH192" ca="1">IFERROR(INDEX(INDIRECT($B$3&amp;"."&amp;$B$158&amp;".energy["&amp;This.year&amp;"]"),MATCH($C192&amp;AH$5,INDIRECT($B$3&amp;"."&amp;$B$158&amp;".energy[Tech description]")&amp;INDIRECT($B$3&amp;"."&amp;$B$158&amp;".energy[Energy description]"),0)),0)</f>
        <v>0</v>
      </c>
      <c r="AI192" s="152">
        <f t="array" aca="1" ref="AI192" ca="1">IFERROR(INDEX(INDIRECT($B$3&amp;"."&amp;$B$158&amp;".energy["&amp;This.year&amp;"]"),MATCH($C192&amp;AI$5,INDIRECT($B$3&amp;"."&amp;$B$158&amp;".energy[Tech description]")&amp;INDIRECT($B$3&amp;"."&amp;$B$158&amp;".energy[Energy description]"),0)),0)</f>
        <v>0</v>
      </c>
      <c r="AJ192" s="152">
        <f t="array" aca="1" ref="AJ192" ca="1">IFERROR(INDEX(INDIRECT($B$3&amp;"."&amp;$B$158&amp;".energy["&amp;This.year&amp;"]"),MATCH($C192&amp;AJ$5,INDIRECT($B$3&amp;"."&amp;$B$158&amp;".energy[Tech description]")&amp;INDIRECT($B$3&amp;"."&amp;$B$158&amp;".energy[Energy description]"),0)),0)</f>
        <v>0</v>
      </c>
      <c r="AK192" s="152">
        <f t="array" aca="1" ref="AK192" ca="1">IFERROR(INDEX(INDIRECT($B$3&amp;"."&amp;$B$158&amp;".energy["&amp;This.year&amp;"]"),MATCH($C192&amp;AK$5,INDIRECT($B$3&amp;"."&amp;$B$158&amp;".energy[Tech description]")&amp;INDIRECT($B$3&amp;"."&amp;$B$158&amp;".energy[Energy description]"),0)),0)</f>
        <v>0</v>
      </c>
      <c r="AL192" s="152">
        <f t="array" aca="1" ref="AL192" ca="1">IFERROR(INDEX(INDIRECT($B$3&amp;"."&amp;$B$158&amp;".energy["&amp;This.year&amp;"]"),MATCH($C192&amp;AL$5,INDIRECT($B$3&amp;"."&amp;$B$158&amp;".energy[Tech description]")&amp;INDIRECT($B$3&amp;"."&amp;$B$158&amp;".energy[Energy description]"),0)),0)</f>
        <v>0</v>
      </c>
      <c r="AM192" s="152">
        <f t="array" aca="1" ref="AM192" ca="1">IFERROR(INDEX(INDIRECT($B$3&amp;"."&amp;$B$158&amp;".energy["&amp;This.year&amp;"]"),MATCH($C192&amp;AM$5,INDIRECT($B$3&amp;"."&amp;$B$158&amp;".energy[Tech description]")&amp;INDIRECT($B$3&amp;"."&amp;$B$158&amp;".energy[Energy description]"),0)),0)</f>
        <v>0</v>
      </c>
      <c r="AN192" s="152">
        <f t="array" aca="1" ref="AN192" ca="1">IFERROR(INDEX(INDIRECT($B$3&amp;"."&amp;$B$158&amp;".energy["&amp;This.year&amp;"]"),MATCH($C192&amp;AN$5,INDIRECT($B$3&amp;"."&amp;$B$158&amp;".energy[Tech description]")&amp;INDIRECT($B$3&amp;"."&amp;$B$158&amp;".energy[Energy description]"),0)),0)</f>
        <v>0</v>
      </c>
      <c r="AO192" s="152">
        <f t="shared" ca="1" si="20"/>
        <v>0</v>
      </c>
      <c r="AP192" s="108"/>
      <c r="AQ192" s="21">
        <f t="array" aca="1" ref="AQ192" ca="1">IFERROR(INDEX(INDIRECT($B$3&amp;"."&amp;$B$158&amp;".energy["&amp;This.year&amp;"]"),MATCH($C192&amp;AQ$5,INDIRECT($B$3&amp;"."&amp;$B$158&amp;".energy[Tech description]")&amp;INDIRECT($B$3&amp;"."&amp;$B$158&amp;".energy[Energy description]"),0)),0)</f>
        <v>0</v>
      </c>
      <c r="AR192" s="21">
        <f t="array" aca="1" ref="AR192" ca="1">IFERROR(INDEX(INDIRECT($B$3&amp;"."&amp;$B$158&amp;".energy["&amp;This.year&amp;"]"),MATCH($C192&amp;AR$5,INDIRECT($B$3&amp;"."&amp;$B$158&amp;".energy[Tech description]")&amp;INDIRECT($B$3&amp;"."&amp;$B$158&amp;".energy[Energy description]"),0)),0)</f>
        <v>0</v>
      </c>
      <c r="AS192" s="21">
        <f t="array" aca="1" ref="AS192" ca="1">IFERROR(INDEX(INDIRECT($B$3&amp;"."&amp;$B$158&amp;".energy["&amp;This.year&amp;"]"),MATCH($C192&amp;AS$5,INDIRECT($B$3&amp;"."&amp;$B$158&amp;".energy[Tech description]")&amp;INDIRECT($B$3&amp;"."&amp;$B$158&amp;".energy[Energy description]"),0)),0)</f>
        <v>0</v>
      </c>
      <c r="AT192" s="21">
        <f t="array" aca="1" ref="AT192" ca="1">IFERROR(INDEX(INDIRECT($B$3&amp;"."&amp;$B$158&amp;".energy["&amp;This.year&amp;"]"),MATCH($C192&amp;AT$5,INDIRECT($B$3&amp;"."&amp;$B$158&amp;".energy[Tech description]")&amp;INDIRECT($B$3&amp;"."&amp;$B$158&amp;".energy[Energy description]"),0)),0)</f>
        <v>0</v>
      </c>
      <c r="AU192" s="21">
        <f t="array" aca="1" ref="AU192" ca="1">IFERROR(INDEX(INDIRECT($B$3&amp;"."&amp;$B$158&amp;".energy["&amp;This.year&amp;"]"),MATCH($C192&amp;AU$5,INDIRECT($B$3&amp;"."&amp;$B$158&amp;".energy[Tech description]")&amp;INDIRECT($B$3&amp;"."&amp;$B$158&amp;".energy[Energy description]"),0)),0)</f>
        <v>0</v>
      </c>
      <c r="AV192" s="21">
        <f t="array" aca="1" ref="AV192" ca="1">IFERROR(INDEX(INDIRECT($B$3&amp;"."&amp;$B$158&amp;".energy["&amp;This.year&amp;"]"),MATCH($C192&amp;AV$5,INDIRECT($B$3&amp;"."&amp;$B$158&amp;".energy[Tech description]")&amp;INDIRECT($B$3&amp;"."&amp;$B$158&amp;".energy[Energy description]"),0)),0)</f>
        <v>0</v>
      </c>
      <c r="AW192" s="21">
        <f t="array" aca="1" ref="AW192" ca="1">IFERROR(INDEX(INDIRECT($B$3&amp;"."&amp;$B$158&amp;".energy["&amp;This.year&amp;"]"),MATCH($C192&amp;AW$5,INDIRECT($B$3&amp;"."&amp;$B$158&amp;".energy[Tech description]")&amp;INDIRECT($B$3&amp;"."&amp;$B$158&amp;".energy[Energy description]"),0)),0)</f>
        <v>0</v>
      </c>
      <c r="AX192" s="21">
        <f t="array" aca="1" ref="AX192" ca="1">IFERROR(INDEX(INDIRECT($B$3&amp;"."&amp;$B$158&amp;".energy["&amp;This.year&amp;"]"),MATCH($C192&amp;AX$5,INDIRECT($B$3&amp;"."&amp;$B$158&amp;".energy[Tech description]")&amp;INDIRECT($B$3&amp;"."&amp;$B$158&amp;".energy[Energy description]"),0)),0)</f>
        <v>0</v>
      </c>
      <c r="AY192" s="21">
        <f t="array" aca="1" ref="AY192" ca="1">IFERROR(INDEX(INDIRECT($B$3&amp;"."&amp;$B$158&amp;".energy["&amp;This.year&amp;"]"),MATCH($C192&amp;AY$5,INDIRECT($B$3&amp;"."&amp;$B$158&amp;".energy[Tech description]")&amp;INDIRECT($B$3&amp;"."&amp;$B$158&amp;".energy[Energy description]"),0)),0)</f>
        <v>0</v>
      </c>
      <c r="AZ192" s="21">
        <f t="array" aca="1" ref="AZ192" ca="1">IFERROR(INDEX(INDIRECT($B$3&amp;"."&amp;$B$158&amp;".energy["&amp;This.year&amp;"]"),MATCH($C192&amp;AZ$5,INDIRECT($B$3&amp;"."&amp;$B$158&amp;".energy[Tech description]")&amp;INDIRECT($B$3&amp;"."&amp;$B$158&amp;".energy[Energy description]"),0)),0)</f>
        <v>0</v>
      </c>
      <c r="BA192" s="21">
        <f t="array" aca="1" ref="BA192" ca="1">IFERROR(INDEX(INDIRECT($B$3&amp;"."&amp;$B$158&amp;".energy["&amp;This.year&amp;"]"),MATCH($C192&amp;BA$5,INDIRECT($B$3&amp;"."&amp;$B$158&amp;".energy[Tech description]")&amp;INDIRECT($B$3&amp;"."&amp;$B$158&amp;".energy[Energy description]"),0)),0)</f>
        <v>0</v>
      </c>
      <c r="BB192" s="21">
        <f t="array" aca="1" ref="BB192" ca="1">IFERROR(INDEX(INDIRECT($B$3&amp;"."&amp;$B$158&amp;".energy["&amp;This.year&amp;"]"),MATCH($C192&amp;BB$5,INDIRECT($B$3&amp;"."&amp;$B$158&amp;".energy[Tech description]")&amp;INDIRECT($B$3&amp;"."&amp;$B$158&amp;".energy[Energy description]"),0)),0)</f>
        <v>0</v>
      </c>
      <c r="BC192" s="21">
        <f t="array" aca="1" ref="BC192" ca="1">IFERROR(INDEX(INDIRECT($B$3&amp;"."&amp;$B$158&amp;".energy["&amp;This.year&amp;"]"),MATCH($C192&amp;BC$5,INDIRECT($B$3&amp;"."&amp;$B$158&amp;".energy[Tech description]")&amp;INDIRECT($B$3&amp;"."&amp;$B$158&amp;".energy[Energy description]"),0)),0)</f>
        <v>0</v>
      </c>
      <c r="BD192" s="21">
        <f t="shared" ca="1" si="21"/>
        <v>0</v>
      </c>
      <c r="BE192" s="108"/>
      <c r="BF192" s="49">
        <f t="array" aca="1" ref="BF192" ca="1">IFERROR(INDEX(INDIRECT($B$3&amp;"."&amp;$B$158&amp;".energy["&amp;This.year&amp;"]"),MATCH($C192&amp;BF$5,INDIRECT($B$3&amp;"."&amp;$B$158&amp;".energy[Tech description]")&amp;INDIRECT($B$3&amp;"."&amp;$B$158&amp;".energy[Energy description]"),0)),0)</f>
        <v>0</v>
      </c>
      <c r="BG192" s="49">
        <f t="array" aca="1" ref="BG192" ca="1">IFERROR(INDEX(INDIRECT($B$3&amp;"."&amp;$B$158&amp;".energy["&amp;This.year&amp;"]"),MATCH($C192&amp;BG$5,INDIRECT($B$3&amp;"."&amp;$B$158&amp;".energy[Tech description]")&amp;INDIRECT($B$3&amp;"."&amp;$B$158&amp;".energy[Energy description]"),0)),0)</f>
        <v>0</v>
      </c>
      <c r="BH192" s="49">
        <f t="shared" ca="1" si="22"/>
        <v>0</v>
      </c>
      <c r="BI192" s="219">
        <f t="shared" ca="1" si="9"/>
        <v>0</v>
      </c>
      <c r="BJ192" s="108"/>
    </row>
    <row r="193" spans="1:62" s="54" customFormat="1">
      <c r="A193" s="133"/>
      <c r="B193" s="176" t="s">
        <v>1641</v>
      </c>
      <c r="C193" s="114" t="str">
        <f>INDEX(Regional.Technologies[Description],MATCH($B$3&amp;"."&amp;B193,Regional.Technologies[Code],0))</f>
        <v>Global Electricity use in the Secondary Aluminium technology</v>
      </c>
      <c r="E193" s="121">
        <f t="array" aca="1" ref="E193" ca="1">IFERROR(INDEX(INDIRECT($B$3&amp;"."&amp;$B$158&amp;".energy["&amp;This.year&amp;"]"),MATCH($C193&amp;E$5,INDIRECT($B$3&amp;"."&amp;$B$158&amp;".energy[Tech description]")&amp;INDIRECT($B$3&amp;"."&amp;$B$158&amp;".energy[Energy description]"),0)),0)</f>
        <v>0</v>
      </c>
      <c r="F193" s="121">
        <f t="array" aca="1" ref="F193" ca="1">IFERROR(INDEX(INDIRECT($B$3&amp;"."&amp;$B$158&amp;".energy["&amp;This.year&amp;"]"),MATCH($C193&amp;F$5,INDIRECT($B$3&amp;"."&amp;$B$158&amp;".energy[Tech description]")&amp;INDIRECT($B$3&amp;"."&amp;$B$158&amp;".energy[Energy description]"),0)),0)</f>
        <v>0</v>
      </c>
      <c r="G193" s="121">
        <f t="array" aca="1" ref="G193" ca="1">IFERROR(INDEX(INDIRECT($B$3&amp;"."&amp;$B$158&amp;".energy["&amp;This.year&amp;"]"),MATCH($C193&amp;G$5,INDIRECT($B$3&amp;"."&amp;$B$158&amp;".energy[Tech description]")&amp;INDIRECT($B$3&amp;"."&amp;$B$158&amp;".energy[Energy description]"),0)),0)</f>
        <v>0</v>
      </c>
      <c r="H193" s="121">
        <f t="array" aca="1" ref="H193" ca="1">IFERROR(INDEX(INDIRECT($B$3&amp;"."&amp;$B$158&amp;".energy["&amp;This.year&amp;"]"),MATCH($C193&amp;H$5,INDIRECT($B$3&amp;"."&amp;$B$158&amp;".energy[Tech description]")&amp;INDIRECT($B$3&amp;"."&amp;$B$158&amp;".energy[Energy description]"),0)),0)</f>
        <v>0</v>
      </c>
      <c r="I193" s="121">
        <f t="array" aca="1" ref="I193" ca="1">IFERROR(INDEX(INDIRECT($B$3&amp;"."&amp;$B$158&amp;".energy["&amp;This.year&amp;"]"),MATCH($C193&amp;I$5,INDIRECT($B$3&amp;"."&amp;$B$158&amp;".energy[Tech description]")&amp;INDIRECT($B$3&amp;"."&amp;$B$158&amp;".energy[Energy description]"),0)),0)</f>
        <v>0</v>
      </c>
      <c r="J193" s="121">
        <f t="array" aca="1" ref="J193" ca="1">IFERROR(INDEX(INDIRECT($B$3&amp;"."&amp;$B$158&amp;".energy["&amp;This.year&amp;"]"),MATCH($C193&amp;J$5,INDIRECT($B$3&amp;"."&amp;$B$158&amp;".energy[Tech description]")&amp;INDIRECT($B$3&amp;"."&amp;$B$158&amp;".energy[Energy description]"),0)),0)</f>
        <v>2.0996808027856011E-2</v>
      </c>
      <c r="K193" s="121">
        <f t="array" aca="1" ref="K193" ca="1">IFERROR(INDEX(INDIRECT($B$3&amp;"."&amp;$B$158&amp;".energy["&amp;This.year&amp;"]"),MATCH($C193&amp;K$5,INDIRECT($B$3&amp;"."&amp;$B$158&amp;".energy[Tech description]")&amp;INDIRECT($B$3&amp;"."&amp;$B$158&amp;".energy[Energy description]"),0)),0)</f>
        <v>0</v>
      </c>
      <c r="L193" s="121">
        <f t="array" aca="1" ref="L193" ca="1">IFERROR(INDEX(INDIRECT($B$3&amp;"."&amp;$B$158&amp;".energy["&amp;This.year&amp;"]"),MATCH($C193&amp;L$5,INDIRECT($B$3&amp;"."&amp;$B$158&amp;".energy[Tech description]")&amp;INDIRECT($B$3&amp;"."&amp;$B$158&amp;".energy[Energy description]"),0)),0)</f>
        <v>0</v>
      </c>
      <c r="M193" s="121">
        <f t="array" aca="1" ref="M193" ca="1">IFERROR(INDEX(INDIRECT($B$3&amp;"."&amp;$B$158&amp;".energy["&amp;This.year&amp;"]"),MATCH($C193&amp;M$5,INDIRECT($B$3&amp;"."&amp;$B$158&amp;".energy[Tech description]")&amp;INDIRECT($B$3&amp;"."&amp;$B$158&amp;".energy[Energy description]"),0)),0)</f>
        <v>0</v>
      </c>
      <c r="N193" s="121">
        <f t="array" aca="1" ref="N193" ca="1">IFERROR(INDEX(INDIRECT($B$3&amp;"."&amp;$B$158&amp;".energy["&amp;This.year&amp;"]"),MATCH($C193&amp;N$5,INDIRECT($B$3&amp;"."&amp;$B$158&amp;".energy[Tech description]")&amp;INDIRECT($B$3&amp;"."&amp;$B$158&amp;".energy[Energy description]"),0)),0)</f>
        <v>0</v>
      </c>
      <c r="O193" s="121">
        <f t="array" aca="1" ref="O193" ca="1">IFERROR(INDEX(INDIRECT($B$3&amp;"."&amp;$B$158&amp;".energy["&amp;This.year&amp;"]"),MATCH($C193&amp;O$5,INDIRECT($B$3&amp;"."&amp;$B$158&amp;".energy[Tech description]")&amp;INDIRECT($B$3&amp;"."&amp;$B$158&amp;".energy[Energy description]"),0)),0)</f>
        <v>0</v>
      </c>
      <c r="P193" s="121">
        <f t="array" aca="1" ref="P193" ca="1">IFERROR(INDEX(INDIRECT($B$3&amp;"."&amp;$B$158&amp;".energy["&amp;This.year&amp;"]"),MATCH($C193&amp;P$5,INDIRECT($B$3&amp;"."&amp;$B$158&amp;".energy[Tech description]")&amp;INDIRECT($B$3&amp;"."&amp;$B$158&amp;".energy[Energy description]"),0)),0)</f>
        <v>0</v>
      </c>
      <c r="Q193" s="121">
        <f t="array" aca="1" ref="Q193" ca="1">IFERROR(INDEX(INDIRECT($B$3&amp;"."&amp;$B$158&amp;".energy["&amp;This.year&amp;"]"),MATCH($C193&amp;Q$5,INDIRECT($B$3&amp;"."&amp;$B$158&amp;".energy[Tech description]")&amp;INDIRECT($B$3&amp;"."&amp;$B$158&amp;".energy[Energy description]"),0)),0)</f>
        <v>0</v>
      </c>
      <c r="R193" s="121">
        <f t="array" aca="1" ref="R193" ca="1">IFERROR(INDEX(INDIRECT($B$3&amp;"."&amp;$B$158&amp;".energy["&amp;This.year&amp;"]"),MATCH($C193&amp;R$5,INDIRECT($B$3&amp;"."&amp;$B$158&amp;".energy[Tech description]")&amp;INDIRECT($B$3&amp;"."&amp;$B$158&amp;".energy[Energy description]"),0)),0)</f>
        <v>0</v>
      </c>
      <c r="S193" s="121">
        <f t="array" aca="1" ref="S193" ca="1">IFERROR(INDEX(INDIRECT($B$3&amp;"."&amp;$B$158&amp;".energy["&amp;This.year&amp;"]"),MATCH($C193&amp;S$5,INDIRECT($B$3&amp;"."&amp;$B$158&amp;".energy[Tech description]")&amp;INDIRECT($B$3&amp;"."&amp;$B$158&amp;".energy[Energy description]"),0)),0)</f>
        <v>0</v>
      </c>
      <c r="T193" s="121">
        <f t="shared" ca="1" si="19"/>
        <v>2.0996808027856011E-2</v>
      </c>
      <c r="U193" s="109"/>
      <c r="V193" s="152">
        <f t="array" aca="1" ref="V193" ca="1">IFERROR(INDEX(INDIRECT($B$3&amp;"."&amp;$B$158&amp;".energy["&amp;This.year&amp;"]"),MATCH($C193&amp;V$5,INDIRECT($B$3&amp;"."&amp;$B$158&amp;".energy[Tech description]")&amp;INDIRECT($B$3&amp;"."&amp;$B$158&amp;".energy[Energy description]"),0)),0)</f>
        <v>-2.0996808027856011E-2</v>
      </c>
      <c r="W193" s="152">
        <f t="array" aca="1" ref="W193" ca="1">IFERROR(INDEX(INDIRECT($B$3&amp;"."&amp;$B$158&amp;".energy["&amp;This.year&amp;"]"),MATCH($C193&amp;W$5,INDIRECT($B$3&amp;"."&amp;$B$158&amp;".energy[Tech description]")&amp;INDIRECT($B$3&amp;"."&amp;$B$158&amp;".energy[Energy description]"),0)),0)</f>
        <v>0</v>
      </c>
      <c r="X193" s="152">
        <f t="array" aca="1" ref="X193" ca="1">IFERROR(INDEX(INDIRECT($B$3&amp;"."&amp;$B$158&amp;".energy["&amp;This.year&amp;"]"),MATCH($C193&amp;X$5,INDIRECT($B$3&amp;"."&amp;$B$158&amp;".energy[Tech description]")&amp;INDIRECT($B$3&amp;"."&amp;$B$158&amp;".energy[Energy description]"),0)),0)</f>
        <v>0</v>
      </c>
      <c r="Y193" s="152">
        <f t="array" aca="1" ref="Y193" ca="1">IFERROR(INDEX(INDIRECT($B$3&amp;"."&amp;$B$158&amp;".energy["&amp;This.year&amp;"]"),MATCH($C193&amp;Y$5,INDIRECT($B$3&amp;"."&amp;$B$158&amp;".energy[Tech description]")&amp;INDIRECT($B$3&amp;"."&amp;$B$158&amp;".energy[Energy description]"),0)),0)</f>
        <v>0</v>
      </c>
      <c r="Z193" s="152">
        <f t="array" aca="1" ref="Z193" ca="1">IFERROR(INDEX(INDIRECT($B$3&amp;"."&amp;$B$158&amp;".energy["&amp;This.year&amp;"]"),MATCH($C193&amp;Z$5,INDIRECT($B$3&amp;"."&amp;$B$158&amp;".energy[Tech description]")&amp;INDIRECT($B$3&amp;"."&amp;$B$158&amp;".energy[Energy description]"),0)),0)</f>
        <v>0</v>
      </c>
      <c r="AA193" s="152">
        <f t="array" aca="1" ref="AA193" ca="1">IFERROR(INDEX(INDIRECT($B$3&amp;"."&amp;$B$158&amp;".energy["&amp;This.year&amp;"]"),MATCH($C193&amp;AA$5,INDIRECT($B$3&amp;"."&amp;$B$158&amp;".energy[Tech description]")&amp;INDIRECT($B$3&amp;"."&amp;$B$158&amp;".energy[Energy description]"),0)),0)</f>
        <v>0</v>
      </c>
      <c r="AB193" s="152">
        <f t="array" aca="1" ref="AB193" ca="1">IFERROR(INDEX(INDIRECT($B$3&amp;"."&amp;$B$158&amp;".energy["&amp;This.year&amp;"]"),MATCH($C193&amp;AB$5,INDIRECT($B$3&amp;"."&amp;$B$158&amp;".energy[Tech description]")&amp;INDIRECT($B$3&amp;"."&amp;$B$158&amp;".energy[Energy description]"),0)),0)</f>
        <v>0</v>
      </c>
      <c r="AC193" s="152">
        <f t="array" aca="1" ref="AC193" ca="1">IFERROR(INDEX(INDIRECT($B$3&amp;"."&amp;$B$158&amp;".energy["&amp;This.year&amp;"]"),MATCH($C193&amp;AC$5,INDIRECT($B$3&amp;"."&amp;$B$158&amp;".energy[Tech description]")&amp;INDIRECT($B$3&amp;"."&amp;$B$158&amp;".energy[Energy description]"),0)),0)</f>
        <v>0</v>
      </c>
      <c r="AD193" s="152">
        <f t="array" aca="1" ref="AD193" ca="1">IFERROR(INDEX(INDIRECT($B$3&amp;"."&amp;$B$158&amp;".energy["&amp;This.year&amp;"]"),MATCH($C193&amp;AD$5,INDIRECT($B$3&amp;"."&amp;$B$158&amp;".energy[Tech description]")&amp;INDIRECT($B$3&amp;"."&amp;$B$158&amp;".energy[Energy description]"),0)),0)</f>
        <v>0</v>
      </c>
      <c r="AE193" s="152">
        <f t="array" aca="1" ref="AE193" ca="1">IFERROR(INDEX(INDIRECT($B$3&amp;"."&amp;$B$158&amp;".energy["&amp;This.year&amp;"]"),MATCH($C193&amp;AE$5,INDIRECT($B$3&amp;"."&amp;$B$158&amp;".energy[Tech description]")&amp;INDIRECT($B$3&amp;"."&amp;$B$158&amp;".energy[Energy description]"),0)),0)</f>
        <v>0</v>
      </c>
      <c r="AF193" s="152">
        <f t="array" aca="1" ref="AF193" ca="1">IFERROR(INDEX(INDIRECT($B$3&amp;"."&amp;$B$158&amp;".energy["&amp;This.year&amp;"]"),MATCH($C193&amp;AF$5,INDIRECT($B$3&amp;"."&amp;$B$158&amp;".energy[Tech description]")&amp;INDIRECT($B$3&amp;"."&amp;$B$158&amp;".energy[Energy description]"),0)),0)</f>
        <v>0</v>
      </c>
      <c r="AG193" s="152">
        <f t="array" aca="1" ref="AG193" ca="1">IFERROR(INDEX(INDIRECT($B$3&amp;"."&amp;$B$158&amp;".energy["&amp;This.year&amp;"]"),MATCH($C193&amp;AG$5,INDIRECT($B$3&amp;"."&amp;$B$158&amp;".energy[Tech description]")&amp;INDIRECT($B$3&amp;"."&amp;$B$158&amp;".energy[Energy description]"),0)),0)</f>
        <v>0</v>
      </c>
      <c r="AH193" s="152">
        <f t="array" aca="1" ref="AH193" ca="1">IFERROR(INDEX(INDIRECT($B$3&amp;"."&amp;$B$158&amp;".energy["&amp;This.year&amp;"]"),MATCH($C193&amp;AH$5,INDIRECT($B$3&amp;"."&amp;$B$158&amp;".energy[Tech description]")&amp;INDIRECT($B$3&amp;"."&amp;$B$158&amp;".energy[Energy description]"),0)),0)</f>
        <v>0</v>
      </c>
      <c r="AI193" s="152">
        <f t="array" aca="1" ref="AI193" ca="1">IFERROR(INDEX(INDIRECT($B$3&amp;"."&amp;$B$158&amp;".energy["&amp;This.year&amp;"]"),MATCH($C193&amp;AI$5,INDIRECT($B$3&amp;"."&amp;$B$158&amp;".energy[Tech description]")&amp;INDIRECT($B$3&amp;"."&amp;$B$158&amp;".energy[Energy description]"),0)),0)</f>
        <v>0</v>
      </c>
      <c r="AJ193" s="152">
        <f t="array" aca="1" ref="AJ193" ca="1">IFERROR(INDEX(INDIRECT($B$3&amp;"."&amp;$B$158&amp;".energy["&amp;This.year&amp;"]"),MATCH($C193&amp;AJ$5,INDIRECT($B$3&amp;"."&amp;$B$158&amp;".energy[Tech description]")&amp;INDIRECT($B$3&amp;"."&amp;$B$158&amp;".energy[Energy description]"),0)),0)</f>
        <v>0</v>
      </c>
      <c r="AK193" s="152">
        <f t="array" aca="1" ref="AK193" ca="1">IFERROR(INDEX(INDIRECT($B$3&amp;"."&amp;$B$158&amp;".energy["&amp;This.year&amp;"]"),MATCH($C193&amp;AK$5,INDIRECT($B$3&amp;"."&amp;$B$158&amp;".energy[Tech description]")&amp;INDIRECT($B$3&amp;"."&amp;$B$158&amp;".energy[Energy description]"),0)),0)</f>
        <v>0</v>
      </c>
      <c r="AL193" s="152">
        <f t="array" aca="1" ref="AL193" ca="1">IFERROR(INDEX(INDIRECT($B$3&amp;"."&amp;$B$158&amp;".energy["&amp;This.year&amp;"]"),MATCH($C193&amp;AL$5,INDIRECT($B$3&amp;"."&amp;$B$158&amp;".energy[Tech description]")&amp;INDIRECT($B$3&amp;"."&amp;$B$158&amp;".energy[Energy description]"),0)),0)</f>
        <v>0</v>
      </c>
      <c r="AM193" s="152">
        <f t="array" aca="1" ref="AM193" ca="1">IFERROR(INDEX(INDIRECT($B$3&amp;"."&amp;$B$158&amp;".energy["&amp;This.year&amp;"]"),MATCH($C193&amp;AM$5,INDIRECT($B$3&amp;"."&amp;$B$158&amp;".energy[Tech description]")&amp;INDIRECT($B$3&amp;"."&amp;$B$158&amp;".energy[Energy description]"),0)),0)</f>
        <v>0</v>
      </c>
      <c r="AN193" s="152">
        <f t="array" aca="1" ref="AN193" ca="1">IFERROR(INDEX(INDIRECT($B$3&amp;"."&amp;$B$158&amp;".energy["&amp;This.year&amp;"]"),MATCH($C193&amp;AN$5,INDIRECT($B$3&amp;"."&amp;$B$158&amp;".energy[Tech description]")&amp;INDIRECT($B$3&amp;"."&amp;$B$158&amp;".energy[Energy description]"),0)),0)</f>
        <v>0</v>
      </c>
      <c r="AO193" s="152">
        <f t="shared" ca="1" si="20"/>
        <v>-2.0996808027856011E-2</v>
      </c>
      <c r="AP193" s="108"/>
      <c r="AQ193" s="21">
        <f t="array" aca="1" ref="AQ193" ca="1">IFERROR(INDEX(INDIRECT($B$3&amp;"."&amp;$B$158&amp;".energy["&amp;This.year&amp;"]"),MATCH($C193&amp;AQ$5,INDIRECT($B$3&amp;"."&amp;$B$158&amp;".energy[Tech description]")&amp;INDIRECT($B$3&amp;"."&amp;$B$158&amp;".energy[Energy description]"),0)),0)</f>
        <v>0</v>
      </c>
      <c r="AR193" s="21">
        <f t="array" aca="1" ref="AR193" ca="1">IFERROR(INDEX(INDIRECT($B$3&amp;"."&amp;$B$158&amp;".energy["&amp;This.year&amp;"]"),MATCH($C193&amp;AR$5,INDIRECT($B$3&amp;"."&amp;$B$158&amp;".energy[Tech description]")&amp;INDIRECT($B$3&amp;"."&amp;$B$158&amp;".energy[Energy description]"),0)),0)</f>
        <v>0</v>
      </c>
      <c r="AS193" s="21">
        <f t="array" aca="1" ref="AS193" ca="1">IFERROR(INDEX(INDIRECT($B$3&amp;"."&amp;$B$158&amp;".energy["&amp;This.year&amp;"]"),MATCH($C193&amp;AS$5,INDIRECT($B$3&amp;"."&amp;$B$158&amp;".energy[Tech description]")&amp;INDIRECT($B$3&amp;"."&amp;$B$158&amp;".energy[Energy description]"),0)),0)</f>
        <v>0</v>
      </c>
      <c r="AT193" s="21">
        <f t="array" aca="1" ref="AT193" ca="1">IFERROR(INDEX(INDIRECT($B$3&amp;"."&amp;$B$158&amp;".energy["&amp;This.year&amp;"]"),MATCH($C193&amp;AT$5,INDIRECT($B$3&amp;"."&amp;$B$158&amp;".energy[Tech description]")&amp;INDIRECT($B$3&amp;"."&amp;$B$158&amp;".energy[Energy description]"),0)),0)</f>
        <v>0</v>
      </c>
      <c r="AU193" s="21">
        <f t="array" aca="1" ref="AU193" ca="1">IFERROR(INDEX(INDIRECT($B$3&amp;"."&amp;$B$158&amp;".energy["&amp;This.year&amp;"]"),MATCH($C193&amp;AU$5,INDIRECT($B$3&amp;"."&amp;$B$158&amp;".energy[Tech description]")&amp;INDIRECT($B$3&amp;"."&amp;$B$158&amp;".energy[Energy description]"),0)),0)</f>
        <v>0</v>
      </c>
      <c r="AV193" s="21">
        <f t="array" aca="1" ref="AV193" ca="1">IFERROR(INDEX(INDIRECT($B$3&amp;"."&amp;$B$158&amp;".energy["&amp;This.year&amp;"]"),MATCH($C193&amp;AV$5,INDIRECT($B$3&amp;"."&amp;$B$158&amp;".energy[Tech description]")&amp;INDIRECT($B$3&amp;"."&amp;$B$158&amp;".energy[Energy description]"),0)),0)</f>
        <v>0</v>
      </c>
      <c r="AW193" s="21">
        <f t="array" aca="1" ref="AW193" ca="1">IFERROR(INDEX(INDIRECT($B$3&amp;"."&amp;$B$158&amp;".energy["&amp;This.year&amp;"]"),MATCH($C193&amp;AW$5,INDIRECT($B$3&amp;"."&amp;$B$158&amp;".energy[Tech description]")&amp;INDIRECT($B$3&amp;"."&amp;$B$158&amp;".energy[Energy description]"),0)),0)</f>
        <v>0</v>
      </c>
      <c r="AX193" s="21">
        <f t="array" aca="1" ref="AX193" ca="1">IFERROR(INDEX(INDIRECT($B$3&amp;"."&amp;$B$158&amp;".energy["&amp;This.year&amp;"]"),MATCH($C193&amp;AX$5,INDIRECT($B$3&amp;"."&amp;$B$158&amp;".energy[Tech description]")&amp;INDIRECT($B$3&amp;"."&amp;$B$158&amp;".energy[Energy description]"),0)),0)</f>
        <v>0</v>
      </c>
      <c r="AY193" s="21">
        <f t="array" aca="1" ref="AY193" ca="1">IFERROR(INDEX(INDIRECT($B$3&amp;"."&amp;$B$158&amp;".energy["&amp;This.year&amp;"]"),MATCH($C193&amp;AY$5,INDIRECT($B$3&amp;"."&amp;$B$158&amp;".energy[Tech description]")&amp;INDIRECT($B$3&amp;"."&amp;$B$158&amp;".energy[Energy description]"),0)),0)</f>
        <v>0</v>
      </c>
      <c r="AZ193" s="21">
        <f t="array" aca="1" ref="AZ193" ca="1">IFERROR(INDEX(INDIRECT($B$3&amp;"."&amp;$B$158&amp;".energy["&amp;This.year&amp;"]"),MATCH($C193&amp;AZ$5,INDIRECT($B$3&amp;"."&amp;$B$158&amp;".energy[Tech description]")&amp;INDIRECT($B$3&amp;"."&amp;$B$158&amp;".energy[Energy description]"),0)),0)</f>
        <v>0</v>
      </c>
      <c r="BA193" s="21">
        <f t="array" aca="1" ref="BA193" ca="1">IFERROR(INDEX(INDIRECT($B$3&amp;"."&amp;$B$158&amp;".energy["&amp;This.year&amp;"]"),MATCH($C193&amp;BA$5,INDIRECT($B$3&amp;"."&amp;$B$158&amp;".energy[Tech description]")&amp;INDIRECT($B$3&amp;"."&amp;$B$158&amp;".energy[Energy description]"),0)),0)</f>
        <v>0</v>
      </c>
      <c r="BB193" s="21">
        <f t="array" aca="1" ref="BB193" ca="1">IFERROR(INDEX(INDIRECT($B$3&amp;"."&amp;$B$158&amp;".energy["&amp;This.year&amp;"]"),MATCH($C193&amp;BB$5,INDIRECT($B$3&amp;"."&amp;$B$158&amp;".energy[Tech description]")&amp;INDIRECT($B$3&amp;"."&amp;$B$158&amp;".energy[Energy description]"),0)),0)</f>
        <v>0</v>
      </c>
      <c r="BC193" s="21">
        <f t="array" aca="1" ref="BC193" ca="1">IFERROR(INDEX(INDIRECT($B$3&amp;"."&amp;$B$158&amp;".energy["&amp;This.year&amp;"]"),MATCH($C193&amp;BC$5,INDIRECT($B$3&amp;"."&amp;$B$158&amp;".energy[Tech description]")&amp;INDIRECT($B$3&amp;"."&amp;$B$158&amp;".energy[Energy description]"),0)),0)</f>
        <v>0</v>
      </c>
      <c r="BD193" s="21">
        <f t="shared" ca="1" si="21"/>
        <v>0</v>
      </c>
      <c r="BE193" s="108"/>
      <c r="BF193" s="49">
        <f t="array" aca="1" ref="BF193" ca="1">IFERROR(INDEX(INDIRECT($B$3&amp;"."&amp;$B$158&amp;".energy["&amp;This.year&amp;"]"),MATCH($C193&amp;BF$5,INDIRECT($B$3&amp;"."&amp;$B$158&amp;".energy[Tech description]")&amp;INDIRECT($B$3&amp;"."&amp;$B$158&amp;".energy[Energy description]"),0)),0)</f>
        <v>0</v>
      </c>
      <c r="BG193" s="49">
        <f t="array" aca="1" ref="BG193" ca="1">IFERROR(INDEX(INDIRECT($B$3&amp;"."&amp;$B$158&amp;".energy["&amp;This.year&amp;"]"),MATCH($C193&amp;BG$5,INDIRECT($B$3&amp;"."&amp;$B$158&amp;".energy[Tech description]")&amp;INDIRECT($B$3&amp;"."&amp;$B$158&amp;".energy[Energy description]"),0)),0)</f>
        <v>0</v>
      </c>
      <c r="BH193" s="49">
        <f t="shared" ca="1" si="22"/>
        <v>0</v>
      </c>
      <c r="BI193" s="219">
        <f t="shared" ca="1" si="9"/>
        <v>0</v>
      </c>
      <c r="BJ193" s="108"/>
    </row>
    <row r="194" spans="1:62" s="54" customFormat="1">
      <c r="A194" s="133"/>
      <c r="B194" s="176" t="s">
        <v>1817</v>
      </c>
      <c r="C194" s="114" t="str">
        <f>INDEX(Regional.Technologies[Description],MATCH($B$3&amp;"."&amp;B194,Regional.Technologies[Code],0))</f>
        <v>Global Coal use in the Secondary Aluminium technology</v>
      </c>
      <c r="E194" s="121">
        <f t="array" aca="1" ref="E194" ca="1">IFERROR(INDEX(INDIRECT($B$3&amp;"."&amp;$B$158&amp;".energy["&amp;This.year&amp;"]"),MATCH($C194&amp;E$5,INDIRECT($B$3&amp;"."&amp;$B$158&amp;".energy[Tech description]")&amp;INDIRECT($B$3&amp;"."&amp;$B$158&amp;".energy[Energy description]"),0)),0)</f>
        <v>0</v>
      </c>
      <c r="F194" s="121">
        <f t="array" aca="1" ref="F194" ca="1">IFERROR(INDEX(INDIRECT($B$3&amp;"."&amp;$B$158&amp;".energy["&amp;This.year&amp;"]"),MATCH($C194&amp;F$5,INDIRECT($B$3&amp;"."&amp;$B$158&amp;".energy[Tech description]")&amp;INDIRECT($B$3&amp;"."&amp;$B$158&amp;".energy[Energy description]"),0)),0)</f>
        <v>0</v>
      </c>
      <c r="G194" s="121">
        <f t="array" aca="1" ref="G194" ca="1">IFERROR(INDEX(INDIRECT($B$3&amp;"."&amp;$B$158&amp;".energy["&amp;This.year&amp;"]"),MATCH($C194&amp;G$5,INDIRECT($B$3&amp;"."&amp;$B$158&amp;".energy[Tech description]")&amp;INDIRECT($B$3&amp;"."&amp;$B$158&amp;".energy[Energy description]"),0)),0)</f>
        <v>0</v>
      </c>
      <c r="H194" s="121">
        <f t="array" aca="1" ref="H194" ca="1">IFERROR(INDEX(INDIRECT($B$3&amp;"."&amp;$B$158&amp;".energy["&amp;This.year&amp;"]"),MATCH($C194&amp;H$5,INDIRECT($B$3&amp;"."&amp;$B$158&amp;".energy[Tech description]")&amp;INDIRECT($B$3&amp;"."&amp;$B$158&amp;".energy[Energy description]"),0)),0)</f>
        <v>0</v>
      </c>
      <c r="I194" s="121">
        <f t="array" aca="1" ref="I194" ca="1">IFERROR(INDEX(INDIRECT($B$3&amp;"."&amp;$B$158&amp;".energy["&amp;This.year&amp;"]"),MATCH($C194&amp;I$5,INDIRECT($B$3&amp;"."&amp;$B$158&amp;".energy[Tech description]")&amp;INDIRECT($B$3&amp;"."&amp;$B$158&amp;".energy[Energy description]"),0)),0)</f>
        <v>0</v>
      </c>
      <c r="J194" s="121">
        <f t="array" aca="1" ref="J194" ca="1">IFERROR(INDEX(INDIRECT($B$3&amp;"."&amp;$B$158&amp;".energy["&amp;This.year&amp;"]"),MATCH($C194&amp;J$5,INDIRECT($B$3&amp;"."&amp;$B$158&amp;".energy[Tech description]")&amp;INDIRECT($B$3&amp;"."&amp;$B$158&amp;".energy[Energy description]"),0)),0)</f>
        <v>0</v>
      </c>
      <c r="K194" s="121">
        <f t="array" aca="1" ref="K194" ca="1">IFERROR(INDEX(INDIRECT($B$3&amp;"."&amp;$B$158&amp;".energy["&amp;This.year&amp;"]"),MATCH($C194&amp;K$5,INDIRECT($B$3&amp;"."&amp;$B$158&amp;".energy[Tech description]")&amp;INDIRECT($B$3&amp;"."&amp;$B$158&amp;".energy[Energy description]"),0)),0)</f>
        <v>0</v>
      </c>
      <c r="L194" s="121">
        <f t="array" aca="1" ref="L194" ca="1">IFERROR(INDEX(INDIRECT($B$3&amp;"."&amp;$B$158&amp;".energy["&amp;This.year&amp;"]"),MATCH($C194&amp;L$5,INDIRECT($B$3&amp;"."&amp;$B$158&amp;".energy[Tech description]")&amp;INDIRECT($B$3&amp;"."&amp;$B$158&amp;".energy[Energy description]"),0)),0)</f>
        <v>0</v>
      </c>
      <c r="M194" s="121">
        <f t="array" aca="1" ref="M194" ca="1">IFERROR(INDEX(INDIRECT($B$3&amp;"."&amp;$B$158&amp;".energy["&amp;This.year&amp;"]"),MATCH($C194&amp;M$5,INDIRECT($B$3&amp;"."&amp;$B$158&amp;".energy[Tech description]")&amp;INDIRECT($B$3&amp;"."&amp;$B$158&amp;".energy[Energy description]"),0)),0)</f>
        <v>0</v>
      </c>
      <c r="N194" s="121">
        <f t="array" aca="1" ref="N194" ca="1">IFERROR(INDEX(INDIRECT($B$3&amp;"."&amp;$B$158&amp;".energy["&amp;This.year&amp;"]"),MATCH($C194&amp;N$5,INDIRECT($B$3&amp;"."&amp;$B$158&amp;".energy[Tech description]")&amp;INDIRECT($B$3&amp;"."&amp;$B$158&amp;".energy[Energy description]"),0)),0)</f>
        <v>0</v>
      </c>
      <c r="O194" s="121">
        <f t="array" aca="1" ref="O194" ca="1">IFERROR(INDEX(INDIRECT($B$3&amp;"."&amp;$B$158&amp;".energy["&amp;This.year&amp;"]"),MATCH($C194&amp;O$5,INDIRECT($B$3&amp;"."&amp;$B$158&amp;".energy[Tech description]")&amp;INDIRECT($B$3&amp;"."&amp;$B$158&amp;".energy[Energy description]"),0)),0)</f>
        <v>0</v>
      </c>
      <c r="P194" s="121">
        <f t="array" aca="1" ref="P194" ca="1">IFERROR(INDEX(INDIRECT($B$3&amp;"."&amp;$B$158&amp;".energy["&amp;This.year&amp;"]"),MATCH($C194&amp;P$5,INDIRECT($B$3&amp;"."&amp;$B$158&amp;".energy[Tech description]")&amp;INDIRECT($B$3&amp;"."&amp;$B$158&amp;".energy[Energy description]"),0)),0)</f>
        <v>0</v>
      </c>
      <c r="Q194" s="121">
        <f t="array" aca="1" ref="Q194" ca="1">IFERROR(INDEX(INDIRECT($B$3&amp;"."&amp;$B$158&amp;".energy["&amp;This.year&amp;"]"),MATCH($C194&amp;Q$5,INDIRECT($B$3&amp;"."&amp;$B$158&amp;".energy[Tech description]")&amp;INDIRECT($B$3&amp;"."&amp;$B$158&amp;".energy[Energy description]"),0)),0)</f>
        <v>0</v>
      </c>
      <c r="R194" s="121">
        <f t="array" aca="1" ref="R194" ca="1">IFERROR(INDEX(INDIRECT($B$3&amp;"."&amp;$B$158&amp;".energy["&amp;This.year&amp;"]"),MATCH($C194&amp;R$5,INDIRECT($B$3&amp;"."&amp;$B$158&amp;".energy[Tech description]")&amp;INDIRECT($B$3&amp;"."&amp;$B$158&amp;".energy[Energy description]"),0)),0)</f>
        <v>0</v>
      </c>
      <c r="S194" s="121">
        <f t="array" aca="1" ref="S194" ca="1">IFERROR(INDEX(INDIRECT($B$3&amp;"."&amp;$B$158&amp;".energy["&amp;This.year&amp;"]"),MATCH($C194&amp;S$5,INDIRECT($B$3&amp;"."&amp;$B$158&amp;".energy[Tech description]")&amp;INDIRECT($B$3&amp;"."&amp;$B$158&amp;".energy[Energy description]"),0)),0)</f>
        <v>0</v>
      </c>
      <c r="T194" s="121">
        <f t="shared" ca="1" si="19"/>
        <v>0</v>
      </c>
      <c r="U194" s="109"/>
      <c r="V194" s="152">
        <f t="array" aca="1" ref="V194" ca="1">IFERROR(INDEX(INDIRECT($B$3&amp;"."&amp;$B$158&amp;".energy["&amp;This.year&amp;"]"),MATCH($C194&amp;V$5,INDIRECT($B$3&amp;"."&amp;$B$158&amp;".energy[Tech description]")&amp;INDIRECT($B$3&amp;"."&amp;$B$158&amp;".energy[Energy description]"),0)),0)</f>
        <v>0</v>
      </c>
      <c r="W194" s="152">
        <f t="array" aca="1" ref="W194" ca="1">IFERROR(INDEX(INDIRECT($B$3&amp;"."&amp;$B$158&amp;".energy["&amp;This.year&amp;"]"),MATCH($C194&amp;W$5,INDIRECT($B$3&amp;"."&amp;$B$158&amp;".energy[Tech description]")&amp;INDIRECT($B$3&amp;"."&amp;$B$158&amp;".energy[Energy description]"),0)),0)</f>
        <v>0</v>
      </c>
      <c r="X194" s="152">
        <f t="array" aca="1" ref="X194" ca="1">IFERROR(INDEX(INDIRECT($B$3&amp;"."&amp;$B$158&amp;".energy["&amp;This.year&amp;"]"),MATCH($C194&amp;X$5,INDIRECT($B$3&amp;"."&amp;$B$158&amp;".energy[Tech description]")&amp;INDIRECT($B$3&amp;"."&amp;$B$158&amp;".energy[Energy description]"),0)),0)</f>
        <v>0</v>
      </c>
      <c r="Y194" s="152">
        <f t="array" aca="1" ref="Y194" ca="1">IFERROR(INDEX(INDIRECT($B$3&amp;"."&amp;$B$158&amp;".energy["&amp;This.year&amp;"]"),MATCH($C194&amp;Y$5,INDIRECT($B$3&amp;"."&amp;$B$158&amp;".energy[Tech description]")&amp;INDIRECT($B$3&amp;"."&amp;$B$158&amp;".energy[Energy description]"),0)),0)</f>
        <v>0</v>
      </c>
      <c r="Z194" s="152">
        <f t="array" aca="1" ref="Z194" ca="1">IFERROR(INDEX(INDIRECT($B$3&amp;"."&amp;$B$158&amp;".energy["&amp;This.year&amp;"]"),MATCH($C194&amp;Z$5,INDIRECT($B$3&amp;"."&amp;$B$158&amp;".energy[Tech description]")&amp;INDIRECT($B$3&amp;"."&amp;$B$158&amp;".energy[Energy description]"),0)),0)</f>
        <v>0</v>
      </c>
      <c r="AA194" s="152">
        <f t="array" aca="1" ref="AA194" ca="1">IFERROR(INDEX(INDIRECT($B$3&amp;"."&amp;$B$158&amp;".energy["&amp;This.year&amp;"]"),MATCH($C194&amp;AA$5,INDIRECT($B$3&amp;"."&amp;$B$158&amp;".energy[Tech description]")&amp;INDIRECT($B$3&amp;"."&amp;$B$158&amp;".energy[Energy description]"),0)),0)</f>
        <v>0</v>
      </c>
      <c r="AB194" s="152">
        <f t="array" aca="1" ref="AB194" ca="1">IFERROR(INDEX(INDIRECT($B$3&amp;"."&amp;$B$158&amp;".energy["&amp;This.year&amp;"]"),MATCH($C194&amp;AB$5,INDIRECT($B$3&amp;"."&amp;$B$158&amp;".energy[Tech description]")&amp;INDIRECT($B$3&amp;"."&amp;$B$158&amp;".energy[Energy description]"),0)),0)</f>
        <v>0</v>
      </c>
      <c r="AC194" s="152">
        <f t="array" aca="1" ref="AC194" ca="1">IFERROR(INDEX(INDIRECT($B$3&amp;"."&amp;$B$158&amp;".energy["&amp;This.year&amp;"]"),MATCH($C194&amp;AC$5,INDIRECT($B$3&amp;"."&amp;$B$158&amp;".energy[Tech description]")&amp;INDIRECT($B$3&amp;"."&amp;$B$158&amp;".energy[Energy description]"),0)),0)</f>
        <v>0</v>
      </c>
      <c r="AD194" s="152">
        <f t="array" aca="1" ref="AD194" ca="1">IFERROR(INDEX(INDIRECT($B$3&amp;"."&amp;$B$158&amp;".energy["&amp;This.year&amp;"]"),MATCH($C194&amp;AD$5,INDIRECT($B$3&amp;"."&amp;$B$158&amp;".energy[Tech description]")&amp;INDIRECT($B$3&amp;"."&amp;$B$158&amp;".energy[Energy description]"),0)),0)</f>
        <v>0</v>
      </c>
      <c r="AE194" s="152">
        <f t="array" aca="1" ref="AE194" ca="1">IFERROR(INDEX(INDIRECT($B$3&amp;"."&amp;$B$158&amp;".energy["&amp;This.year&amp;"]"),MATCH($C194&amp;AE$5,INDIRECT($B$3&amp;"."&amp;$B$158&amp;".energy[Tech description]")&amp;INDIRECT($B$3&amp;"."&amp;$B$158&amp;".energy[Energy description]"),0)),0)</f>
        <v>0</v>
      </c>
      <c r="AF194" s="152">
        <f t="array" aca="1" ref="AF194" ca="1">IFERROR(INDEX(INDIRECT($B$3&amp;"."&amp;$B$158&amp;".energy["&amp;This.year&amp;"]"),MATCH($C194&amp;AF$5,INDIRECT($B$3&amp;"."&amp;$B$158&amp;".energy[Tech description]")&amp;INDIRECT($B$3&amp;"."&amp;$B$158&amp;".energy[Energy description]"),0)),0)</f>
        <v>0</v>
      </c>
      <c r="AG194" s="152">
        <f t="array" aca="1" ref="AG194" ca="1">IFERROR(INDEX(INDIRECT($B$3&amp;"."&amp;$B$158&amp;".energy["&amp;This.year&amp;"]"),MATCH($C194&amp;AG$5,INDIRECT($B$3&amp;"."&amp;$B$158&amp;".energy[Tech description]")&amp;INDIRECT($B$3&amp;"."&amp;$B$158&amp;".energy[Energy description]"),0)),0)</f>
        <v>0</v>
      </c>
      <c r="AH194" s="152">
        <f t="array" aca="1" ref="AH194" ca="1">IFERROR(INDEX(INDIRECT($B$3&amp;"."&amp;$B$158&amp;".energy["&amp;This.year&amp;"]"),MATCH($C194&amp;AH$5,INDIRECT($B$3&amp;"."&amp;$B$158&amp;".energy[Tech description]")&amp;INDIRECT($B$3&amp;"."&amp;$B$158&amp;".energy[Energy description]"),0)),0)</f>
        <v>0</v>
      </c>
      <c r="AI194" s="152">
        <f t="array" aca="1" ref="AI194" ca="1">IFERROR(INDEX(INDIRECT($B$3&amp;"."&amp;$B$158&amp;".energy["&amp;This.year&amp;"]"),MATCH($C194&amp;AI$5,INDIRECT($B$3&amp;"."&amp;$B$158&amp;".energy[Tech description]")&amp;INDIRECT($B$3&amp;"."&amp;$B$158&amp;".energy[Energy description]"),0)),0)</f>
        <v>0</v>
      </c>
      <c r="AJ194" s="152">
        <f t="array" aca="1" ref="AJ194" ca="1">IFERROR(INDEX(INDIRECT($B$3&amp;"."&amp;$B$158&amp;".energy["&amp;This.year&amp;"]"),MATCH($C194&amp;AJ$5,INDIRECT($B$3&amp;"."&amp;$B$158&amp;".energy[Tech description]")&amp;INDIRECT($B$3&amp;"."&amp;$B$158&amp;".energy[Energy description]"),0)),0)</f>
        <v>0</v>
      </c>
      <c r="AK194" s="152">
        <f t="array" aca="1" ref="AK194" ca="1">IFERROR(INDEX(INDIRECT($B$3&amp;"."&amp;$B$158&amp;".energy["&amp;This.year&amp;"]"),MATCH($C194&amp;AK$5,INDIRECT($B$3&amp;"."&amp;$B$158&amp;".energy[Tech description]")&amp;INDIRECT($B$3&amp;"."&amp;$B$158&amp;".energy[Energy description]"),0)),0)</f>
        <v>0</v>
      </c>
      <c r="AL194" s="152">
        <f t="array" aca="1" ref="AL194" ca="1">IFERROR(INDEX(INDIRECT($B$3&amp;"."&amp;$B$158&amp;".energy["&amp;This.year&amp;"]"),MATCH($C194&amp;AL$5,INDIRECT($B$3&amp;"."&amp;$B$158&amp;".energy[Tech description]")&amp;INDIRECT($B$3&amp;"."&amp;$B$158&amp;".energy[Energy description]"),0)),0)</f>
        <v>0</v>
      </c>
      <c r="AM194" s="152">
        <f t="array" aca="1" ref="AM194" ca="1">IFERROR(INDEX(INDIRECT($B$3&amp;"."&amp;$B$158&amp;".energy["&amp;This.year&amp;"]"),MATCH($C194&amp;AM$5,INDIRECT($B$3&amp;"."&amp;$B$158&amp;".energy[Tech description]")&amp;INDIRECT($B$3&amp;"."&amp;$B$158&amp;".energy[Energy description]"),0)),0)</f>
        <v>0</v>
      </c>
      <c r="AN194" s="152">
        <f t="array" aca="1" ref="AN194" ca="1">IFERROR(INDEX(INDIRECT($B$3&amp;"."&amp;$B$158&amp;".energy["&amp;This.year&amp;"]"),MATCH($C194&amp;AN$5,INDIRECT($B$3&amp;"."&amp;$B$158&amp;".energy[Tech description]")&amp;INDIRECT($B$3&amp;"."&amp;$B$158&amp;".energy[Energy description]"),0)),0)</f>
        <v>0</v>
      </c>
      <c r="AO194" s="152">
        <f t="shared" ca="1" si="20"/>
        <v>0</v>
      </c>
      <c r="AP194" s="108"/>
      <c r="AQ194" s="21">
        <f t="array" aca="1" ref="AQ194" ca="1">IFERROR(INDEX(INDIRECT($B$3&amp;"."&amp;$B$158&amp;".energy["&amp;This.year&amp;"]"),MATCH($C194&amp;AQ$5,INDIRECT($B$3&amp;"."&amp;$B$158&amp;".energy[Tech description]")&amp;INDIRECT($B$3&amp;"."&amp;$B$158&amp;".energy[Energy description]"),0)),0)</f>
        <v>0</v>
      </c>
      <c r="AR194" s="21">
        <f t="array" aca="1" ref="AR194" ca="1">IFERROR(INDEX(INDIRECT($B$3&amp;"."&amp;$B$158&amp;".energy["&amp;This.year&amp;"]"),MATCH($C194&amp;AR$5,INDIRECT($B$3&amp;"."&amp;$B$158&amp;".energy[Tech description]")&amp;INDIRECT($B$3&amp;"."&amp;$B$158&amp;".energy[Energy description]"),0)),0)</f>
        <v>0</v>
      </c>
      <c r="AS194" s="21">
        <f t="array" aca="1" ref="AS194" ca="1">IFERROR(INDEX(INDIRECT($B$3&amp;"."&amp;$B$158&amp;".energy["&amp;This.year&amp;"]"),MATCH($C194&amp;AS$5,INDIRECT($B$3&amp;"."&amp;$B$158&amp;".energy[Tech description]")&amp;INDIRECT($B$3&amp;"."&amp;$B$158&amp;".energy[Energy description]"),0)),0)</f>
        <v>0</v>
      </c>
      <c r="AT194" s="21">
        <f t="array" aca="1" ref="AT194" ca="1">IFERROR(INDEX(INDIRECT($B$3&amp;"."&amp;$B$158&amp;".energy["&amp;This.year&amp;"]"),MATCH($C194&amp;AT$5,INDIRECT($B$3&amp;"."&amp;$B$158&amp;".energy[Tech description]")&amp;INDIRECT($B$3&amp;"."&amp;$B$158&amp;".energy[Energy description]"),0)),0)</f>
        <v>0</v>
      </c>
      <c r="AU194" s="21">
        <f t="array" aca="1" ref="AU194" ca="1">IFERROR(INDEX(INDIRECT($B$3&amp;"."&amp;$B$158&amp;".energy["&amp;This.year&amp;"]"),MATCH($C194&amp;AU$5,INDIRECT($B$3&amp;"."&amp;$B$158&amp;".energy[Tech description]")&amp;INDIRECT($B$3&amp;"."&amp;$B$158&amp;".energy[Energy description]"),0)),0)</f>
        <v>0</v>
      </c>
      <c r="AV194" s="21">
        <f t="array" aca="1" ref="AV194" ca="1">IFERROR(INDEX(INDIRECT($B$3&amp;"."&amp;$B$158&amp;".energy["&amp;This.year&amp;"]"),MATCH($C194&amp;AV$5,INDIRECT($B$3&amp;"."&amp;$B$158&amp;".energy[Tech description]")&amp;INDIRECT($B$3&amp;"."&amp;$B$158&amp;".energy[Energy description]"),0)),0)</f>
        <v>0</v>
      </c>
      <c r="AW194" s="21">
        <f t="array" aca="1" ref="AW194" ca="1">IFERROR(INDEX(INDIRECT($B$3&amp;"."&amp;$B$158&amp;".energy["&amp;This.year&amp;"]"),MATCH($C194&amp;AW$5,INDIRECT($B$3&amp;"."&amp;$B$158&amp;".energy[Tech description]")&amp;INDIRECT($B$3&amp;"."&amp;$B$158&amp;".energy[Energy description]"),0)),0)</f>
        <v>0</v>
      </c>
      <c r="AX194" s="21">
        <f t="array" aca="1" ref="AX194" ca="1">IFERROR(INDEX(INDIRECT($B$3&amp;"."&amp;$B$158&amp;".energy["&amp;This.year&amp;"]"),MATCH($C194&amp;AX$5,INDIRECT($B$3&amp;"."&amp;$B$158&amp;".energy[Tech description]")&amp;INDIRECT($B$3&amp;"."&amp;$B$158&amp;".energy[Energy description]"),0)),0)</f>
        <v>0</v>
      </c>
      <c r="AY194" s="21">
        <f t="array" aca="1" ref="AY194" ca="1">IFERROR(INDEX(INDIRECT($B$3&amp;"."&amp;$B$158&amp;".energy["&amp;This.year&amp;"]"),MATCH($C194&amp;AY$5,INDIRECT($B$3&amp;"."&amp;$B$158&amp;".energy[Tech description]")&amp;INDIRECT($B$3&amp;"."&amp;$B$158&amp;".energy[Energy description]"),0)),0)</f>
        <v>0</v>
      </c>
      <c r="AZ194" s="21">
        <f t="array" aca="1" ref="AZ194" ca="1">IFERROR(INDEX(INDIRECT($B$3&amp;"."&amp;$B$158&amp;".energy["&amp;This.year&amp;"]"),MATCH($C194&amp;AZ$5,INDIRECT($B$3&amp;"."&amp;$B$158&amp;".energy[Tech description]")&amp;INDIRECT($B$3&amp;"."&amp;$B$158&amp;".energy[Energy description]"),0)),0)</f>
        <v>0</v>
      </c>
      <c r="BA194" s="21">
        <f t="array" aca="1" ref="BA194" ca="1">IFERROR(INDEX(INDIRECT($B$3&amp;"."&amp;$B$158&amp;".energy["&amp;This.year&amp;"]"),MATCH($C194&amp;BA$5,INDIRECT($B$3&amp;"."&amp;$B$158&amp;".energy[Tech description]")&amp;INDIRECT($B$3&amp;"."&amp;$B$158&amp;".energy[Energy description]"),0)),0)</f>
        <v>0</v>
      </c>
      <c r="BB194" s="21">
        <f t="array" aca="1" ref="BB194" ca="1">IFERROR(INDEX(INDIRECT($B$3&amp;"."&amp;$B$158&amp;".energy["&amp;This.year&amp;"]"),MATCH($C194&amp;BB$5,INDIRECT($B$3&amp;"."&amp;$B$158&amp;".energy[Tech description]")&amp;INDIRECT($B$3&amp;"."&amp;$B$158&amp;".energy[Energy description]"),0)),0)</f>
        <v>0</v>
      </c>
      <c r="BC194" s="21">
        <f t="array" aca="1" ref="BC194" ca="1">IFERROR(INDEX(INDIRECT($B$3&amp;"."&amp;$B$158&amp;".energy["&amp;This.year&amp;"]"),MATCH($C194&amp;BC$5,INDIRECT($B$3&amp;"."&amp;$B$158&amp;".energy[Tech description]")&amp;INDIRECT($B$3&amp;"."&amp;$B$158&amp;".energy[Energy description]"),0)),0)</f>
        <v>0</v>
      </c>
      <c r="BD194" s="21">
        <f t="shared" ca="1" si="21"/>
        <v>0</v>
      </c>
      <c r="BE194" s="108"/>
      <c r="BF194" s="49">
        <f t="array" aca="1" ref="BF194" ca="1">IFERROR(INDEX(INDIRECT($B$3&amp;"."&amp;$B$158&amp;".energy["&amp;This.year&amp;"]"),MATCH($C194&amp;BF$5,INDIRECT($B$3&amp;"."&amp;$B$158&amp;".energy[Tech description]")&amp;INDIRECT($B$3&amp;"."&amp;$B$158&amp;".energy[Energy description]"),0)),0)</f>
        <v>0</v>
      </c>
      <c r="BG194" s="49">
        <f t="array" aca="1" ref="BG194" ca="1">IFERROR(INDEX(INDIRECT($B$3&amp;"."&amp;$B$158&amp;".energy["&amp;This.year&amp;"]"),MATCH($C194&amp;BG$5,INDIRECT($B$3&amp;"."&amp;$B$158&amp;".energy[Tech description]")&amp;INDIRECT($B$3&amp;"."&amp;$B$158&amp;".energy[Energy description]"),0)),0)</f>
        <v>0</v>
      </c>
      <c r="BH194" s="49">
        <f t="shared" ca="1" si="22"/>
        <v>0</v>
      </c>
      <c r="BI194" s="219">
        <f t="shared" ca="1" si="9"/>
        <v>0</v>
      </c>
      <c r="BJ194" s="108"/>
    </row>
    <row r="195" spans="1:62" s="54" customFormat="1">
      <c r="A195" s="133"/>
      <c r="B195" s="176" t="s">
        <v>1818</v>
      </c>
      <c r="C195" s="114" t="str">
        <f>INDEX(Regional.Technologies[Description],MATCH($B$3&amp;"."&amp;B195,Regional.Technologies[Code],0))</f>
        <v>Global Oil use in the Secondary Aluminium technology</v>
      </c>
      <c r="E195" s="121">
        <f t="array" aca="1" ref="E195" ca="1">IFERROR(INDEX(INDIRECT($B$3&amp;"."&amp;$B$158&amp;".energy["&amp;This.year&amp;"]"),MATCH($C195&amp;E$5,INDIRECT($B$3&amp;"."&amp;$B$158&amp;".energy[Tech description]")&amp;INDIRECT($B$3&amp;"."&amp;$B$158&amp;".energy[Energy description]"),0)),0)</f>
        <v>0</v>
      </c>
      <c r="F195" s="121">
        <f t="array" aca="1" ref="F195" ca="1">IFERROR(INDEX(INDIRECT($B$3&amp;"."&amp;$B$158&amp;".energy["&amp;This.year&amp;"]"),MATCH($C195&amp;F$5,INDIRECT($B$3&amp;"."&amp;$B$158&amp;".energy[Tech description]")&amp;INDIRECT($B$3&amp;"."&amp;$B$158&amp;".energy[Energy description]"),0)),0)</f>
        <v>0</v>
      </c>
      <c r="G195" s="121">
        <f t="array" aca="1" ref="G195" ca="1">IFERROR(INDEX(INDIRECT($B$3&amp;"."&amp;$B$158&amp;".energy["&amp;This.year&amp;"]"),MATCH($C195&amp;G$5,INDIRECT($B$3&amp;"."&amp;$B$158&amp;".energy[Tech description]")&amp;INDIRECT($B$3&amp;"."&amp;$B$158&amp;".energy[Energy description]"),0)),0)</f>
        <v>0</v>
      </c>
      <c r="H195" s="121">
        <f t="array" aca="1" ref="H195" ca="1">IFERROR(INDEX(INDIRECT($B$3&amp;"."&amp;$B$158&amp;".energy["&amp;This.year&amp;"]"),MATCH($C195&amp;H$5,INDIRECT($B$3&amp;"."&amp;$B$158&amp;".energy[Tech description]")&amp;INDIRECT($B$3&amp;"."&amp;$B$158&amp;".energy[Energy description]"),0)),0)</f>
        <v>0</v>
      </c>
      <c r="I195" s="121">
        <f t="array" aca="1" ref="I195" ca="1">IFERROR(INDEX(INDIRECT($B$3&amp;"."&amp;$B$158&amp;".energy["&amp;This.year&amp;"]"),MATCH($C195&amp;I$5,INDIRECT($B$3&amp;"."&amp;$B$158&amp;".energy[Tech description]")&amp;INDIRECT($B$3&amp;"."&amp;$B$158&amp;".energy[Energy description]"),0)),0)</f>
        <v>0</v>
      </c>
      <c r="J195" s="121">
        <f t="array" aca="1" ref="J195" ca="1">IFERROR(INDEX(INDIRECT($B$3&amp;"."&amp;$B$158&amp;".energy["&amp;This.year&amp;"]"),MATCH($C195&amp;J$5,INDIRECT($B$3&amp;"."&amp;$B$158&amp;".energy[Tech description]")&amp;INDIRECT($B$3&amp;"."&amp;$B$158&amp;".energy[Energy description]"),0)),0)</f>
        <v>1.8172055149596165E-4</v>
      </c>
      <c r="K195" s="121">
        <f t="array" aca="1" ref="K195" ca="1">IFERROR(INDEX(INDIRECT($B$3&amp;"."&amp;$B$158&amp;".energy["&amp;This.year&amp;"]"),MATCH($C195&amp;K$5,INDIRECT($B$3&amp;"."&amp;$B$158&amp;".energy[Tech description]")&amp;INDIRECT($B$3&amp;"."&amp;$B$158&amp;".energy[Energy description]"),0)),0)</f>
        <v>0</v>
      </c>
      <c r="L195" s="121">
        <f t="array" aca="1" ref="L195" ca="1">IFERROR(INDEX(INDIRECT($B$3&amp;"."&amp;$B$158&amp;".energy["&amp;This.year&amp;"]"),MATCH($C195&amp;L$5,INDIRECT($B$3&amp;"."&amp;$B$158&amp;".energy[Tech description]")&amp;INDIRECT($B$3&amp;"."&amp;$B$158&amp;".energy[Energy description]"),0)),0)</f>
        <v>0</v>
      </c>
      <c r="M195" s="121">
        <f t="array" aca="1" ref="M195" ca="1">IFERROR(INDEX(INDIRECT($B$3&amp;"."&amp;$B$158&amp;".energy["&amp;This.year&amp;"]"),MATCH($C195&amp;M$5,INDIRECT($B$3&amp;"."&amp;$B$158&amp;".energy[Tech description]")&amp;INDIRECT($B$3&amp;"."&amp;$B$158&amp;".energy[Energy description]"),0)),0)</f>
        <v>0</v>
      </c>
      <c r="N195" s="121">
        <f t="array" aca="1" ref="N195" ca="1">IFERROR(INDEX(INDIRECT($B$3&amp;"."&amp;$B$158&amp;".energy["&amp;This.year&amp;"]"),MATCH($C195&amp;N$5,INDIRECT($B$3&amp;"."&amp;$B$158&amp;".energy[Tech description]")&amp;INDIRECT($B$3&amp;"."&amp;$B$158&amp;".energy[Energy description]"),0)),0)</f>
        <v>0</v>
      </c>
      <c r="O195" s="121">
        <f t="array" aca="1" ref="O195" ca="1">IFERROR(INDEX(INDIRECT($B$3&amp;"."&amp;$B$158&amp;".energy["&amp;This.year&amp;"]"),MATCH($C195&amp;O$5,INDIRECT($B$3&amp;"."&amp;$B$158&amp;".energy[Tech description]")&amp;INDIRECT($B$3&amp;"."&amp;$B$158&amp;".energy[Energy description]"),0)),0)</f>
        <v>0</v>
      </c>
      <c r="P195" s="121">
        <f t="array" aca="1" ref="P195" ca="1">IFERROR(INDEX(INDIRECT($B$3&amp;"."&amp;$B$158&amp;".energy["&amp;This.year&amp;"]"),MATCH($C195&amp;P$5,INDIRECT($B$3&amp;"."&amp;$B$158&amp;".energy[Tech description]")&amp;INDIRECT($B$3&amp;"."&amp;$B$158&amp;".energy[Energy description]"),0)),0)</f>
        <v>0</v>
      </c>
      <c r="Q195" s="121">
        <f t="array" aca="1" ref="Q195" ca="1">IFERROR(INDEX(INDIRECT($B$3&amp;"."&amp;$B$158&amp;".energy["&amp;This.year&amp;"]"),MATCH($C195&amp;Q$5,INDIRECT($B$3&amp;"."&amp;$B$158&amp;".energy[Tech description]")&amp;INDIRECT($B$3&amp;"."&amp;$B$158&amp;".energy[Energy description]"),0)),0)</f>
        <v>0</v>
      </c>
      <c r="R195" s="121">
        <f t="array" aca="1" ref="R195" ca="1">IFERROR(INDEX(INDIRECT($B$3&amp;"."&amp;$B$158&amp;".energy["&amp;This.year&amp;"]"),MATCH($C195&amp;R$5,INDIRECT($B$3&amp;"."&amp;$B$158&amp;".energy[Tech description]")&amp;INDIRECT($B$3&amp;"."&amp;$B$158&amp;".energy[Energy description]"),0)),0)</f>
        <v>0</v>
      </c>
      <c r="S195" s="121">
        <f t="array" aca="1" ref="S195" ca="1">IFERROR(INDEX(INDIRECT($B$3&amp;"."&amp;$B$158&amp;".energy["&amp;This.year&amp;"]"),MATCH($C195&amp;S$5,INDIRECT($B$3&amp;"."&amp;$B$158&amp;".energy[Tech description]")&amp;INDIRECT($B$3&amp;"."&amp;$B$158&amp;".energy[Energy description]"),0)),0)</f>
        <v>0</v>
      </c>
      <c r="T195" s="121">
        <f t="shared" ca="1" si="19"/>
        <v>1.8172055149596165E-4</v>
      </c>
      <c r="U195" s="109"/>
      <c r="V195" s="152">
        <f t="array" aca="1" ref="V195" ca="1">IFERROR(INDEX(INDIRECT($B$3&amp;"."&amp;$B$158&amp;".energy["&amp;This.year&amp;"]"),MATCH($C195&amp;V$5,INDIRECT($B$3&amp;"."&amp;$B$158&amp;".energy[Tech description]")&amp;INDIRECT($B$3&amp;"."&amp;$B$158&amp;".energy[Energy description]"),0)),0)</f>
        <v>0</v>
      </c>
      <c r="W195" s="152">
        <f t="array" aca="1" ref="W195" ca="1">IFERROR(INDEX(INDIRECT($B$3&amp;"."&amp;$B$158&amp;".energy["&amp;This.year&amp;"]"),MATCH($C195&amp;W$5,INDIRECT($B$3&amp;"."&amp;$B$158&amp;".energy[Tech description]")&amp;INDIRECT($B$3&amp;"."&amp;$B$158&amp;".energy[Energy description]"),0)),0)</f>
        <v>0</v>
      </c>
      <c r="X195" s="152">
        <f t="array" aca="1" ref="X195" ca="1">IFERROR(INDEX(INDIRECT($B$3&amp;"."&amp;$B$158&amp;".energy["&amp;This.year&amp;"]"),MATCH($C195&amp;X$5,INDIRECT($B$3&amp;"."&amp;$B$158&amp;".energy[Tech description]")&amp;INDIRECT($B$3&amp;"."&amp;$B$158&amp;".energy[Energy description]"),0)),0)</f>
        <v>0</v>
      </c>
      <c r="Y195" s="152">
        <f t="array" aca="1" ref="Y195" ca="1">IFERROR(INDEX(INDIRECT($B$3&amp;"."&amp;$B$158&amp;".energy["&amp;This.year&amp;"]"),MATCH($C195&amp;Y$5,INDIRECT($B$3&amp;"."&amp;$B$158&amp;".energy[Tech description]")&amp;INDIRECT($B$3&amp;"."&amp;$B$158&amp;".energy[Energy description]"),0)),0)</f>
        <v>0</v>
      </c>
      <c r="Z195" s="152">
        <f t="array" aca="1" ref="Z195" ca="1">IFERROR(INDEX(INDIRECT($B$3&amp;"."&amp;$B$158&amp;".energy["&amp;This.year&amp;"]"),MATCH($C195&amp;Z$5,INDIRECT($B$3&amp;"."&amp;$B$158&amp;".energy[Tech description]")&amp;INDIRECT($B$3&amp;"."&amp;$B$158&amp;".energy[Energy description]"),0)),0)</f>
        <v>0</v>
      </c>
      <c r="AA195" s="152">
        <f t="array" aca="1" ref="AA195" ca="1">IFERROR(INDEX(INDIRECT($B$3&amp;"."&amp;$B$158&amp;".energy["&amp;This.year&amp;"]"),MATCH($C195&amp;AA$5,INDIRECT($B$3&amp;"."&amp;$B$158&amp;".energy[Tech description]")&amp;INDIRECT($B$3&amp;"."&amp;$B$158&amp;".energy[Energy description]"),0)),0)</f>
        <v>0</v>
      </c>
      <c r="AB195" s="152">
        <f t="array" aca="1" ref="AB195" ca="1">IFERROR(INDEX(INDIRECT($B$3&amp;"."&amp;$B$158&amp;".energy["&amp;This.year&amp;"]"),MATCH($C195&amp;AB$5,INDIRECT($B$3&amp;"."&amp;$B$158&amp;".energy[Tech description]")&amp;INDIRECT($B$3&amp;"."&amp;$B$158&amp;".energy[Energy description]"),0)),0)</f>
        <v>-1.8172055149596165E-4</v>
      </c>
      <c r="AC195" s="152">
        <f t="array" aca="1" ref="AC195" ca="1">IFERROR(INDEX(INDIRECT($B$3&amp;"."&amp;$B$158&amp;".energy["&amp;This.year&amp;"]"),MATCH($C195&amp;AC$5,INDIRECT($B$3&amp;"."&amp;$B$158&amp;".energy[Tech description]")&amp;INDIRECT($B$3&amp;"."&amp;$B$158&amp;".energy[Energy description]"),0)),0)</f>
        <v>0</v>
      </c>
      <c r="AD195" s="152">
        <f t="array" aca="1" ref="AD195" ca="1">IFERROR(INDEX(INDIRECT($B$3&amp;"."&amp;$B$158&amp;".energy["&amp;This.year&amp;"]"),MATCH($C195&amp;AD$5,INDIRECT($B$3&amp;"."&amp;$B$158&amp;".energy[Tech description]")&amp;INDIRECT($B$3&amp;"."&amp;$B$158&amp;".energy[Energy description]"),0)),0)</f>
        <v>0</v>
      </c>
      <c r="AE195" s="152">
        <f t="array" aca="1" ref="AE195" ca="1">IFERROR(INDEX(INDIRECT($B$3&amp;"."&amp;$B$158&amp;".energy["&amp;This.year&amp;"]"),MATCH($C195&amp;AE$5,INDIRECT($B$3&amp;"."&amp;$B$158&amp;".energy[Tech description]")&amp;INDIRECT($B$3&amp;"."&amp;$B$158&amp;".energy[Energy description]"),0)),0)</f>
        <v>0</v>
      </c>
      <c r="AF195" s="152">
        <f t="array" aca="1" ref="AF195" ca="1">IFERROR(INDEX(INDIRECT($B$3&amp;"."&amp;$B$158&amp;".energy["&amp;This.year&amp;"]"),MATCH($C195&amp;AF$5,INDIRECT($B$3&amp;"."&amp;$B$158&amp;".energy[Tech description]")&amp;INDIRECT($B$3&amp;"."&amp;$B$158&amp;".energy[Energy description]"),0)),0)</f>
        <v>0</v>
      </c>
      <c r="AG195" s="152">
        <f t="array" aca="1" ref="AG195" ca="1">IFERROR(INDEX(INDIRECT($B$3&amp;"."&amp;$B$158&amp;".energy["&amp;This.year&amp;"]"),MATCH($C195&amp;AG$5,INDIRECT($B$3&amp;"."&amp;$B$158&amp;".energy[Tech description]")&amp;INDIRECT($B$3&amp;"."&amp;$B$158&amp;".energy[Energy description]"),0)),0)</f>
        <v>0</v>
      </c>
      <c r="AH195" s="152">
        <f t="array" aca="1" ref="AH195" ca="1">IFERROR(INDEX(INDIRECT($B$3&amp;"."&amp;$B$158&amp;".energy["&amp;This.year&amp;"]"),MATCH($C195&amp;AH$5,INDIRECT($B$3&amp;"."&amp;$B$158&amp;".energy[Tech description]")&amp;INDIRECT($B$3&amp;"."&amp;$B$158&amp;".energy[Energy description]"),0)),0)</f>
        <v>0</v>
      </c>
      <c r="AI195" s="152">
        <f t="array" aca="1" ref="AI195" ca="1">IFERROR(INDEX(INDIRECT($B$3&amp;"."&amp;$B$158&amp;".energy["&amp;This.year&amp;"]"),MATCH($C195&amp;AI$5,INDIRECT($B$3&amp;"."&amp;$B$158&amp;".energy[Tech description]")&amp;INDIRECT($B$3&amp;"."&amp;$B$158&amp;".energy[Energy description]"),0)),0)</f>
        <v>0</v>
      </c>
      <c r="AJ195" s="152">
        <f t="array" aca="1" ref="AJ195" ca="1">IFERROR(INDEX(INDIRECT($B$3&amp;"."&amp;$B$158&amp;".energy["&amp;This.year&amp;"]"),MATCH($C195&amp;AJ$5,INDIRECT($B$3&amp;"."&amp;$B$158&amp;".energy[Tech description]")&amp;INDIRECT($B$3&amp;"."&amp;$B$158&amp;".energy[Energy description]"),0)),0)</f>
        <v>0</v>
      </c>
      <c r="AK195" s="152">
        <f t="array" aca="1" ref="AK195" ca="1">IFERROR(INDEX(INDIRECT($B$3&amp;"."&amp;$B$158&amp;".energy["&amp;This.year&amp;"]"),MATCH($C195&amp;AK$5,INDIRECT($B$3&amp;"."&amp;$B$158&amp;".energy[Tech description]")&amp;INDIRECT($B$3&amp;"."&amp;$B$158&amp;".energy[Energy description]"),0)),0)</f>
        <v>0</v>
      </c>
      <c r="AL195" s="152">
        <f t="array" aca="1" ref="AL195" ca="1">IFERROR(INDEX(INDIRECT($B$3&amp;"."&amp;$B$158&amp;".energy["&amp;This.year&amp;"]"),MATCH($C195&amp;AL$5,INDIRECT($B$3&amp;"."&amp;$B$158&amp;".energy[Tech description]")&amp;INDIRECT($B$3&amp;"."&amp;$B$158&amp;".energy[Energy description]"),0)),0)</f>
        <v>0</v>
      </c>
      <c r="AM195" s="152">
        <f t="array" aca="1" ref="AM195" ca="1">IFERROR(INDEX(INDIRECT($B$3&amp;"."&amp;$B$158&amp;".energy["&amp;This.year&amp;"]"),MATCH($C195&amp;AM$5,INDIRECT($B$3&amp;"."&amp;$B$158&amp;".energy[Tech description]")&amp;INDIRECT($B$3&amp;"."&amp;$B$158&amp;".energy[Energy description]"),0)),0)</f>
        <v>0</v>
      </c>
      <c r="AN195" s="152">
        <f t="array" aca="1" ref="AN195" ca="1">IFERROR(INDEX(INDIRECT($B$3&amp;"."&amp;$B$158&amp;".energy["&amp;This.year&amp;"]"),MATCH($C195&amp;AN$5,INDIRECT($B$3&amp;"."&amp;$B$158&amp;".energy[Tech description]")&amp;INDIRECT($B$3&amp;"."&amp;$B$158&amp;".energy[Energy description]"),0)),0)</f>
        <v>0</v>
      </c>
      <c r="AO195" s="152">
        <f t="shared" ca="1" si="20"/>
        <v>-1.8172055149596165E-4</v>
      </c>
      <c r="AP195" s="108"/>
      <c r="AQ195" s="21">
        <f t="array" aca="1" ref="AQ195" ca="1">IFERROR(INDEX(INDIRECT($B$3&amp;"."&amp;$B$158&amp;".energy["&amp;This.year&amp;"]"),MATCH($C195&amp;AQ$5,INDIRECT($B$3&amp;"."&amp;$B$158&amp;".energy[Tech description]")&amp;INDIRECT($B$3&amp;"."&amp;$B$158&amp;".energy[Energy description]"),0)),0)</f>
        <v>0</v>
      </c>
      <c r="AR195" s="21">
        <f t="array" aca="1" ref="AR195" ca="1">IFERROR(INDEX(INDIRECT($B$3&amp;"."&amp;$B$158&amp;".energy["&amp;This.year&amp;"]"),MATCH($C195&amp;AR$5,INDIRECT($B$3&amp;"."&amp;$B$158&amp;".energy[Tech description]")&amp;INDIRECT($B$3&amp;"."&amp;$B$158&amp;".energy[Energy description]"),0)),0)</f>
        <v>0</v>
      </c>
      <c r="AS195" s="21">
        <f t="array" aca="1" ref="AS195" ca="1">IFERROR(INDEX(INDIRECT($B$3&amp;"."&amp;$B$158&amp;".energy["&amp;This.year&amp;"]"),MATCH($C195&amp;AS$5,INDIRECT($B$3&amp;"."&amp;$B$158&amp;".energy[Tech description]")&amp;INDIRECT($B$3&amp;"."&amp;$B$158&amp;".energy[Energy description]"),0)),0)</f>
        <v>0</v>
      </c>
      <c r="AT195" s="21">
        <f t="array" aca="1" ref="AT195" ca="1">IFERROR(INDEX(INDIRECT($B$3&amp;"."&amp;$B$158&amp;".energy["&amp;This.year&amp;"]"),MATCH($C195&amp;AT$5,INDIRECT($B$3&amp;"."&amp;$B$158&amp;".energy[Tech description]")&amp;INDIRECT($B$3&amp;"."&amp;$B$158&amp;".energy[Energy description]"),0)),0)</f>
        <v>0</v>
      </c>
      <c r="AU195" s="21">
        <f t="array" aca="1" ref="AU195" ca="1">IFERROR(INDEX(INDIRECT($B$3&amp;"."&amp;$B$158&amp;".energy["&amp;This.year&amp;"]"),MATCH($C195&amp;AU$5,INDIRECT($B$3&amp;"."&amp;$B$158&amp;".energy[Tech description]")&amp;INDIRECT($B$3&amp;"."&amp;$B$158&amp;".energy[Energy description]"),0)),0)</f>
        <v>0</v>
      </c>
      <c r="AV195" s="21">
        <f t="array" aca="1" ref="AV195" ca="1">IFERROR(INDEX(INDIRECT($B$3&amp;"."&amp;$B$158&amp;".energy["&amp;This.year&amp;"]"),MATCH($C195&amp;AV$5,INDIRECT($B$3&amp;"."&amp;$B$158&amp;".energy[Tech description]")&amp;INDIRECT($B$3&amp;"."&amp;$B$158&amp;".energy[Energy description]"),0)),0)</f>
        <v>0</v>
      </c>
      <c r="AW195" s="21">
        <f t="array" aca="1" ref="AW195" ca="1">IFERROR(INDEX(INDIRECT($B$3&amp;"."&amp;$B$158&amp;".energy["&amp;This.year&amp;"]"),MATCH($C195&amp;AW$5,INDIRECT($B$3&amp;"."&amp;$B$158&amp;".energy[Tech description]")&amp;INDIRECT($B$3&amp;"."&amp;$B$158&amp;".energy[Energy description]"),0)),0)</f>
        <v>0</v>
      </c>
      <c r="AX195" s="21">
        <f t="array" aca="1" ref="AX195" ca="1">IFERROR(INDEX(INDIRECT($B$3&amp;"."&amp;$B$158&amp;".energy["&amp;This.year&amp;"]"),MATCH($C195&amp;AX$5,INDIRECT($B$3&amp;"."&amp;$B$158&amp;".energy[Tech description]")&amp;INDIRECT($B$3&amp;"."&amp;$B$158&amp;".energy[Energy description]"),0)),0)</f>
        <v>0</v>
      </c>
      <c r="AY195" s="21">
        <f t="array" aca="1" ref="AY195" ca="1">IFERROR(INDEX(INDIRECT($B$3&amp;"."&amp;$B$158&amp;".energy["&amp;This.year&amp;"]"),MATCH($C195&amp;AY$5,INDIRECT($B$3&amp;"."&amp;$B$158&amp;".energy[Tech description]")&amp;INDIRECT($B$3&amp;"."&amp;$B$158&amp;".energy[Energy description]"),0)),0)</f>
        <v>0</v>
      </c>
      <c r="AZ195" s="21">
        <f t="array" aca="1" ref="AZ195" ca="1">IFERROR(INDEX(INDIRECT($B$3&amp;"."&amp;$B$158&amp;".energy["&amp;This.year&amp;"]"),MATCH($C195&amp;AZ$5,INDIRECT($B$3&amp;"."&amp;$B$158&amp;".energy[Tech description]")&amp;INDIRECT($B$3&amp;"."&amp;$B$158&amp;".energy[Energy description]"),0)),0)</f>
        <v>0</v>
      </c>
      <c r="BA195" s="21">
        <f t="array" aca="1" ref="BA195" ca="1">IFERROR(INDEX(INDIRECT($B$3&amp;"."&amp;$B$158&amp;".energy["&amp;This.year&amp;"]"),MATCH($C195&amp;BA$5,INDIRECT($B$3&amp;"."&amp;$B$158&amp;".energy[Tech description]")&amp;INDIRECT($B$3&amp;"."&amp;$B$158&amp;".energy[Energy description]"),0)),0)</f>
        <v>0</v>
      </c>
      <c r="BB195" s="21">
        <f t="array" aca="1" ref="BB195" ca="1">IFERROR(INDEX(INDIRECT($B$3&amp;"."&amp;$B$158&amp;".energy["&amp;This.year&amp;"]"),MATCH($C195&amp;BB$5,INDIRECT($B$3&amp;"."&amp;$B$158&amp;".energy[Tech description]")&amp;INDIRECT($B$3&amp;"."&amp;$B$158&amp;".energy[Energy description]"),0)),0)</f>
        <v>0</v>
      </c>
      <c r="BC195" s="21">
        <f t="array" aca="1" ref="BC195" ca="1">IFERROR(INDEX(INDIRECT($B$3&amp;"."&amp;$B$158&amp;".energy["&amp;This.year&amp;"]"),MATCH($C195&amp;BC$5,INDIRECT($B$3&amp;"."&amp;$B$158&amp;".energy[Tech description]")&amp;INDIRECT($B$3&amp;"."&amp;$B$158&amp;".energy[Energy description]"),0)),0)</f>
        <v>0</v>
      </c>
      <c r="BD195" s="21">
        <f t="shared" ca="1" si="21"/>
        <v>0</v>
      </c>
      <c r="BE195" s="108"/>
      <c r="BF195" s="49">
        <f t="array" aca="1" ref="BF195" ca="1">IFERROR(INDEX(INDIRECT($B$3&amp;"."&amp;$B$158&amp;".energy["&amp;This.year&amp;"]"),MATCH($C195&amp;BF$5,INDIRECT($B$3&amp;"."&amp;$B$158&amp;".energy[Tech description]")&amp;INDIRECT($B$3&amp;"."&amp;$B$158&amp;".energy[Energy description]"),0)),0)</f>
        <v>0</v>
      </c>
      <c r="BG195" s="49">
        <f t="array" aca="1" ref="BG195" ca="1">IFERROR(INDEX(INDIRECT($B$3&amp;"."&amp;$B$158&amp;".energy["&amp;This.year&amp;"]"),MATCH($C195&amp;BG$5,INDIRECT($B$3&amp;"."&amp;$B$158&amp;".energy[Tech description]")&amp;INDIRECT($B$3&amp;"."&amp;$B$158&amp;".energy[Energy description]"),0)),0)</f>
        <v>0</v>
      </c>
      <c r="BH195" s="49">
        <f t="shared" ca="1" si="22"/>
        <v>0</v>
      </c>
      <c r="BI195" s="219">
        <f t="shared" ca="1" si="9"/>
        <v>0</v>
      </c>
      <c r="BJ195" s="108"/>
    </row>
    <row r="196" spans="1:62" s="54" customFormat="1">
      <c r="A196" s="133"/>
      <c r="B196" s="176" t="s">
        <v>1819</v>
      </c>
      <c r="C196" s="114" t="str">
        <f>INDEX(Regional.Technologies[Description],MATCH($B$3&amp;"."&amp;B196,Regional.Technologies[Code],0))</f>
        <v>Global Natural Gas use in the Secondary Aluminium technology</v>
      </c>
      <c r="E196" s="121">
        <f t="array" aca="1" ref="E196" ca="1">IFERROR(INDEX(INDIRECT($B$3&amp;"."&amp;$B$158&amp;".energy["&amp;This.year&amp;"]"),MATCH($C196&amp;E$5,INDIRECT($B$3&amp;"."&amp;$B$158&amp;".energy[Tech description]")&amp;INDIRECT($B$3&amp;"."&amp;$B$158&amp;".energy[Energy description]"),0)),0)</f>
        <v>0</v>
      </c>
      <c r="F196" s="121">
        <f t="array" aca="1" ref="F196" ca="1">IFERROR(INDEX(INDIRECT($B$3&amp;"."&amp;$B$158&amp;".energy["&amp;This.year&amp;"]"),MATCH($C196&amp;F$5,INDIRECT($B$3&amp;"."&amp;$B$158&amp;".energy[Tech description]")&amp;INDIRECT($B$3&amp;"."&amp;$B$158&amp;".energy[Energy description]"),0)),0)</f>
        <v>0</v>
      </c>
      <c r="G196" s="121">
        <f t="array" aca="1" ref="G196" ca="1">IFERROR(INDEX(INDIRECT($B$3&amp;"."&amp;$B$158&amp;".energy["&amp;This.year&amp;"]"),MATCH($C196&amp;G$5,INDIRECT($B$3&amp;"."&amp;$B$158&amp;".energy[Tech description]")&amp;INDIRECT($B$3&amp;"."&amp;$B$158&amp;".energy[Energy description]"),0)),0)</f>
        <v>0</v>
      </c>
      <c r="H196" s="121">
        <f t="array" aca="1" ref="H196" ca="1">IFERROR(INDEX(INDIRECT($B$3&amp;"."&amp;$B$158&amp;".energy["&amp;This.year&amp;"]"),MATCH($C196&amp;H$5,INDIRECT($B$3&amp;"."&amp;$B$158&amp;".energy[Tech description]")&amp;INDIRECT($B$3&amp;"."&amp;$B$158&amp;".energy[Energy description]"),0)),0)</f>
        <v>0</v>
      </c>
      <c r="I196" s="121">
        <f t="array" aca="1" ref="I196" ca="1">IFERROR(INDEX(INDIRECT($B$3&amp;"."&amp;$B$158&amp;".energy["&amp;This.year&amp;"]"),MATCH($C196&amp;I$5,INDIRECT($B$3&amp;"."&amp;$B$158&amp;".energy[Tech description]")&amp;INDIRECT($B$3&amp;"."&amp;$B$158&amp;".energy[Energy description]"),0)),0)</f>
        <v>0</v>
      </c>
      <c r="J196" s="121">
        <f t="array" aca="1" ref="J196" ca="1">IFERROR(INDEX(INDIRECT($B$3&amp;"."&amp;$B$158&amp;".energy["&amp;This.year&amp;"]"),MATCH($C196&amp;J$5,INDIRECT($B$3&amp;"."&amp;$B$158&amp;".energy[Tech description]")&amp;INDIRECT($B$3&amp;"."&amp;$B$158&amp;".energy[Energy description]"),0)),0)</f>
        <v>0.24244140449555462</v>
      </c>
      <c r="K196" s="121">
        <f t="array" aca="1" ref="K196" ca="1">IFERROR(INDEX(INDIRECT($B$3&amp;"."&amp;$B$158&amp;".energy["&amp;This.year&amp;"]"),MATCH($C196&amp;K$5,INDIRECT($B$3&amp;"."&amp;$B$158&amp;".energy[Tech description]")&amp;INDIRECT($B$3&amp;"."&amp;$B$158&amp;".energy[Energy description]"),0)),0)</f>
        <v>0</v>
      </c>
      <c r="L196" s="121">
        <f t="array" aca="1" ref="L196" ca="1">IFERROR(INDEX(INDIRECT($B$3&amp;"."&amp;$B$158&amp;".energy["&amp;This.year&amp;"]"),MATCH($C196&amp;L$5,INDIRECT($B$3&amp;"."&amp;$B$158&amp;".energy[Tech description]")&amp;INDIRECT($B$3&amp;"."&amp;$B$158&amp;".energy[Energy description]"),0)),0)</f>
        <v>0</v>
      </c>
      <c r="M196" s="121">
        <f t="array" aca="1" ref="M196" ca="1">IFERROR(INDEX(INDIRECT($B$3&amp;"."&amp;$B$158&amp;".energy["&amp;This.year&amp;"]"),MATCH($C196&amp;M$5,INDIRECT($B$3&amp;"."&amp;$B$158&amp;".energy[Tech description]")&amp;INDIRECT($B$3&amp;"."&amp;$B$158&amp;".energy[Energy description]"),0)),0)</f>
        <v>0</v>
      </c>
      <c r="N196" s="121">
        <f t="array" aca="1" ref="N196" ca="1">IFERROR(INDEX(INDIRECT($B$3&amp;"."&amp;$B$158&amp;".energy["&amp;This.year&amp;"]"),MATCH($C196&amp;N$5,INDIRECT($B$3&amp;"."&amp;$B$158&amp;".energy[Tech description]")&amp;INDIRECT($B$3&amp;"."&amp;$B$158&amp;".energy[Energy description]"),0)),0)</f>
        <v>0</v>
      </c>
      <c r="O196" s="121">
        <f t="array" aca="1" ref="O196" ca="1">IFERROR(INDEX(INDIRECT($B$3&amp;"."&amp;$B$158&amp;".energy["&amp;This.year&amp;"]"),MATCH($C196&amp;O$5,INDIRECT($B$3&amp;"."&amp;$B$158&amp;".energy[Tech description]")&amp;INDIRECT($B$3&amp;"."&amp;$B$158&amp;".energy[Energy description]"),0)),0)</f>
        <v>0</v>
      </c>
      <c r="P196" s="121">
        <f t="array" aca="1" ref="P196" ca="1">IFERROR(INDEX(INDIRECT($B$3&amp;"."&amp;$B$158&amp;".energy["&amp;This.year&amp;"]"),MATCH($C196&amp;P$5,INDIRECT($B$3&amp;"."&amp;$B$158&amp;".energy[Tech description]")&amp;INDIRECT($B$3&amp;"."&amp;$B$158&amp;".energy[Energy description]"),0)),0)</f>
        <v>0</v>
      </c>
      <c r="Q196" s="121">
        <f t="array" aca="1" ref="Q196" ca="1">IFERROR(INDEX(INDIRECT($B$3&amp;"."&amp;$B$158&amp;".energy["&amp;This.year&amp;"]"),MATCH($C196&amp;Q$5,INDIRECT($B$3&amp;"."&amp;$B$158&amp;".energy[Tech description]")&amp;INDIRECT($B$3&amp;"."&amp;$B$158&amp;".energy[Energy description]"),0)),0)</f>
        <v>0</v>
      </c>
      <c r="R196" s="121">
        <f t="array" aca="1" ref="R196" ca="1">IFERROR(INDEX(INDIRECT($B$3&amp;"."&amp;$B$158&amp;".energy["&amp;This.year&amp;"]"),MATCH($C196&amp;R$5,INDIRECT($B$3&amp;"."&amp;$B$158&amp;".energy[Tech description]")&amp;INDIRECT($B$3&amp;"."&amp;$B$158&amp;".energy[Energy description]"),0)),0)</f>
        <v>0</v>
      </c>
      <c r="S196" s="121">
        <f t="array" aca="1" ref="S196" ca="1">IFERROR(INDEX(INDIRECT($B$3&amp;"."&amp;$B$158&amp;".energy["&amp;This.year&amp;"]"),MATCH($C196&amp;S$5,INDIRECT($B$3&amp;"."&amp;$B$158&amp;".energy[Tech description]")&amp;INDIRECT($B$3&amp;"."&amp;$B$158&amp;".energy[Energy description]"),0)),0)</f>
        <v>0</v>
      </c>
      <c r="T196" s="121">
        <f t="shared" ca="1" si="19"/>
        <v>0.24244140449555462</v>
      </c>
      <c r="U196" s="109"/>
      <c r="V196" s="152">
        <f t="array" aca="1" ref="V196" ca="1">IFERROR(INDEX(INDIRECT($B$3&amp;"."&amp;$B$158&amp;".energy["&amp;This.year&amp;"]"),MATCH($C196&amp;V$5,INDIRECT($B$3&amp;"."&amp;$B$158&amp;".energy[Tech description]")&amp;INDIRECT($B$3&amp;"."&amp;$B$158&amp;".energy[Energy description]"),0)),0)</f>
        <v>0</v>
      </c>
      <c r="W196" s="152">
        <f t="array" aca="1" ref="W196" ca="1">IFERROR(INDEX(INDIRECT($B$3&amp;"."&amp;$B$158&amp;".energy["&amp;This.year&amp;"]"),MATCH($C196&amp;W$5,INDIRECT($B$3&amp;"."&amp;$B$158&amp;".energy[Tech description]")&amp;INDIRECT($B$3&amp;"."&amp;$B$158&amp;".energy[Energy description]"),0)),0)</f>
        <v>0</v>
      </c>
      <c r="X196" s="152">
        <f t="array" aca="1" ref="X196" ca="1">IFERROR(INDEX(INDIRECT($B$3&amp;"."&amp;$B$158&amp;".energy["&amp;This.year&amp;"]"),MATCH($C196&amp;X$5,INDIRECT($B$3&amp;"."&amp;$B$158&amp;".energy[Tech description]")&amp;INDIRECT($B$3&amp;"."&amp;$B$158&amp;".energy[Energy description]"),0)),0)</f>
        <v>0</v>
      </c>
      <c r="Y196" s="152">
        <f t="array" aca="1" ref="Y196" ca="1">IFERROR(INDEX(INDIRECT($B$3&amp;"."&amp;$B$158&amp;".energy["&amp;This.year&amp;"]"),MATCH($C196&amp;Y$5,INDIRECT($B$3&amp;"."&amp;$B$158&amp;".energy[Tech description]")&amp;INDIRECT($B$3&amp;"."&amp;$B$158&amp;".energy[Energy description]"),0)),0)</f>
        <v>0</v>
      </c>
      <c r="Z196" s="152">
        <f t="array" aca="1" ref="Z196" ca="1">IFERROR(INDEX(INDIRECT($B$3&amp;"."&amp;$B$158&amp;".energy["&amp;This.year&amp;"]"),MATCH($C196&amp;Z$5,INDIRECT($B$3&amp;"."&amp;$B$158&amp;".energy[Tech description]")&amp;INDIRECT($B$3&amp;"."&amp;$B$158&amp;".energy[Energy description]"),0)),0)</f>
        <v>0</v>
      </c>
      <c r="AA196" s="152">
        <f t="array" aca="1" ref="AA196" ca="1">IFERROR(INDEX(INDIRECT($B$3&amp;"."&amp;$B$158&amp;".energy["&amp;This.year&amp;"]"),MATCH($C196&amp;AA$5,INDIRECT($B$3&amp;"."&amp;$B$158&amp;".energy[Tech description]")&amp;INDIRECT($B$3&amp;"."&amp;$B$158&amp;".energy[Energy description]"),0)),0)</f>
        <v>0</v>
      </c>
      <c r="AB196" s="152">
        <f t="array" aca="1" ref="AB196" ca="1">IFERROR(INDEX(INDIRECT($B$3&amp;"."&amp;$B$158&amp;".energy["&amp;This.year&amp;"]"),MATCH($C196&amp;AB$5,INDIRECT($B$3&amp;"."&amp;$B$158&amp;".energy[Tech description]")&amp;INDIRECT($B$3&amp;"."&amp;$B$158&amp;".energy[Energy description]"),0)),0)</f>
        <v>0</v>
      </c>
      <c r="AC196" s="152">
        <f t="array" aca="1" ref="AC196" ca="1">IFERROR(INDEX(INDIRECT($B$3&amp;"."&amp;$B$158&amp;".energy["&amp;This.year&amp;"]"),MATCH($C196&amp;AC$5,INDIRECT($B$3&amp;"."&amp;$B$158&amp;".energy[Tech description]")&amp;INDIRECT($B$3&amp;"."&amp;$B$158&amp;".energy[Energy description]"),0)),0)</f>
        <v>-0.24244140449555462</v>
      </c>
      <c r="AD196" s="152">
        <f t="array" aca="1" ref="AD196" ca="1">IFERROR(INDEX(INDIRECT($B$3&amp;"."&amp;$B$158&amp;".energy["&amp;This.year&amp;"]"),MATCH($C196&amp;AD$5,INDIRECT($B$3&amp;"."&amp;$B$158&amp;".energy[Tech description]")&amp;INDIRECT($B$3&amp;"."&amp;$B$158&amp;".energy[Energy description]"),0)),0)</f>
        <v>0</v>
      </c>
      <c r="AE196" s="152">
        <f t="array" aca="1" ref="AE196" ca="1">IFERROR(INDEX(INDIRECT($B$3&amp;"."&amp;$B$158&amp;".energy["&amp;This.year&amp;"]"),MATCH($C196&amp;AE$5,INDIRECT($B$3&amp;"."&amp;$B$158&amp;".energy[Tech description]")&amp;INDIRECT($B$3&amp;"."&amp;$B$158&amp;".energy[Energy description]"),0)),0)</f>
        <v>0</v>
      </c>
      <c r="AF196" s="152">
        <f t="array" aca="1" ref="AF196" ca="1">IFERROR(INDEX(INDIRECT($B$3&amp;"."&amp;$B$158&amp;".energy["&amp;This.year&amp;"]"),MATCH($C196&amp;AF$5,INDIRECT($B$3&amp;"."&amp;$B$158&amp;".energy[Tech description]")&amp;INDIRECT($B$3&amp;"."&amp;$B$158&amp;".energy[Energy description]"),0)),0)</f>
        <v>0</v>
      </c>
      <c r="AG196" s="152">
        <f t="array" aca="1" ref="AG196" ca="1">IFERROR(INDEX(INDIRECT($B$3&amp;"."&amp;$B$158&amp;".energy["&amp;This.year&amp;"]"),MATCH($C196&amp;AG$5,INDIRECT($B$3&amp;"."&amp;$B$158&amp;".energy[Tech description]")&amp;INDIRECT($B$3&amp;"."&amp;$B$158&amp;".energy[Energy description]"),0)),0)</f>
        <v>0</v>
      </c>
      <c r="AH196" s="152">
        <f t="array" aca="1" ref="AH196" ca="1">IFERROR(INDEX(INDIRECT($B$3&amp;"."&amp;$B$158&amp;".energy["&amp;This.year&amp;"]"),MATCH($C196&amp;AH$5,INDIRECT($B$3&amp;"."&amp;$B$158&amp;".energy[Tech description]")&amp;INDIRECT($B$3&amp;"."&amp;$B$158&amp;".energy[Energy description]"),0)),0)</f>
        <v>0</v>
      </c>
      <c r="AI196" s="152">
        <f t="array" aca="1" ref="AI196" ca="1">IFERROR(INDEX(INDIRECT($B$3&amp;"."&amp;$B$158&amp;".energy["&amp;This.year&amp;"]"),MATCH($C196&amp;AI$5,INDIRECT($B$3&amp;"."&amp;$B$158&amp;".energy[Tech description]")&amp;INDIRECT($B$3&amp;"."&amp;$B$158&amp;".energy[Energy description]"),0)),0)</f>
        <v>0</v>
      </c>
      <c r="AJ196" s="152">
        <f t="array" aca="1" ref="AJ196" ca="1">IFERROR(INDEX(INDIRECT($B$3&amp;"."&amp;$B$158&amp;".energy["&amp;This.year&amp;"]"),MATCH($C196&amp;AJ$5,INDIRECT($B$3&amp;"."&amp;$B$158&amp;".energy[Tech description]")&amp;INDIRECT($B$3&amp;"."&amp;$B$158&amp;".energy[Energy description]"),0)),0)</f>
        <v>0</v>
      </c>
      <c r="AK196" s="152">
        <f t="array" aca="1" ref="AK196" ca="1">IFERROR(INDEX(INDIRECT($B$3&amp;"."&amp;$B$158&amp;".energy["&amp;This.year&amp;"]"),MATCH($C196&amp;AK$5,INDIRECT($B$3&amp;"."&amp;$B$158&amp;".energy[Tech description]")&amp;INDIRECT($B$3&amp;"."&amp;$B$158&amp;".energy[Energy description]"),0)),0)</f>
        <v>0</v>
      </c>
      <c r="AL196" s="152">
        <f t="array" aca="1" ref="AL196" ca="1">IFERROR(INDEX(INDIRECT($B$3&amp;"."&amp;$B$158&amp;".energy["&amp;This.year&amp;"]"),MATCH($C196&amp;AL$5,INDIRECT($B$3&amp;"."&amp;$B$158&amp;".energy[Tech description]")&amp;INDIRECT($B$3&amp;"."&amp;$B$158&amp;".energy[Energy description]"),0)),0)</f>
        <v>0</v>
      </c>
      <c r="AM196" s="152">
        <f t="array" aca="1" ref="AM196" ca="1">IFERROR(INDEX(INDIRECT($B$3&amp;"."&amp;$B$158&amp;".energy["&amp;This.year&amp;"]"),MATCH($C196&amp;AM$5,INDIRECT($B$3&amp;"."&amp;$B$158&amp;".energy[Tech description]")&amp;INDIRECT($B$3&amp;"."&amp;$B$158&amp;".energy[Energy description]"),0)),0)</f>
        <v>0</v>
      </c>
      <c r="AN196" s="152">
        <f t="array" aca="1" ref="AN196" ca="1">IFERROR(INDEX(INDIRECT($B$3&amp;"."&amp;$B$158&amp;".energy["&amp;This.year&amp;"]"),MATCH($C196&amp;AN$5,INDIRECT($B$3&amp;"."&amp;$B$158&amp;".energy[Tech description]")&amp;INDIRECT($B$3&amp;"."&amp;$B$158&amp;".energy[Energy description]"),0)),0)</f>
        <v>0</v>
      </c>
      <c r="AO196" s="152">
        <f t="shared" ca="1" si="20"/>
        <v>-0.24244140449555462</v>
      </c>
      <c r="AP196" s="108"/>
      <c r="AQ196" s="21">
        <f t="array" aca="1" ref="AQ196" ca="1">IFERROR(INDEX(INDIRECT($B$3&amp;"."&amp;$B$158&amp;".energy["&amp;This.year&amp;"]"),MATCH($C196&amp;AQ$5,INDIRECT($B$3&amp;"."&amp;$B$158&amp;".energy[Tech description]")&amp;INDIRECT($B$3&amp;"."&amp;$B$158&amp;".energy[Energy description]"),0)),0)</f>
        <v>0</v>
      </c>
      <c r="AR196" s="21">
        <f t="array" aca="1" ref="AR196" ca="1">IFERROR(INDEX(INDIRECT($B$3&amp;"."&amp;$B$158&amp;".energy["&amp;This.year&amp;"]"),MATCH($C196&amp;AR$5,INDIRECT($B$3&amp;"."&amp;$B$158&amp;".energy[Tech description]")&amp;INDIRECT($B$3&amp;"."&amp;$B$158&amp;".energy[Energy description]"),0)),0)</f>
        <v>0</v>
      </c>
      <c r="AS196" s="21">
        <f t="array" aca="1" ref="AS196" ca="1">IFERROR(INDEX(INDIRECT($B$3&amp;"."&amp;$B$158&amp;".energy["&amp;This.year&amp;"]"),MATCH($C196&amp;AS$5,INDIRECT($B$3&amp;"."&amp;$B$158&amp;".energy[Tech description]")&amp;INDIRECT($B$3&amp;"."&amp;$B$158&amp;".energy[Energy description]"),0)),0)</f>
        <v>0</v>
      </c>
      <c r="AT196" s="21">
        <f t="array" aca="1" ref="AT196" ca="1">IFERROR(INDEX(INDIRECT($B$3&amp;"."&amp;$B$158&amp;".energy["&amp;This.year&amp;"]"),MATCH($C196&amp;AT$5,INDIRECT($B$3&amp;"."&amp;$B$158&amp;".energy[Tech description]")&amp;INDIRECT($B$3&amp;"."&amp;$B$158&amp;".energy[Energy description]"),0)),0)</f>
        <v>0</v>
      </c>
      <c r="AU196" s="21">
        <f t="array" aca="1" ref="AU196" ca="1">IFERROR(INDEX(INDIRECT($B$3&amp;"."&amp;$B$158&amp;".energy["&amp;This.year&amp;"]"),MATCH($C196&amp;AU$5,INDIRECT($B$3&amp;"."&amp;$B$158&amp;".energy[Tech description]")&amp;INDIRECT($B$3&amp;"."&amp;$B$158&amp;".energy[Energy description]"),0)),0)</f>
        <v>0</v>
      </c>
      <c r="AV196" s="21">
        <f t="array" aca="1" ref="AV196" ca="1">IFERROR(INDEX(INDIRECT($B$3&amp;"."&amp;$B$158&amp;".energy["&amp;This.year&amp;"]"),MATCH($C196&amp;AV$5,INDIRECT($B$3&amp;"."&amp;$B$158&amp;".energy[Tech description]")&amp;INDIRECT($B$3&amp;"."&amp;$B$158&amp;".energy[Energy description]"),0)),0)</f>
        <v>0</v>
      </c>
      <c r="AW196" s="21">
        <f t="array" aca="1" ref="AW196" ca="1">IFERROR(INDEX(INDIRECT($B$3&amp;"."&amp;$B$158&amp;".energy["&amp;This.year&amp;"]"),MATCH($C196&amp;AW$5,INDIRECT($B$3&amp;"."&amp;$B$158&amp;".energy[Tech description]")&amp;INDIRECT($B$3&amp;"."&amp;$B$158&amp;".energy[Energy description]"),0)),0)</f>
        <v>0</v>
      </c>
      <c r="AX196" s="21">
        <f t="array" aca="1" ref="AX196" ca="1">IFERROR(INDEX(INDIRECT($B$3&amp;"."&amp;$B$158&amp;".energy["&amp;This.year&amp;"]"),MATCH($C196&amp;AX$5,INDIRECT($B$3&amp;"."&amp;$B$158&amp;".energy[Tech description]")&amp;INDIRECT($B$3&amp;"."&amp;$B$158&amp;".energy[Energy description]"),0)),0)</f>
        <v>0</v>
      </c>
      <c r="AY196" s="21">
        <f t="array" aca="1" ref="AY196" ca="1">IFERROR(INDEX(INDIRECT($B$3&amp;"."&amp;$B$158&amp;".energy["&amp;This.year&amp;"]"),MATCH($C196&amp;AY$5,INDIRECT($B$3&amp;"."&amp;$B$158&amp;".energy[Tech description]")&amp;INDIRECT($B$3&amp;"."&amp;$B$158&amp;".energy[Energy description]"),0)),0)</f>
        <v>0</v>
      </c>
      <c r="AZ196" s="21">
        <f t="array" aca="1" ref="AZ196" ca="1">IFERROR(INDEX(INDIRECT($B$3&amp;"."&amp;$B$158&amp;".energy["&amp;This.year&amp;"]"),MATCH($C196&amp;AZ$5,INDIRECT($B$3&amp;"."&amp;$B$158&amp;".energy[Tech description]")&amp;INDIRECT($B$3&amp;"."&amp;$B$158&amp;".energy[Energy description]"),0)),0)</f>
        <v>0</v>
      </c>
      <c r="BA196" s="21">
        <f t="array" aca="1" ref="BA196" ca="1">IFERROR(INDEX(INDIRECT($B$3&amp;"."&amp;$B$158&amp;".energy["&amp;This.year&amp;"]"),MATCH($C196&amp;BA$5,INDIRECT($B$3&amp;"."&amp;$B$158&amp;".energy[Tech description]")&amp;INDIRECT($B$3&amp;"."&amp;$B$158&amp;".energy[Energy description]"),0)),0)</f>
        <v>0</v>
      </c>
      <c r="BB196" s="21">
        <f t="array" aca="1" ref="BB196" ca="1">IFERROR(INDEX(INDIRECT($B$3&amp;"."&amp;$B$158&amp;".energy["&amp;This.year&amp;"]"),MATCH($C196&amp;BB$5,INDIRECT($B$3&amp;"."&amp;$B$158&amp;".energy[Tech description]")&amp;INDIRECT($B$3&amp;"."&amp;$B$158&amp;".energy[Energy description]"),0)),0)</f>
        <v>0</v>
      </c>
      <c r="BC196" s="21">
        <f t="array" aca="1" ref="BC196" ca="1">IFERROR(INDEX(INDIRECT($B$3&amp;"."&amp;$B$158&amp;".energy["&amp;This.year&amp;"]"),MATCH($C196&amp;BC$5,INDIRECT($B$3&amp;"."&amp;$B$158&amp;".energy[Tech description]")&amp;INDIRECT($B$3&amp;"."&amp;$B$158&amp;".energy[Energy description]"),0)),0)</f>
        <v>0</v>
      </c>
      <c r="BD196" s="21">
        <f t="shared" ca="1" si="21"/>
        <v>0</v>
      </c>
      <c r="BE196" s="108"/>
      <c r="BF196" s="49">
        <f t="array" aca="1" ref="BF196" ca="1">IFERROR(INDEX(INDIRECT($B$3&amp;"."&amp;$B$158&amp;".energy["&amp;This.year&amp;"]"),MATCH($C196&amp;BF$5,INDIRECT($B$3&amp;"."&amp;$B$158&amp;".energy[Tech description]")&amp;INDIRECT($B$3&amp;"."&amp;$B$158&amp;".energy[Energy description]"),0)),0)</f>
        <v>0</v>
      </c>
      <c r="BG196" s="49">
        <f t="array" aca="1" ref="BG196" ca="1">IFERROR(INDEX(INDIRECT($B$3&amp;"."&amp;$B$158&amp;".energy["&amp;This.year&amp;"]"),MATCH($C196&amp;BG$5,INDIRECT($B$3&amp;"."&amp;$B$158&amp;".energy[Tech description]")&amp;INDIRECT($B$3&amp;"."&amp;$B$158&amp;".energy[Energy description]"),0)),0)</f>
        <v>0</v>
      </c>
      <c r="BH196" s="49">
        <f t="shared" ca="1" si="22"/>
        <v>0</v>
      </c>
      <c r="BI196" s="219">
        <f t="shared" ca="1" si="9"/>
        <v>0</v>
      </c>
      <c r="BJ196" s="108"/>
    </row>
    <row r="197" spans="1:62" s="54" customFormat="1">
      <c r="A197" s="133"/>
      <c r="B197" s="176" t="s">
        <v>1820</v>
      </c>
      <c r="C197" s="114" t="str">
        <f>INDEX(Regional.Technologies[Description],MATCH($B$3&amp;"."&amp;B197,Regional.Technologies[Code],0))</f>
        <v>Global Solid Hydrocarbons use in the Secondary Aluminium technology</v>
      </c>
      <c r="E197" s="121">
        <f t="array" aca="1" ref="E197" ca="1">IFERROR(INDEX(INDIRECT($B$3&amp;"."&amp;$B$158&amp;".energy["&amp;This.year&amp;"]"),MATCH($C197&amp;E$5,INDIRECT($B$3&amp;"."&amp;$B$158&amp;".energy[Tech description]")&amp;INDIRECT($B$3&amp;"."&amp;$B$158&amp;".energy[Energy description]"),0)),0)</f>
        <v>0</v>
      </c>
      <c r="F197" s="121">
        <f t="array" aca="1" ref="F197" ca="1">IFERROR(INDEX(INDIRECT($B$3&amp;"."&amp;$B$158&amp;".energy["&amp;This.year&amp;"]"),MATCH($C197&amp;F$5,INDIRECT($B$3&amp;"."&amp;$B$158&amp;".energy[Tech description]")&amp;INDIRECT($B$3&amp;"."&amp;$B$158&amp;".energy[Energy description]"),0)),0)</f>
        <v>0</v>
      </c>
      <c r="G197" s="121">
        <f t="array" aca="1" ref="G197" ca="1">IFERROR(INDEX(INDIRECT($B$3&amp;"."&amp;$B$158&amp;".energy["&amp;This.year&amp;"]"),MATCH($C197&amp;G$5,INDIRECT($B$3&amp;"."&amp;$B$158&amp;".energy[Tech description]")&amp;INDIRECT($B$3&amp;"."&amp;$B$158&amp;".energy[Energy description]"),0)),0)</f>
        <v>0</v>
      </c>
      <c r="H197" s="121">
        <f t="array" aca="1" ref="H197" ca="1">IFERROR(INDEX(INDIRECT($B$3&amp;"."&amp;$B$158&amp;".energy["&amp;This.year&amp;"]"),MATCH($C197&amp;H$5,INDIRECT($B$3&amp;"."&amp;$B$158&amp;".energy[Tech description]")&amp;INDIRECT($B$3&amp;"."&amp;$B$158&amp;".energy[Energy description]"),0)),0)</f>
        <v>0</v>
      </c>
      <c r="I197" s="121">
        <f t="array" aca="1" ref="I197" ca="1">IFERROR(INDEX(INDIRECT($B$3&amp;"."&amp;$B$158&amp;".energy["&amp;This.year&amp;"]"),MATCH($C197&amp;I$5,INDIRECT($B$3&amp;"."&amp;$B$158&amp;".energy[Tech description]")&amp;INDIRECT($B$3&amp;"."&amp;$B$158&amp;".energy[Energy description]"),0)),0)</f>
        <v>0</v>
      </c>
      <c r="J197" s="121">
        <f t="array" aca="1" ref="J197" ca="1">IFERROR(INDEX(INDIRECT($B$3&amp;"."&amp;$B$158&amp;".energy["&amp;This.year&amp;"]"),MATCH($C197&amp;J$5,INDIRECT($B$3&amp;"."&amp;$B$158&amp;".energy[Tech description]")&amp;INDIRECT($B$3&amp;"."&amp;$B$158&amp;".energy[Energy description]"),0)),0)</f>
        <v>0</v>
      </c>
      <c r="K197" s="121">
        <f t="array" aca="1" ref="K197" ca="1">IFERROR(INDEX(INDIRECT($B$3&amp;"."&amp;$B$158&amp;".energy["&amp;This.year&amp;"]"),MATCH($C197&amp;K$5,INDIRECT($B$3&amp;"."&amp;$B$158&amp;".energy[Tech description]")&amp;INDIRECT($B$3&amp;"."&amp;$B$158&amp;".energy[Energy description]"),0)),0)</f>
        <v>0</v>
      </c>
      <c r="L197" s="121">
        <f t="array" aca="1" ref="L197" ca="1">IFERROR(INDEX(INDIRECT($B$3&amp;"."&amp;$B$158&amp;".energy["&amp;This.year&amp;"]"),MATCH($C197&amp;L$5,INDIRECT($B$3&amp;"."&amp;$B$158&amp;".energy[Tech description]")&amp;INDIRECT($B$3&amp;"."&amp;$B$158&amp;".energy[Energy description]"),0)),0)</f>
        <v>0</v>
      </c>
      <c r="M197" s="121">
        <f t="array" aca="1" ref="M197" ca="1">IFERROR(INDEX(INDIRECT($B$3&amp;"."&amp;$B$158&amp;".energy["&amp;This.year&amp;"]"),MATCH($C197&amp;M$5,INDIRECT($B$3&amp;"."&amp;$B$158&amp;".energy[Tech description]")&amp;INDIRECT($B$3&amp;"."&amp;$B$158&amp;".energy[Energy description]"),0)),0)</f>
        <v>0</v>
      </c>
      <c r="N197" s="121">
        <f t="array" aca="1" ref="N197" ca="1">IFERROR(INDEX(INDIRECT($B$3&amp;"."&amp;$B$158&amp;".energy["&amp;This.year&amp;"]"),MATCH($C197&amp;N$5,INDIRECT($B$3&amp;"."&amp;$B$158&amp;".energy[Tech description]")&amp;INDIRECT($B$3&amp;"."&amp;$B$158&amp;".energy[Energy description]"),0)),0)</f>
        <v>0</v>
      </c>
      <c r="O197" s="121">
        <f t="array" aca="1" ref="O197" ca="1">IFERROR(INDEX(INDIRECT($B$3&amp;"."&amp;$B$158&amp;".energy["&amp;This.year&amp;"]"),MATCH($C197&amp;O$5,INDIRECT($B$3&amp;"."&amp;$B$158&amp;".energy[Tech description]")&amp;INDIRECT($B$3&amp;"."&amp;$B$158&amp;".energy[Energy description]"),0)),0)</f>
        <v>0</v>
      </c>
      <c r="P197" s="121">
        <f t="array" aca="1" ref="P197" ca="1">IFERROR(INDEX(INDIRECT($B$3&amp;"."&amp;$B$158&amp;".energy["&amp;This.year&amp;"]"),MATCH($C197&amp;P$5,INDIRECT($B$3&amp;"."&amp;$B$158&amp;".energy[Tech description]")&amp;INDIRECT($B$3&amp;"."&amp;$B$158&amp;".energy[Energy description]"),0)),0)</f>
        <v>0</v>
      </c>
      <c r="Q197" s="121">
        <f t="array" aca="1" ref="Q197" ca="1">IFERROR(INDEX(INDIRECT($B$3&amp;"."&amp;$B$158&amp;".energy["&amp;This.year&amp;"]"),MATCH($C197&amp;Q$5,INDIRECT($B$3&amp;"."&amp;$B$158&amp;".energy[Tech description]")&amp;INDIRECT($B$3&amp;"."&amp;$B$158&amp;".energy[Energy description]"),0)),0)</f>
        <v>0</v>
      </c>
      <c r="R197" s="121">
        <f t="array" aca="1" ref="R197" ca="1">IFERROR(INDEX(INDIRECT($B$3&amp;"."&amp;$B$158&amp;".energy["&amp;This.year&amp;"]"),MATCH($C197&amp;R$5,INDIRECT($B$3&amp;"."&amp;$B$158&amp;".energy[Tech description]")&amp;INDIRECT($B$3&amp;"."&amp;$B$158&amp;".energy[Energy description]"),0)),0)</f>
        <v>0</v>
      </c>
      <c r="S197" s="121">
        <f t="array" aca="1" ref="S197" ca="1">IFERROR(INDEX(INDIRECT($B$3&amp;"."&amp;$B$158&amp;".energy["&amp;This.year&amp;"]"),MATCH($C197&amp;S$5,INDIRECT($B$3&amp;"."&amp;$B$158&amp;".energy[Tech description]")&amp;INDIRECT($B$3&amp;"."&amp;$B$158&amp;".energy[Energy description]"),0)),0)</f>
        <v>0</v>
      </c>
      <c r="T197" s="121">
        <f t="shared" ca="1" si="19"/>
        <v>0</v>
      </c>
      <c r="U197" s="109"/>
      <c r="V197" s="152">
        <f t="array" aca="1" ref="V197" ca="1">IFERROR(INDEX(INDIRECT($B$3&amp;"."&amp;$B$158&amp;".energy["&amp;This.year&amp;"]"),MATCH($C197&amp;V$5,INDIRECT($B$3&amp;"."&amp;$B$158&amp;".energy[Tech description]")&amp;INDIRECT($B$3&amp;"."&amp;$B$158&amp;".energy[Energy description]"),0)),0)</f>
        <v>0</v>
      </c>
      <c r="W197" s="152">
        <f t="array" aca="1" ref="W197" ca="1">IFERROR(INDEX(INDIRECT($B$3&amp;"."&amp;$B$158&amp;".energy["&amp;This.year&amp;"]"),MATCH($C197&amp;W$5,INDIRECT($B$3&amp;"."&amp;$B$158&amp;".energy[Tech description]")&amp;INDIRECT($B$3&amp;"."&amp;$B$158&amp;".energy[Energy description]"),0)),0)</f>
        <v>0</v>
      </c>
      <c r="X197" s="152">
        <f t="array" aca="1" ref="X197" ca="1">IFERROR(INDEX(INDIRECT($B$3&amp;"."&amp;$B$158&amp;".energy["&amp;This.year&amp;"]"),MATCH($C197&amp;X$5,INDIRECT($B$3&amp;"."&amp;$B$158&amp;".energy[Tech description]")&amp;INDIRECT($B$3&amp;"."&amp;$B$158&amp;".energy[Energy description]"),0)),0)</f>
        <v>0</v>
      </c>
      <c r="Y197" s="152">
        <f t="array" aca="1" ref="Y197" ca="1">IFERROR(INDEX(INDIRECT($B$3&amp;"."&amp;$B$158&amp;".energy["&amp;This.year&amp;"]"),MATCH($C197&amp;Y$5,INDIRECT($B$3&amp;"."&amp;$B$158&amp;".energy[Tech description]")&amp;INDIRECT($B$3&amp;"."&amp;$B$158&amp;".energy[Energy description]"),0)),0)</f>
        <v>0</v>
      </c>
      <c r="Z197" s="152">
        <f t="array" aca="1" ref="Z197" ca="1">IFERROR(INDEX(INDIRECT($B$3&amp;"."&amp;$B$158&amp;".energy["&amp;This.year&amp;"]"),MATCH($C197&amp;Z$5,INDIRECT($B$3&amp;"."&amp;$B$158&amp;".energy[Tech description]")&amp;INDIRECT($B$3&amp;"."&amp;$B$158&amp;".energy[Energy description]"),0)),0)</f>
        <v>0</v>
      </c>
      <c r="AA197" s="152">
        <f t="array" aca="1" ref="AA197" ca="1">IFERROR(INDEX(INDIRECT($B$3&amp;"."&amp;$B$158&amp;".energy["&amp;This.year&amp;"]"),MATCH($C197&amp;AA$5,INDIRECT($B$3&amp;"."&amp;$B$158&amp;".energy[Tech description]")&amp;INDIRECT($B$3&amp;"."&amp;$B$158&amp;".energy[Energy description]"),0)),0)</f>
        <v>0</v>
      </c>
      <c r="AB197" s="152">
        <f t="array" aca="1" ref="AB197" ca="1">IFERROR(INDEX(INDIRECT($B$3&amp;"."&amp;$B$158&amp;".energy["&amp;This.year&amp;"]"),MATCH($C197&amp;AB$5,INDIRECT($B$3&amp;"."&amp;$B$158&amp;".energy[Tech description]")&amp;INDIRECT($B$3&amp;"."&amp;$B$158&amp;".energy[Energy description]"),0)),0)</f>
        <v>0</v>
      </c>
      <c r="AC197" s="152">
        <f t="array" aca="1" ref="AC197" ca="1">IFERROR(INDEX(INDIRECT($B$3&amp;"."&amp;$B$158&amp;".energy["&amp;This.year&amp;"]"),MATCH($C197&amp;AC$5,INDIRECT($B$3&amp;"."&amp;$B$158&amp;".energy[Tech description]")&amp;INDIRECT($B$3&amp;"."&amp;$B$158&amp;".energy[Energy description]"),0)),0)</f>
        <v>0</v>
      </c>
      <c r="AD197" s="152">
        <f t="array" aca="1" ref="AD197" ca="1">IFERROR(INDEX(INDIRECT($B$3&amp;"."&amp;$B$158&amp;".energy["&amp;This.year&amp;"]"),MATCH($C197&amp;AD$5,INDIRECT($B$3&amp;"."&amp;$B$158&amp;".energy[Tech description]")&amp;INDIRECT($B$3&amp;"."&amp;$B$158&amp;".energy[Energy description]"),0)),0)</f>
        <v>0</v>
      </c>
      <c r="AE197" s="152">
        <f t="array" aca="1" ref="AE197" ca="1">IFERROR(INDEX(INDIRECT($B$3&amp;"."&amp;$B$158&amp;".energy["&amp;This.year&amp;"]"),MATCH($C197&amp;AE$5,INDIRECT($B$3&amp;"."&amp;$B$158&amp;".energy[Tech description]")&amp;INDIRECT($B$3&amp;"."&amp;$B$158&amp;".energy[Energy description]"),0)),0)</f>
        <v>0</v>
      </c>
      <c r="AF197" s="152">
        <f t="array" aca="1" ref="AF197" ca="1">IFERROR(INDEX(INDIRECT($B$3&amp;"."&amp;$B$158&amp;".energy["&amp;This.year&amp;"]"),MATCH($C197&amp;AF$5,INDIRECT($B$3&amp;"."&amp;$B$158&amp;".energy[Tech description]")&amp;INDIRECT($B$3&amp;"."&amp;$B$158&amp;".energy[Energy description]"),0)),0)</f>
        <v>0</v>
      </c>
      <c r="AG197" s="152">
        <f t="array" aca="1" ref="AG197" ca="1">IFERROR(INDEX(INDIRECT($B$3&amp;"."&amp;$B$158&amp;".energy["&amp;This.year&amp;"]"),MATCH($C197&amp;AG$5,INDIRECT($B$3&amp;"."&amp;$B$158&amp;".energy[Tech description]")&amp;INDIRECT($B$3&amp;"."&amp;$B$158&amp;".energy[Energy description]"),0)),0)</f>
        <v>0</v>
      </c>
      <c r="AH197" s="152">
        <f t="array" aca="1" ref="AH197" ca="1">IFERROR(INDEX(INDIRECT($B$3&amp;"."&amp;$B$158&amp;".energy["&amp;This.year&amp;"]"),MATCH($C197&amp;AH$5,INDIRECT($B$3&amp;"."&amp;$B$158&amp;".energy[Tech description]")&amp;INDIRECT($B$3&amp;"."&amp;$B$158&amp;".energy[Energy description]"),0)),0)</f>
        <v>0</v>
      </c>
      <c r="AI197" s="152">
        <f t="array" aca="1" ref="AI197" ca="1">IFERROR(INDEX(INDIRECT($B$3&amp;"."&amp;$B$158&amp;".energy["&amp;This.year&amp;"]"),MATCH($C197&amp;AI$5,INDIRECT($B$3&amp;"."&amp;$B$158&amp;".energy[Tech description]")&amp;INDIRECT($B$3&amp;"."&amp;$B$158&amp;".energy[Energy description]"),0)),0)</f>
        <v>0</v>
      </c>
      <c r="AJ197" s="152">
        <f t="array" aca="1" ref="AJ197" ca="1">IFERROR(INDEX(INDIRECT($B$3&amp;"."&amp;$B$158&amp;".energy["&amp;This.year&amp;"]"),MATCH($C197&amp;AJ$5,INDIRECT($B$3&amp;"."&amp;$B$158&amp;".energy[Tech description]")&amp;INDIRECT($B$3&amp;"."&amp;$B$158&amp;".energy[Energy description]"),0)),0)</f>
        <v>0</v>
      </c>
      <c r="AK197" s="152">
        <f t="array" aca="1" ref="AK197" ca="1">IFERROR(INDEX(INDIRECT($B$3&amp;"."&amp;$B$158&amp;".energy["&amp;This.year&amp;"]"),MATCH($C197&amp;AK$5,INDIRECT($B$3&amp;"."&amp;$B$158&amp;".energy[Tech description]")&amp;INDIRECT($B$3&amp;"."&amp;$B$158&amp;".energy[Energy description]"),0)),0)</f>
        <v>0</v>
      </c>
      <c r="AL197" s="152">
        <f t="array" aca="1" ref="AL197" ca="1">IFERROR(INDEX(INDIRECT($B$3&amp;"."&amp;$B$158&amp;".energy["&amp;This.year&amp;"]"),MATCH($C197&amp;AL$5,INDIRECT($B$3&amp;"."&amp;$B$158&amp;".energy[Tech description]")&amp;INDIRECT($B$3&amp;"."&amp;$B$158&amp;".energy[Energy description]"),0)),0)</f>
        <v>0</v>
      </c>
      <c r="AM197" s="152">
        <f t="array" aca="1" ref="AM197" ca="1">IFERROR(INDEX(INDIRECT($B$3&amp;"."&amp;$B$158&amp;".energy["&amp;This.year&amp;"]"),MATCH($C197&amp;AM$5,INDIRECT($B$3&amp;"."&amp;$B$158&amp;".energy[Tech description]")&amp;INDIRECT($B$3&amp;"."&amp;$B$158&amp;".energy[Energy description]"),0)),0)</f>
        <v>0</v>
      </c>
      <c r="AN197" s="152">
        <f t="array" aca="1" ref="AN197" ca="1">IFERROR(INDEX(INDIRECT($B$3&amp;"."&amp;$B$158&amp;".energy["&amp;This.year&amp;"]"),MATCH($C197&amp;AN$5,INDIRECT($B$3&amp;"."&amp;$B$158&amp;".energy[Tech description]")&amp;INDIRECT($B$3&amp;"."&amp;$B$158&amp;".energy[Energy description]"),0)),0)</f>
        <v>0</v>
      </c>
      <c r="AO197" s="152">
        <f t="shared" ca="1" si="20"/>
        <v>0</v>
      </c>
      <c r="AP197" s="108"/>
      <c r="AQ197" s="21">
        <f t="array" aca="1" ref="AQ197" ca="1">IFERROR(INDEX(INDIRECT($B$3&amp;"."&amp;$B$158&amp;".energy["&amp;This.year&amp;"]"),MATCH($C197&amp;AQ$5,INDIRECT($B$3&amp;"."&amp;$B$158&amp;".energy[Tech description]")&amp;INDIRECT($B$3&amp;"."&amp;$B$158&amp;".energy[Energy description]"),0)),0)</f>
        <v>0</v>
      </c>
      <c r="AR197" s="21">
        <f t="array" aca="1" ref="AR197" ca="1">IFERROR(INDEX(INDIRECT($B$3&amp;"."&amp;$B$158&amp;".energy["&amp;This.year&amp;"]"),MATCH($C197&amp;AR$5,INDIRECT($B$3&amp;"."&amp;$B$158&amp;".energy[Tech description]")&amp;INDIRECT($B$3&amp;"."&amp;$B$158&amp;".energy[Energy description]"),0)),0)</f>
        <v>0</v>
      </c>
      <c r="AS197" s="21">
        <f t="array" aca="1" ref="AS197" ca="1">IFERROR(INDEX(INDIRECT($B$3&amp;"."&amp;$B$158&amp;".energy["&amp;This.year&amp;"]"),MATCH($C197&amp;AS$5,INDIRECT($B$3&amp;"."&amp;$B$158&amp;".energy[Tech description]")&amp;INDIRECT($B$3&amp;"."&amp;$B$158&amp;".energy[Energy description]"),0)),0)</f>
        <v>0</v>
      </c>
      <c r="AT197" s="21">
        <f t="array" aca="1" ref="AT197" ca="1">IFERROR(INDEX(INDIRECT($B$3&amp;"."&amp;$B$158&amp;".energy["&amp;This.year&amp;"]"),MATCH($C197&amp;AT$5,INDIRECT($B$3&amp;"."&amp;$B$158&amp;".energy[Tech description]")&amp;INDIRECT($B$3&amp;"."&amp;$B$158&amp;".energy[Energy description]"),0)),0)</f>
        <v>0</v>
      </c>
      <c r="AU197" s="21">
        <f t="array" aca="1" ref="AU197" ca="1">IFERROR(INDEX(INDIRECT($B$3&amp;"."&amp;$B$158&amp;".energy["&amp;This.year&amp;"]"),MATCH($C197&amp;AU$5,INDIRECT($B$3&amp;"."&amp;$B$158&amp;".energy[Tech description]")&amp;INDIRECT($B$3&amp;"."&amp;$B$158&amp;".energy[Energy description]"),0)),0)</f>
        <v>0</v>
      </c>
      <c r="AV197" s="21">
        <f t="array" aca="1" ref="AV197" ca="1">IFERROR(INDEX(INDIRECT($B$3&amp;"."&amp;$B$158&amp;".energy["&amp;This.year&amp;"]"),MATCH($C197&amp;AV$5,INDIRECT($B$3&amp;"."&amp;$B$158&amp;".energy[Tech description]")&amp;INDIRECT($B$3&amp;"."&amp;$B$158&amp;".energy[Energy description]"),0)),0)</f>
        <v>0</v>
      </c>
      <c r="AW197" s="21">
        <f t="array" aca="1" ref="AW197" ca="1">IFERROR(INDEX(INDIRECT($B$3&amp;"."&amp;$B$158&amp;".energy["&amp;This.year&amp;"]"),MATCH($C197&amp;AW$5,INDIRECT($B$3&amp;"."&amp;$B$158&amp;".energy[Tech description]")&amp;INDIRECT($B$3&amp;"."&amp;$B$158&amp;".energy[Energy description]"),0)),0)</f>
        <v>0</v>
      </c>
      <c r="AX197" s="21">
        <f t="array" aca="1" ref="AX197" ca="1">IFERROR(INDEX(INDIRECT($B$3&amp;"."&amp;$B$158&amp;".energy["&amp;This.year&amp;"]"),MATCH($C197&amp;AX$5,INDIRECT($B$3&amp;"."&amp;$B$158&amp;".energy[Tech description]")&amp;INDIRECT($B$3&amp;"."&amp;$B$158&amp;".energy[Energy description]"),0)),0)</f>
        <v>0</v>
      </c>
      <c r="AY197" s="21">
        <f t="array" aca="1" ref="AY197" ca="1">IFERROR(INDEX(INDIRECT($B$3&amp;"."&amp;$B$158&amp;".energy["&amp;This.year&amp;"]"),MATCH($C197&amp;AY$5,INDIRECT($B$3&amp;"."&amp;$B$158&amp;".energy[Tech description]")&amp;INDIRECT($B$3&amp;"."&amp;$B$158&amp;".energy[Energy description]"),0)),0)</f>
        <v>0</v>
      </c>
      <c r="AZ197" s="21">
        <f t="array" aca="1" ref="AZ197" ca="1">IFERROR(INDEX(INDIRECT($B$3&amp;"."&amp;$B$158&amp;".energy["&amp;This.year&amp;"]"),MATCH($C197&amp;AZ$5,INDIRECT($B$3&amp;"."&amp;$B$158&amp;".energy[Tech description]")&amp;INDIRECT($B$3&amp;"."&amp;$B$158&amp;".energy[Energy description]"),0)),0)</f>
        <v>0</v>
      </c>
      <c r="BA197" s="21">
        <f t="array" aca="1" ref="BA197" ca="1">IFERROR(INDEX(INDIRECT($B$3&amp;"."&amp;$B$158&amp;".energy["&amp;This.year&amp;"]"),MATCH($C197&amp;BA$5,INDIRECT($B$3&amp;"."&amp;$B$158&amp;".energy[Tech description]")&amp;INDIRECT($B$3&amp;"."&amp;$B$158&amp;".energy[Energy description]"),0)),0)</f>
        <v>0</v>
      </c>
      <c r="BB197" s="21">
        <f t="array" aca="1" ref="BB197" ca="1">IFERROR(INDEX(INDIRECT($B$3&amp;"."&amp;$B$158&amp;".energy["&amp;This.year&amp;"]"),MATCH($C197&amp;BB$5,INDIRECT($B$3&amp;"."&amp;$B$158&amp;".energy[Tech description]")&amp;INDIRECT($B$3&amp;"."&amp;$B$158&amp;".energy[Energy description]"),0)),0)</f>
        <v>0</v>
      </c>
      <c r="BC197" s="21">
        <f t="array" aca="1" ref="BC197" ca="1">IFERROR(INDEX(INDIRECT($B$3&amp;"."&amp;$B$158&amp;".energy["&amp;This.year&amp;"]"),MATCH($C197&amp;BC$5,INDIRECT($B$3&amp;"."&amp;$B$158&amp;".energy[Tech description]")&amp;INDIRECT($B$3&amp;"."&amp;$B$158&amp;".energy[Energy description]"),0)),0)</f>
        <v>0</v>
      </c>
      <c r="BD197" s="21">
        <f t="shared" ca="1" si="21"/>
        <v>0</v>
      </c>
      <c r="BE197" s="108"/>
      <c r="BF197" s="49">
        <f t="array" aca="1" ref="BF197" ca="1">IFERROR(INDEX(INDIRECT($B$3&amp;"."&amp;$B$158&amp;".energy["&amp;This.year&amp;"]"),MATCH($C197&amp;BF$5,INDIRECT($B$3&amp;"."&amp;$B$158&amp;".energy[Tech description]")&amp;INDIRECT($B$3&amp;"."&amp;$B$158&amp;".energy[Energy description]"),0)),0)</f>
        <v>0</v>
      </c>
      <c r="BG197" s="49">
        <f t="array" aca="1" ref="BG197" ca="1">IFERROR(INDEX(INDIRECT($B$3&amp;"."&amp;$B$158&amp;".energy["&amp;This.year&amp;"]"),MATCH($C197&amp;BG$5,INDIRECT($B$3&amp;"."&amp;$B$158&amp;".energy[Tech description]")&amp;INDIRECT($B$3&amp;"."&amp;$B$158&amp;".energy[Energy description]"),0)),0)</f>
        <v>0</v>
      </c>
      <c r="BH197" s="49">
        <f t="shared" ca="1" si="22"/>
        <v>0</v>
      </c>
      <c r="BI197" s="219">
        <f t="shared" ca="1" si="9"/>
        <v>0</v>
      </c>
      <c r="BJ197" s="108"/>
    </row>
    <row r="198" spans="1:62" s="54" customFormat="1">
      <c r="A198" s="133"/>
      <c r="B198" s="176" t="s">
        <v>1642</v>
      </c>
      <c r="C198" s="114" t="str">
        <f>INDEX(Regional.Technologies[Description],MATCH($B$3&amp;"."&amp;B198,Regional.Technologies[Code],0))</f>
        <v>Global Heat use in the Secondary Aluminium technology</v>
      </c>
      <c r="E198" s="121">
        <f t="array" aca="1" ref="E198" ca="1">IFERROR(INDEX(INDIRECT($B$3&amp;"."&amp;$B$158&amp;".energy["&amp;This.year&amp;"]"),MATCH($C198&amp;E$5,INDIRECT($B$3&amp;"."&amp;$B$158&amp;".energy[Tech description]")&amp;INDIRECT($B$3&amp;"."&amp;$B$158&amp;".energy[Energy description]"),0)),0)</f>
        <v>0</v>
      </c>
      <c r="F198" s="121">
        <f t="array" aca="1" ref="F198" ca="1">IFERROR(INDEX(INDIRECT($B$3&amp;"."&amp;$B$158&amp;".energy["&amp;This.year&amp;"]"),MATCH($C198&amp;F$5,INDIRECT($B$3&amp;"."&amp;$B$158&amp;".energy[Tech description]")&amp;INDIRECT($B$3&amp;"."&amp;$B$158&amp;".energy[Energy description]"),0)),0)</f>
        <v>0</v>
      </c>
      <c r="G198" s="121">
        <f t="array" aca="1" ref="G198" ca="1">IFERROR(INDEX(INDIRECT($B$3&amp;"."&amp;$B$158&amp;".energy["&amp;This.year&amp;"]"),MATCH($C198&amp;G$5,INDIRECT($B$3&amp;"."&amp;$B$158&amp;".energy[Tech description]")&amp;INDIRECT($B$3&amp;"."&amp;$B$158&amp;".energy[Energy description]"),0)),0)</f>
        <v>0</v>
      </c>
      <c r="H198" s="121">
        <f t="array" aca="1" ref="H198" ca="1">IFERROR(INDEX(INDIRECT($B$3&amp;"."&amp;$B$158&amp;".energy["&amp;This.year&amp;"]"),MATCH($C198&amp;H$5,INDIRECT($B$3&amp;"."&amp;$B$158&amp;".energy[Tech description]")&amp;INDIRECT($B$3&amp;"."&amp;$B$158&amp;".energy[Energy description]"),0)),0)</f>
        <v>0</v>
      </c>
      <c r="I198" s="121">
        <f t="array" aca="1" ref="I198" ca="1">IFERROR(INDEX(INDIRECT($B$3&amp;"."&amp;$B$158&amp;".energy["&amp;This.year&amp;"]"),MATCH($C198&amp;I$5,INDIRECT($B$3&amp;"."&amp;$B$158&amp;".energy[Tech description]")&amp;INDIRECT($B$3&amp;"."&amp;$B$158&amp;".energy[Energy description]"),0)),0)</f>
        <v>0</v>
      </c>
      <c r="J198" s="121">
        <f t="array" aca="1" ref="J198" ca="1">IFERROR(INDEX(INDIRECT($B$3&amp;"."&amp;$B$158&amp;".energy["&amp;This.year&amp;"]"),MATCH($C198&amp;J$5,INDIRECT($B$3&amp;"."&amp;$B$158&amp;".energy[Tech description]")&amp;INDIRECT($B$3&amp;"."&amp;$B$158&amp;".energy[Energy description]"),0)),0)</f>
        <v>0</v>
      </c>
      <c r="K198" s="121">
        <f t="array" aca="1" ref="K198" ca="1">IFERROR(INDEX(INDIRECT($B$3&amp;"."&amp;$B$158&amp;".energy["&amp;This.year&amp;"]"),MATCH($C198&amp;K$5,INDIRECT($B$3&amp;"."&amp;$B$158&amp;".energy[Tech description]")&amp;INDIRECT($B$3&amp;"."&amp;$B$158&amp;".energy[Energy description]"),0)),0)</f>
        <v>0</v>
      </c>
      <c r="L198" s="121">
        <f t="array" aca="1" ref="L198" ca="1">IFERROR(INDEX(INDIRECT($B$3&amp;"."&amp;$B$158&amp;".energy["&amp;This.year&amp;"]"),MATCH($C198&amp;L$5,INDIRECT($B$3&amp;"."&amp;$B$158&amp;".energy[Tech description]")&amp;INDIRECT($B$3&amp;"."&amp;$B$158&amp;".energy[Energy description]"),0)),0)</f>
        <v>0</v>
      </c>
      <c r="M198" s="121">
        <f t="array" aca="1" ref="M198" ca="1">IFERROR(INDEX(INDIRECT($B$3&amp;"."&amp;$B$158&amp;".energy["&amp;This.year&amp;"]"),MATCH($C198&amp;M$5,INDIRECT($B$3&amp;"."&amp;$B$158&amp;".energy[Tech description]")&amp;INDIRECT($B$3&amp;"."&amp;$B$158&amp;".energy[Energy description]"),0)),0)</f>
        <v>0</v>
      </c>
      <c r="N198" s="121">
        <f t="array" aca="1" ref="N198" ca="1">IFERROR(INDEX(INDIRECT($B$3&amp;"."&amp;$B$158&amp;".energy["&amp;This.year&amp;"]"),MATCH($C198&amp;N$5,INDIRECT($B$3&amp;"."&amp;$B$158&amp;".energy[Tech description]")&amp;INDIRECT($B$3&amp;"."&amp;$B$158&amp;".energy[Energy description]"),0)),0)</f>
        <v>0</v>
      </c>
      <c r="O198" s="121">
        <f t="array" aca="1" ref="O198" ca="1">IFERROR(INDEX(INDIRECT($B$3&amp;"."&amp;$B$158&amp;".energy["&amp;This.year&amp;"]"),MATCH($C198&amp;O$5,INDIRECT($B$3&amp;"."&amp;$B$158&amp;".energy[Tech description]")&amp;INDIRECT($B$3&amp;"."&amp;$B$158&amp;".energy[Energy description]"),0)),0)</f>
        <v>0</v>
      </c>
      <c r="P198" s="121">
        <f t="array" aca="1" ref="P198" ca="1">IFERROR(INDEX(INDIRECT($B$3&amp;"."&amp;$B$158&amp;".energy["&amp;This.year&amp;"]"),MATCH($C198&amp;P$5,INDIRECT($B$3&amp;"."&amp;$B$158&amp;".energy[Tech description]")&amp;INDIRECT($B$3&amp;"."&amp;$B$158&amp;".energy[Energy description]"),0)),0)</f>
        <v>0</v>
      </c>
      <c r="Q198" s="121">
        <f t="array" aca="1" ref="Q198" ca="1">IFERROR(INDEX(INDIRECT($B$3&amp;"."&amp;$B$158&amp;".energy["&amp;This.year&amp;"]"),MATCH($C198&amp;Q$5,INDIRECT($B$3&amp;"."&amp;$B$158&amp;".energy[Tech description]")&amp;INDIRECT($B$3&amp;"."&amp;$B$158&amp;".energy[Energy description]"),0)),0)</f>
        <v>0</v>
      </c>
      <c r="R198" s="121">
        <f t="array" aca="1" ref="R198" ca="1">IFERROR(INDEX(INDIRECT($B$3&amp;"."&amp;$B$158&amp;".energy["&amp;This.year&amp;"]"),MATCH($C198&amp;R$5,INDIRECT($B$3&amp;"."&amp;$B$158&amp;".energy[Tech description]")&amp;INDIRECT($B$3&amp;"."&amp;$B$158&amp;".energy[Energy description]"),0)),0)</f>
        <v>0</v>
      </c>
      <c r="S198" s="121">
        <f t="array" aca="1" ref="S198" ca="1">IFERROR(INDEX(INDIRECT($B$3&amp;"."&amp;$B$158&amp;".energy["&amp;This.year&amp;"]"),MATCH($C198&amp;S$5,INDIRECT($B$3&amp;"."&amp;$B$158&amp;".energy[Tech description]")&amp;INDIRECT($B$3&amp;"."&amp;$B$158&amp;".energy[Energy description]"),0)),0)</f>
        <v>0</v>
      </c>
      <c r="T198" s="121">
        <f t="shared" ca="1" si="19"/>
        <v>0</v>
      </c>
      <c r="U198" s="109"/>
      <c r="V198" s="152">
        <f t="array" aca="1" ref="V198" ca="1">IFERROR(INDEX(INDIRECT($B$3&amp;"."&amp;$B$158&amp;".energy["&amp;This.year&amp;"]"),MATCH($C198&amp;V$5,INDIRECT($B$3&amp;"."&amp;$B$158&amp;".energy[Tech description]")&amp;INDIRECT($B$3&amp;"."&amp;$B$158&amp;".energy[Energy description]"),0)),0)</f>
        <v>0</v>
      </c>
      <c r="W198" s="152">
        <f t="array" aca="1" ref="W198" ca="1">IFERROR(INDEX(INDIRECT($B$3&amp;"."&amp;$B$158&amp;".energy["&amp;This.year&amp;"]"),MATCH($C198&amp;W$5,INDIRECT($B$3&amp;"."&amp;$B$158&amp;".energy[Tech description]")&amp;INDIRECT($B$3&amp;"."&amp;$B$158&amp;".energy[Energy description]"),0)),0)</f>
        <v>0</v>
      </c>
      <c r="X198" s="152">
        <f t="array" aca="1" ref="X198" ca="1">IFERROR(INDEX(INDIRECT($B$3&amp;"."&amp;$B$158&amp;".energy["&amp;This.year&amp;"]"),MATCH($C198&amp;X$5,INDIRECT($B$3&amp;"."&amp;$B$158&amp;".energy[Tech description]")&amp;INDIRECT($B$3&amp;"."&amp;$B$158&amp;".energy[Energy description]"),0)),0)</f>
        <v>0</v>
      </c>
      <c r="Y198" s="152">
        <f t="array" aca="1" ref="Y198" ca="1">IFERROR(INDEX(INDIRECT($B$3&amp;"."&amp;$B$158&amp;".energy["&amp;This.year&amp;"]"),MATCH($C198&amp;Y$5,INDIRECT($B$3&amp;"."&amp;$B$158&amp;".energy[Tech description]")&amp;INDIRECT($B$3&amp;"."&amp;$B$158&amp;".energy[Energy description]"),0)),0)</f>
        <v>0</v>
      </c>
      <c r="Z198" s="152">
        <f t="array" aca="1" ref="Z198" ca="1">IFERROR(INDEX(INDIRECT($B$3&amp;"."&amp;$B$158&amp;".energy["&amp;This.year&amp;"]"),MATCH($C198&amp;Z$5,INDIRECT($B$3&amp;"."&amp;$B$158&amp;".energy[Tech description]")&amp;INDIRECT($B$3&amp;"."&amp;$B$158&amp;".energy[Energy description]"),0)),0)</f>
        <v>0</v>
      </c>
      <c r="AA198" s="152">
        <f t="array" aca="1" ref="AA198" ca="1">IFERROR(INDEX(INDIRECT($B$3&amp;"."&amp;$B$158&amp;".energy["&amp;This.year&amp;"]"),MATCH($C198&amp;AA$5,INDIRECT($B$3&amp;"."&amp;$B$158&amp;".energy[Tech description]")&amp;INDIRECT($B$3&amp;"."&amp;$B$158&amp;".energy[Energy description]"),0)),0)</f>
        <v>0</v>
      </c>
      <c r="AB198" s="152">
        <f t="array" aca="1" ref="AB198" ca="1">IFERROR(INDEX(INDIRECT($B$3&amp;"."&amp;$B$158&amp;".energy["&amp;This.year&amp;"]"),MATCH($C198&amp;AB$5,INDIRECT($B$3&amp;"."&amp;$B$158&amp;".energy[Tech description]")&amp;INDIRECT($B$3&amp;"."&amp;$B$158&amp;".energy[Energy description]"),0)),0)</f>
        <v>0</v>
      </c>
      <c r="AC198" s="152">
        <f t="array" aca="1" ref="AC198" ca="1">IFERROR(INDEX(INDIRECT($B$3&amp;"."&amp;$B$158&amp;".energy["&amp;This.year&amp;"]"),MATCH($C198&amp;AC$5,INDIRECT($B$3&amp;"."&amp;$B$158&amp;".energy[Tech description]")&amp;INDIRECT($B$3&amp;"."&amp;$B$158&amp;".energy[Energy description]"),0)),0)</f>
        <v>0</v>
      </c>
      <c r="AD198" s="152">
        <f t="array" aca="1" ref="AD198" ca="1">IFERROR(INDEX(INDIRECT($B$3&amp;"."&amp;$B$158&amp;".energy["&amp;This.year&amp;"]"),MATCH($C198&amp;AD$5,INDIRECT($B$3&amp;"."&amp;$B$158&amp;".energy[Tech description]")&amp;INDIRECT($B$3&amp;"."&amp;$B$158&amp;".energy[Energy description]"),0)),0)</f>
        <v>0</v>
      </c>
      <c r="AE198" s="152">
        <f t="array" aca="1" ref="AE198" ca="1">IFERROR(INDEX(INDIRECT($B$3&amp;"."&amp;$B$158&amp;".energy["&amp;This.year&amp;"]"),MATCH($C198&amp;AE$5,INDIRECT($B$3&amp;"."&amp;$B$158&amp;".energy[Tech description]")&amp;INDIRECT($B$3&amp;"."&amp;$B$158&amp;".energy[Energy description]"),0)),0)</f>
        <v>0</v>
      </c>
      <c r="AF198" s="152">
        <f t="array" aca="1" ref="AF198" ca="1">IFERROR(INDEX(INDIRECT($B$3&amp;"."&amp;$B$158&amp;".energy["&amp;This.year&amp;"]"),MATCH($C198&amp;AF$5,INDIRECT($B$3&amp;"."&amp;$B$158&amp;".energy[Tech description]")&amp;INDIRECT($B$3&amp;"."&amp;$B$158&amp;".energy[Energy description]"),0)),0)</f>
        <v>0</v>
      </c>
      <c r="AG198" s="152">
        <f t="array" aca="1" ref="AG198" ca="1">IFERROR(INDEX(INDIRECT($B$3&amp;"."&amp;$B$158&amp;".energy["&amp;This.year&amp;"]"),MATCH($C198&amp;AG$5,INDIRECT($B$3&amp;"."&amp;$B$158&amp;".energy[Tech description]")&amp;INDIRECT($B$3&amp;"."&amp;$B$158&amp;".energy[Energy description]"),0)),0)</f>
        <v>0</v>
      </c>
      <c r="AH198" s="152">
        <f t="array" aca="1" ref="AH198" ca="1">IFERROR(INDEX(INDIRECT($B$3&amp;"."&amp;$B$158&amp;".energy["&amp;This.year&amp;"]"),MATCH($C198&amp;AH$5,INDIRECT($B$3&amp;"."&amp;$B$158&amp;".energy[Tech description]")&amp;INDIRECT($B$3&amp;"."&amp;$B$158&amp;".energy[Energy description]"),0)),0)</f>
        <v>0</v>
      </c>
      <c r="AI198" s="152">
        <f t="array" aca="1" ref="AI198" ca="1">IFERROR(INDEX(INDIRECT($B$3&amp;"."&amp;$B$158&amp;".energy["&amp;This.year&amp;"]"),MATCH($C198&amp;AI$5,INDIRECT($B$3&amp;"."&amp;$B$158&amp;".energy[Tech description]")&amp;INDIRECT($B$3&amp;"."&amp;$B$158&amp;".energy[Energy description]"),0)),0)</f>
        <v>0</v>
      </c>
      <c r="AJ198" s="152">
        <f t="array" aca="1" ref="AJ198" ca="1">IFERROR(INDEX(INDIRECT($B$3&amp;"."&amp;$B$158&amp;".energy["&amp;This.year&amp;"]"),MATCH($C198&amp;AJ$5,INDIRECT($B$3&amp;"."&amp;$B$158&amp;".energy[Tech description]")&amp;INDIRECT($B$3&amp;"."&amp;$B$158&amp;".energy[Energy description]"),0)),0)</f>
        <v>0</v>
      </c>
      <c r="AK198" s="152">
        <f t="array" aca="1" ref="AK198" ca="1">IFERROR(INDEX(INDIRECT($B$3&amp;"."&amp;$B$158&amp;".energy["&amp;This.year&amp;"]"),MATCH($C198&amp;AK$5,INDIRECT($B$3&amp;"."&amp;$B$158&amp;".energy[Tech description]")&amp;INDIRECT($B$3&amp;"."&amp;$B$158&amp;".energy[Energy description]"),0)),0)</f>
        <v>0</v>
      </c>
      <c r="AL198" s="152">
        <f t="array" aca="1" ref="AL198" ca="1">IFERROR(INDEX(INDIRECT($B$3&amp;"."&amp;$B$158&amp;".energy["&amp;This.year&amp;"]"),MATCH($C198&amp;AL$5,INDIRECT($B$3&amp;"."&amp;$B$158&amp;".energy[Tech description]")&amp;INDIRECT($B$3&amp;"."&amp;$B$158&amp;".energy[Energy description]"),0)),0)</f>
        <v>0</v>
      </c>
      <c r="AM198" s="152">
        <f t="array" aca="1" ref="AM198" ca="1">IFERROR(INDEX(INDIRECT($B$3&amp;"."&amp;$B$158&amp;".energy["&amp;This.year&amp;"]"),MATCH($C198&amp;AM$5,INDIRECT($B$3&amp;"."&amp;$B$158&amp;".energy[Tech description]")&amp;INDIRECT($B$3&amp;"."&amp;$B$158&amp;".energy[Energy description]"),0)),0)</f>
        <v>0</v>
      </c>
      <c r="AN198" s="152">
        <f t="array" aca="1" ref="AN198" ca="1">IFERROR(INDEX(INDIRECT($B$3&amp;"."&amp;$B$158&amp;".energy["&amp;This.year&amp;"]"),MATCH($C198&amp;AN$5,INDIRECT($B$3&amp;"."&amp;$B$158&amp;".energy[Tech description]")&amp;INDIRECT($B$3&amp;"."&amp;$B$158&amp;".energy[Energy description]"),0)),0)</f>
        <v>0</v>
      </c>
      <c r="AO198" s="152">
        <f t="shared" ca="1" si="20"/>
        <v>0</v>
      </c>
      <c r="AP198" s="108"/>
      <c r="AQ198" s="21">
        <f t="array" aca="1" ref="AQ198" ca="1">IFERROR(INDEX(INDIRECT($B$3&amp;"."&amp;$B$158&amp;".energy["&amp;This.year&amp;"]"),MATCH($C198&amp;AQ$5,INDIRECT($B$3&amp;"."&amp;$B$158&amp;".energy[Tech description]")&amp;INDIRECT($B$3&amp;"."&amp;$B$158&amp;".energy[Energy description]"),0)),0)</f>
        <v>0</v>
      </c>
      <c r="AR198" s="21">
        <f t="array" aca="1" ref="AR198" ca="1">IFERROR(INDEX(INDIRECT($B$3&amp;"."&amp;$B$158&amp;".energy["&amp;This.year&amp;"]"),MATCH($C198&amp;AR$5,INDIRECT($B$3&amp;"."&amp;$B$158&amp;".energy[Tech description]")&amp;INDIRECT($B$3&amp;"."&amp;$B$158&amp;".energy[Energy description]"),0)),0)</f>
        <v>0</v>
      </c>
      <c r="AS198" s="21">
        <f t="array" aca="1" ref="AS198" ca="1">IFERROR(INDEX(INDIRECT($B$3&amp;"."&amp;$B$158&amp;".energy["&amp;This.year&amp;"]"),MATCH($C198&amp;AS$5,INDIRECT($B$3&amp;"."&amp;$B$158&amp;".energy[Tech description]")&amp;INDIRECT($B$3&amp;"."&amp;$B$158&amp;".energy[Energy description]"),0)),0)</f>
        <v>0</v>
      </c>
      <c r="AT198" s="21">
        <f t="array" aca="1" ref="AT198" ca="1">IFERROR(INDEX(INDIRECT($B$3&amp;"."&amp;$B$158&amp;".energy["&amp;This.year&amp;"]"),MATCH($C198&amp;AT$5,INDIRECT($B$3&amp;"."&amp;$B$158&amp;".energy[Tech description]")&amp;INDIRECT($B$3&amp;"."&amp;$B$158&amp;".energy[Energy description]"),0)),0)</f>
        <v>0</v>
      </c>
      <c r="AU198" s="21">
        <f t="array" aca="1" ref="AU198" ca="1">IFERROR(INDEX(INDIRECT($B$3&amp;"."&amp;$B$158&amp;".energy["&amp;This.year&amp;"]"),MATCH($C198&amp;AU$5,INDIRECT($B$3&amp;"."&amp;$B$158&amp;".energy[Tech description]")&amp;INDIRECT($B$3&amp;"."&amp;$B$158&amp;".energy[Energy description]"),0)),0)</f>
        <v>0</v>
      </c>
      <c r="AV198" s="21">
        <f t="array" aca="1" ref="AV198" ca="1">IFERROR(INDEX(INDIRECT($B$3&amp;"."&amp;$B$158&amp;".energy["&amp;This.year&amp;"]"),MATCH($C198&amp;AV$5,INDIRECT($B$3&amp;"."&amp;$B$158&amp;".energy[Tech description]")&amp;INDIRECT($B$3&amp;"."&amp;$B$158&amp;".energy[Energy description]"),0)),0)</f>
        <v>0</v>
      </c>
      <c r="AW198" s="21">
        <f t="array" aca="1" ref="AW198" ca="1">IFERROR(INDEX(INDIRECT($B$3&amp;"."&amp;$B$158&amp;".energy["&amp;This.year&amp;"]"),MATCH($C198&amp;AW$5,INDIRECT($B$3&amp;"."&amp;$B$158&amp;".energy[Tech description]")&amp;INDIRECT($B$3&amp;"."&amp;$B$158&amp;".energy[Energy description]"),0)),0)</f>
        <v>0</v>
      </c>
      <c r="AX198" s="21">
        <f t="array" aca="1" ref="AX198" ca="1">IFERROR(INDEX(INDIRECT($B$3&amp;"."&amp;$B$158&amp;".energy["&amp;This.year&amp;"]"),MATCH($C198&amp;AX$5,INDIRECT($B$3&amp;"."&amp;$B$158&amp;".energy[Tech description]")&amp;INDIRECT($B$3&amp;"."&amp;$B$158&amp;".energy[Energy description]"),0)),0)</f>
        <v>0</v>
      </c>
      <c r="AY198" s="21">
        <f t="array" aca="1" ref="AY198" ca="1">IFERROR(INDEX(INDIRECT($B$3&amp;"."&amp;$B$158&amp;".energy["&amp;This.year&amp;"]"),MATCH($C198&amp;AY$5,INDIRECT($B$3&amp;"."&amp;$B$158&amp;".energy[Tech description]")&amp;INDIRECT($B$3&amp;"."&amp;$B$158&amp;".energy[Energy description]"),0)),0)</f>
        <v>0</v>
      </c>
      <c r="AZ198" s="21">
        <f t="array" aca="1" ref="AZ198" ca="1">IFERROR(INDEX(INDIRECT($B$3&amp;"."&amp;$B$158&amp;".energy["&amp;This.year&amp;"]"),MATCH($C198&amp;AZ$5,INDIRECT($B$3&amp;"."&amp;$B$158&amp;".energy[Tech description]")&amp;INDIRECT($B$3&amp;"."&amp;$B$158&amp;".energy[Energy description]"),0)),0)</f>
        <v>0</v>
      </c>
      <c r="BA198" s="21">
        <f t="array" aca="1" ref="BA198" ca="1">IFERROR(INDEX(INDIRECT($B$3&amp;"."&amp;$B$158&amp;".energy["&amp;This.year&amp;"]"),MATCH($C198&amp;BA$5,INDIRECT($B$3&amp;"."&amp;$B$158&amp;".energy[Tech description]")&amp;INDIRECT($B$3&amp;"."&amp;$B$158&amp;".energy[Energy description]"),0)),0)</f>
        <v>0</v>
      </c>
      <c r="BB198" s="21">
        <f t="array" aca="1" ref="BB198" ca="1">IFERROR(INDEX(INDIRECT($B$3&amp;"."&amp;$B$158&amp;".energy["&amp;This.year&amp;"]"),MATCH($C198&amp;BB$5,INDIRECT($B$3&amp;"."&amp;$B$158&amp;".energy[Tech description]")&amp;INDIRECT($B$3&amp;"."&amp;$B$158&amp;".energy[Energy description]"),0)),0)</f>
        <v>0</v>
      </c>
      <c r="BC198" s="21">
        <f t="array" aca="1" ref="BC198" ca="1">IFERROR(INDEX(INDIRECT($B$3&amp;"."&amp;$B$158&amp;".energy["&amp;This.year&amp;"]"),MATCH($C198&amp;BC$5,INDIRECT($B$3&amp;"."&amp;$B$158&amp;".energy[Tech description]")&amp;INDIRECT($B$3&amp;"."&amp;$B$158&amp;".energy[Energy description]"),0)),0)</f>
        <v>0</v>
      </c>
      <c r="BD198" s="21">
        <f t="shared" ca="1" si="21"/>
        <v>0</v>
      </c>
      <c r="BE198" s="108"/>
      <c r="BF198" s="49">
        <f t="array" aca="1" ref="BF198" ca="1">IFERROR(INDEX(INDIRECT($B$3&amp;"."&amp;$B$158&amp;".energy["&amp;This.year&amp;"]"),MATCH($C198&amp;BF$5,INDIRECT($B$3&amp;"."&amp;$B$158&amp;".energy[Tech description]")&amp;INDIRECT($B$3&amp;"."&amp;$B$158&amp;".energy[Energy description]"),0)),0)</f>
        <v>0</v>
      </c>
      <c r="BG198" s="49">
        <f t="array" aca="1" ref="BG198" ca="1">IFERROR(INDEX(INDIRECT($B$3&amp;"."&amp;$B$158&amp;".energy["&amp;This.year&amp;"]"),MATCH($C198&amp;BG$5,INDIRECT($B$3&amp;"."&amp;$B$158&amp;".energy[Tech description]")&amp;INDIRECT($B$3&amp;"."&amp;$B$158&amp;".energy[Energy description]"),0)),0)</f>
        <v>0</v>
      </c>
      <c r="BH198" s="49">
        <f t="shared" ca="1" si="22"/>
        <v>0</v>
      </c>
      <c r="BI198" s="219">
        <f t="shared" ca="1" si="9"/>
        <v>0</v>
      </c>
      <c r="BJ198" s="108"/>
    </row>
    <row r="199" spans="1:62" s="54" customFormat="1">
      <c r="A199" s="133"/>
      <c r="B199" s="176"/>
      <c r="C199" s="114"/>
      <c r="E199" s="121"/>
      <c r="F199" s="121"/>
      <c r="G199" s="121"/>
      <c r="H199" s="121"/>
      <c r="I199" s="121"/>
      <c r="J199" s="121"/>
      <c r="K199" s="121"/>
      <c r="L199" s="121"/>
      <c r="M199" s="121"/>
      <c r="N199" s="121"/>
      <c r="O199" s="121"/>
      <c r="P199" s="121"/>
      <c r="Q199" s="121"/>
      <c r="R199" s="121"/>
      <c r="S199" s="121"/>
      <c r="T199" s="121"/>
      <c r="U199" s="109"/>
      <c r="V199" s="152"/>
      <c r="W199" s="152"/>
      <c r="X199" s="152"/>
      <c r="Y199" s="152"/>
      <c r="Z199" s="152"/>
      <c r="AA199" s="152"/>
      <c r="AB199" s="152"/>
      <c r="AC199" s="152"/>
      <c r="AD199" s="152"/>
      <c r="AE199" s="152"/>
      <c r="AF199" s="152"/>
      <c r="AG199" s="152"/>
      <c r="AH199" s="152"/>
      <c r="AI199" s="152"/>
      <c r="AJ199" s="152"/>
      <c r="AK199" s="152"/>
      <c r="AL199" s="152"/>
      <c r="AM199" s="152"/>
      <c r="AN199" s="152"/>
      <c r="AO199" s="152"/>
      <c r="AP199" s="108"/>
      <c r="AQ199" s="21"/>
      <c r="AR199" s="21"/>
      <c r="AS199" s="21"/>
      <c r="AT199" s="21"/>
      <c r="AU199" s="21"/>
      <c r="AV199" s="21"/>
      <c r="AW199" s="21"/>
      <c r="AX199" s="21"/>
      <c r="AY199" s="21"/>
      <c r="AZ199" s="21"/>
      <c r="BA199" s="21"/>
      <c r="BB199" s="21"/>
      <c r="BC199" s="21"/>
      <c r="BD199" s="21"/>
      <c r="BE199" s="108"/>
      <c r="BF199" s="49"/>
      <c r="BG199" s="49"/>
      <c r="BH199" s="49"/>
      <c r="BI199" s="219"/>
      <c r="BJ199" s="108"/>
    </row>
    <row r="200" spans="1:62" s="54" customFormat="1">
      <c r="A200" s="133"/>
      <c r="B200" s="176"/>
      <c r="C200" s="187" t="s">
        <v>1601</v>
      </c>
      <c r="E200" s="121">
        <f ca="1">SUM(E201:E224)</f>
        <v>0</v>
      </c>
      <c r="F200" s="121">
        <f t="shared" ref="F200:BH200" ca="1" si="23">SUM(F201:F224)</f>
        <v>0</v>
      </c>
      <c r="G200" s="121">
        <f t="shared" ca="1" si="23"/>
        <v>0</v>
      </c>
      <c r="H200" s="121">
        <f t="shared" ca="1" si="23"/>
        <v>0</v>
      </c>
      <c r="I200" s="121">
        <f t="shared" ca="1" si="23"/>
        <v>0</v>
      </c>
      <c r="J200" s="121">
        <f t="shared" ca="1" si="23"/>
        <v>39.808905846555035</v>
      </c>
      <c r="K200" s="121">
        <f t="shared" ca="1" si="23"/>
        <v>0</v>
      </c>
      <c r="L200" s="121">
        <f t="shared" ca="1" si="23"/>
        <v>0</v>
      </c>
      <c r="M200" s="121">
        <f t="shared" ca="1" si="23"/>
        <v>0</v>
      </c>
      <c r="N200" s="121">
        <f t="shared" ca="1" si="23"/>
        <v>0</v>
      </c>
      <c r="O200" s="121">
        <f t="shared" ref="O200" ca="1" si="24">SUM(O201:O224)</f>
        <v>0</v>
      </c>
      <c r="P200" s="121">
        <f t="shared" ca="1" si="23"/>
        <v>0</v>
      </c>
      <c r="Q200" s="121">
        <f t="shared" ca="1" si="23"/>
        <v>0</v>
      </c>
      <c r="R200" s="121">
        <f t="shared" ca="1" si="23"/>
        <v>0</v>
      </c>
      <c r="S200" s="121">
        <f t="shared" ca="1" si="23"/>
        <v>0</v>
      </c>
      <c r="T200" s="121">
        <f t="shared" ca="1" si="23"/>
        <v>39.808905846555035</v>
      </c>
      <c r="U200" s="109"/>
      <c r="V200" s="152">
        <f t="shared" ca="1" si="23"/>
        <v>-4.1752925085634338</v>
      </c>
      <c r="W200" s="152">
        <f t="shared" ca="1" si="23"/>
        <v>0</v>
      </c>
      <c r="X200" s="152">
        <f t="shared" ca="1" si="23"/>
        <v>-0.16313870478909601</v>
      </c>
      <c r="Y200" s="152">
        <f t="shared" ca="1" si="23"/>
        <v>0</v>
      </c>
      <c r="Z200" s="152">
        <f t="shared" ca="1" si="23"/>
        <v>0</v>
      </c>
      <c r="AA200" s="152">
        <f t="shared" ca="1" si="23"/>
        <v>-2.7901474530640189</v>
      </c>
      <c r="AB200" s="152">
        <f t="shared" ca="1" si="23"/>
        <v>-19.210879294175733</v>
      </c>
      <c r="AC200" s="152">
        <f t="shared" ca="1" si="23"/>
        <v>-11.499309454177652</v>
      </c>
      <c r="AD200" s="152">
        <f t="shared" ca="1" si="23"/>
        <v>0</v>
      </c>
      <c r="AE200" s="152">
        <f t="shared" ca="1" si="23"/>
        <v>0</v>
      </c>
      <c r="AF200" s="152">
        <f t="shared" ca="1" si="23"/>
        <v>0</v>
      </c>
      <c r="AG200" s="152">
        <f t="shared" ca="1" si="23"/>
        <v>0</v>
      </c>
      <c r="AH200" s="152">
        <f t="shared" ca="1" si="23"/>
        <v>0</v>
      </c>
      <c r="AI200" s="152">
        <f t="shared" ca="1" si="23"/>
        <v>0</v>
      </c>
      <c r="AJ200" s="152">
        <f t="shared" ca="1" si="23"/>
        <v>0</v>
      </c>
      <c r="AK200" s="152">
        <f t="shared" ca="1" si="23"/>
        <v>0</v>
      </c>
      <c r="AL200" s="152">
        <f t="shared" ca="1" si="23"/>
        <v>-1.9701384317850921</v>
      </c>
      <c r="AM200" s="152">
        <f t="shared" ca="1" si="23"/>
        <v>0</v>
      </c>
      <c r="AN200" s="152">
        <f t="shared" ca="1" si="23"/>
        <v>0</v>
      </c>
      <c r="AO200" s="152">
        <f t="shared" ca="1" si="23"/>
        <v>-39.808905846555035</v>
      </c>
      <c r="AP200" s="108"/>
      <c r="AQ200" s="21">
        <f t="shared" ca="1" si="23"/>
        <v>0</v>
      </c>
      <c r="AR200" s="21">
        <f t="shared" ca="1" si="23"/>
        <v>0</v>
      </c>
      <c r="AS200" s="21">
        <f t="shared" ca="1" si="23"/>
        <v>0</v>
      </c>
      <c r="AT200" s="21">
        <f t="shared" ca="1" si="23"/>
        <v>0</v>
      </c>
      <c r="AU200" s="21">
        <f t="shared" ca="1" si="23"/>
        <v>0</v>
      </c>
      <c r="AV200" s="21">
        <f t="shared" ca="1" si="23"/>
        <v>0</v>
      </c>
      <c r="AW200" s="21">
        <f t="shared" ca="1" si="23"/>
        <v>0</v>
      </c>
      <c r="AX200" s="21">
        <f t="shared" ca="1" si="23"/>
        <v>0</v>
      </c>
      <c r="AY200" s="21">
        <f t="shared" ca="1" si="23"/>
        <v>0</v>
      </c>
      <c r="AZ200" s="21">
        <f t="shared" ca="1" si="23"/>
        <v>0</v>
      </c>
      <c r="BA200" s="21">
        <f t="shared" ca="1" si="23"/>
        <v>0</v>
      </c>
      <c r="BB200" s="21">
        <f t="shared" ca="1" si="23"/>
        <v>0</v>
      </c>
      <c r="BC200" s="21">
        <f t="shared" ca="1" si="23"/>
        <v>0</v>
      </c>
      <c r="BD200" s="21">
        <f t="shared" ca="1" si="23"/>
        <v>0</v>
      </c>
      <c r="BE200" s="108"/>
      <c r="BF200" s="49">
        <f t="shared" ca="1" si="23"/>
        <v>0</v>
      </c>
      <c r="BG200" s="49">
        <f t="shared" ca="1" si="23"/>
        <v>0</v>
      </c>
      <c r="BH200" s="49">
        <f t="shared" ca="1" si="23"/>
        <v>0</v>
      </c>
      <c r="BI200" s="219">
        <f t="shared" ca="1" si="9"/>
        <v>0</v>
      </c>
      <c r="BJ200" s="108"/>
    </row>
    <row r="201" spans="1:62" s="54" customFormat="1">
      <c r="A201" s="133"/>
      <c r="B201" s="176" t="s">
        <v>1821</v>
      </c>
      <c r="C201" s="114" t="str">
        <f>INDEX(Regional.Technologies[Description],MATCH($B$3&amp;"."&amp;B201,Regional.Technologies[Code],0))</f>
        <v>Global Electricity use in the Chemicals: High Value Chemicals  technology</v>
      </c>
      <c r="E201" s="121">
        <f t="array" aca="1" ref="E201" ca="1">IFERROR(INDEX(INDIRECT($B$3&amp;"."&amp;$B$158&amp;".energy["&amp;This.year&amp;"]"),MATCH($C201&amp;E$5,INDIRECT($B$3&amp;"."&amp;$B$158&amp;".energy[Tech description]")&amp;INDIRECT($B$3&amp;"."&amp;$B$158&amp;".energy[Energy description]"),0)),0)</f>
        <v>0</v>
      </c>
      <c r="F201" s="121">
        <f t="array" aca="1" ref="F201" ca="1">IFERROR(INDEX(INDIRECT($B$3&amp;"."&amp;$B$158&amp;".energy["&amp;This.year&amp;"]"),MATCH($C201&amp;F$5,INDIRECT($B$3&amp;"."&amp;$B$158&amp;".energy[Tech description]")&amp;INDIRECT($B$3&amp;"."&amp;$B$158&amp;".energy[Energy description]"),0)),0)</f>
        <v>0</v>
      </c>
      <c r="G201" s="121">
        <f t="array" aca="1" ref="G201" ca="1">IFERROR(INDEX(INDIRECT($B$3&amp;"."&amp;$B$158&amp;".energy["&amp;This.year&amp;"]"),MATCH($C201&amp;G$5,INDIRECT($B$3&amp;"."&amp;$B$158&amp;".energy[Tech description]")&amp;INDIRECT($B$3&amp;"."&amp;$B$158&amp;".energy[Energy description]"),0)),0)</f>
        <v>0</v>
      </c>
      <c r="H201" s="121">
        <f t="array" aca="1" ref="H201" ca="1">IFERROR(INDEX(INDIRECT($B$3&amp;"."&amp;$B$158&amp;".energy["&amp;This.year&amp;"]"),MATCH($C201&amp;H$5,INDIRECT($B$3&amp;"."&amp;$B$158&amp;".energy[Tech description]")&amp;INDIRECT($B$3&amp;"."&amp;$B$158&amp;".energy[Energy description]"),0)),0)</f>
        <v>0</v>
      </c>
      <c r="I201" s="121">
        <f t="array" aca="1" ref="I201" ca="1">IFERROR(INDEX(INDIRECT($B$3&amp;"."&amp;$B$158&amp;".energy["&amp;This.year&amp;"]"),MATCH($C201&amp;I$5,INDIRECT($B$3&amp;"."&amp;$B$158&amp;".energy[Tech description]")&amp;INDIRECT($B$3&amp;"."&amp;$B$158&amp;".energy[Energy description]"),0)),0)</f>
        <v>0</v>
      </c>
      <c r="J201" s="121">
        <f t="array" aca="1" ref="J201" ca="1">IFERROR(INDEX(INDIRECT($B$3&amp;"."&amp;$B$158&amp;".energy["&amp;This.year&amp;"]"),MATCH($C201&amp;J$5,INDIRECT($B$3&amp;"."&amp;$B$158&amp;".energy[Tech description]")&amp;INDIRECT($B$3&amp;"."&amp;$B$158&amp;".energy[Energy description]"),0)),0)</f>
        <v>-9.2491949499908004E-20</v>
      </c>
      <c r="K201" s="121">
        <f t="array" aca="1" ref="K201" ca="1">IFERROR(INDEX(INDIRECT($B$3&amp;"."&amp;$B$158&amp;".energy["&amp;This.year&amp;"]"),MATCH($C201&amp;K$5,INDIRECT($B$3&amp;"."&amp;$B$158&amp;".energy[Tech description]")&amp;INDIRECT($B$3&amp;"."&amp;$B$158&amp;".energy[Energy description]"),0)),0)</f>
        <v>0</v>
      </c>
      <c r="L201" s="121">
        <f t="array" aca="1" ref="L201" ca="1">IFERROR(INDEX(INDIRECT($B$3&amp;"."&amp;$B$158&amp;".energy["&amp;This.year&amp;"]"),MATCH($C201&amp;L$5,INDIRECT($B$3&amp;"."&amp;$B$158&amp;".energy[Tech description]")&amp;INDIRECT($B$3&amp;"."&amp;$B$158&amp;".energy[Energy description]"),0)),0)</f>
        <v>0</v>
      </c>
      <c r="M201" s="121">
        <f t="array" aca="1" ref="M201" ca="1">IFERROR(INDEX(INDIRECT($B$3&amp;"."&amp;$B$158&amp;".energy["&amp;This.year&amp;"]"),MATCH($C201&amp;M$5,INDIRECT($B$3&amp;"."&amp;$B$158&amp;".energy[Tech description]")&amp;INDIRECT($B$3&amp;"."&amp;$B$158&amp;".energy[Energy description]"),0)),0)</f>
        <v>0</v>
      </c>
      <c r="N201" s="121">
        <f t="array" aca="1" ref="N201" ca="1">IFERROR(INDEX(INDIRECT($B$3&amp;"."&amp;$B$158&amp;".energy["&amp;This.year&amp;"]"),MATCH($C201&amp;N$5,INDIRECT($B$3&amp;"."&amp;$B$158&amp;".energy[Tech description]")&amp;INDIRECT($B$3&amp;"."&amp;$B$158&amp;".energy[Energy description]"),0)),0)</f>
        <v>0</v>
      </c>
      <c r="O201" s="121">
        <f t="array" aca="1" ref="O201" ca="1">IFERROR(INDEX(INDIRECT($B$3&amp;"."&amp;$B$158&amp;".energy["&amp;This.year&amp;"]"),MATCH($C201&amp;O$5,INDIRECT($B$3&amp;"."&amp;$B$158&amp;".energy[Tech description]")&amp;INDIRECT($B$3&amp;"."&amp;$B$158&amp;".energy[Energy description]"),0)),0)</f>
        <v>0</v>
      </c>
      <c r="P201" s="121">
        <f t="array" aca="1" ref="P201" ca="1">IFERROR(INDEX(INDIRECT($B$3&amp;"."&amp;$B$158&amp;".energy["&amp;This.year&amp;"]"),MATCH($C201&amp;P$5,INDIRECT($B$3&amp;"."&amp;$B$158&amp;".energy[Tech description]")&amp;INDIRECT($B$3&amp;"."&amp;$B$158&amp;".energy[Energy description]"),0)),0)</f>
        <v>0</v>
      </c>
      <c r="Q201" s="121">
        <f t="array" aca="1" ref="Q201" ca="1">IFERROR(INDEX(INDIRECT($B$3&amp;"."&amp;$B$158&amp;".energy["&amp;This.year&amp;"]"),MATCH($C201&amp;Q$5,INDIRECT($B$3&amp;"."&amp;$B$158&amp;".energy[Tech description]")&amp;INDIRECT($B$3&amp;"."&amp;$B$158&amp;".energy[Energy description]"),0)),0)</f>
        <v>0</v>
      </c>
      <c r="R201" s="121">
        <f t="array" aca="1" ref="R201" ca="1">IFERROR(INDEX(INDIRECT($B$3&amp;"."&amp;$B$158&amp;".energy["&amp;This.year&amp;"]"),MATCH($C201&amp;R$5,INDIRECT($B$3&amp;"."&amp;$B$158&amp;".energy[Tech description]")&amp;INDIRECT($B$3&amp;"."&amp;$B$158&amp;".energy[Energy description]"),0)),0)</f>
        <v>0</v>
      </c>
      <c r="S201" s="121">
        <f t="array" aca="1" ref="S201" ca="1">IFERROR(INDEX(INDIRECT($B$3&amp;"."&amp;$B$158&amp;".energy["&amp;This.year&amp;"]"),MATCH($C201&amp;S$5,INDIRECT($B$3&amp;"."&amp;$B$158&amp;".energy[Tech description]")&amp;INDIRECT($B$3&amp;"."&amp;$B$158&amp;".energy[Energy description]"),0)),0)</f>
        <v>0</v>
      </c>
      <c r="T201" s="121">
        <f t="shared" ref="T201:T224" ca="1" si="25">SUM(E201:S201)</f>
        <v>-9.2491949499908004E-20</v>
      </c>
      <c r="U201" s="109"/>
      <c r="V201" s="152">
        <f t="array" aca="1" ref="V201" ca="1">IFERROR(INDEX(INDIRECT($B$3&amp;"."&amp;$B$158&amp;".energy["&amp;This.year&amp;"]"),MATCH($C201&amp;V$5,INDIRECT($B$3&amp;"."&amp;$B$158&amp;".energy[Tech description]")&amp;INDIRECT($B$3&amp;"."&amp;$B$158&amp;".energy[Energy description]"),0)),0)</f>
        <v>9.2491949499908004E-20</v>
      </c>
      <c r="W201" s="152">
        <f t="array" aca="1" ref="W201" ca="1">IFERROR(INDEX(INDIRECT($B$3&amp;"."&amp;$B$158&amp;".energy["&amp;This.year&amp;"]"),MATCH($C201&amp;W$5,INDIRECT($B$3&amp;"."&amp;$B$158&amp;".energy[Tech description]")&amp;INDIRECT($B$3&amp;"."&amp;$B$158&amp;".energy[Energy description]"),0)),0)</f>
        <v>0</v>
      </c>
      <c r="X201" s="152">
        <f t="array" aca="1" ref="X201" ca="1">IFERROR(INDEX(INDIRECT($B$3&amp;"."&amp;$B$158&amp;".energy["&amp;This.year&amp;"]"),MATCH($C201&amp;X$5,INDIRECT($B$3&amp;"."&amp;$B$158&amp;".energy[Tech description]")&amp;INDIRECT($B$3&amp;"."&amp;$B$158&amp;".energy[Energy description]"),0)),0)</f>
        <v>0</v>
      </c>
      <c r="Y201" s="152">
        <f t="array" aca="1" ref="Y201" ca="1">IFERROR(INDEX(INDIRECT($B$3&amp;"."&amp;$B$158&amp;".energy["&amp;This.year&amp;"]"),MATCH($C201&amp;Y$5,INDIRECT($B$3&amp;"."&amp;$B$158&amp;".energy[Tech description]")&amp;INDIRECT($B$3&amp;"."&amp;$B$158&amp;".energy[Energy description]"),0)),0)</f>
        <v>0</v>
      </c>
      <c r="Z201" s="152">
        <f t="array" aca="1" ref="Z201" ca="1">IFERROR(INDEX(INDIRECT($B$3&amp;"."&amp;$B$158&amp;".energy["&amp;This.year&amp;"]"),MATCH($C201&amp;Z$5,INDIRECT($B$3&amp;"."&amp;$B$158&amp;".energy[Tech description]")&amp;INDIRECT($B$3&amp;"."&amp;$B$158&amp;".energy[Energy description]"),0)),0)</f>
        <v>0</v>
      </c>
      <c r="AA201" s="152">
        <f t="array" aca="1" ref="AA201" ca="1">IFERROR(INDEX(INDIRECT($B$3&amp;"."&amp;$B$158&amp;".energy["&amp;This.year&amp;"]"),MATCH($C201&amp;AA$5,INDIRECT($B$3&amp;"."&amp;$B$158&amp;".energy[Tech description]")&amp;INDIRECT($B$3&amp;"."&amp;$B$158&amp;".energy[Energy description]"),0)),0)</f>
        <v>0</v>
      </c>
      <c r="AB201" s="152">
        <f t="array" aca="1" ref="AB201" ca="1">IFERROR(INDEX(INDIRECT($B$3&amp;"."&amp;$B$158&amp;".energy["&amp;This.year&amp;"]"),MATCH($C201&amp;AB$5,INDIRECT($B$3&amp;"."&amp;$B$158&amp;".energy[Tech description]")&amp;INDIRECT($B$3&amp;"."&amp;$B$158&amp;".energy[Energy description]"),0)),0)</f>
        <v>0</v>
      </c>
      <c r="AC201" s="152">
        <f t="array" aca="1" ref="AC201" ca="1">IFERROR(INDEX(INDIRECT($B$3&amp;"."&amp;$B$158&amp;".energy["&amp;This.year&amp;"]"),MATCH($C201&amp;AC$5,INDIRECT($B$3&amp;"."&amp;$B$158&amp;".energy[Tech description]")&amp;INDIRECT($B$3&amp;"."&amp;$B$158&amp;".energy[Energy description]"),0)),0)</f>
        <v>0</v>
      </c>
      <c r="AD201" s="152">
        <f t="array" aca="1" ref="AD201" ca="1">IFERROR(INDEX(INDIRECT($B$3&amp;"."&amp;$B$158&amp;".energy["&amp;This.year&amp;"]"),MATCH($C201&amp;AD$5,INDIRECT($B$3&amp;"."&amp;$B$158&amp;".energy[Tech description]")&amp;INDIRECT($B$3&amp;"."&amp;$B$158&amp;".energy[Energy description]"),0)),0)</f>
        <v>0</v>
      </c>
      <c r="AE201" s="152">
        <f t="array" aca="1" ref="AE201" ca="1">IFERROR(INDEX(INDIRECT($B$3&amp;"."&amp;$B$158&amp;".energy["&amp;This.year&amp;"]"),MATCH($C201&amp;AE$5,INDIRECT($B$3&amp;"."&amp;$B$158&amp;".energy[Tech description]")&amp;INDIRECT($B$3&amp;"."&amp;$B$158&amp;".energy[Energy description]"),0)),0)</f>
        <v>0</v>
      </c>
      <c r="AF201" s="152">
        <f t="array" aca="1" ref="AF201" ca="1">IFERROR(INDEX(INDIRECT($B$3&amp;"."&amp;$B$158&amp;".energy["&amp;This.year&amp;"]"),MATCH($C201&amp;AF$5,INDIRECT($B$3&amp;"."&amp;$B$158&amp;".energy[Tech description]")&amp;INDIRECT($B$3&amp;"."&amp;$B$158&amp;".energy[Energy description]"),0)),0)</f>
        <v>0</v>
      </c>
      <c r="AG201" s="152">
        <f t="array" aca="1" ref="AG201" ca="1">IFERROR(INDEX(INDIRECT($B$3&amp;"."&amp;$B$158&amp;".energy["&amp;This.year&amp;"]"),MATCH($C201&amp;AG$5,INDIRECT($B$3&amp;"."&amp;$B$158&amp;".energy[Tech description]")&amp;INDIRECT($B$3&amp;"."&amp;$B$158&amp;".energy[Energy description]"),0)),0)</f>
        <v>0</v>
      </c>
      <c r="AH201" s="152">
        <f t="array" aca="1" ref="AH201" ca="1">IFERROR(INDEX(INDIRECT($B$3&amp;"."&amp;$B$158&amp;".energy["&amp;This.year&amp;"]"),MATCH($C201&amp;AH$5,INDIRECT($B$3&amp;"."&amp;$B$158&amp;".energy[Tech description]")&amp;INDIRECT($B$3&amp;"."&amp;$B$158&amp;".energy[Energy description]"),0)),0)</f>
        <v>0</v>
      </c>
      <c r="AI201" s="152">
        <f t="array" aca="1" ref="AI201" ca="1">IFERROR(INDEX(INDIRECT($B$3&amp;"."&amp;$B$158&amp;".energy["&amp;This.year&amp;"]"),MATCH($C201&amp;AI$5,INDIRECT($B$3&amp;"."&amp;$B$158&amp;".energy[Tech description]")&amp;INDIRECT($B$3&amp;"."&amp;$B$158&amp;".energy[Energy description]"),0)),0)</f>
        <v>0</v>
      </c>
      <c r="AJ201" s="152">
        <f t="array" aca="1" ref="AJ201" ca="1">IFERROR(INDEX(INDIRECT($B$3&amp;"."&amp;$B$158&amp;".energy["&amp;This.year&amp;"]"),MATCH($C201&amp;AJ$5,INDIRECT($B$3&amp;"."&amp;$B$158&amp;".energy[Tech description]")&amp;INDIRECT($B$3&amp;"."&amp;$B$158&amp;".energy[Energy description]"),0)),0)</f>
        <v>0</v>
      </c>
      <c r="AK201" s="152">
        <f t="array" aca="1" ref="AK201" ca="1">IFERROR(INDEX(INDIRECT($B$3&amp;"."&amp;$B$158&amp;".energy["&amp;This.year&amp;"]"),MATCH($C201&amp;AK$5,INDIRECT($B$3&amp;"."&amp;$B$158&amp;".energy[Tech description]")&amp;INDIRECT($B$3&amp;"."&amp;$B$158&amp;".energy[Energy description]"),0)),0)</f>
        <v>0</v>
      </c>
      <c r="AL201" s="152">
        <f t="array" aca="1" ref="AL201" ca="1">IFERROR(INDEX(INDIRECT($B$3&amp;"."&amp;$B$158&amp;".energy["&amp;This.year&amp;"]"),MATCH($C201&amp;AL$5,INDIRECT($B$3&amp;"."&amp;$B$158&amp;".energy[Tech description]")&amp;INDIRECT($B$3&amp;"."&amp;$B$158&amp;".energy[Energy description]"),0)),0)</f>
        <v>0</v>
      </c>
      <c r="AM201" s="152">
        <f t="array" aca="1" ref="AM201" ca="1">IFERROR(INDEX(INDIRECT($B$3&amp;"."&amp;$B$158&amp;".energy["&amp;This.year&amp;"]"),MATCH($C201&amp;AM$5,INDIRECT($B$3&amp;"."&amp;$B$158&amp;".energy[Tech description]")&amp;INDIRECT($B$3&amp;"."&amp;$B$158&amp;".energy[Energy description]"),0)),0)</f>
        <v>0</v>
      </c>
      <c r="AN201" s="152">
        <f t="array" aca="1" ref="AN201" ca="1">IFERROR(INDEX(INDIRECT($B$3&amp;"."&amp;$B$158&amp;".energy["&amp;This.year&amp;"]"),MATCH($C201&amp;AN$5,INDIRECT($B$3&amp;"."&amp;$B$158&amp;".energy[Tech description]")&amp;INDIRECT($B$3&amp;"."&amp;$B$158&amp;".energy[Energy description]"),0)),0)</f>
        <v>0</v>
      </c>
      <c r="AO201" s="152">
        <f t="shared" ref="AO201:AO224" ca="1" si="26">SUM(V201:AN201)</f>
        <v>9.2491949499908004E-20</v>
      </c>
      <c r="AP201" s="108"/>
      <c r="AQ201" s="21">
        <f t="array" aca="1" ref="AQ201" ca="1">IFERROR(INDEX(INDIRECT($B$3&amp;"."&amp;$B$158&amp;".energy["&amp;This.year&amp;"]"),MATCH($C201&amp;AQ$5,INDIRECT($B$3&amp;"."&amp;$B$158&amp;".energy[Tech description]")&amp;INDIRECT($B$3&amp;"."&amp;$B$158&amp;".energy[Energy description]"),0)),0)</f>
        <v>0</v>
      </c>
      <c r="AR201" s="21">
        <f t="array" aca="1" ref="AR201" ca="1">IFERROR(INDEX(INDIRECT($B$3&amp;"."&amp;$B$158&amp;".energy["&amp;This.year&amp;"]"),MATCH($C201&amp;AR$5,INDIRECT($B$3&amp;"."&amp;$B$158&amp;".energy[Tech description]")&amp;INDIRECT($B$3&amp;"."&amp;$B$158&amp;".energy[Energy description]"),0)),0)</f>
        <v>0</v>
      </c>
      <c r="AS201" s="21">
        <f t="array" aca="1" ref="AS201" ca="1">IFERROR(INDEX(INDIRECT($B$3&amp;"."&amp;$B$158&amp;".energy["&amp;This.year&amp;"]"),MATCH($C201&amp;AS$5,INDIRECT($B$3&amp;"."&amp;$B$158&amp;".energy[Tech description]")&amp;INDIRECT($B$3&amp;"."&amp;$B$158&amp;".energy[Energy description]"),0)),0)</f>
        <v>0</v>
      </c>
      <c r="AT201" s="21">
        <f t="array" aca="1" ref="AT201" ca="1">IFERROR(INDEX(INDIRECT($B$3&amp;"."&amp;$B$158&amp;".energy["&amp;This.year&amp;"]"),MATCH($C201&amp;AT$5,INDIRECT($B$3&amp;"."&amp;$B$158&amp;".energy[Tech description]")&amp;INDIRECT($B$3&amp;"."&amp;$B$158&amp;".energy[Energy description]"),0)),0)</f>
        <v>0</v>
      </c>
      <c r="AU201" s="21">
        <f t="array" aca="1" ref="AU201" ca="1">IFERROR(INDEX(INDIRECT($B$3&amp;"."&amp;$B$158&amp;".energy["&amp;This.year&amp;"]"),MATCH($C201&amp;AU$5,INDIRECT($B$3&amp;"."&amp;$B$158&amp;".energy[Tech description]")&amp;INDIRECT($B$3&amp;"."&amp;$B$158&amp;".energy[Energy description]"),0)),0)</f>
        <v>0</v>
      </c>
      <c r="AV201" s="21">
        <f t="array" aca="1" ref="AV201" ca="1">IFERROR(INDEX(INDIRECT($B$3&amp;"."&amp;$B$158&amp;".energy["&amp;This.year&amp;"]"),MATCH($C201&amp;AV$5,INDIRECT($B$3&amp;"."&amp;$B$158&amp;".energy[Tech description]")&amp;INDIRECT($B$3&amp;"."&amp;$B$158&amp;".energy[Energy description]"),0)),0)</f>
        <v>0</v>
      </c>
      <c r="AW201" s="21">
        <f t="array" aca="1" ref="AW201" ca="1">IFERROR(INDEX(INDIRECT($B$3&amp;"."&amp;$B$158&amp;".energy["&amp;This.year&amp;"]"),MATCH($C201&amp;AW$5,INDIRECT($B$3&amp;"."&amp;$B$158&amp;".energy[Tech description]")&amp;INDIRECT($B$3&amp;"."&amp;$B$158&amp;".energy[Energy description]"),0)),0)</f>
        <v>0</v>
      </c>
      <c r="AX201" s="21">
        <f t="array" aca="1" ref="AX201" ca="1">IFERROR(INDEX(INDIRECT($B$3&amp;"."&amp;$B$158&amp;".energy["&amp;This.year&amp;"]"),MATCH($C201&amp;AX$5,INDIRECT($B$3&amp;"."&amp;$B$158&amp;".energy[Tech description]")&amp;INDIRECT($B$3&amp;"."&amp;$B$158&amp;".energy[Energy description]"),0)),0)</f>
        <v>0</v>
      </c>
      <c r="AY201" s="21">
        <f t="array" aca="1" ref="AY201" ca="1">IFERROR(INDEX(INDIRECT($B$3&amp;"."&amp;$B$158&amp;".energy["&amp;This.year&amp;"]"),MATCH($C201&amp;AY$5,INDIRECT($B$3&amp;"."&amp;$B$158&amp;".energy[Tech description]")&amp;INDIRECT($B$3&amp;"."&amp;$B$158&amp;".energy[Energy description]"),0)),0)</f>
        <v>0</v>
      </c>
      <c r="AZ201" s="21">
        <f t="array" aca="1" ref="AZ201" ca="1">IFERROR(INDEX(INDIRECT($B$3&amp;"."&amp;$B$158&amp;".energy["&amp;This.year&amp;"]"),MATCH($C201&amp;AZ$5,INDIRECT($B$3&amp;"."&amp;$B$158&amp;".energy[Tech description]")&amp;INDIRECT($B$3&amp;"."&amp;$B$158&amp;".energy[Energy description]"),0)),0)</f>
        <v>0</v>
      </c>
      <c r="BA201" s="21">
        <f t="array" aca="1" ref="BA201" ca="1">IFERROR(INDEX(INDIRECT($B$3&amp;"."&amp;$B$158&amp;".energy["&amp;This.year&amp;"]"),MATCH($C201&amp;BA$5,INDIRECT($B$3&amp;"."&amp;$B$158&amp;".energy[Tech description]")&amp;INDIRECT($B$3&amp;"."&amp;$B$158&amp;".energy[Energy description]"),0)),0)</f>
        <v>0</v>
      </c>
      <c r="BB201" s="21">
        <f t="array" aca="1" ref="BB201" ca="1">IFERROR(INDEX(INDIRECT($B$3&amp;"."&amp;$B$158&amp;".energy["&amp;This.year&amp;"]"),MATCH($C201&amp;BB$5,INDIRECT($B$3&amp;"."&amp;$B$158&amp;".energy[Tech description]")&amp;INDIRECT($B$3&amp;"."&amp;$B$158&amp;".energy[Energy description]"),0)),0)</f>
        <v>0</v>
      </c>
      <c r="BC201" s="21">
        <f t="array" aca="1" ref="BC201" ca="1">IFERROR(INDEX(INDIRECT($B$3&amp;"."&amp;$B$158&amp;".energy["&amp;This.year&amp;"]"),MATCH($C201&amp;BC$5,INDIRECT($B$3&amp;"."&amp;$B$158&amp;".energy[Tech description]")&amp;INDIRECT($B$3&amp;"."&amp;$B$158&amp;".energy[Energy description]"),0)),0)</f>
        <v>0</v>
      </c>
      <c r="BD201" s="21">
        <f t="shared" ref="BD201:BD224" ca="1" si="27">SUM(AQ201:BC201)</f>
        <v>0</v>
      </c>
      <c r="BE201" s="108"/>
      <c r="BF201" s="49">
        <f t="array" aca="1" ref="BF201" ca="1">IFERROR(INDEX(INDIRECT($B$3&amp;"."&amp;$B$158&amp;".energy["&amp;This.year&amp;"]"),MATCH($C201&amp;BF$5,INDIRECT($B$3&amp;"."&amp;$B$158&amp;".energy[Tech description]")&amp;INDIRECT($B$3&amp;"."&amp;$B$158&amp;".energy[Energy description]"),0)),0)</f>
        <v>0</v>
      </c>
      <c r="BG201" s="49">
        <f t="array" aca="1" ref="BG201" ca="1">IFERROR(INDEX(INDIRECT($B$3&amp;"."&amp;$B$158&amp;".energy["&amp;This.year&amp;"]"),MATCH($C201&amp;BG$5,INDIRECT($B$3&amp;"."&amp;$B$158&amp;".energy[Tech description]")&amp;INDIRECT($B$3&amp;"."&amp;$B$158&amp;".energy[Energy description]"),0)),0)</f>
        <v>0</v>
      </c>
      <c r="BH201" s="49">
        <f t="shared" ref="BH201:BH224" ca="1" si="28">SUM(BF201:BG201)</f>
        <v>0</v>
      </c>
      <c r="BI201" s="219">
        <f t="shared" ca="1" si="9"/>
        <v>0</v>
      </c>
      <c r="BJ201" s="108"/>
    </row>
    <row r="202" spans="1:62" s="54" customFormat="1">
      <c r="A202" s="133"/>
      <c r="B202" s="176" t="s">
        <v>1822</v>
      </c>
      <c r="C202" s="114" t="str">
        <f>INDEX(Regional.Technologies[Description],MATCH($B$3&amp;"."&amp;B202,Regional.Technologies[Code],0))</f>
        <v>Global Coal use in the Chemicals: High Value Chemicals  technology</v>
      </c>
      <c r="E202" s="121">
        <f t="array" aca="1" ref="E202" ca="1">IFERROR(INDEX(INDIRECT($B$3&amp;"."&amp;$B$158&amp;".energy["&amp;This.year&amp;"]"),MATCH($C202&amp;E$5,INDIRECT($B$3&amp;"."&amp;$B$158&amp;".energy[Tech description]")&amp;INDIRECT($B$3&amp;"."&amp;$B$158&amp;".energy[Energy description]"),0)),0)</f>
        <v>0</v>
      </c>
      <c r="F202" s="121">
        <f t="array" aca="1" ref="F202" ca="1">IFERROR(INDEX(INDIRECT($B$3&amp;"."&amp;$B$158&amp;".energy["&amp;This.year&amp;"]"),MATCH($C202&amp;F$5,INDIRECT($B$3&amp;"."&amp;$B$158&amp;".energy[Tech description]")&amp;INDIRECT($B$3&amp;"."&amp;$B$158&amp;".energy[Energy description]"),0)),0)</f>
        <v>0</v>
      </c>
      <c r="G202" s="121">
        <f t="array" aca="1" ref="G202" ca="1">IFERROR(INDEX(INDIRECT($B$3&amp;"."&amp;$B$158&amp;".energy["&amp;This.year&amp;"]"),MATCH($C202&amp;G$5,INDIRECT($B$3&amp;"."&amp;$B$158&amp;".energy[Tech description]")&amp;INDIRECT($B$3&amp;"."&amp;$B$158&amp;".energy[Energy description]"),0)),0)</f>
        <v>0</v>
      </c>
      <c r="H202" s="121">
        <f t="array" aca="1" ref="H202" ca="1">IFERROR(INDEX(INDIRECT($B$3&amp;"."&amp;$B$158&amp;".energy["&amp;This.year&amp;"]"),MATCH($C202&amp;H$5,INDIRECT($B$3&amp;"."&amp;$B$158&amp;".energy[Tech description]")&amp;INDIRECT($B$3&amp;"."&amp;$B$158&amp;".energy[Energy description]"),0)),0)</f>
        <v>0</v>
      </c>
      <c r="I202" s="121">
        <f t="array" aca="1" ref="I202" ca="1">IFERROR(INDEX(INDIRECT($B$3&amp;"."&amp;$B$158&amp;".energy["&amp;This.year&amp;"]"),MATCH($C202&amp;I$5,INDIRECT($B$3&amp;"."&amp;$B$158&amp;".energy[Tech description]")&amp;INDIRECT($B$3&amp;"."&amp;$B$158&amp;".energy[Energy description]"),0)),0)</f>
        <v>0</v>
      </c>
      <c r="J202" s="121">
        <f t="array" aca="1" ref="J202" ca="1">IFERROR(INDEX(INDIRECT($B$3&amp;"."&amp;$B$158&amp;".energy["&amp;This.year&amp;"]"),MATCH($C202&amp;J$5,INDIRECT($B$3&amp;"."&amp;$B$158&amp;".energy[Tech description]")&amp;INDIRECT($B$3&amp;"."&amp;$B$158&amp;".energy[Energy description]"),0)),0)</f>
        <v>0.24646345986547047</v>
      </c>
      <c r="K202" s="121">
        <f t="array" aca="1" ref="K202" ca="1">IFERROR(INDEX(INDIRECT($B$3&amp;"."&amp;$B$158&amp;".energy["&amp;This.year&amp;"]"),MATCH($C202&amp;K$5,INDIRECT($B$3&amp;"."&amp;$B$158&amp;".energy[Tech description]")&amp;INDIRECT($B$3&amp;"."&amp;$B$158&amp;".energy[Energy description]"),0)),0)</f>
        <v>0</v>
      </c>
      <c r="L202" s="121">
        <f t="array" aca="1" ref="L202" ca="1">IFERROR(INDEX(INDIRECT($B$3&amp;"."&amp;$B$158&amp;".energy["&amp;This.year&amp;"]"),MATCH($C202&amp;L$5,INDIRECT($B$3&amp;"."&amp;$B$158&amp;".energy[Tech description]")&amp;INDIRECT($B$3&amp;"."&amp;$B$158&amp;".energy[Energy description]"),0)),0)</f>
        <v>0</v>
      </c>
      <c r="M202" s="121">
        <f t="array" aca="1" ref="M202" ca="1">IFERROR(INDEX(INDIRECT($B$3&amp;"."&amp;$B$158&amp;".energy["&amp;This.year&amp;"]"),MATCH($C202&amp;M$5,INDIRECT($B$3&amp;"."&amp;$B$158&amp;".energy[Tech description]")&amp;INDIRECT($B$3&amp;"."&amp;$B$158&amp;".energy[Energy description]"),0)),0)</f>
        <v>0</v>
      </c>
      <c r="N202" s="121">
        <f t="array" aca="1" ref="N202" ca="1">IFERROR(INDEX(INDIRECT($B$3&amp;"."&amp;$B$158&amp;".energy["&amp;This.year&amp;"]"),MATCH($C202&amp;N$5,INDIRECT($B$3&amp;"."&amp;$B$158&amp;".energy[Tech description]")&amp;INDIRECT($B$3&amp;"."&amp;$B$158&amp;".energy[Energy description]"),0)),0)</f>
        <v>0</v>
      </c>
      <c r="O202" s="121">
        <f t="array" aca="1" ref="O202" ca="1">IFERROR(INDEX(INDIRECT($B$3&amp;"."&amp;$B$158&amp;".energy["&amp;This.year&amp;"]"),MATCH($C202&amp;O$5,INDIRECT($B$3&amp;"."&amp;$B$158&amp;".energy[Tech description]")&amp;INDIRECT($B$3&amp;"."&amp;$B$158&amp;".energy[Energy description]"),0)),0)</f>
        <v>0</v>
      </c>
      <c r="P202" s="121">
        <f t="array" aca="1" ref="P202" ca="1">IFERROR(INDEX(INDIRECT($B$3&amp;"."&amp;$B$158&amp;".energy["&amp;This.year&amp;"]"),MATCH($C202&amp;P$5,INDIRECT($B$3&amp;"."&amp;$B$158&amp;".energy[Tech description]")&amp;INDIRECT($B$3&amp;"."&amp;$B$158&amp;".energy[Energy description]"),0)),0)</f>
        <v>0</v>
      </c>
      <c r="Q202" s="121">
        <f t="array" aca="1" ref="Q202" ca="1">IFERROR(INDEX(INDIRECT($B$3&amp;"."&amp;$B$158&amp;".energy["&amp;This.year&amp;"]"),MATCH($C202&amp;Q$5,INDIRECT($B$3&amp;"."&amp;$B$158&amp;".energy[Tech description]")&amp;INDIRECT($B$3&amp;"."&amp;$B$158&amp;".energy[Energy description]"),0)),0)</f>
        <v>0</v>
      </c>
      <c r="R202" s="121">
        <f t="array" aca="1" ref="R202" ca="1">IFERROR(INDEX(INDIRECT($B$3&amp;"."&amp;$B$158&amp;".energy["&amp;This.year&amp;"]"),MATCH($C202&amp;R$5,INDIRECT($B$3&amp;"."&amp;$B$158&amp;".energy[Tech description]")&amp;INDIRECT($B$3&amp;"."&amp;$B$158&amp;".energy[Energy description]"),0)),0)</f>
        <v>0</v>
      </c>
      <c r="S202" s="121">
        <f t="array" aca="1" ref="S202" ca="1">IFERROR(INDEX(INDIRECT($B$3&amp;"."&amp;$B$158&amp;".energy["&amp;This.year&amp;"]"),MATCH($C202&amp;S$5,INDIRECT($B$3&amp;"."&amp;$B$158&amp;".energy[Tech description]")&amp;INDIRECT($B$3&amp;"."&amp;$B$158&amp;".energy[Energy description]"),0)),0)</f>
        <v>0</v>
      </c>
      <c r="T202" s="121">
        <f t="shared" ca="1" si="25"/>
        <v>0.24646345986547047</v>
      </c>
      <c r="U202" s="109"/>
      <c r="V202" s="152">
        <f t="array" aca="1" ref="V202" ca="1">IFERROR(INDEX(INDIRECT($B$3&amp;"."&amp;$B$158&amp;".energy["&amp;This.year&amp;"]"),MATCH($C202&amp;V$5,INDIRECT($B$3&amp;"."&amp;$B$158&amp;".energy[Tech description]")&amp;INDIRECT($B$3&amp;"."&amp;$B$158&amp;".energy[Energy description]"),0)),0)</f>
        <v>0</v>
      </c>
      <c r="W202" s="152">
        <f t="array" aca="1" ref="W202" ca="1">IFERROR(INDEX(INDIRECT($B$3&amp;"."&amp;$B$158&amp;".energy["&amp;This.year&amp;"]"),MATCH($C202&amp;W$5,INDIRECT($B$3&amp;"."&amp;$B$158&amp;".energy[Tech description]")&amp;INDIRECT($B$3&amp;"."&amp;$B$158&amp;".energy[Energy description]"),0)),0)</f>
        <v>0</v>
      </c>
      <c r="X202" s="152">
        <f t="array" aca="1" ref="X202" ca="1">IFERROR(INDEX(INDIRECT($B$3&amp;"."&amp;$B$158&amp;".energy["&amp;This.year&amp;"]"),MATCH($C202&amp;X$5,INDIRECT($B$3&amp;"."&amp;$B$158&amp;".energy[Tech description]")&amp;INDIRECT($B$3&amp;"."&amp;$B$158&amp;".energy[Energy description]"),0)),0)</f>
        <v>0</v>
      </c>
      <c r="Y202" s="152">
        <f t="array" aca="1" ref="Y202" ca="1">IFERROR(INDEX(INDIRECT($B$3&amp;"."&amp;$B$158&amp;".energy["&amp;This.year&amp;"]"),MATCH($C202&amp;Y$5,INDIRECT($B$3&amp;"."&amp;$B$158&amp;".energy[Tech description]")&amp;INDIRECT($B$3&amp;"."&amp;$B$158&amp;".energy[Energy description]"),0)),0)</f>
        <v>0</v>
      </c>
      <c r="Z202" s="152">
        <f t="array" aca="1" ref="Z202" ca="1">IFERROR(INDEX(INDIRECT($B$3&amp;"."&amp;$B$158&amp;".energy["&amp;This.year&amp;"]"),MATCH($C202&amp;Z$5,INDIRECT($B$3&amp;"."&amp;$B$158&amp;".energy[Tech description]")&amp;INDIRECT($B$3&amp;"."&amp;$B$158&amp;".energy[Energy description]"),0)),0)</f>
        <v>0</v>
      </c>
      <c r="AA202" s="152">
        <f t="array" aca="1" ref="AA202" ca="1">IFERROR(INDEX(INDIRECT($B$3&amp;"."&amp;$B$158&amp;".energy["&amp;This.year&amp;"]"),MATCH($C202&amp;AA$5,INDIRECT($B$3&amp;"."&amp;$B$158&amp;".energy[Tech description]")&amp;INDIRECT($B$3&amp;"."&amp;$B$158&amp;".energy[Energy description]"),0)),0)</f>
        <v>-0.24646345986547047</v>
      </c>
      <c r="AB202" s="152">
        <f t="array" aca="1" ref="AB202" ca="1">IFERROR(INDEX(INDIRECT($B$3&amp;"."&amp;$B$158&amp;".energy["&amp;This.year&amp;"]"),MATCH($C202&amp;AB$5,INDIRECT($B$3&amp;"."&amp;$B$158&amp;".energy[Tech description]")&amp;INDIRECT($B$3&amp;"."&amp;$B$158&amp;".energy[Energy description]"),0)),0)</f>
        <v>0</v>
      </c>
      <c r="AC202" s="152">
        <f t="array" aca="1" ref="AC202" ca="1">IFERROR(INDEX(INDIRECT($B$3&amp;"."&amp;$B$158&amp;".energy["&amp;This.year&amp;"]"),MATCH($C202&amp;AC$5,INDIRECT($B$3&amp;"."&amp;$B$158&amp;".energy[Tech description]")&amp;INDIRECT($B$3&amp;"."&amp;$B$158&amp;".energy[Energy description]"),0)),0)</f>
        <v>0</v>
      </c>
      <c r="AD202" s="152">
        <f t="array" aca="1" ref="AD202" ca="1">IFERROR(INDEX(INDIRECT($B$3&amp;"."&amp;$B$158&amp;".energy["&amp;This.year&amp;"]"),MATCH($C202&amp;AD$5,INDIRECT($B$3&amp;"."&amp;$B$158&amp;".energy[Tech description]")&amp;INDIRECT($B$3&amp;"."&amp;$B$158&amp;".energy[Energy description]"),0)),0)</f>
        <v>0</v>
      </c>
      <c r="AE202" s="152">
        <f t="array" aca="1" ref="AE202" ca="1">IFERROR(INDEX(INDIRECT($B$3&amp;"."&amp;$B$158&amp;".energy["&amp;This.year&amp;"]"),MATCH($C202&amp;AE$5,INDIRECT($B$3&amp;"."&amp;$B$158&amp;".energy[Tech description]")&amp;INDIRECT($B$3&amp;"."&amp;$B$158&amp;".energy[Energy description]"),0)),0)</f>
        <v>0</v>
      </c>
      <c r="AF202" s="152">
        <f t="array" aca="1" ref="AF202" ca="1">IFERROR(INDEX(INDIRECT($B$3&amp;"."&amp;$B$158&amp;".energy["&amp;This.year&amp;"]"),MATCH($C202&amp;AF$5,INDIRECT($B$3&amp;"."&amp;$B$158&amp;".energy[Tech description]")&amp;INDIRECT($B$3&amp;"."&amp;$B$158&amp;".energy[Energy description]"),0)),0)</f>
        <v>0</v>
      </c>
      <c r="AG202" s="152">
        <f t="array" aca="1" ref="AG202" ca="1">IFERROR(INDEX(INDIRECT($B$3&amp;"."&amp;$B$158&amp;".energy["&amp;This.year&amp;"]"),MATCH($C202&amp;AG$5,INDIRECT($B$3&amp;"."&amp;$B$158&amp;".energy[Tech description]")&amp;INDIRECT($B$3&amp;"."&amp;$B$158&amp;".energy[Energy description]"),0)),0)</f>
        <v>0</v>
      </c>
      <c r="AH202" s="152">
        <f t="array" aca="1" ref="AH202" ca="1">IFERROR(INDEX(INDIRECT($B$3&amp;"."&amp;$B$158&amp;".energy["&amp;This.year&amp;"]"),MATCH($C202&amp;AH$5,INDIRECT($B$3&amp;"."&amp;$B$158&amp;".energy[Tech description]")&amp;INDIRECT($B$3&amp;"."&amp;$B$158&amp;".energy[Energy description]"),0)),0)</f>
        <v>0</v>
      </c>
      <c r="AI202" s="152">
        <f t="array" aca="1" ref="AI202" ca="1">IFERROR(INDEX(INDIRECT($B$3&amp;"."&amp;$B$158&amp;".energy["&amp;This.year&amp;"]"),MATCH($C202&amp;AI$5,INDIRECT($B$3&amp;"."&amp;$B$158&amp;".energy[Tech description]")&amp;INDIRECT($B$3&amp;"."&amp;$B$158&amp;".energy[Energy description]"),0)),0)</f>
        <v>0</v>
      </c>
      <c r="AJ202" s="152">
        <f t="array" aca="1" ref="AJ202" ca="1">IFERROR(INDEX(INDIRECT($B$3&amp;"."&amp;$B$158&amp;".energy["&amp;This.year&amp;"]"),MATCH($C202&amp;AJ$5,INDIRECT($B$3&amp;"."&amp;$B$158&amp;".energy[Tech description]")&amp;INDIRECT($B$3&amp;"."&amp;$B$158&amp;".energy[Energy description]"),0)),0)</f>
        <v>0</v>
      </c>
      <c r="AK202" s="152">
        <f t="array" aca="1" ref="AK202" ca="1">IFERROR(INDEX(INDIRECT($B$3&amp;"."&amp;$B$158&amp;".energy["&amp;This.year&amp;"]"),MATCH($C202&amp;AK$5,INDIRECT($B$3&amp;"."&amp;$B$158&amp;".energy[Tech description]")&amp;INDIRECT($B$3&amp;"."&amp;$B$158&amp;".energy[Energy description]"),0)),0)</f>
        <v>0</v>
      </c>
      <c r="AL202" s="152">
        <f t="array" aca="1" ref="AL202" ca="1">IFERROR(INDEX(INDIRECT($B$3&amp;"."&amp;$B$158&amp;".energy["&amp;This.year&amp;"]"),MATCH($C202&amp;AL$5,INDIRECT($B$3&amp;"."&amp;$B$158&amp;".energy[Tech description]")&amp;INDIRECT($B$3&amp;"."&amp;$B$158&amp;".energy[Energy description]"),0)),0)</f>
        <v>0</v>
      </c>
      <c r="AM202" s="152">
        <f t="array" aca="1" ref="AM202" ca="1">IFERROR(INDEX(INDIRECT($B$3&amp;"."&amp;$B$158&amp;".energy["&amp;This.year&amp;"]"),MATCH($C202&amp;AM$5,INDIRECT($B$3&amp;"."&amp;$B$158&amp;".energy[Tech description]")&amp;INDIRECT($B$3&amp;"."&amp;$B$158&amp;".energy[Energy description]"),0)),0)</f>
        <v>0</v>
      </c>
      <c r="AN202" s="152">
        <f t="array" aca="1" ref="AN202" ca="1">IFERROR(INDEX(INDIRECT($B$3&amp;"."&amp;$B$158&amp;".energy["&amp;This.year&amp;"]"),MATCH($C202&amp;AN$5,INDIRECT($B$3&amp;"."&amp;$B$158&amp;".energy[Tech description]")&amp;INDIRECT($B$3&amp;"."&amp;$B$158&amp;".energy[Energy description]"),0)),0)</f>
        <v>0</v>
      </c>
      <c r="AO202" s="152">
        <f t="shared" ca="1" si="26"/>
        <v>-0.24646345986547047</v>
      </c>
      <c r="AP202" s="108"/>
      <c r="AQ202" s="21">
        <f t="array" aca="1" ref="AQ202" ca="1">IFERROR(INDEX(INDIRECT($B$3&amp;"."&amp;$B$158&amp;".energy["&amp;This.year&amp;"]"),MATCH($C202&amp;AQ$5,INDIRECT($B$3&amp;"."&amp;$B$158&amp;".energy[Tech description]")&amp;INDIRECT($B$3&amp;"."&amp;$B$158&amp;".energy[Energy description]"),0)),0)</f>
        <v>0</v>
      </c>
      <c r="AR202" s="21">
        <f t="array" aca="1" ref="AR202" ca="1">IFERROR(INDEX(INDIRECT($B$3&amp;"."&amp;$B$158&amp;".energy["&amp;This.year&amp;"]"),MATCH($C202&amp;AR$5,INDIRECT($B$3&amp;"."&amp;$B$158&amp;".energy[Tech description]")&amp;INDIRECT($B$3&amp;"."&amp;$B$158&amp;".energy[Energy description]"),0)),0)</f>
        <v>0</v>
      </c>
      <c r="AS202" s="21">
        <f t="array" aca="1" ref="AS202" ca="1">IFERROR(INDEX(INDIRECT($B$3&amp;"."&amp;$B$158&amp;".energy["&amp;This.year&amp;"]"),MATCH($C202&amp;AS$5,INDIRECT($B$3&amp;"."&amp;$B$158&amp;".energy[Tech description]")&amp;INDIRECT($B$3&amp;"."&amp;$B$158&amp;".energy[Energy description]"),0)),0)</f>
        <v>0</v>
      </c>
      <c r="AT202" s="21">
        <f t="array" aca="1" ref="AT202" ca="1">IFERROR(INDEX(INDIRECT($B$3&amp;"."&amp;$B$158&amp;".energy["&amp;This.year&amp;"]"),MATCH($C202&amp;AT$5,INDIRECT($B$3&amp;"."&amp;$B$158&amp;".energy[Tech description]")&amp;INDIRECT($B$3&amp;"."&amp;$B$158&amp;".energy[Energy description]"),0)),0)</f>
        <v>0</v>
      </c>
      <c r="AU202" s="21">
        <f t="array" aca="1" ref="AU202" ca="1">IFERROR(INDEX(INDIRECT($B$3&amp;"."&amp;$B$158&amp;".energy["&amp;This.year&amp;"]"),MATCH($C202&amp;AU$5,INDIRECT($B$3&amp;"."&amp;$B$158&amp;".energy[Tech description]")&amp;INDIRECT($B$3&amp;"."&amp;$B$158&amp;".energy[Energy description]"),0)),0)</f>
        <v>0</v>
      </c>
      <c r="AV202" s="21">
        <f t="array" aca="1" ref="AV202" ca="1">IFERROR(INDEX(INDIRECT($B$3&amp;"."&amp;$B$158&amp;".energy["&amp;This.year&amp;"]"),MATCH($C202&amp;AV$5,INDIRECT($B$3&amp;"."&amp;$B$158&amp;".energy[Tech description]")&amp;INDIRECT($B$3&amp;"."&amp;$B$158&amp;".energy[Energy description]"),0)),0)</f>
        <v>0</v>
      </c>
      <c r="AW202" s="21">
        <f t="array" aca="1" ref="AW202" ca="1">IFERROR(INDEX(INDIRECT($B$3&amp;"."&amp;$B$158&amp;".energy["&amp;This.year&amp;"]"),MATCH($C202&amp;AW$5,INDIRECT($B$3&amp;"."&amp;$B$158&amp;".energy[Tech description]")&amp;INDIRECT($B$3&amp;"."&amp;$B$158&amp;".energy[Energy description]"),0)),0)</f>
        <v>0</v>
      </c>
      <c r="AX202" s="21">
        <f t="array" aca="1" ref="AX202" ca="1">IFERROR(INDEX(INDIRECT($B$3&amp;"."&amp;$B$158&amp;".energy["&amp;This.year&amp;"]"),MATCH($C202&amp;AX$5,INDIRECT($B$3&amp;"."&amp;$B$158&amp;".energy[Tech description]")&amp;INDIRECT($B$3&amp;"."&amp;$B$158&amp;".energy[Energy description]"),0)),0)</f>
        <v>0</v>
      </c>
      <c r="AY202" s="21">
        <f t="array" aca="1" ref="AY202" ca="1">IFERROR(INDEX(INDIRECT($B$3&amp;"."&amp;$B$158&amp;".energy["&amp;This.year&amp;"]"),MATCH($C202&amp;AY$5,INDIRECT($B$3&amp;"."&amp;$B$158&amp;".energy[Tech description]")&amp;INDIRECT($B$3&amp;"."&amp;$B$158&amp;".energy[Energy description]"),0)),0)</f>
        <v>0</v>
      </c>
      <c r="AZ202" s="21">
        <f t="array" aca="1" ref="AZ202" ca="1">IFERROR(INDEX(INDIRECT($B$3&amp;"."&amp;$B$158&amp;".energy["&amp;This.year&amp;"]"),MATCH($C202&amp;AZ$5,INDIRECT($B$3&amp;"."&amp;$B$158&amp;".energy[Tech description]")&amp;INDIRECT($B$3&amp;"."&amp;$B$158&amp;".energy[Energy description]"),0)),0)</f>
        <v>0</v>
      </c>
      <c r="BA202" s="21">
        <f t="array" aca="1" ref="BA202" ca="1">IFERROR(INDEX(INDIRECT($B$3&amp;"."&amp;$B$158&amp;".energy["&amp;This.year&amp;"]"),MATCH($C202&amp;BA$5,INDIRECT($B$3&amp;"."&amp;$B$158&amp;".energy[Tech description]")&amp;INDIRECT($B$3&amp;"."&amp;$B$158&amp;".energy[Energy description]"),0)),0)</f>
        <v>0</v>
      </c>
      <c r="BB202" s="21">
        <f t="array" aca="1" ref="BB202" ca="1">IFERROR(INDEX(INDIRECT($B$3&amp;"."&amp;$B$158&amp;".energy["&amp;This.year&amp;"]"),MATCH($C202&amp;BB$5,INDIRECT($B$3&amp;"."&amp;$B$158&amp;".energy[Tech description]")&amp;INDIRECT($B$3&amp;"."&amp;$B$158&amp;".energy[Energy description]"),0)),0)</f>
        <v>0</v>
      </c>
      <c r="BC202" s="21">
        <f t="array" aca="1" ref="BC202" ca="1">IFERROR(INDEX(INDIRECT($B$3&amp;"."&amp;$B$158&amp;".energy["&amp;This.year&amp;"]"),MATCH($C202&amp;BC$5,INDIRECT($B$3&amp;"."&amp;$B$158&amp;".energy[Tech description]")&amp;INDIRECT($B$3&amp;"."&amp;$B$158&amp;".energy[Energy description]"),0)),0)</f>
        <v>0</v>
      </c>
      <c r="BD202" s="21">
        <f t="shared" ca="1" si="27"/>
        <v>0</v>
      </c>
      <c r="BE202" s="108"/>
      <c r="BF202" s="49">
        <f t="array" aca="1" ref="BF202" ca="1">IFERROR(INDEX(INDIRECT($B$3&amp;"."&amp;$B$158&amp;".energy["&amp;This.year&amp;"]"),MATCH($C202&amp;BF$5,INDIRECT($B$3&amp;"."&amp;$B$158&amp;".energy[Tech description]")&amp;INDIRECT($B$3&amp;"."&amp;$B$158&amp;".energy[Energy description]"),0)),0)</f>
        <v>0</v>
      </c>
      <c r="BG202" s="49">
        <f t="array" aca="1" ref="BG202" ca="1">IFERROR(INDEX(INDIRECT($B$3&amp;"."&amp;$B$158&amp;".energy["&amp;This.year&amp;"]"),MATCH($C202&amp;BG$5,INDIRECT($B$3&amp;"."&amp;$B$158&amp;".energy[Tech description]")&amp;INDIRECT($B$3&amp;"."&amp;$B$158&amp;".energy[Energy description]"),0)),0)</f>
        <v>0</v>
      </c>
      <c r="BH202" s="49">
        <f t="shared" ca="1" si="28"/>
        <v>0</v>
      </c>
      <c r="BI202" s="219">
        <f t="shared" ca="1" si="9"/>
        <v>0</v>
      </c>
      <c r="BJ202" s="108"/>
    </row>
    <row r="203" spans="1:62" s="54" customFormat="1">
      <c r="A203" s="133"/>
      <c r="B203" s="176" t="s">
        <v>1823</v>
      </c>
      <c r="C203" s="114" t="str">
        <f>INDEX(Regional.Technologies[Description],MATCH($B$3&amp;"."&amp;B203,Regional.Technologies[Code],0))</f>
        <v>Global Oil use in the Chemicals: High Value Chemicals  technology</v>
      </c>
      <c r="E203" s="121">
        <f t="array" aca="1" ref="E203" ca="1">IFERROR(INDEX(INDIRECT($B$3&amp;"."&amp;$B$158&amp;".energy["&amp;This.year&amp;"]"),MATCH($C203&amp;E$5,INDIRECT($B$3&amp;"."&amp;$B$158&amp;".energy[Tech description]")&amp;INDIRECT($B$3&amp;"."&amp;$B$158&amp;".energy[Energy description]"),0)),0)</f>
        <v>0</v>
      </c>
      <c r="F203" s="121">
        <f t="array" aca="1" ref="F203" ca="1">IFERROR(INDEX(INDIRECT($B$3&amp;"."&amp;$B$158&amp;".energy["&amp;This.year&amp;"]"),MATCH($C203&amp;F$5,INDIRECT($B$3&amp;"."&amp;$B$158&amp;".energy[Tech description]")&amp;INDIRECT($B$3&amp;"."&amp;$B$158&amp;".energy[Energy description]"),0)),0)</f>
        <v>0</v>
      </c>
      <c r="G203" s="121">
        <f t="array" aca="1" ref="G203" ca="1">IFERROR(INDEX(INDIRECT($B$3&amp;"."&amp;$B$158&amp;".energy["&amp;This.year&amp;"]"),MATCH($C203&amp;G$5,INDIRECT($B$3&amp;"."&amp;$B$158&amp;".energy[Tech description]")&amp;INDIRECT($B$3&amp;"."&amp;$B$158&amp;".energy[Energy description]"),0)),0)</f>
        <v>0</v>
      </c>
      <c r="H203" s="121">
        <f t="array" aca="1" ref="H203" ca="1">IFERROR(INDEX(INDIRECT($B$3&amp;"."&amp;$B$158&amp;".energy["&amp;This.year&amp;"]"),MATCH($C203&amp;H$5,INDIRECT($B$3&amp;"."&amp;$B$158&amp;".energy[Tech description]")&amp;INDIRECT($B$3&amp;"."&amp;$B$158&amp;".energy[Energy description]"),0)),0)</f>
        <v>0</v>
      </c>
      <c r="I203" s="121">
        <f t="array" aca="1" ref="I203" ca="1">IFERROR(INDEX(INDIRECT($B$3&amp;"."&amp;$B$158&amp;".energy["&amp;This.year&amp;"]"),MATCH($C203&amp;I$5,INDIRECT($B$3&amp;"."&amp;$B$158&amp;".energy[Tech description]")&amp;INDIRECT($B$3&amp;"."&amp;$B$158&amp;".energy[Energy description]"),0)),0)</f>
        <v>0</v>
      </c>
      <c r="J203" s="121">
        <f t="array" aca="1" ref="J203" ca="1">IFERROR(INDEX(INDIRECT($B$3&amp;"."&amp;$B$158&amp;".energy["&amp;This.year&amp;"]"),MATCH($C203&amp;J$5,INDIRECT($B$3&amp;"."&amp;$B$158&amp;".energy[Tech description]")&amp;INDIRECT($B$3&amp;"."&amp;$B$158&amp;".energy[Energy description]"),0)),0)</f>
        <v>19.210879294175736</v>
      </c>
      <c r="K203" s="121">
        <f t="array" aca="1" ref="K203" ca="1">IFERROR(INDEX(INDIRECT($B$3&amp;"."&amp;$B$158&amp;".energy["&amp;This.year&amp;"]"),MATCH($C203&amp;K$5,INDIRECT($B$3&amp;"."&amp;$B$158&amp;".energy[Tech description]")&amp;INDIRECT($B$3&amp;"."&amp;$B$158&amp;".energy[Energy description]"),0)),0)</f>
        <v>0</v>
      </c>
      <c r="L203" s="121">
        <f t="array" aca="1" ref="L203" ca="1">IFERROR(INDEX(INDIRECT($B$3&amp;"."&amp;$B$158&amp;".energy["&amp;This.year&amp;"]"),MATCH($C203&amp;L$5,INDIRECT($B$3&amp;"."&amp;$B$158&amp;".energy[Tech description]")&amp;INDIRECT($B$3&amp;"."&amp;$B$158&amp;".energy[Energy description]"),0)),0)</f>
        <v>0</v>
      </c>
      <c r="M203" s="121">
        <f t="array" aca="1" ref="M203" ca="1">IFERROR(INDEX(INDIRECT($B$3&amp;"."&amp;$B$158&amp;".energy["&amp;This.year&amp;"]"),MATCH($C203&amp;M$5,INDIRECT($B$3&amp;"."&amp;$B$158&amp;".energy[Tech description]")&amp;INDIRECT($B$3&amp;"."&amp;$B$158&amp;".energy[Energy description]"),0)),0)</f>
        <v>0</v>
      </c>
      <c r="N203" s="121">
        <f t="array" aca="1" ref="N203" ca="1">IFERROR(INDEX(INDIRECT($B$3&amp;"."&amp;$B$158&amp;".energy["&amp;This.year&amp;"]"),MATCH($C203&amp;N$5,INDIRECT($B$3&amp;"."&amp;$B$158&amp;".energy[Tech description]")&amp;INDIRECT($B$3&amp;"."&amp;$B$158&amp;".energy[Energy description]"),0)),0)</f>
        <v>0</v>
      </c>
      <c r="O203" s="121">
        <f t="array" aca="1" ref="O203" ca="1">IFERROR(INDEX(INDIRECT($B$3&amp;"."&amp;$B$158&amp;".energy["&amp;This.year&amp;"]"),MATCH($C203&amp;O$5,INDIRECT($B$3&amp;"."&amp;$B$158&amp;".energy[Tech description]")&amp;INDIRECT($B$3&amp;"."&amp;$B$158&amp;".energy[Energy description]"),0)),0)</f>
        <v>0</v>
      </c>
      <c r="P203" s="121">
        <f t="array" aca="1" ref="P203" ca="1">IFERROR(INDEX(INDIRECT($B$3&amp;"."&amp;$B$158&amp;".energy["&amp;This.year&amp;"]"),MATCH($C203&amp;P$5,INDIRECT($B$3&amp;"."&amp;$B$158&amp;".energy[Tech description]")&amp;INDIRECT($B$3&amp;"."&amp;$B$158&amp;".energy[Energy description]"),0)),0)</f>
        <v>0</v>
      </c>
      <c r="Q203" s="121">
        <f t="array" aca="1" ref="Q203" ca="1">IFERROR(INDEX(INDIRECT($B$3&amp;"."&amp;$B$158&amp;".energy["&amp;This.year&amp;"]"),MATCH($C203&amp;Q$5,INDIRECT($B$3&amp;"."&amp;$B$158&amp;".energy[Tech description]")&amp;INDIRECT($B$3&amp;"."&amp;$B$158&amp;".energy[Energy description]"),0)),0)</f>
        <v>0</v>
      </c>
      <c r="R203" s="121">
        <f t="array" aca="1" ref="R203" ca="1">IFERROR(INDEX(INDIRECT($B$3&amp;"."&amp;$B$158&amp;".energy["&amp;This.year&amp;"]"),MATCH($C203&amp;R$5,INDIRECT($B$3&amp;"."&amp;$B$158&amp;".energy[Tech description]")&amp;INDIRECT($B$3&amp;"."&amp;$B$158&amp;".energy[Energy description]"),0)),0)</f>
        <v>0</v>
      </c>
      <c r="S203" s="121">
        <f t="array" aca="1" ref="S203" ca="1">IFERROR(INDEX(INDIRECT($B$3&amp;"."&amp;$B$158&amp;".energy["&amp;This.year&amp;"]"),MATCH($C203&amp;S$5,INDIRECT($B$3&amp;"."&amp;$B$158&amp;".energy[Tech description]")&amp;INDIRECT($B$3&amp;"."&amp;$B$158&amp;".energy[Energy description]"),0)),0)</f>
        <v>0</v>
      </c>
      <c r="T203" s="121">
        <f t="shared" ca="1" si="25"/>
        <v>19.210879294175736</v>
      </c>
      <c r="U203" s="109"/>
      <c r="V203" s="152">
        <f t="array" aca="1" ref="V203" ca="1">IFERROR(INDEX(INDIRECT($B$3&amp;"."&amp;$B$158&amp;".energy["&amp;This.year&amp;"]"),MATCH($C203&amp;V$5,INDIRECT($B$3&amp;"."&amp;$B$158&amp;".energy[Tech description]")&amp;INDIRECT($B$3&amp;"."&amp;$B$158&amp;".energy[Energy description]"),0)),0)</f>
        <v>0</v>
      </c>
      <c r="W203" s="152">
        <f t="array" aca="1" ref="W203" ca="1">IFERROR(INDEX(INDIRECT($B$3&amp;"."&amp;$B$158&amp;".energy["&amp;This.year&amp;"]"),MATCH($C203&amp;W$5,INDIRECT($B$3&amp;"."&amp;$B$158&amp;".energy[Tech description]")&amp;INDIRECT($B$3&amp;"."&amp;$B$158&amp;".energy[Energy description]"),0)),0)</f>
        <v>0</v>
      </c>
      <c r="X203" s="152">
        <f t="array" aca="1" ref="X203" ca="1">IFERROR(INDEX(INDIRECT($B$3&amp;"."&amp;$B$158&amp;".energy["&amp;This.year&amp;"]"),MATCH($C203&amp;X$5,INDIRECT($B$3&amp;"."&amp;$B$158&amp;".energy[Tech description]")&amp;INDIRECT($B$3&amp;"."&amp;$B$158&amp;".energy[Energy description]"),0)),0)</f>
        <v>0</v>
      </c>
      <c r="Y203" s="152">
        <f t="array" aca="1" ref="Y203" ca="1">IFERROR(INDEX(INDIRECT($B$3&amp;"."&amp;$B$158&amp;".energy["&amp;This.year&amp;"]"),MATCH($C203&amp;Y$5,INDIRECT($B$3&amp;"."&amp;$B$158&amp;".energy[Tech description]")&amp;INDIRECT($B$3&amp;"."&amp;$B$158&amp;".energy[Energy description]"),0)),0)</f>
        <v>0</v>
      </c>
      <c r="Z203" s="152">
        <f t="array" aca="1" ref="Z203" ca="1">IFERROR(INDEX(INDIRECT($B$3&amp;"."&amp;$B$158&amp;".energy["&amp;This.year&amp;"]"),MATCH($C203&amp;Z$5,INDIRECT($B$3&amp;"."&amp;$B$158&amp;".energy[Tech description]")&amp;INDIRECT($B$3&amp;"."&amp;$B$158&amp;".energy[Energy description]"),0)),0)</f>
        <v>0</v>
      </c>
      <c r="AA203" s="152">
        <f t="array" aca="1" ref="AA203" ca="1">IFERROR(INDEX(INDIRECT($B$3&amp;"."&amp;$B$158&amp;".energy["&amp;This.year&amp;"]"),MATCH($C203&amp;AA$5,INDIRECT($B$3&amp;"."&amp;$B$158&amp;".energy[Tech description]")&amp;INDIRECT($B$3&amp;"."&amp;$B$158&amp;".energy[Energy description]"),0)),0)</f>
        <v>0</v>
      </c>
      <c r="AB203" s="152">
        <f t="array" aca="1" ref="AB203" ca="1">IFERROR(INDEX(INDIRECT($B$3&amp;"."&amp;$B$158&amp;".energy["&amp;This.year&amp;"]"),MATCH($C203&amp;AB$5,INDIRECT($B$3&amp;"."&amp;$B$158&amp;".energy[Tech description]")&amp;INDIRECT($B$3&amp;"."&amp;$B$158&amp;".energy[Energy description]"),0)),0)</f>
        <v>-19.210879294175736</v>
      </c>
      <c r="AC203" s="152">
        <f t="array" aca="1" ref="AC203" ca="1">IFERROR(INDEX(INDIRECT($B$3&amp;"."&amp;$B$158&amp;".energy["&amp;This.year&amp;"]"),MATCH($C203&amp;AC$5,INDIRECT($B$3&amp;"."&amp;$B$158&amp;".energy[Tech description]")&amp;INDIRECT($B$3&amp;"."&amp;$B$158&amp;".energy[Energy description]"),0)),0)</f>
        <v>0</v>
      </c>
      <c r="AD203" s="152">
        <f t="array" aca="1" ref="AD203" ca="1">IFERROR(INDEX(INDIRECT($B$3&amp;"."&amp;$B$158&amp;".energy["&amp;This.year&amp;"]"),MATCH($C203&amp;AD$5,INDIRECT($B$3&amp;"."&amp;$B$158&amp;".energy[Tech description]")&amp;INDIRECT($B$3&amp;"."&amp;$B$158&amp;".energy[Energy description]"),0)),0)</f>
        <v>0</v>
      </c>
      <c r="AE203" s="152">
        <f t="array" aca="1" ref="AE203" ca="1">IFERROR(INDEX(INDIRECT($B$3&amp;"."&amp;$B$158&amp;".energy["&amp;This.year&amp;"]"),MATCH($C203&amp;AE$5,INDIRECT($B$3&amp;"."&amp;$B$158&amp;".energy[Tech description]")&amp;INDIRECT($B$3&amp;"."&amp;$B$158&amp;".energy[Energy description]"),0)),0)</f>
        <v>0</v>
      </c>
      <c r="AF203" s="152">
        <f t="array" aca="1" ref="AF203" ca="1">IFERROR(INDEX(INDIRECT($B$3&amp;"."&amp;$B$158&amp;".energy["&amp;This.year&amp;"]"),MATCH($C203&amp;AF$5,INDIRECT($B$3&amp;"."&amp;$B$158&amp;".energy[Tech description]")&amp;INDIRECT($B$3&amp;"."&amp;$B$158&amp;".energy[Energy description]"),0)),0)</f>
        <v>0</v>
      </c>
      <c r="AG203" s="152">
        <f t="array" aca="1" ref="AG203" ca="1">IFERROR(INDEX(INDIRECT($B$3&amp;"."&amp;$B$158&amp;".energy["&amp;This.year&amp;"]"),MATCH($C203&amp;AG$5,INDIRECT($B$3&amp;"."&amp;$B$158&amp;".energy[Tech description]")&amp;INDIRECT($B$3&amp;"."&amp;$B$158&amp;".energy[Energy description]"),0)),0)</f>
        <v>0</v>
      </c>
      <c r="AH203" s="152">
        <f t="array" aca="1" ref="AH203" ca="1">IFERROR(INDEX(INDIRECT($B$3&amp;"."&amp;$B$158&amp;".energy["&amp;This.year&amp;"]"),MATCH($C203&amp;AH$5,INDIRECT($B$3&amp;"."&amp;$B$158&amp;".energy[Tech description]")&amp;INDIRECT($B$3&amp;"."&amp;$B$158&amp;".energy[Energy description]"),0)),0)</f>
        <v>0</v>
      </c>
      <c r="AI203" s="152">
        <f t="array" aca="1" ref="AI203" ca="1">IFERROR(INDEX(INDIRECT($B$3&amp;"."&amp;$B$158&amp;".energy["&amp;This.year&amp;"]"),MATCH($C203&amp;AI$5,INDIRECT($B$3&amp;"."&amp;$B$158&amp;".energy[Tech description]")&amp;INDIRECT($B$3&amp;"."&amp;$B$158&amp;".energy[Energy description]"),0)),0)</f>
        <v>0</v>
      </c>
      <c r="AJ203" s="152">
        <f t="array" aca="1" ref="AJ203" ca="1">IFERROR(INDEX(INDIRECT($B$3&amp;"."&amp;$B$158&amp;".energy["&amp;This.year&amp;"]"),MATCH($C203&amp;AJ$5,INDIRECT($B$3&amp;"."&amp;$B$158&amp;".energy[Tech description]")&amp;INDIRECT($B$3&amp;"."&amp;$B$158&amp;".energy[Energy description]"),0)),0)</f>
        <v>0</v>
      </c>
      <c r="AK203" s="152">
        <f t="array" aca="1" ref="AK203" ca="1">IFERROR(INDEX(INDIRECT($B$3&amp;"."&amp;$B$158&amp;".energy["&amp;This.year&amp;"]"),MATCH($C203&amp;AK$5,INDIRECT($B$3&amp;"."&amp;$B$158&amp;".energy[Tech description]")&amp;INDIRECT($B$3&amp;"."&amp;$B$158&amp;".energy[Energy description]"),0)),0)</f>
        <v>0</v>
      </c>
      <c r="AL203" s="152">
        <f t="array" aca="1" ref="AL203" ca="1">IFERROR(INDEX(INDIRECT($B$3&amp;"."&amp;$B$158&amp;".energy["&amp;This.year&amp;"]"),MATCH($C203&amp;AL$5,INDIRECT($B$3&amp;"."&amp;$B$158&amp;".energy[Tech description]")&amp;INDIRECT($B$3&amp;"."&amp;$B$158&amp;".energy[Energy description]"),0)),0)</f>
        <v>0</v>
      </c>
      <c r="AM203" s="152">
        <f t="array" aca="1" ref="AM203" ca="1">IFERROR(INDEX(INDIRECT($B$3&amp;"."&amp;$B$158&amp;".energy["&amp;This.year&amp;"]"),MATCH($C203&amp;AM$5,INDIRECT($B$3&amp;"."&amp;$B$158&amp;".energy[Tech description]")&amp;INDIRECT($B$3&amp;"."&amp;$B$158&amp;".energy[Energy description]"),0)),0)</f>
        <v>0</v>
      </c>
      <c r="AN203" s="152">
        <f t="array" aca="1" ref="AN203" ca="1">IFERROR(INDEX(INDIRECT($B$3&amp;"."&amp;$B$158&amp;".energy["&amp;This.year&amp;"]"),MATCH($C203&amp;AN$5,INDIRECT($B$3&amp;"."&amp;$B$158&amp;".energy[Tech description]")&amp;INDIRECT($B$3&amp;"."&amp;$B$158&amp;".energy[Energy description]"),0)),0)</f>
        <v>0</v>
      </c>
      <c r="AO203" s="152">
        <f t="shared" ca="1" si="26"/>
        <v>-19.210879294175736</v>
      </c>
      <c r="AP203" s="108"/>
      <c r="AQ203" s="21">
        <f t="array" aca="1" ref="AQ203" ca="1">IFERROR(INDEX(INDIRECT($B$3&amp;"."&amp;$B$158&amp;".energy["&amp;This.year&amp;"]"),MATCH($C203&amp;AQ$5,INDIRECT($B$3&amp;"."&amp;$B$158&amp;".energy[Tech description]")&amp;INDIRECT($B$3&amp;"."&amp;$B$158&amp;".energy[Energy description]"),0)),0)</f>
        <v>0</v>
      </c>
      <c r="AR203" s="21">
        <f t="array" aca="1" ref="AR203" ca="1">IFERROR(INDEX(INDIRECT($B$3&amp;"."&amp;$B$158&amp;".energy["&amp;This.year&amp;"]"),MATCH($C203&amp;AR$5,INDIRECT($B$3&amp;"."&amp;$B$158&amp;".energy[Tech description]")&amp;INDIRECT($B$3&amp;"."&amp;$B$158&amp;".energy[Energy description]"),0)),0)</f>
        <v>0</v>
      </c>
      <c r="AS203" s="21">
        <f t="array" aca="1" ref="AS203" ca="1">IFERROR(INDEX(INDIRECT($B$3&amp;"."&amp;$B$158&amp;".energy["&amp;This.year&amp;"]"),MATCH($C203&amp;AS$5,INDIRECT($B$3&amp;"."&amp;$B$158&amp;".energy[Tech description]")&amp;INDIRECT($B$3&amp;"."&amp;$B$158&amp;".energy[Energy description]"),0)),0)</f>
        <v>0</v>
      </c>
      <c r="AT203" s="21">
        <f t="array" aca="1" ref="AT203" ca="1">IFERROR(INDEX(INDIRECT($B$3&amp;"."&amp;$B$158&amp;".energy["&amp;This.year&amp;"]"),MATCH($C203&amp;AT$5,INDIRECT($B$3&amp;"."&amp;$B$158&amp;".energy[Tech description]")&amp;INDIRECT($B$3&amp;"."&amp;$B$158&amp;".energy[Energy description]"),0)),0)</f>
        <v>0</v>
      </c>
      <c r="AU203" s="21">
        <f t="array" aca="1" ref="AU203" ca="1">IFERROR(INDEX(INDIRECT($B$3&amp;"."&amp;$B$158&amp;".energy["&amp;This.year&amp;"]"),MATCH($C203&amp;AU$5,INDIRECT($B$3&amp;"."&amp;$B$158&amp;".energy[Tech description]")&amp;INDIRECT($B$3&amp;"."&amp;$B$158&amp;".energy[Energy description]"),0)),0)</f>
        <v>0</v>
      </c>
      <c r="AV203" s="21">
        <f t="array" aca="1" ref="AV203" ca="1">IFERROR(INDEX(INDIRECT($B$3&amp;"."&amp;$B$158&amp;".energy["&amp;This.year&amp;"]"),MATCH($C203&amp;AV$5,INDIRECT($B$3&amp;"."&amp;$B$158&amp;".energy[Tech description]")&amp;INDIRECT($B$3&amp;"."&amp;$B$158&amp;".energy[Energy description]"),0)),0)</f>
        <v>0</v>
      </c>
      <c r="AW203" s="21">
        <f t="array" aca="1" ref="AW203" ca="1">IFERROR(INDEX(INDIRECT($B$3&amp;"."&amp;$B$158&amp;".energy["&amp;This.year&amp;"]"),MATCH($C203&amp;AW$5,INDIRECT($B$3&amp;"."&amp;$B$158&amp;".energy[Tech description]")&amp;INDIRECT($B$3&amp;"."&amp;$B$158&amp;".energy[Energy description]"),0)),0)</f>
        <v>0</v>
      </c>
      <c r="AX203" s="21">
        <f t="array" aca="1" ref="AX203" ca="1">IFERROR(INDEX(INDIRECT($B$3&amp;"."&amp;$B$158&amp;".energy["&amp;This.year&amp;"]"),MATCH($C203&amp;AX$5,INDIRECT($B$3&amp;"."&amp;$B$158&amp;".energy[Tech description]")&amp;INDIRECT($B$3&amp;"."&amp;$B$158&amp;".energy[Energy description]"),0)),0)</f>
        <v>0</v>
      </c>
      <c r="AY203" s="21">
        <f t="array" aca="1" ref="AY203" ca="1">IFERROR(INDEX(INDIRECT($B$3&amp;"."&amp;$B$158&amp;".energy["&amp;This.year&amp;"]"),MATCH($C203&amp;AY$5,INDIRECT($B$3&amp;"."&amp;$B$158&amp;".energy[Tech description]")&amp;INDIRECT($B$3&amp;"."&amp;$B$158&amp;".energy[Energy description]"),0)),0)</f>
        <v>0</v>
      </c>
      <c r="AZ203" s="21">
        <f t="array" aca="1" ref="AZ203" ca="1">IFERROR(INDEX(INDIRECT($B$3&amp;"."&amp;$B$158&amp;".energy["&amp;This.year&amp;"]"),MATCH($C203&amp;AZ$5,INDIRECT($B$3&amp;"."&amp;$B$158&amp;".energy[Tech description]")&amp;INDIRECT($B$3&amp;"."&amp;$B$158&amp;".energy[Energy description]"),0)),0)</f>
        <v>0</v>
      </c>
      <c r="BA203" s="21">
        <f t="array" aca="1" ref="BA203" ca="1">IFERROR(INDEX(INDIRECT($B$3&amp;"."&amp;$B$158&amp;".energy["&amp;This.year&amp;"]"),MATCH($C203&amp;BA$5,INDIRECT($B$3&amp;"."&amp;$B$158&amp;".energy[Tech description]")&amp;INDIRECT($B$3&amp;"."&amp;$B$158&amp;".energy[Energy description]"),0)),0)</f>
        <v>0</v>
      </c>
      <c r="BB203" s="21">
        <f t="array" aca="1" ref="BB203" ca="1">IFERROR(INDEX(INDIRECT($B$3&amp;"."&amp;$B$158&amp;".energy["&amp;This.year&amp;"]"),MATCH($C203&amp;BB$5,INDIRECT($B$3&amp;"."&amp;$B$158&amp;".energy[Tech description]")&amp;INDIRECT($B$3&amp;"."&amp;$B$158&amp;".energy[Energy description]"),0)),0)</f>
        <v>0</v>
      </c>
      <c r="BC203" s="21">
        <f t="array" aca="1" ref="BC203" ca="1">IFERROR(INDEX(INDIRECT($B$3&amp;"."&amp;$B$158&amp;".energy["&amp;This.year&amp;"]"),MATCH($C203&amp;BC$5,INDIRECT($B$3&amp;"."&amp;$B$158&amp;".energy[Tech description]")&amp;INDIRECT($B$3&amp;"."&amp;$B$158&amp;".energy[Energy description]"),0)),0)</f>
        <v>0</v>
      </c>
      <c r="BD203" s="21">
        <f t="shared" ca="1" si="27"/>
        <v>0</v>
      </c>
      <c r="BE203" s="108"/>
      <c r="BF203" s="49">
        <f t="array" aca="1" ref="BF203" ca="1">IFERROR(INDEX(INDIRECT($B$3&amp;"."&amp;$B$158&amp;".energy["&amp;This.year&amp;"]"),MATCH($C203&amp;BF$5,INDIRECT($B$3&amp;"."&amp;$B$158&amp;".energy[Tech description]")&amp;INDIRECT($B$3&amp;"."&amp;$B$158&amp;".energy[Energy description]"),0)),0)</f>
        <v>0</v>
      </c>
      <c r="BG203" s="49">
        <f t="array" aca="1" ref="BG203" ca="1">IFERROR(INDEX(INDIRECT($B$3&amp;"."&amp;$B$158&amp;".energy["&amp;This.year&amp;"]"),MATCH($C203&amp;BG$5,INDIRECT($B$3&amp;"."&amp;$B$158&amp;".energy[Tech description]")&amp;INDIRECT($B$3&amp;"."&amp;$B$158&amp;".energy[Energy description]"),0)),0)</f>
        <v>0</v>
      </c>
      <c r="BH203" s="49">
        <f t="shared" ca="1" si="28"/>
        <v>0</v>
      </c>
      <c r="BI203" s="219">
        <f t="shared" ca="1" si="9"/>
        <v>0</v>
      </c>
      <c r="BJ203" s="108"/>
    </row>
    <row r="204" spans="1:62" s="54" customFormat="1">
      <c r="A204" s="133"/>
      <c r="B204" s="176" t="s">
        <v>1824</v>
      </c>
      <c r="C204" s="114" t="str">
        <f>INDEX(Regional.Technologies[Description],MATCH($B$3&amp;"."&amp;B204,Regional.Technologies[Code],0))</f>
        <v>Global Natural Gas use in the Chemicals: High Value Chemicals  technology</v>
      </c>
      <c r="E204" s="121">
        <f t="array" aca="1" ref="E204" ca="1">IFERROR(INDEX(INDIRECT($B$3&amp;"."&amp;$B$158&amp;".energy["&amp;This.year&amp;"]"),MATCH($C204&amp;E$5,INDIRECT($B$3&amp;"."&amp;$B$158&amp;".energy[Tech description]")&amp;INDIRECT($B$3&amp;"."&amp;$B$158&amp;".energy[Energy description]"),0)),0)</f>
        <v>0</v>
      </c>
      <c r="F204" s="121">
        <f t="array" aca="1" ref="F204" ca="1">IFERROR(INDEX(INDIRECT($B$3&amp;"."&amp;$B$158&amp;".energy["&amp;This.year&amp;"]"),MATCH($C204&amp;F$5,INDIRECT($B$3&amp;"."&amp;$B$158&amp;".energy[Tech description]")&amp;INDIRECT($B$3&amp;"."&amp;$B$158&amp;".energy[Energy description]"),0)),0)</f>
        <v>0</v>
      </c>
      <c r="G204" s="121">
        <f t="array" aca="1" ref="G204" ca="1">IFERROR(INDEX(INDIRECT($B$3&amp;"."&amp;$B$158&amp;".energy["&amp;This.year&amp;"]"),MATCH($C204&amp;G$5,INDIRECT($B$3&amp;"."&amp;$B$158&amp;".energy[Tech description]")&amp;INDIRECT($B$3&amp;"."&amp;$B$158&amp;".energy[Energy description]"),0)),0)</f>
        <v>0</v>
      </c>
      <c r="H204" s="121">
        <f t="array" aca="1" ref="H204" ca="1">IFERROR(INDEX(INDIRECT($B$3&amp;"."&amp;$B$158&amp;".energy["&amp;This.year&amp;"]"),MATCH($C204&amp;H$5,INDIRECT($B$3&amp;"."&amp;$B$158&amp;".energy[Tech description]")&amp;INDIRECT($B$3&amp;"."&amp;$B$158&amp;".energy[Energy description]"),0)),0)</f>
        <v>0</v>
      </c>
      <c r="I204" s="121">
        <f t="array" aca="1" ref="I204" ca="1">IFERROR(INDEX(INDIRECT($B$3&amp;"."&amp;$B$158&amp;".energy["&amp;This.year&amp;"]"),MATCH($C204&amp;I$5,INDIRECT($B$3&amp;"."&amp;$B$158&amp;".energy[Tech description]")&amp;INDIRECT($B$3&amp;"."&amp;$B$158&amp;".energy[Energy description]"),0)),0)</f>
        <v>0</v>
      </c>
      <c r="J204" s="121">
        <f t="array" aca="1" ref="J204" ca="1">IFERROR(INDEX(INDIRECT($B$3&amp;"."&amp;$B$158&amp;".energy["&amp;This.year&amp;"]"),MATCH($C204&amp;J$5,INDIRECT($B$3&amp;"."&amp;$B$158&amp;".energy[Tech description]")&amp;INDIRECT($B$3&amp;"."&amp;$B$158&amp;".energy[Energy description]"),0)),0)</f>
        <v>3.4032396515364383E-3</v>
      </c>
      <c r="K204" s="121">
        <f t="array" aca="1" ref="K204" ca="1">IFERROR(INDEX(INDIRECT($B$3&amp;"."&amp;$B$158&amp;".energy["&amp;This.year&amp;"]"),MATCH($C204&amp;K$5,INDIRECT($B$3&amp;"."&amp;$B$158&amp;".energy[Tech description]")&amp;INDIRECT($B$3&amp;"."&amp;$B$158&amp;".energy[Energy description]"),0)),0)</f>
        <v>0</v>
      </c>
      <c r="L204" s="121">
        <f t="array" aca="1" ref="L204" ca="1">IFERROR(INDEX(INDIRECT($B$3&amp;"."&amp;$B$158&amp;".energy["&amp;This.year&amp;"]"),MATCH($C204&amp;L$5,INDIRECT($B$3&amp;"."&amp;$B$158&amp;".energy[Tech description]")&amp;INDIRECT($B$3&amp;"."&amp;$B$158&amp;".energy[Energy description]"),0)),0)</f>
        <v>0</v>
      </c>
      <c r="M204" s="121">
        <f t="array" aca="1" ref="M204" ca="1">IFERROR(INDEX(INDIRECT($B$3&amp;"."&amp;$B$158&amp;".energy["&amp;This.year&amp;"]"),MATCH($C204&amp;M$5,INDIRECT($B$3&amp;"."&amp;$B$158&amp;".energy[Tech description]")&amp;INDIRECT($B$3&amp;"."&amp;$B$158&amp;".energy[Energy description]"),0)),0)</f>
        <v>0</v>
      </c>
      <c r="N204" s="121">
        <f t="array" aca="1" ref="N204" ca="1">IFERROR(INDEX(INDIRECT($B$3&amp;"."&amp;$B$158&amp;".energy["&amp;This.year&amp;"]"),MATCH($C204&amp;N$5,INDIRECT($B$3&amp;"."&amp;$B$158&amp;".energy[Tech description]")&amp;INDIRECT($B$3&amp;"."&amp;$B$158&amp;".energy[Energy description]"),0)),0)</f>
        <v>0</v>
      </c>
      <c r="O204" s="121">
        <f t="array" aca="1" ref="O204" ca="1">IFERROR(INDEX(INDIRECT($B$3&amp;"."&amp;$B$158&amp;".energy["&amp;This.year&amp;"]"),MATCH($C204&amp;O$5,INDIRECT($B$3&amp;"."&amp;$B$158&amp;".energy[Tech description]")&amp;INDIRECT($B$3&amp;"."&amp;$B$158&amp;".energy[Energy description]"),0)),0)</f>
        <v>0</v>
      </c>
      <c r="P204" s="121">
        <f t="array" aca="1" ref="P204" ca="1">IFERROR(INDEX(INDIRECT($B$3&amp;"."&amp;$B$158&amp;".energy["&amp;This.year&amp;"]"),MATCH($C204&amp;P$5,INDIRECT($B$3&amp;"."&amp;$B$158&amp;".energy[Tech description]")&amp;INDIRECT($B$3&amp;"."&amp;$B$158&amp;".energy[Energy description]"),0)),0)</f>
        <v>0</v>
      </c>
      <c r="Q204" s="121">
        <f t="array" aca="1" ref="Q204" ca="1">IFERROR(INDEX(INDIRECT($B$3&amp;"."&amp;$B$158&amp;".energy["&amp;This.year&amp;"]"),MATCH($C204&amp;Q$5,INDIRECT($B$3&amp;"."&amp;$B$158&amp;".energy[Tech description]")&amp;INDIRECT($B$3&amp;"."&amp;$B$158&amp;".energy[Energy description]"),0)),0)</f>
        <v>0</v>
      </c>
      <c r="R204" s="121">
        <f t="array" aca="1" ref="R204" ca="1">IFERROR(INDEX(INDIRECT($B$3&amp;"."&amp;$B$158&amp;".energy["&amp;This.year&amp;"]"),MATCH($C204&amp;R$5,INDIRECT($B$3&amp;"."&amp;$B$158&amp;".energy[Tech description]")&amp;INDIRECT($B$3&amp;"."&amp;$B$158&amp;".energy[Energy description]"),0)),0)</f>
        <v>0</v>
      </c>
      <c r="S204" s="121">
        <f t="array" aca="1" ref="S204" ca="1">IFERROR(INDEX(INDIRECT($B$3&amp;"."&amp;$B$158&amp;".energy["&amp;This.year&amp;"]"),MATCH($C204&amp;S$5,INDIRECT($B$3&amp;"."&amp;$B$158&amp;".energy[Tech description]")&amp;INDIRECT($B$3&amp;"."&amp;$B$158&amp;".energy[Energy description]"),0)),0)</f>
        <v>0</v>
      </c>
      <c r="T204" s="121">
        <f t="shared" ca="1" si="25"/>
        <v>3.4032396515364383E-3</v>
      </c>
      <c r="U204" s="109"/>
      <c r="V204" s="152">
        <f t="array" aca="1" ref="V204" ca="1">IFERROR(INDEX(INDIRECT($B$3&amp;"."&amp;$B$158&amp;".energy["&amp;This.year&amp;"]"),MATCH($C204&amp;V$5,INDIRECT($B$3&amp;"."&amp;$B$158&amp;".energy[Tech description]")&amp;INDIRECT($B$3&amp;"."&amp;$B$158&amp;".energy[Energy description]"),0)),0)</f>
        <v>0</v>
      </c>
      <c r="W204" s="152">
        <f t="array" aca="1" ref="W204" ca="1">IFERROR(INDEX(INDIRECT($B$3&amp;"."&amp;$B$158&amp;".energy["&amp;This.year&amp;"]"),MATCH($C204&amp;W$5,INDIRECT($B$3&amp;"."&amp;$B$158&amp;".energy[Tech description]")&amp;INDIRECT($B$3&amp;"."&amp;$B$158&amp;".energy[Energy description]"),0)),0)</f>
        <v>0</v>
      </c>
      <c r="X204" s="152">
        <f t="array" aca="1" ref="X204" ca="1">IFERROR(INDEX(INDIRECT($B$3&amp;"."&amp;$B$158&amp;".energy["&amp;This.year&amp;"]"),MATCH($C204&amp;X$5,INDIRECT($B$3&amp;"."&amp;$B$158&amp;".energy[Tech description]")&amp;INDIRECT($B$3&amp;"."&amp;$B$158&amp;".energy[Energy description]"),0)),0)</f>
        <v>0</v>
      </c>
      <c r="Y204" s="152">
        <f t="array" aca="1" ref="Y204" ca="1">IFERROR(INDEX(INDIRECT($B$3&amp;"."&amp;$B$158&amp;".energy["&amp;This.year&amp;"]"),MATCH($C204&amp;Y$5,INDIRECT($B$3&amp;"."&amp;$B$158&amp;".energy[Tech description]")&amp;INDIRECT($B$3&amp;"."&amp;$B$158&amp;".energy[Energy description]"),0)),0)</f>
        <v>0</v>
      </c>
      <c r="Z204" s="152">
        <f t="array" aca="1" ref="Z204" ca="1">IFERROR(INDEX(INDIRECT($B$3&amp;"."&amp;$B$158&amp;".energy["&amp;This.year&amp;"]"),MATCH($C204&amp;Z$5,INDIRECT($B$3&amp;"."&amp;$B$158&amp;".energy[Tech description]")&amp;INDIRECT($B$3&amp;"."&amp;$B$158&amp;".energy[Energy description]"),0)),0)</f>
        <v>0</v>
      </c>
      <c r="AA204" s="152">
        <f t="array" aca="1" ref="AA204" ca="1">IFERROR(INDEX(INDIRECT($B$3&amp;"."&amp;$B$158&amp;".energy["&amp;This.year&amp;"]"),MATCH($C204&amp;AA$5,INDIRECT($B$3&amp;"."&amp;$B$158&amp;".energy[Tech description]")&amp;INDIRECT($B$3&amp;"."&amp;$B$158&amp;".energy[Energy description]"),0)),0)</f>
        <v>0</v>
      </c>
      <c r="AB204" s="152">
        <f t="array" aca="1" ref="AB204" ca="1">IFERROR(INDEX(INDIRECT($B$3&amp;"."&amp;$B$158&amp;".energy["&amp;This.year&amp;"]"),MATCH($C204&amp;AB$5,INDIRECT($B$3&amp;"."&amp;$B$158&amp;".energy[Tech description]")&amp;INDIRECT($B$3&amp;"."&amp;$B$158&amp;".energy[Energy description]"),0)),0)</f>
        <v>0</v>
      </c>
      <c r="AC204" s="152">
        <f t="array" aca="1" ref="AC204" ca="1">IFERROR(INDEX(INDIRECT($B$3&amp;"."&amp;$B$158&amp;".energy["&amp;This.year&amp;"]"),MATCH($C204&amp;AC$5,INDIRECT($B$3&amp;"."&amp;$B$158&amp;".energy[Tech description]")&amp;INDIRECT($B$3&amp;"."&amp;$B$158&amp;".energy[Energy description]"),0)),0)</f>
        <v>-3.4032396515364383E-3</v>
      </c>
      <c r="AD204" s="152">
        <f t="array" aca="1" ref="AD204" ca="1">IFERROR(INDEX(INDIRECT($B$3&amp;"."&amp;$B$158&amp;".energy["&amp;This.year&amp;"]"),MATCH($C204&amp;AD$5,INDIRECT($B$3&amp;"."&amp;$B$158&amp;".energy[Tech description]")&amp;INDIRECT($B$3&amp;"."&amp;$B$158&amp;".energy[Energy description]"),0)),0)</f>
        <v>0</v>
      </c>
      <c r="AE204" s="152">
        <f t="array" aca="1" ref="AE204" ca="1">IFERROR(INDEX(INDIRECT($B$3&amp;"."&amp;$B$158&amp;".energy["&amp;This.year&amp;"]"),MATCH($C204&amp;AE$5,INDIRECT($B$3&amp;"."&amp;$B$158&amp;".energy[Tech description]")&amp;INDIRECT($B$3&amp;"."&amp;$B$158&amp;".energy[Energy description]"),0)),0)</f>
        <v>0</v>
      </c>
      <c r="AF204" s="152">
        <f t="array" aca="1" ref="AF204" ca="1">IFERROR(INDEX(INDIRECT($B$3&amp;"."&amp;$B$158&amp;".energy["&amp;This.year&amp;"]"),MATCH($C204&amp;AF$5,INDIRECT($B$3&amp;"."&amp;$B$158&amp;".energy[Tech description]")&amp;INDIRECT($B$3&amp;"."&amp;$B$158&amp;".energy[Energy description]"),0)),0)</f>
        <v>0</v>
      </c>
      <c r="AG204" s="152">
        <f t="array" aca="1" ref="AG204" ca="1">IFERROR(INDEX(INDIRECT($B$3&amp;"."&amp;$B$158&amp;".energy["&amp;This.year&amp;"]"),MATCH($C204&amp;AG$5,INDIRECT($B$3&amp;"."&amp;$B$158&amp;".energy[Tech description]")&amp;INDIRECT($B$3&amp;"."&amp;$B$158&amp;".energy[Energy description]"),0)),0)</f>
        <v>0</v>
      </c>
      <c r="AH204" s="152">
        <f t="array" aca="1" ref="AH204" ca="1">IFERROR(INDEX(INDIRECT($B$3&amp;"."&amp;$B$158&amp;".energy["&amp;This.year&amp;"]"),MATCH($C204&amp;AH$5,INDIRECT($B$3&amp;"."&amp;$B$158&amp;".energy[Tech description]")&amp;INDIRECT($B$3&amp;"."&amp;$B$158&amp;".energy[Energy description]"),0)),0)</f>
        <v>0</v>
      </c>
      <c r="AI204" s="152">
        <f t="array" aca="1" ref="AI204" ca="1">IFERROR(INDEX(INDIRECT($B$3&amp;"."&amp;$B$158&amp;".energy["&amp;This.year&amp;"]"),MATCH($C204&amp;AI$5,INDIRECT($B$3&amp;"."&amp;$B$158&amp;".energy[Tech description]")&amp;INDIRECT($B$3&amp;"."&amp;$B$158&amp;".energy[Energy description]"),0)),0)</f>
        <v>0</v>
      </c>
      <c r="AJ204" s="152">
        <f t="array" aca="1" ref="AJ204" ca="1">IFERROR(INDEX(INDIRECT($B$3&amp;"."&amp;$B$158&amp;".energy["&amp;This.year&amp;"]"),MATCH($C204&amp;AJ$5,INDIRECT($B$3&amp;"."&amp;$B$158&amp;".energy[Tech description]")&amp;INDIRECT($B$3&amp;"."&amp;$B$158&amp;".energy[Energy description]"),0)),0)</f>
        <v>0</v>
      </c>
      <c r="AK204" s="152">
        <f t="array" aca="1" ref="AK204" ca="1">IFERROR(INDEX(INDIRECT($B$3&amp;"."&amp;$B$158&amp;".energy["&amp;This.year&amp;"]"),MATCH($C204&amp;AK$5,INDIRECT($B$3&amp;"."&amp;$B$158&amp;".energy[Tech description]")&amp;INDIRECT($B$3&amp;"."&amp;$B$158&amp;".energy[Energy description]"),0)),0)</f>
        <v>0</v>
      </c>
      <c r="AL204" s="152">
        <f t="array" aca="1" ref="AL204" ca="1">IFERROR(INDEX(INDIRECT($B$3&amp;"."&amp;$B$158&amp;".energy["&amp;This.year&amp;"]"),MATCH($C204&amp;AL$5,INDIRECT($B$3&amp;"."&amp;$B$158&amp;".energy[Tech description]")&amp;INDIRECT($B$3&amp;"."&amp;$B$158&amp;".energy[Energy description]"),0)),0)</f>
        <v>0</v>
      </c>
      <c r="AM204" s="152">
        <f t="array" aca="1" ref="AM204" ca="1">IFERROR(INDEX(INDIRECT($B$3&amp;"."&amp;$B$158&amp;".energy["&amp;This.year&amp;"]"),MATCH($C204&amp;AM$5,INDIRECT($B$3&amp;"."&amp;$B$158&amp;".energy[Tech description]")&amp;INDIRECT($B$3&amp;"."&amp;$B$158&amp;".energy[Energy description]"),0)),0)</f>
        <v>0</v>
      </c>
      <c r="AN204" s="152">
        <f t="array" aca="1" ref="AN204" ca="1">IFERROR(INDEX(INDIRECT($B$3&amp;"."&amp;$B$158&amp;".energy["&amp;This.year&amp;"]"),MATCH($C204&amp;AN$5,INDIRECT($B$3&amp;"."&amp;$B$158&amp;".energy[Tech description]")&amp;INDIRECT($B$3&amp;"."&amp;$B$158&amp;".energy[Energy description]"),0)),0)</f>
        <v>0</v>
      </c>
      <c r="AO204" s="152">
        <f t="shared" ca="1" si="26"/>
        <v>-3.4032396515364383E-3</v>
      </c>
      <c r="AP204" s="108"/>
      <c r="AQ204" s="21">
        <f t="array" aca="1" ref="AQ204" ca="1">IFERROR(INDEX(INDIRECT($B$3&amp;"."&amp;$B$158&amp;".energy["&amp;This.year&amp;"]"),MATCH($C204&amp;AQ$5,INDIRECT($B$3&amp;"."&amp;$B$158&amp;".energy[Tech description]")&amp;INDIRECT($B$3&amp;"."&amp;$B$158&amp;".energy[Energy description]"),0)),0)</f>
        <v>0</v>
      </c>
      <c r="AR204" s="21">
        <f t="array" aca="1" ref="AR204" ca="1">IFERROR(INDEX(INDIRECT($B$3&amp;"."&amp;$B$158&amp;".energy["&amp;This.year&amp;"]"),MATCH($C204&amp;AR$5,INDIRECT($B$3&amp;"."&amp;$B$158&amp;".energy[Tech description]")&amp;INDIRECT($B$3&amp;"."&amp;$B$158&amp;".energy[Energy description]"),0)),0)</f>
        <v>0</v>
      </c>
      <c r="AS204" s="21">
        <f t="array" aca="1" ref="AS204" ca="1">IFERROR(INDEX(INDIRECT($B$3&amp;"."&amp;$B$158&amp;".energy["&amp;This.year&amp;"]"),MATCH($C204&amp;AS$5,INDIRECT($B$3&amp;"."&amp;$B$158&amp;".energy[Tech description]")&amp;INDIRECT($B$3&amp;"."&amp;$B$158&amp;".energy[Energy description]"),0)),0)</f>
        <v>0</v>
      </c>
      <c r="AT204" s="21">
        <f t="array" aca="1" ref="AT204" ca="1">IFERROR(INDEX(INDIRECT($B$3&amp;"."&amp;$B$158&amp;".energy["&amp;This.year&amp;"]"),MATCH($C204&amp;AT$5,INDIRECT($B$3&amp;"."&amp;$B$158&amp;".energy[Tech description]")&amp;INDIRECT($B$3&amp;"."&amp;$B$158&amp;".energy[Energy description]"),0)),0)</f>
        <v>0</v>
      </c>
      <c r="AU204" s="21">
        <f t="array" aca="1" ref="AU204" ca="1">IFERROR(INDEX(INDIRECT($B$3&amp;"."&amp;$B$158&amp;".energy["&amp;This.year&amp;"]"),MATCH($C204&amp;AU$5,INDIRECT($B$3&amp;"."&amp;$B$158&amp;".energy[Tech description]")&amp;INDIRECT($B$3&amp;"."&amp;$B$158&amp;".energy[Energy description]"),0)),0)</f>
        <v>0</v>
      </c>
      <c r="AV204" s="21">
        <f t="array" aca="1" ref="AV204" ca="1">IFERROR(INDEX(INDIRECT($B$3&amp;"."&amp;$B$158&amp;".energy["&amp;This.year&amp;"]"),MATCH($C204&amp;AV$5,INDIRECT($B$3&amp;"."&amp;$B$158&amp;".energy[Tech description]")&amp;INDIRECT($B$3&amp;"."&amp;$B$158&amp;".energy[Energy description]"),0)),0)</f>
        <v>0</v>
      </c>
      <c r="AW204" s="21">
        <f t="array" aca="1" ref="AW204" ca="1">IFERROR(INDEX(INDIRECT($B$3&amp;"."&amp;$B$158&amp;".energy["&amp;This.year&amp;"]"),MATCH($C204&amp;AW$5,INDIRECT($B$3&amp;"."&amp;$B$158&amp;".energy[Tech description]")&amp;INDIRECT($B$3&amp;"."&amp;$B$158&amp;".energy[Energy description]"),0)),0)</f>
        <v>0</v>
      </c>
      <c r="AX204" s="21">
        <f t="array" aca="1" ref="AX204" ca="1">IFERROR(INDEX(INDIRECT($B$3&amp;"."&amp;$B$158&amp;".energy["&amp;This.year&amp;"]"),MATCH($C204&amp;AX$5,INDIRECT($B$3&amp;"."&amp;$B$158&amp;".energy[Tech description]")&amp;INDIRECT($B$3&amp;"."&amp;$B$158&amp;".energy[Energy description]"),0)),0)</f>
        <v>0</v>
      </c>
      <c r="AY204" s="21">
        <f t="array" aca="1" ref="AY204" ca="1">IFERROR(INDEX(INDIRECT($B$3&amp;"."&amp;$B$158&amp;".energy["&amp;This.year&amp;"]"),MATCH($C204&amp;AY$5,INDIRECT($B$3&amp;"."&amp;$B$158&amp;".energy[Tech description]")&amp;INDIRECT($B$3&amp;"."&amp;$B$158&amp;".energy[Energy description]"),0)),0)</f>
        <v>0</v>
      </c>
      <c r="AZ204" s="21">
        <f t="array" aca="1" ref="AZ204" ca="1">IFERROR(INDEX(INDIRECT($B$3&amp;"."&amp;$B$158&amp;".energy["&amp;This.year&amp;"]"),MATCH($C204&amp;AZ$5,INDIRECT($B$3&amp;"."&amp;$B$158&amp;".energy[Tech description]")&amp;INDIRECT($B$3&amp;"."&amp;$B$158&amp;".energy[Energy description]"),0)),0)</f>
        <v>0</v>
      </c>
      <c r="BA204" s="21">
        <f t="array" aca="1" ref="BA204" ca="1">IFERROR(INDEX(INDIRECT($B$3&amp;"."&amp;$B$158&amp;".energy["&amp;This.year&amp;"]"),MATCH($C204&amp;BA$5,INDIRECT($B$3&amp;"."&amp;$B$158&amp;".energy[Tech description]")&amp;INDIRECT($B$3&amp;"."&amp;$B$158&amp;".energy[Energy description]"),0)),0)</f>
        <v>0</v>
      </c>
      <c r="BB204" s="21">
        <f t="array" aca="1" ref="BB204" ca="1">IFERROR(INDEX(INDIRECT($B$3&amp;"."&amp;$B$158&amp;".energy["&amp;This.year&amp;"]"),MATCH($C204&amp;BB$5,INDIRECT($B$3&amp;"."&amp;$B$158&amp;".energy[Tech description]")&amp;INDIRECT($B$3&amp;"."&amp;$B$158&amp;".energy[Energy description]"),0)),0)</f>
        <v>0</v>
      </c>
      <c r="BC204" s="21">
        <f t="array" aca="1" ref="BC204" ca="1">IFERROR(INDEX(INDIRECT($B$3&amp;"."&amp;$B$158&amp;".energy["&amp;This.year&amp;"]"),MATCH($C204&amp;BC$5,INDIRECT($B$3&amp;"."&amp;$B$158&amp;".energy[Tech description]")&amp;INDIRECT($B$3&amp;"."&amp;$B$158&amp;".energy[Energy description]"),0)),0)</f>
        <v>0</v>
      </c>
      <c r="BD204" s="21">
        <f t="shared" ca="1" si="27"/>
        <v>0</v>
      </c>
      <c r="BE204" s="108"/>
      <c r="BF204" s="49">
        <f t="array" aca="1" ref="BF204" ca="1">IFERROR(INDEX(INDIRECT($B$3&amp;"."&amp;$B$158&amp;".energy["&amp;This.year&amp;"]"),MATCH($C204&amp;BF$5,INDIRECT($B$3&amp;"."&amp;$B$158&amp;".energy[Tech description]")&amp;INDIRECT($B$3&amp;"."&amp;$B$158&amp;".energy[Energy description]"),0)),0)</f>
        <v>0</v>
      </c>
      <c r="BG204" s="49">
        <f t="array" aca="1" ref="BG204" ca="1">IFERROR(INDEX(INDIRECT($B$3&amp;"."&amp;$B$158&amp;".energy["&amp;This.year&amp;"]"),MATCH($C204&amp;BG$5,INDIRECT($B$3&amp;"."&amp;$B$158&amp;".energy[Tech description]")&amp;INDIRECT($B$3&amp;"."&amp;$B$158&amp;".energy[Energy description]"),0)),0)</f>
        <v>0</v>
      </c>
      <c r="BH204" s="49">
        <f t="shared" ca="1" si="28"/>
        <v>0</v>
      </c>
      <c r="BI204" s="219">
        <f t="shared" ca="1" si="9"/>
        <v>0</v>
      </c>
      <c r="BJ204" s="108"/>
    </row>
    <row r="205" spans="1:62" s="54" customFormat="1">
      <c r="A205" s="133"/>
      <c r="B205" s="176" t="s">
        <v>1825</v>
      </c>
      <c r="C205" s="114" t="str">
        <f>INDEX(Regional.Technologies[Description],MATCH($B$3&amp;"."&amp;B205,Regional.Technologies[Code],0))</f>
        <v>Global Solid Hydrocarbons use in the Chemicals: High Value Chemicals  technology</v>
      </c>
      <c r="E205" s="121">
        <f t="array" aca="1" ref="E205" ca="1">IFERROR(INDEX(INDIRECT($B$3&amp;"."&amp;$B$158&amp;".energy["&amp;This.year&amp;"]"),MATCH($C205&amp;E$5,INDIRECT($B$3&amp;"."&amp;$B$158&amp;".energy[Tech description]")&amp;INDIRECT($B$3&amp;"."&amp;$B$158&amp;".energy[Energy description]"),0)),0)</f>
        <v>0</v>
      </c>
      <c r="F205" s="121">
        <f t="array" aca="1" ref="F205" ca="1">IFERROR(INDEX(INDIRECT($B$3&amp;"."&amp;$B$158&amp;".energy["&amp;This.year&amp;"]"),MATCH($C205&amp;F$5,INDIRECT($B$3&amp;"."&amp;$B$158&amp;".energy[Tech description]")&amp;INDIRECT($B$3&amp;"."&amp;$B$158&amp;".energy[Energy description]"),0)),0)</f>
        <v>0</v>
      </c>
      <c r="G205" s="121">
        <f t="array" aca="1" ref="G205" ca="1">IFERROR(INDEX(INDIRECT($B$3&amp;"."&amp;$B$158&amp;".energy["&amp;This.year&amp;"]"),MATCH($C205&amp;G$5,INDIRECT($B$3&amp;"."&amp;$B$158&amp;".energy[Tech description]")&amp;INDIRECT($B$3&amp;"."&amp;$B$158&amp;".energy[Energy description]"),0)),0)</f>
        <v>0</v>
      </c>
      <c r="H205" s="121">
        <f t="array" aca="1" ref="H205" ca="1">IFERROR(INDEX(INDIRECT($B$3&amp;"."&amp;$B$158&amp;".energy["&amp;This.year&amp;"]"),MATCH($C205&amp;H$5,INDIRECT($B$3&amp;"."&amp;$B$158&amp;".energy[Tech description]")&amp;INDIRECT($B$3&amp;"."&amp;$B$158&amp;".energy[Energy description]"),0)),0)</f>
        <v>0</v>
      </c>
      <c r="I205" s="121">
        <f t="array" aca="1" ref="I205" ca="1">IFERROR(INDEX(INDIRECT($B$3&amp;"."&amp;$B$158&amp;".energy["&amp;This.year&amp;"]"),MATCH($C205&amp;I$5,INDIRECT($B$3&amp;"."&amp;$B$158&amp;".energy[Tech description]")&amp;INDIRECT($B$3&amp;"."&amp;$B$158&amp;".energy[Energy description]"),0)),0)</f>
        <v>0</v>
      </c>
      <c r="J205" s="121">
        <f t="array" aca="1" ref="J205" ca="1">IFERROR(INDEX(INDIRECT($B$3&amp;"."&amp;$B$158&amp;".energy["&amp;This.year&amp;"]"),MATCH($C205&amp;J$5,INDIRECT($B$3&amp;"."&amp;$B$158&amp;".energy[Tech description]")&amp;INDIRECT($B$3&amp;"."&amp;$B$158&amp;".energy[Energy description]"),0)),0)</f>
        <v>0</v>
      </c>
      <c r="K205" s="121">
        <f t="array" aca="1" ref="K205" ca="1">IFERROR(INDEX(INDIRECT($B$3&amp;"."&amp;$B$158&amp;".energy["&amp;This.year&amp;"]"),MATCH($C205&amp;K$5,INDIRECT($B$3&amp;"."&amp;$B$158&amp;".energy[Tech description]")&amp;INDIRECT($B$3&amp;"."&amp;$B$158&amp;".energy[Energy description]"),0)),0)</f>
        <v>0</v>
      </c>
      <c r="L205" s="121">
        <f t="array" aca="1" ref="L205" ca="1">IFERROR(INDEX(INDIRECT($B$3&amp;"."&amp;$B$158&amp;".energy["&amp;This.year&amp;"]"),MATCH($C205&amp;L$5,INDIRECT($B$3&amp;"."&amp;$B$158&amp;".energy[Tech description]")&amp;INDIRECT($B$3&amp;"."&amp;$B$158&amp;".energy[Energy description]"),0)),0)</f>
        <v>0</v>
      </c>
      <c r="M205" s="121">
        <f t="array" aca="1" ref="M205" ca="1">IFERROR(INDEX(INDIRECT($B$3&amp;"."&amp;$B$158&amp;".energy["&amp;This.year&amp;"]"),MATCH($C205&amp;M$5,INDIRECT($B$3&amp;"."&amp;$B$158&amp;".energy[Tech description]")&amp;INDIRECT($B$3&amp;"."&amp;$B$158&amp;".energy[Energy description]"),0)),0)</f>
        <v>0</v>
      </c>
      <c r="N205" s="121">
        <f t="array" aca="1" ref="N205" ca="1">IFERROR(INDEX(INDIRECT($B$3&amp;"."&amp;$B$158&amp;".energy["&amp;This.year&amp;"]"),MATCH($C205&amp;N$5,INDIRECT($B$3&amp;"."&amp;$B$158&amp;".energy[Tech description]")&amp;INDIRECT($B$3&amp;"."&amp;$B$158&amp;".energy[Energy description]"),0)),0)</f>
        <v>0</v>
      </c>
      <c r="O205" s="121">
        <f t="array" aca="1" ref="O205" ca="1">IFERROR(INDEX(INDIRECT($B$3&amp;"."&amp;$B$158&amp;".energy["&amp;This.year&amp;"]"),MATCH($C205&amp;O$5,INDIRECT($B$3&amp;"."&amp;$B$158&amp;".energy[Tech description]")&amp;INDIRECT($B$3&amp;"."&amp;$B$158&amp;".energy[Energy description]"),0)),0)</f>
        <v>0</v>
      </c>
      <c r="P205" s="121">
        <f t="array" aca="1" ref="P205" ca="1">IFERROR(INDEX(INDIRECT($B$3&amp;"."&amp;$B$158&amp;".energy["&amp;This.year&amp;"]"),MATCH($C205&amp;P$5,INDIRECT($B$3&amp;"."&amp;$B$158&amp;".energy[Tech description]")&amp;INDIRECT($B$3&amp;"."&amp;$B$158&amp;".energy[Energy description]"),0)),0)</f>
        <v>0</v>
      </c>
      <c r="Q205" s="121">
        <f t="array" aca="1" ref="Q205" ca="1">IFERROR(INDEX(INDIRECT($B$3&amp;"."&amp;$B$158&amp;".energy["&amp;This.year&amp;"]"),MATCH($C205&amp;Q$5,INDIRECT($B$3&amp;"."&amp;$B$158&amp;".energy[Tech description]")&amp;INDIRECT($B$3&amp;"."&amp;$B$158&amp;".energy[Energy description]"),0)),0)</f>
        <v>0</v>
      </c>
      <c r="R205" s="121">
        <f t="array" aca="1" ref="R205" ca="1">IFERROR(INDEX(INDIRECT($B$3&amp;"."&amp;$B$158&amp;".energy["&amp;This.year&amp;"]"),MATCH($C205&amp;R$5,INDIRECT($B$3&amp;"."&amp;$B$158&amp;".energy[Tech description]")&amp;INDIRECT($B$3&amp;"."&amp;$B$158&amp;".energy[Energy description]"),0)),0)</f>
        <v>0</v>
      </c>
      <c r="S205" s="121">
        <f t="array" aca="1" ref="S205" ca="1">IFERROR(INDEX(INDIRECT($B$3&amp;"."&amp;$B$158&amp;".energy["&amp;This.year&amp;"]"),MATCH($C205&amp;S$5,INDIRECT($B$3&amp;"."&amp;$B$158&amp;".energy[Tech description]")&amp;INDIRECT($B$3&amp;"."&amp;$B$158&amp;".energy[Energy description]"),0)),0)</f>
        <v>0</v>
      </c>
      <c r="T205" s="121">
        <f t="shared" ca="1" si="25"/>
        <v>0</v>
      </c>
      <c r="U205" s="109"/>
      <c r="V205" s="152">
        <f t="array" aca="1" ref="V205" ca="1">IFERROR(INDEX(INDIRECT($B$3&amp;"."&amp;$B$158&amp;".energy["&amp;This.year&amp;"]"),MATCH($C205&amp;V$5,INDIRECT($B$3&amp;"."&amp;$B$158&amp;".energy[Tech description]")&amp;INDIRECT($B$3&amp;"."&amp;$B$158&amp;".energy[Energy description]"),0)),0)</f>
        <v>0</v>
      </c>
      <c r="W205" s="152">
        <f t="array" aca="1" ref="W205" ca="1">IFERROR(INDEX(INDIRECT($B$3&amp;"."&amp;$B$158&amp;".energy["&amp;This.year&amp;"]"),MATCH($C205&amp;W$5,INDIRECT($B$3&amp;"."&amp;$B$158&amp;".energy[Tech description]")&amp;INDIRECT($B$3&amp;"."&amp;$B$158&amp;".energy[Energy description]"),0)),0)</f>
        <v>0</v>
      </c>
      <c r="X205" s="152">
        <f t="array" aca="1" ref="X205" ca="1">IFERROR(INDEX(INDIRECT($B$3&amp;"."&amp;$B$158&amp;".energy["&amp;This.year&amp;"]"),MATCH($C205&amp;X$5,INDIRECT($B$3&amp;"."&amp;$B$158&amp;".energy[Tech description]")&amp;INDIRECT($B$3&amp;"."&amp;$B$158&amp;".energy[Energy description]"),0)),0)</f>
        <v>0</v>
      </c>
      <c r="Y205" s="152">
        <f t="array" aca="1" ref="Y205" ca="1">IFERROR(INDEX(INDIRECT($B$3&amp;"."&amp;$B$158&amp;".energy["&amp;This.year&amp;"]"),MATCH($C205&amp;Y$5,INDIRECT($B$3&amp;"."&amp;$B$158&amp;".energy[Tech description]")&amp;INDIRECT($B$3&amp;"."&amp;$B$158&amp;".energy[Energy description]"),0)),0)</f>
        <v>0</v>
      </c>
      <c r="Z205" s="152">
        <f t="array" aca="1" ref="Z205" ca="1">IFERROR(INDEX(INDIRECT($B$3&amp;"."&amp;$B$158&amp;".energy["&amp;This.year&amp;"]"),MATCH($C205&amp;Z$5,INDIRECT($B$3&amp;"."&amp;$B$158&amp;".energy[Tech description]")&amp;INDIRECT($B$3&amp;"."&amp;$B$158&amp;".energy[Energy description]"),0)),0)</f>
        <v>0</v>
      </c>
      <c r="AA205" s="152">
        <f t="array" aca="1" ref="AA205" ca="1">IFERROR(INDEX(INDIRECT($B$3&amp;"."&amp;$B$158&amp;".energy["&amp;This.year&amp;"]"),MATCH($C205&amp;AA$5,INDIRECT($B$3&amp;"."&amp;$B$158&amp;".energy[Tech description]")&amp;INDIRECT($B$3&amp;"."&amp;$B$158&amp;".energy[Energy description]"),0)),0)</f>
        <v>0</v>
      </c>
      <c r="AB205" s="152">
        <f t="array" aca="1" ref="AB205" ca="1">IFERROR(INDEX(INDIRECT($B$3&amp;"."&amp;$B$158&amp;".energy["&amp;This.year&amp;"]"),MATCH($C205&amp;AB$5,INDIRECT($B$3&amp;"."&amp;$B$158&amp;".energy[Tech description]")&amp;INDIRECT($B$3&amp;"."&amp;$B$158&amp;".energy[Energy description]"),0)),0)</f>
        <v>0</v>
      </c>
      <c r="AC205" s="152">
        <f t="array" aca="1" ref="AC205" ca="1">IFERROR(INDEX(INDIRECT($B$3&amp;"."&amp;$B$158&amp;".energy["&amp;This.year&amp;"]"),MATCH($C205&amp;AC$5,INDIRECT($B$3&amp;"."&amp;$B$158&amp;".energy[Tech description]")&amp;INDIRECT($B$3&amp;"."&amp;$B$158&amp;".energy[Energy description]"),0)),0)</f>
        <v>0</v>
      </c>
      <c r="AD205" s="152">
        <f t="array" aca="1" ref="AD205" ca="1">IFERROR(INDEX(INDIRECT($B$3&amp;"."&amp;$B$158&amp;".energy["&amp;This.year&amp;"]"),MATCH($C205&amp;AD$5,INDIRECT($B$3&amp;"."&amp;$B$158&amp;".energy[Tech description]")&amp;INDIRECT($B$3&amp;"."&amp;$B$158&amp;".energy[Energy description]"),0)),0)</f>
        <v>0</v>
      </c>
      <c r="AE205" s="152">
        <f t="array" aca="1" ref="AE205" ca="1">IFERROR(INDEX(INDIRECT($B$3&amp;"."&amp;$B$158&amp;".energy["&amp;This.year&amp;"]"),MATCH($C205&amp;AE$5,INDIRECT($B$3&amp;"."&amp;$B$158&amp;".energy[Tech description]")&amp;INDIRECT($B$3&amp;"."&amp;$B$158&amp;".energy[Energy description]"),0)),0)</f>
        <v>0</v>
      </c>
      <c r="AF205" s="152">
        <f t="array" aca="1" ref="AF205" ca="1">IFERROR(INDEX(INDIRECT($B$3&amp;"."&amp;$B$158&amp;".energy["&amp;This.year&amp;"]"),MATCH($C205&amp;AF$5,INDIRECT($B$3&amp;"."&amp;$B$158&amp;".energy[Tech description]")&amp;INDIRECT($B$3&amp;"."&amp;$B$158&amp;".energy[Energy description]"),0)),0)</f>
        <v>0</v>
      </c>
      <c r="AG205" s="152">
        <f t="array" aca="1" ref="AG205" ca="1">IFERROR(INDEX(INDIRECT($B$3&amp;"."&amp;$B$158&amp;".energy["&amp;This.year&amp;"]"),MATCH($C205&amp;AG$5,INDIRECT($B$3&amp;"."&amp;$B$158&amp;".energy[Tech description]")&amp;INDIRECT($B$3&amp;"."&amp;$B$158&amp;".energy[Energy description]"),0)),0)</f>
        <v>0</v>
      </c>
      <c r="AH205" s="152">
        <f t="array" aca="1" ref="AH205" ca="1">IFERROR(INDEX(INDIRECT($B$3&amp;"."&amp;$B$158&amp;".energy["&amp;This.year&amp;"]"),MATCH($C205&amp;AH$5,INDIRECT($B$3&amp;"."&amp;$B$158&amp;".energy[Tech description]")&amp;INDIRECT($B$3&amp;"."&amp;$B$158&amp;".energy[Energy description]"),0)),0)</f>
        <v>0</v>
      </c>
      <c r="AI205" s="152">
        <f t="array" aca="1" ref="AI205" ca="1">IFERROR(INDEX(INDIRECT($B$3&amp;"."&amp;$B$158&amp;".energy["&amp;This.year&amp;"]"),MATCH($C205&amp;AI$5,INDIRECT($B$3&amp;"."&amp;$B$158&amp;".energy[Tech description]")&amp;INDIRECT($B$3&amp;"."&amp;$B$158&amp;".energy[Energy description]"),0)),0)</f>
        <v>0</v>
      </c>
      <c r="AJ205" s="152">
        <f t="array" aca="1" ref="AJ205" ca="1">IFERROR(INDEX(INDIRECT($B$3&amp;"."&amp;$B$158&amp;".energy["&amp;This.year&amp;"]"),MATCH($C205&amp;AJ$5,INDIRECT($B$3&amp;"."&amp;$B$158&amp;".energy[Tech description]")&amp;INDIRECT($B$3&amp;"."&amp;$B$158&amp;".energy[Energy description]"),0)),0)</f>
        <v>0</v>
      </c>
      <c r="AK205" s="152">
        <f t="array" aca="1" ref="AK205" ca="1">IFERROR(INDEX(INDIRECT($B$3&amp;"."&amp;$B$158&amp;".energy["&amp;This.year&amp;"]"),MATCH($C205&amp;AK$5,INDIRECT($B$3&amp;"."&amp;$B$158&amp;".energy[Tech description]")&amp;INDIRECT($B$3&amp;"."&amp;$B$158&amp;".energy[Energy description]"),0)),0)</f>
        <v>0</v>
      </c>
      <c r="AL205" s="152">
        <f t="array" aca="1" ref="AL205" ca="1">IFERROR(INDEX(INDIRECT($B$3&amp;"."&amp;$B$158&amp;".energy["&amp;This.year&amp;"]"),MATCH($C205&amp;AL$5,INDIRECT($B$3&amp;"."&amp;$B$158&amp;".energy[Tech description]")&amp;INDIRECT($B$3&amp;"."&amp;$B$158&amp;".energy[Energy description]"),0)),0)</f>
        <v>0</v>
      </c>
      <c r="AM205" s="152">
        <f t="array" aca="1" ref="AM205" ca="1">IFERROR(INDEX(INDIRECT($B$3&amp;"."&amp;$B$158&amp;".energy["&amp;This.year&amp;"]"),MATCH($C205&amp;AM$5,INDIRECT($B$3&amp;"."&amp;$B$158&amp;".energy[Tech description]")&amp;INDIRECT($B$3&amp;"."&amp;$B$158&amp;".energy[Energy description]"),0)),0)</f>
        <v>0</v>
      </c>
      <c r="AN205" s="152">
        <f t="array" aca="1" ref="AN205" ca="1">IFERROR(INDEX(INDIRECT($B$3&amp;"."&amp;$B$158&amp;".energy["&amp;This.year&amp;"]"),MATCH($C205&amp;AN$5,INDIRECT($B$3&amp;"."&amp;$B$158&amp;".energy[Tech description]")&amp;INDIRECT($B$3&amp;"."&amp;$B$158&amp;".energy[Energy description]"),0)),0)</f>
        <v>0</v>
      </c>
      <c r="AO205" s="152">
        <f t="shared" ca="1" si="26"/>
        <v>0</v>
      </c>
      <c r="AP205" s="108"/>
      <c r="AQ205" s="21">
        <f t="array" aca="1" ref="AQ205" ca="1">IFERROR(INDEX(INDIRECT($B$3&amp;"."&amp;$B$158&amp;".energy["&amp;This.year&amp;"]"),MATCH($C205&amp;AQ$5,INDIRECT($B$3&amp;"."&amp;$B$158&amp;".energy[Tech description]")&amp;INDIRECT($B$3&amp;"."&amp;$B$158&amp;".energy[Energy description]"),0)),0)</f>
        <v>0</v>
      </c>
      <c r="AR205" s="21">
        <f t="array" aca="1" ref="AR205" ca="1">IFERROR(INDEX(INDIRECT($B$3&amp;"."&amp;$B$158&amp;".energy["&amp;This.year&amp;"]"),MATCH($C205&amp;AR$5,INDIRECT($B$3&amp;"."&amp;$B$158&amp;".energy[Tech description]")&amp;INDIRECT($B$3&amp;"."&amp;$B$158&amp;".energy[Energy description]"),0)),0)</f>
        <v>0</v>
      </c>
      <c r="AS205" s="21">
        <f t="array" aca="1" ref="AS205" ca="1">IFERROR(INDEX(INDIRECT($B$3&amp;"."&amp;$B$158&amp;".energy["&amp;This.year&amp;"]"),MATCH($C205&amp;AS$5,INDIRECT($B$3&amp;"."&amp;$B$158&amp;".energy[Tech description]")&amp;INDIRECT($B$3&amp;"."&amp;$B$158&amp;".energy[Energy description]"),0)),0)</f>
        <v>0</v>
      </c>
      <c r="AT205" s="21">
        <f t="array" aca="1" ref="AT205" ca="1">IFERROR(INDEX(INDIRECT($B$3&amp;"."&amp;$B$158&amp;".energy["&amp;This.year&amp;"]"),MATCH($C205&amp;AT$5,INDIRECT($B$3&amp;"."&amp;$B$158&amp;".energy[Tech description]")&amp;INDIRECT($B$3&amp;"."&amp;$B$158&amp;".energy[Energy description]"),0)),0)</f>
        <v>0</v>
      </c>
      <c r="AU205" s="21">
        <f t="array" aca="1" ref="AU205" ca="1">IFERROR(INDEX(INDIRECT($B$3&amp;"."&amp;$B$158&amp;".energy["&amp;This.year&amp;"]"),MATCH($C205&amp;AU$5,INDIRECT($B$3&amp;"."&amp;$B$158&amp;".energy[Tech description]")&amp;INDIRECT($B$3&amp;"."&amp;$B$158&amp;".energy[Energy description]"),0)),0)</f>
        <v>0</v>
      </c>
      <c r="AV205" s="21">
        <f t="array" aca="1" ref="AV205" ca="1">IFERROR(INDEX(INDIRECT($B$3&amp;"."&amp;$B$158&amp;".energy["&amp;This.year&amp;"]"),MATCH($C205&amp;AV$5,INDIRECT($B$3&amp;"."&amp;$B$158&amp;".energy[Tech description]")&amp;INDIRECT($B$3&amp;"."&amp;$B$158&amp;".energy[Energy description]"),0)),0)</f>
        <v>0</v>
      </c>
      <c r="AW205" s="21">
        <f t="array" aca="1" ref="AW205" ca="1">IFERROR(INDEX(INDIRECT($B$3&amp;"."&amp;$B$158&amp;".energy["&amp;This.year&amp;"]"),MATCH($C205&amp;AW$5,INDIRECT($B$3&amp;"."&amp;$B$158&amp;".energy[Tech description]")&amp;INDIRECT($B$3&amp;"."&amp;$B$158&amp;".energy[Energy description]"),0)),0)</f>
        <v>0</v>
      </c>
      <c r="AX205" s="21">
        <f t="array" aca="1" ref="AX205" ca="1">IFERROR(INDEX(INDIRECT($B$3&amp;"."&amp;$B$158&amp;".energy["&amp;This.year&amp;"]"),MATCH($C205&amp;AX$5,INDIRECT($B$3&amp;"."&amp;$B$158&amp;".energy[Tech description]")&amp;INDIRECT($B$3&amp;"."&amp;$B$158&amp;".energy[Energy description]"),0)),0)</f>
        <v>0</v>
      </c>
      <c r="AY205" s="21">
        <f t="array" aca="1" ref="AY205" ca="1">IFERROR(INDEX(INDIRECT($B$3&amp;"."&amp;$B$158&amp;".energy["&amp;This.year&amp;"]"),MATCH($C205&amp;AY$5,INDIRECT($B$3&amp;"."&amp;$B$158&amp;".energy[Tech description]")&amp;INDIRECT($B$3&amp;"."&amp;$B$158&amp;".energy[Energy description]"),0)),0)</f>
        <v>0</v>
      </c>
      <c r="AZ205" s="21">
        <f t="array" aca="1" ref="AZ205" ca="1">IFERROR(INDEX(INDIRECT($B$3&amp;"."&amp;$B$158&amp;".energy["&amp;This.year&amp;"]"),MATCH($C205&amp;AZ$5,INDIRECT($B$3&amp;"."&amp;$B$158&amp;".energy[Tech description]")&amp;INDIRECT($B$3&amp;"."&amp;$B$158&amp;".energy[Energy description]"),0)),0)</f>
        <v>0</v>
      </c>
      <c r="BA205" s="21">
        <f t="array" aca="1" ref="BA205" ca="1">IFERROR(INDEX(INDIRECT($B$3&amp;"."&amp;$B$158&amp;".energy["&amp;This.year&amp;"]"),MATCH($C205&amp;BA$5,INDIRECT($B$3&amp;"."&amp;$B$158&amp;".energy[Tech description]")&amp;INDIRECT($B$3&amp;"."&amp;$B$158&amp;".energy[Energy description]"),0)),0)</f>
        <v>0</v>
      </c>
      <c r="BB205" s="21">
        <f t="array" aca="1" ref="BB205" ca="1">IFERROR(INDEX(INDIRECT($B$3&amp;"."&amp;$B$158&amp;".energy["&amp;This.year&amp;"]"),MATCH($C205&amp;BB$5,INDIRECT($B$3&amp;"."&amp;$B$158&amp;".energy[Tech description]")&amp;INDIRECT($B$3&amp;"."&amp;$B$158&amp;".energy[Energy description]"),0)),0)</f>
        <v>0</v>
      </c>
      <c r="BC205" s="21">
        <f t="array" aca="1" ref="BC205" ca="1">IFERROR(INDEX(INDIRECT($B$3&amp;"."&amp;$B$158&amp;".energy["&amp;This.year&amp;"]"),MATCH($C205&amp;BC$5,INDIRECT($B$3&amp;"."&amp;$B$158&amp;".energy[Tech description]")&amp;INDIRECT($B$3&amp;"."&amp;$B$158&amp;".energy[Energy description]"),0)),0)</f>
        <v>0</v>
      </c>
      <c r="BD205" s="21">
        <f t="shared" ca="1" si="27"/>
        <v>0</v>
      </c>
      <c r="BE205" s="108"/>
      <c r="BF205" s="49">
        <f t="array" aca="1" ref="BF205" ca="1">IFERROR(INDEX(INDIRECT($B$3&amp;"."&amp;$B$158&amp;".energy["&amp;This.year&amp;"]"),MATCH($C205&amp;BF$5,INDIRECT($B$3&amp;"."&amp;$B$158&amp;".energy[Tech description]")&amp;INDIRECT($B$3&amp;"."&amp;$B$158&amp;".energy[Energy description]"),0)),0)</f>
        <v>0</v>
      </c>
      <c r="BG205" s="49">
        <f t="array" aca="1" ref="BG205" ca="1">IFERROR(INDEX(INDIRECT($B$3&amp;"."&amp;$B$158&amp;".energy["&amp;This.year&amp;"]"),MATCH($C205&amp;BG$5,INDIRECT($B$3&amp;"."&amp;$B$158&amp;".energy[Tech description]")&amp;INDIRECT($B$3&amp;"."&amp;$B$158&amp;".energy[Energy description]"),0)),0)</f>
        <v>0</v>
      </c>
      <c r="BH205" s="49">
        <f t="shared" ca="1" si="28"/>
        <v>0</v>
      </c>
      <c r="BI205" s="219">
        <f t="shared" ca="1" si="9"/>
        <v>0</v>
      </c>
      <c r="BJ205" s="108"/>
    </row>
    <row r="206" spans="1:62" s="54" customFormat="1">
      <c r="A206" s="133"/>
      <c r="B206" s="176" t="s">
        <v>1826</v>
      </c>
      <c r="C206" s="114" t="str">
        <f>INDEX(Regional.Technologies[Description],MATCH($B$3&amp;"."&amp;B206,Regional.Technologies[Code],0))</f>
        <v>Global Heat use in the Chemicals: High Value Chemicals  technology</v>
      </c>
      <c r="E206" s="121">
        <f t="array" aca="1" ref="E206" ca="1">IFERROR(INDEX(INDIRECT($B$3&amp;"."&amp;$B$158&amp;".energy["&amp;This.year&amp;"]"),MATCH($C206&amp;E$5,INDIRECT($B$3&amp;"."&amp;$B$158&amp;".energy[Tech description]")&amp;INDIRECT($B$3&amp;"."&amp;$B$158&amp;".energy[Energy description]"),0)),0)</f>
        <v>0</v>
      </c>
      <c r="F206" s="121">
        <f t="array" aca="1" ref="F206" ca="1">IFERROR(INDEX(INDIRECT($B$3&amp;"."&amp;$B$158&amp;".energy["&amp;This.year&amp;"]"),MATCH($C206&amp;F$5,INDIRECT($B$3&amp;"."&amp;$B$158&amp;".energy[Tech description]")&amp;INDIRECT($B$3&amp;"."&amp;$B$158&amp;".energy[Energy description]"),0)),0)</f>
        <v>0</v>
      </c>
      <c r="G206" s="121">
        <f t="array" aca="1" ref="G206" ca="1">IFERROR(INDEX(INDIRECT($B$3&amp;"."&amp;$B$158&amp;".energy["&amp;This.year&amp;"]"),MATCH($C206&amp;G$5,INDIRECT($B$3&amp;"."&amp;$B$158&amp;".energy[Tech description]")&amp;INDIRECT($B$3&amp;"."&amp;$B$158&amp;".energy[Energy description]"),0)),0)</f>
        <v>0</v>
      </c>
      <c r="H206" s="121">
        <f t="array" aca="1" ref="H206" ca="1">IFERROR(INDEX(INDIRECT($B$3&amp;"."&amp;$B$158&amp;".energy["&amp;This.year&amp;"]"),MATCH($C206&amp;H$5,INDIRECT($B$3&amp;"."&amp;$B$158&amp;".energy[Tech description]")&amp;INDIRECT($B$3&amp;"."&amp;$B$158&amp;".energy[Energy description]"),0)),0)</f>
        <v>0</v>
      </c>
      <c r="I206" s="121">
        <f t="array" aca="1" ref="I206" ca="1">IFERROR(INDEX(INDIRECT($B$3&amp;"."&amp;$B$158&amp;".energy["&amp;This.year&amp;"]"),MATCH($C206&amp;I$5,INDIRECT($B$3&amp;"."&amp;$B$158&amp;".energy[Tech description]")&amp;INDIRECT($B$3&amp;"."&amp;$B$158&amp;".energy[Energy description]"),0)),0)</f>
        <v>0</v>
      </c>
      <c r="J206" s="121">
        <f t="array" aca="1" ref="J206" ca="1">IFERROR(INDEX(INDIRECT($B$3&amp;"."&amp;$B$158&amp;".energy["&amp;This.year&amp;"]"),MATCH($C206&amp;J$5,INDIRECT($B$3&amp;"."&amp;$B$158&amp;".energy[Tech description]")&amp;INDIRECT($B$3&amp;"."&amp;$B$158&amp;".energy[Energy description]"),0)),0)</f>
        <v>0</v>
      </c>
      <c r="K206" s="121">
        <f t="array" aca="1" ref="K206" ca="1">IFERROR(INDEX(INDIRECT($B$3&amp;"."&amp;$B$158&amp;".energy["&amp;This.year&amp;"]"),MATCH($C206&amp;K$5,INDIRECT($B$3&amp;"."&amp;$B$158&amp;".energy[Tech description]")&amp;INDIRECT($B$3&amp;"."&amp;$B$158&amp;".energy[Energy description]"),0)),0)</f>
        <v>0</v>
      </c>
      <c r="L206" s="121">
        <f t="array" aca="1" ref="L206" ca="1">IFERROR(INDEX(INDIRECT($B$3&amp;"."&amp;$B$158&amp;".energy["&amp;This.year&amp;"]"),MATCH($C206&amp;L$5,INDIRECT($B$3&amp;"."&amp;$B$158&amp;".energy[Tech description]")&amp;INDIRECT($B$3&amp;"."&amp;$B$158&amp;".energy[Energy description]"),0)),0)</f>
        <v>0</v>
      </c>
      <c r="M206" s="121">
        <f t="array" aca="1" ref="M206" ca="1">IFERROR(INDEX(INDIRECT($B$3&amp;"."&amp;$B$158&amp;".energy["&amp;This.year&amp;"]"),MATCH($C206&amp;M$5,INDIRECT($B$3&amp;"."&amp;$B$158&amp;".energy[Tech description]")&amp;INDIRECT($B$3&amp;"."&amp;$B$158&amp;".energy[Energy description]"),0)),0)</f>
        <v>0</v>
      </c>
      <c r="N206" s="121">
        <f t="array" aca="1" ref="N206" ca="1">IFERROR(INDEX(INDIRECT($B$3&amp;"."&amp;$B$158&amp;".energy["&amp;This.year&amp;"]"),MATCH($C206&amp;N$5,INDIRECT($B$3&amp;"."&amp;$B$158&amp;".energy[Tech description]")&amp;INDIRECT($B$3&amp;"."&amp;$B$158&amp;".energy[Energy description]"),0)),0)</f>
        <v>0</v>
      </c>
      <c r="O206" s="121">
        <f t="array" aca="1" ref="O206" ca="1">IFERROR(INDEX(INDIRECT($B$3&amp;"."&amp;$B$158&amp;".energy["&amp;This.year&amp;"]"),MATCH($C206&amp;O$5,INDIRECT($B$3&amp;"."&amp;$B$158&amp;".energy[Tech description]")&amp;INDIRECT($B$3&amp;"."&amp;$B$158&amp;".energy[Energy description]"),0)),0)</f>
        <v>0</v>
      </c>
      <c r="P206" s="121">
        <f t="array" aca="1" ref="P206" ca="1">IFERROR(INDEX(INDIRECT($B$3&amp;"."&amp;$B$158&amp;".energy["&amp;This.year&amp;"]"),MATCH($C206&amp;P$5,INDIRECT($B$3&amp;"."&amp;$B$158&amp;".energy[Tech description]")&amp;INDIRECT($B$3&amp;"."&amp;$B$158&amp;".energy[Energy description]"),0)),0)</f>
        <v>0</v>
      </c>
      <c r="Q206" s="121">
        <f t="array" aca="1" ref="Q206" ca="1">IFERROR(INDEX(INDIRECT($B$3&amp;"."&amp;$B$158&amp;".energy["&amp;This.year&amp;"]"),MATCH($C206&amp;Q$5,INDIRECT($B$3&amp;"."&amp;$B$158&amp;".energy[Tech description]")&amp;INDIRECT($B$3&amp;"."&amp;$B$158&amp;".energy[Energy description]"),0)),0)</f>
        <v>0</v>
      </c>
      <c r="R206" s="121">
        <f t="array" aca="1" ref="R206" ca="1">IFERROR(INDEX(INDIRECT($B$3&amp;"."&amp;$B$158&amp;".energy["&amp;This.year&amp;"]"),MATCH($C206&amp;R$5,INDIRECT($B$3&amp;"."&amp;$B$158&amp;".energy[Tech description]")&amp;INDIRECT($B$3&amp;"."&amp;$B$158&amp;".energy[Energy description]"),0)),0)</f>
        <v>0</v>
      </c>
      <c r="S206" s="121">
        <f t="array" aca="1" ref="S206" ca="1">IFERROR(INDEX(INDIRECT($B$3&amp;"."&amp;$B$158&amp;".energy["&amp;This.year&amp;"]"),MATCH($C206&amp;S$5,INDIRECT($B$3&amp;"."&amp;$B$158&amp;".energy[Tech description]")&amp;INDIRECT($B$3&amp;"."&amp;$B$158&amp;".energy[Energy description]"),0)),0)</f>
        <v>0</v>
      </c>
      <c r="T206" s="121">
        <f t="shared" ca="1" si="25"/>
        <v>0</v>
      </c>
      <c r="U206" s="109"/>
      <c r="V206" s="152">
        <f t="array" aca="1" ref="V206" ca="1">IFERROR(INDEX(INDIRECT($B$3&amp;"."&amp;$B$158&amp;".energy["&amp;This.year&amp;"]"),MATCH($C206&amp;V$5,INDIRECT($B$3&amp;"."&amp;$B$158&amp;".energy[Tech description]")&amp;INDIRECT($B$3&amp;"."&amp;$B$158&amp;".energy[Energy description]"),0)),0)</f>
        <v>0</v>
      </c>
      <c r="W206" s="152">
        <f t="array" aca="1" ref="W206" ca="1">IFERROR(INDEX(INDIRECT($B$3&amp;"."&amp;$B$158&amp;".energy["&amp;This.year&amp;"]"),MATCH($C206&amp;W$5,INDIRECT($B$3&amp;"."&amp;$B$158&amp;".energy[Tech description]")&amp;INDIRECT($B$3&amp;"."&amp;$B$158&amp;".energy[Energy description]"),0)),0)</f>
        <v>0</v>
      </c>
      <c r="X206" s="152">
        <f t="array" aca="1" ref="X206" ca="1">IFERROR(INDEX(INDIRECT($B$3&amp;"."&amp;$B$158&amp;".energy["&amp;This.year&amp;"]"),MATCH($C206&amp;X$5,INDIRECT($B$3&amp;"."&amp;$B$158&amp;".energy[Tech description]")&amp;INDIRECT($B$3&amp;"."&amp;$B$158&amp;".energy[Energy description]"),0)),0)</f>
        <v>0</v>
      </c>
      <c r="Y206" s="152">
        <f t="array" aca="1" ref="Y206" ca="1">IFERROR(INDEX(INDIRECT($B$3&amp;"."&amp;$B$158&amp;".energy["&amp;This.year&amp;"]"),MATCH($C206&amp;Y$5,INDIRECT($B$3&amp;"."&amp;$B$158&amp;".energy[Tech description]")&amp;INDIRECT($B$3&amp;"."&amp;$B$158&amp;".energy[Energy description]"),0)),0)</f>
        <v>0</v>
      </c>
      <c r="Z206" s="152">
        <f t="array" aca="1" ref="Z206" ca="1">IFERROR(INDEX(INDIRECT($B$3&amp;"."&amp;$B$158&amp;".energy["&amp;This.year&amp;"]"),MATCH($C206&amp;Z$5,INDIRECT($B$3&amp;"."&amp;$B$158&amp;".energy[Tech description]")&amp;INDIRECT($B$3&amp;"."&amp;$B$158&amp;".energy[Energy description]"),0)),0)</f>
        <v>0</v>
      </c>
      <c r="AA206" s="152">
        <f t="array" aca="1" ref="AA206" ca="1">IFERROR(INDEX(INDIRECT($B$3&amp;"."&amp;$B$158&amp;".energy["&amp;This.year&amp;"]"),MATCH($C206&amp;AA$5,INDIRECT($B$3&amp;"."&amp;$B$158&amp;".energy[Tech description]")&amp;INDIRECT($B$3&amp;"."&amp;$B$158&amp;".energy[Energy description]"),0)),0)</f>
        <v>0</v>
      </c>
      <c r="AB206" s="152">
        <f t="array" aca="1" ref="AB206" ca="1">IFERROR(INDEX(INDIRECT($B$3&amp;"."&amp;$B$158&amp;".energy["&amp;This.year&amp;"]"),MATCH($C206&amp;AB$5,INDIRECT($B$3&amp;"."&amp;$B$158&amp;".energy[Tech description]")&amp;INDIRECT($B$3&amp;"."&amp;$B$158&amp;".energy[Energy description]"),0)),0)</f>
        <v>0</v>
      </c>
      <c r="AC206" s="152">
        <f t="array" aca="1" ref="AC206" ca="1">IFERROR(INDEX(INDIRECT($B$3&amp;"."&amp;$B$158&amp;".energy["&amp;This.year&amp;"]"),MATCH($C206&amp;AC$5,INDIRECT($B$3&amp;"."&amp;$B$158&amp;".energy[Tech description]")&amp;INDIRECT($B$3&amp;"."&amp;$B$158&amp;".energy[Energy description]"),0)),0)</f>
        <v>0</v>
      </c>
      <c r="AD206" s="152">
        <f t="array" aca="1" ref="AD206" ca="1">IFERROR(INDEX(INDIRECT($B$3&amp;"."&amp;$B$158&amp;".energy["&amp;This.year&amp;"]"),MATCH($C206&amp;AD$5,INDIRECT($B$3&amp;"."&amp;$B$158&amp;".energy[Tech description]")&amp;INDIRECT($B$3&amp;"."&amp;$B$158&amp;".energy[Energy description]"),0)),0)</f>
        <v>0</v>
      </c>
      <c r="AE206" s="152">
        <f t="array" aca="1" ref="AE206" ca="1">IFERROR(INDEX(INDIRECT($B$3&amp;"."&amp;$B$158&amp;".energy["&amp;This.year&amp;"]"),MATCH($C206&amp;AE$5,INDIRECT($B$3&amp;"."&amp;$B$158&amp;".energy[Tech description]")&amp;INDIRECT($B$3&amp;"."&amp;$B$158&amp;".energy[Energy description]"),0)),0)</f>
        <v>0</v>
      </c>
      <c r="AF206" s="152">
        <f t="array" aca="1" ref="AF206" ca="1">IFERROR(INDEX(INDIRECT($B$3&amp;"."&amp;$B$158&amp;".energy["&amp;This.year&amp;"]"),MATCH($C206&amp;AF$5,INDIRECT($B$3&amp;"."&amp;$B$158&amp;".energy[Tech description]")&amp;INDIRECT($B$3&amp;"."&amp;$B$158&amp;".energy[Energy description]"),0)),0)</f>
        <v>0</v>
      </c>
      <c r="AG206" s="152">
        <f t="array" aca="1" ref="AG206" ca="1">IFERROR(INDEX(INDIRECT($B$3&amp;"."&amp;$B$158&amp;".energy["&amp;This.year&amp;"]"),MATCH($C206&amp;AG$5,INDIRECT($B$3&amp;"."&amp;$B$158&amp;".energy[Tech description]")&amp;INDIRECT($B$3&amp;"."&amp;$B$158&amp;".energy[Energy description]"),0)),0)</f>
        <v>0</v>
      </c>
      <c r="AH206" s="152">
        <f t="array" aca="1" ref="AH206" ca="1">IFERROR(INDEX(INDIRECT($B$3&amp;"."&amp;$B$158&amp;".energy["&amp;This.year&amp;"]"),MATCH($C206&amp;AH$5,INDIRECT($B$3&amp;"."&amp;$B$158&amp;".energy[Tech description]")&amp;INDIRECT($B$3&amp;"."&amp;$B$158&amp;".energy[Energy description]"),0)),0)</f>
        <v>0</v>
      </c>
      <c r="AI206" s="152">
        <f t="array" aca="1" ref="AI206" ca="1">IFERROR(INDEX(INDIRECT($B$3&amp;"."&amp;$B$158&amp;".energy["&amp;This.year&amp;"]"),MATCH($C206&amp;AI$5,INDIRECT($B$3&amp;"."&amp;$B$158&amp;".energy[Tech description]")&amp;INDIRECT($B$3&amp;"."&amp;$B$158&amp;".energy[Energy description]"),0)),0)</f>
        <v>0</v>
      </c>
      <c r="AJ206" s="152">
        <f t="array" aca="1" ref="AJ206" ca="1">IFERROR(INDEX(INDIRECT($B$3&amp;"."&amp;$B$158&amp;".energy["&amp;This.year&amp;"]"),MATCH($C206&amp;AJ$5,INDIRECT($B$3&amp;"."&amp;$B$158&amp;".energy[Tech description]")&amp;INDIRECT($B$3&amp;"."&amp;$B$158&amp;".energy[Energy description]"),0)),0)</f>
        <v>0</v>
      </c>
      <c r="AK206" s="152">
        <f t="array" aca="1" ref="AK206" ca="1">IFERROR(INDEX(INDIRECT($B$3&amp;"."&amp;$B$158&amp;".energy["&amp;This.year&amp;"]"),MATCH($C206&amp;AK$5,INDIRECT($B$3&amp;"."&amp;$B$158&amp;".energy[Tech description]")&amp;INDIRECT($B$3&amp;"."&amp;$B$158&amp;".energy[Energy description]"),0)),0)</f>
        <v>0</v>
      </c>
      <c r="AL206" s="152">
        <f t="array" aca="1" ref="AL206" ca="1">IFERROR(INDEX(INDIRECT($B$3&amp;"."&amp;$B$158&amp;".energy["&amp;This.year&amp;"]"),MATCH($C206&amp;AL$5,INDIRECT($B$3&amp;"."&amp;$B$158&amp;".energy[Tech description]")&amp;INDIRECT($B$3&amp;"."&amp;$B$158&amp;".energy[Energy description]"),0)),0)</f>
        <v>0</v>
      </c>
      <c r="AM206" s="152">
        <f t="array" aca="1" ref="AM206" ca="1">IFERROR(INDEX(INDIRECT($B$3&amp;"."&amp;$B$158&amp;".energy["&amp;This.year&amp;"]"),MATCH($C206&amp;AM$5,INDIRECT($B$3&amp;"."&amp;$B$158&amp;".energy[Tech description]")&amp;INDIRECT($B$3&amp;"."&amp;$B$158&amp;".energy[Energy description]"),0)),0)</f>
        <v>0</v>
      </c>
      <c r="AN206" s="152">
        <f t="array" aca="1" ref="AN206" ca="1">IFERROR(INDEX(INDIRECT($B$3&amp;"."&amp;$B$158&amp;".energy["&amp;This.year&amp;"]"),MATCH($C206&amp;AN$5,INDIRECT($B$3&amp;"."&amp;$B$158&amp;".energy[Tech description]")&amp;INDIRECT($B$3&amp;"."&amp;$B$158&amp;".energy[Energy description]"),0)),0)</f>
        <v>0</v>
      </c>
      <c r="AO206" s="152">
        <f t="shared" ca="1" si="26"/>
        <v>0</v>
      </c>
      <c r="AP206" s="108"/>
      <c r="AQ206" s="21">
        <f t="array" aca="1" ref="AQ206" ca="1">IFERROR(INDEX(INDIRECT($B$3&amp;"."&amp;$B$158&amp;".energy["&amp;This.year&amp;"]"),MATCH($C206&amp;AQ$5,INDIRECT($B$3&amp;"."&amp;$B$158&amp;".energy[Tech description]")&amp;INDIRECT($B$3&amp;"."&amp;$B$158&amp;".energy[Energy description]"),0)),0)</f>
        <v>0</v>
      </c>
      <c r="AR206" s="21">
        <f t="array" aca="1" ref="AR206" ca="1">IFERROR(INDEX(INDIRECT($B$3&amp;"."&amp;$B$158&amp;".energy["&amp;This.year&amp;"]"),MATCH($C206&amp;AR$5,INDIRECT($B$3&amp;"."&amp;$B$158&amp;".energy[Tech description]")&amp;INDIRECT($B$3&amp;"."&amp;$B$158&amp;".energy[Energy description]"),0)),0)</f>
        <v>0</v>
      </c>
      <c r="AS206" s="21">
        <f t="array" aca="1" ref="AS206" ca="1">IFERROR(INDEX(INDIRECT($B$3&amp;"."&amp;$B$158&amp;".energy["&amp;This.year&amp;"]"),MATCH($C206&amp;AS$5,INDIRECT($B$3&amp;"."&amp;$B$158&amp;".energy[Tech description]")&amp;INDIRECT($B$3&amp;"."&amp;$B$158&amp;".energy[Energy description]"),0)),0)</f>
        <v>0</v>
      </c>
      <c r="AT206" s="21">
        <f t="array" aca="1" ref="AT206" ca="1">IFERROR(INDEX(INDIRECT($B$3&amp;"."&amp;$B$158&amp;".energy["&amp;This.year&amp;"]"),MATCH($C206&amp;AT$5,INDIRECT($B$3&amp;"."&amp;$B$158&amp;".energy[Tech description]")&amp;INDIRECT($B$3&amp;"."&amp;$B$158&amp;".energy[Energy description]"),0)),0)</f>
        <v>0</v>
      </c>
      <c r="AU206" s="21">
        <f t="array" aca="1" ref="AU206" ca="1">IFERROR(INDEX(INDIRECT($B$3&amp;"."&amp;$B$158&amp;".energy["&amp;This.year&amp;"]"),MATCH($C206&amp;AU$5,INDIRECT($B$3&amp;"."&amp;$B$158&amp;".energy[Tech description]")&amp;INDIRECT($B$3&amp;"."&amp;$B$158&amp;".energy[Energy description]"),0)),0)</f>
        <v>0</v>
      </c>
      <c r="AV206" s="21">
        <f t="array" aca="1" ref="AV206" ca="1">IFERROR(INDEX(INDIRECT($B$3&amp;"."&amp;$B$158&amp;".energy["&amp;This.year&amp;"]"),MATCH($C206&amp;AV$5,INDIRECT($B$3&amp;"."&amp;$B$158&amp;".energy[Tech description]")&amp;INDIRECT($B$3&amp;"."&amp;$B$158&amp;".energy[Energy description]"),0)),0)</f>
        <v>0</v>
      </c>
      <c r="AW206" s="21">
        <f t="array" aca="1" ref="AW206" ca="1">IFERROR(INDEX(INDIRECT($B$3&amp;"."&amp;$B$158&amp;".energy["&amp;This.year&amp;"]"),MATCH($C206&amp;AW$5,INDIRECT($B$3&amp;"."&amp;$B$158&amp;".energy[Tech description]")&amp;INDIRECT($B$3&amp;"."&amp;$B$158&amp;".energy[Energy description]"),0)),0)</f>
        <v>0</v>
      </c>
      <c r="AX206" s="21">
        <f t="array" aca="1" ref="AX206" ca="1">IFERROR(INDEX(INDIRECT($B$3&amp;"."&amp;$B$158&amp;".energy["&amp;This.year&amp;"]"),MATCH($C206&amp;AX$5,INDIRECT($B$3&amp;"."&amp;$B$158&amp;".energy[Tech description]")&amp;INDIRECT($B$3&amp;"."&amp;$B$158&amp;".energy[Energy description]"),0)),0)</f>
        <v>0</v>
      </c>
      <c r="AY206" s="21">
        <f t="array" aca="1" ref="AY206" ca="1">IFERROR(INDEX(INDIRECT($B$3&amp;"."&amp;$B$158&amp;".energy["&amp;This.year&amp;"]"),MATCH($C206&amp;AY$5,INDIRECT($B$3&amp;"."&amp;$B$158&amp;".energy[Tech description]")&amp;INDIRECT($B$3&amp;"."&amp;$B$158&amp;".energy[Energy description]"),0)),0)</f>
        <v>0</v>
      </c>
      <c r="AZ206" s="21">
        <f t="array" aca="1" ref="AZ206" ca="1">IFERROR(INDEX(INDIRECT($B$3&amp;"."&amp;$B$158&amp;".energy["&amp;This.year&amp;"]"),MATCH($C206&amp;AZ$5,INDIRECT($B$3&amp;"."&amp;$B$158&amp;".energy[Tech description]")&amp;INDIRECT($B$3&amp;"."&amp;$B$158&amp;".energy[Energy description]"),0)),0)</f>
        <v>0</v>
      </c>
      <c r="BA206" s="21">
        <f t="array" aca="1" ref="BA206" ca="1">IFERROR(INDEX(INDIRECT($B$3&amp;"."&amp;$B$158&amp;".energy["&amp;This.year&amp;"]"),MATCH($C206&amp;BA$5,INDIRECT($B$3&amp;"."&amp;$B$158&amp;".energy[Tech description]")&amp;INDIRECT($B$3&amp;"."&amp;$B$158&amp;".energy[Energy description]"),0)),0)</f>
        <v>0</v>
      </c>
      <c r="BB206" s="21">
        <f t="array" aca="1" ref="BB206" ca="1">IFERROR(INDEX(INDIRECT($B$3&amp;"."&amp;$B$158&amp;".energy["&amp;This.year&amp;"]"),MATCH($C206&amp;BB$5,INDIRECT($B$3&amp;"."&amp;$B$158&amp;".energy[Tech description]")&amp;INDIRECT($B$3&amp;"."&amp;$B$158&amp;".energy[Energy description]"),0)),0)</f>
        <v>0</v>
      </c>
      <c r="BC206" s="21">
        <f t="array" aca="1" ref="BC206" ca="1">IFERROR(INDEX(INDIRECT($B$3&amp;"."&amp;$B$158&amp;".energy["&amp;This.year&amp;"]"),MATCH($C206&amp;BC$5,INDIRECT($B$3&amp;"."&amp;$B$158&amp;".energy[Tech description]")&amp;INDIRECT($B$3&amp;"."&amp;$B$158&amp;".energy[Energy description]"),0)),0)</f>
        <v>0</v>
      </c>
      <c r="BD206" s="21">
        <f t="shared" ca="1" si="27"/>
        <v>0</v>
      </c>
      <c r="BE206" s="108"/>
      <c r="BF206" s="49">
        <f t="array" aca="1" ref="BF206" ca="1">IFERROR(INDEX(INDIRECT($B$3&amp;"."&amp;$B$158&amp;".energy["&amp;This.year&amp;"]"),MATCH($C206&amp;BF$5,INDIRECT($B$3&amp;"."&amp;$B$158&amp;".energy[Tech description]")&amp;INDIRECT($B$3&amp;"."&amp;$B$158&amp;".energy[Energy description]"),0)),0)</f>
        <v>0</v>
      </c>
      <c r="BG206" s="49">
        <f t="array" aca="1" ref="BG206" ca="1">IFERROR(INDEX(INDIRECT($B$3&amp;"."&amp;$B$158&amp;".energy["&amp;This.year&amp;"]"),MATCH($C206&amp;BG$5,INDIRECT($B$3&amp;"."&amp;$B$158&amp;".energy[Tech description]")&amp;INDIRECT($B$3&amp;"."&amp;$B$158&amp;".energy[Energy description]"),0)),0)</f>
        <v>0</v>
      </c>
      <c r="BH206" s="49">
        <f t="shared" ca="1" si="28"/>
        <v>0</v>
      </c>
      <c r="BI206" s="219">
        <f t="shared" ca="1" si="9"/>
        <v>0</v>
      </c>
      <c r="BJ206" s="108"/>
    </row>
    <row r="207" spans="1:62" s="54" customFormat="1">
      <c r="A207" s="133"/>
      <c r="B207" s="176" t="s">
        <v>1827</v>
      </c>
      <c r="C207" s="114" t="str">
        <f>INDEX(Regional.Technologies[Description],MATCH($B$3&amp;"."&amp;B207,Regional.Technologies[Code],0))</f>
        <v>Global Electricity use in the Chemicals: Ammonia technology</v>
      </c>
      <c r="E207" s="121">
        <f t="array" aca="1" ref="E207" ca="1">IFERROR(INDEX(INDIRECT($B$3&amp;"."&amp;$B$158&amp;".energy["&amp;This.year&amp;"]"),MATCH($C207&amp;E$5,INDIRECT($B$3&amp;"."&amp;$B$158&amp;".energy[Tech description]")&amp;INDIRECT($B$3&amp;"."&amp;$B$158&amp;".energy[Energy description]"),0)),0)</f>
        <v>0</v>
      </c>
      <c r="F207" s="121">
        <f t="array" aca="1" ref="F207" ca="1">IFERROR(INDEX(INDIRECT($B$3&amp;"."&amp;$B$158&amp;".energy["&amp;This.year&amp;"]"),MATCH($C207&amp;F$5,INDIRECT($B$3&amp;"."&amp;$B$158&amp;".energy[Tech description]")&amp;INDIRECT($B$3&amp;"."&amp;$B$158&amp;".energy[Energy description]"),0)),0)</f>
        <v>0</v>
      </c>
      <c r="G207" s="121">
        <f t="array" aca="1" ref="G207" ca="1">IFERROR(INDEX(INDIRECT($B$3&amp;"."&amp;$B$158&amp;".energy["&amp;This.year&amp;"]"),MATCH($C207&amp;G$5,INDIRECT($B$3&amp;"."&amp;$B$158&amp;".energy[Tech description]")&amp;INDIRECT($B$3&amp;"."&amp;$B$158&amp;".energy[Energy description]"),0)),0)</f>
        <v>0</v>
      </c>
      <c r="H207" s="121">
        <f t="array" aca="1" ref="H207" ca="1">IFERROR(INDEX(INDIRECT($B$3&amp;"."&amp;$B$158&amp;".energy["&amp;This.year&amp;"]"),MATCH($C207&amp;H$5,INDIRECT($B$3&amp;"."&amp;$B$158&amp;".energy[Tech description]")&amp;INDIRECT($B$3&amp;"."&amp;$B$158&amp;".energy[Energy description]"),0)),0)</f>
        <v>0</v>
      </c>
      <c r="I207" s="121">
        <f t="array" aca="1" ref="I207" ca="1">IFERROR(INDEX(INDIRECT($B$3&amp;"."&amp;$B$158&amp;".energy["&amp;This.year&amp;"]"),MATCH($C207&amp;I$5,INDIRECT($B$3&amp;"."&amp;$B$158&amp;".energy[Tech description]")&amp;INDIRECT($B$3&amp;"."&amp;$B$158&amp;".energy[Energy description]"),0)),0)</f>
        <v>0</v>
      </c>
      <c r="J207" s="121">
        <f t="array" aca="1" ref="J207" ca="1">IFERROR(INDEX(INDIRECT($B$3&amp;"."&amp;$B$158&amp;".energy["&amp;This.year&amp;"]"),MATCH($C207&amp;J$5,INDIRECT($B$3&amp;"."&amp;$B$158&amp;".energy[Tech description]")&amp;INDIRECT($B$3&amp;"."&amp;$B$158&amp;".energy[Energy description]"),0)),0)</f>
        <v>1.7803019800553821E-20</v>
      </c>
      <c r="K207" s="121">
        <f t="array" aca="1" ref="K207" ca="1">IFERROR(INDEX(INDIRECT($B$3&amp;"."&amp;$B$158&amp;".energy["&amp;This.year&amp;"]"),MATCH($C207&amp;K$5,INDIRECT($B$3&amp;"."&amp;$B$158&amp;".energy[Tech description]")&amp;INDIRECT($B$3&amp;"."&amp;$B$158&amp;".energy[Energy description]"),0)),0)</f>
        <v>0</v>
      </c>
      <c r="L207" s="121">
        <f t="array" aca="1" ref="L207" ca="1">IFERROR(INDEX(INDIRECT($B$3&amp;"."&amp;$B$158&amp;".energy["&amp;This.year&amp;"]"),MATCH($C207&amp;L$5,INDIRECT($B$3&amp;"."&amp;$B$158&amp;".energy[Tech description]")&amp;INDIRECT($B$3&amp;"."&amp;$B$158&amp;".energy[Energy description]"),0)),0)</f>
        <v>0</v>
      </c>
      <c r="M207" s="121">
        <f t="array" aca="1" ref="M207" ca="1">IFERROR(INDEX(INDIRECT($B$3&amp;"."&amp;$B$158&amp;".energy["&amp;This.year&amp;"]"),MATCH($C207&amp;M$5,INDIRECT($B$3&amp;"."&amp;$B$158&amp;".energy[Tech description]")&amp;INDIRECT($B$3&amp;"."&amp;$B$158&amp;".energy[Energy description]"),0)),0)</f>
        <v>0</v>
      </c>
      <c r="N207" s="121">
        <f t="array" aca="1" ref="N207" ca="1">IFERROR(INDEX(INDIRECT($B$3&amp;"."&amp;$B$158&amp;".energy["&amp;This.year&amp;"]"),MATCH($C207&amp;N$5,INDIRECT($B$3&amp;"."&amp;$B$158&amp;".energy[Tech description]")&amp;INDIRECT($B$3&amp;"."&amp;$B$158&amp;".energy[Energy description]"),0)),0)</f>
        <v>0</v>
      </c>
      <c r="O207" s="121">
        <f t="array" aca="1" ref="O207" ca="1">IFERROR(INDEX(INDIRECT($B$3&amp;"."&amp;$B$158&amp;".energy["&amp;This.year&amp;"]"),MATCH($C207&amp;O$5,INDIRECT($B$3&amp;"."&amp;$B$158&amp;".energy[Tech description]")&amp;INDIRECT($B$3&amp;"."&amp;$B$158&amp;".energy[Energy description]"),0)),0)</f>
        <v>0</v>
      </c>
      <c r="P207" s="121">
        <f t="array" aca="1" ref="P207" ca="1">IFERROR(INDEX(INDIRECT($B$3&amp;"."&amp;$B$158&amp;".energy["&amp;This.year&amp;"]"),MATCH($C207&amp;P$5,INDIRECT($B$3&amp;"."&amp;$B$158&amp;".energy[Tech description]")&amp;INDIRECT($B$3&amp;"."&amp;$B$158&amp;".energy[Energy description]"),0)),0)</f>
        <v>0</v>
      </c>
      <c r="Q207" s="121">
        <f t="array" aca="1" ref="Q207" ca="1">IFERROR(INDEX(INDIRECT($B$3&amp;"."&amp;$B$158&amp;".energy["&amp;This.year&amp;"]"),MATCH($C207&amp;Q$5,INDIRECT($B$3&amp;"."&amp;$B$158&amp;".energy[Tech description]")&amp;INDIRECT($B$3&amp;"."&amp;$B$158&amp;".energy[Energy description]"),0)),0)</f>
        <v>0</v>
      </c>
      <c r="R207" s="121">
        <f t="array" aca="1" ref="R207" ca="1">IFERROR(INDEX(INDIRECT($B$3&amp;"."&amp;$B$158&amp;".energy["&amp;This.year&amp;"]"),MATCH($C207&amp;R$5,INDIRECT($B$3&amp;"."&amp;$B$158&amp;".energy[Tech description]")&amp;INDIRECT($B$3&amp;"."&amp;$B$158&amp;".energy[Energy description]"),0)),0)</f>
        <v>0</v>
      </c>
      <c r="S207" s="121">
        <f t="array" aca="1" ref="S207" ca="1">IFERROR(INDEX(INDIRECT($B$3&amp;"."&amp;$B$158&amp;".energy["&amp;This.year&amp;"]"),MATCH($C207&amp;S$5,INDIRECT($B$3&amp;"."&amp;$B$158&amp;".energy[Tech description]")&amp;INDIRECT($B$3&amp;"."&amp;$B$158&amp;".energy[Energy description]"),0)),0)</f>
        <v>0</v>
      </c>
      <c r="T207" s="121">
        <f t="shared" ca="1" si="25"/>
        <v>1.7803019800553821E-20</v>
      </c>
      <c r="U207" s="109"/>
      <c r="V207" s="152">
        <f t="array" aca="1" ref="V207" ca="1">IFERROR(INDEX(INDIRECT($B$3&amp;"."&amp;$B$158&amp;".energy["&amp;This.year&amp;"]"),MATCH($C207&amp;V$5,INDIRECT($B$3&amp;"."&amp;$B$158&amp;".energy[Tech description]")&amp;INDIRECT($B$3&amp;"."&amp;$B$158&amp;".energy[Energy description]"),0)),0)</f>
        <v>-1.7803019800553821E-20</v>
      </c>
      <c r="W207" s="152">
        <f t="array" aca="1" ref="W207" ca="1">IFERROR(INDEX(INDIRECT($B$3&amp;"."&amp;$B$158&amp;".energy["&amp;This.year&amp;"]"),MATCH($C207&amp;W$5,INDIRECT($B$3&amp;"."&amp;$B$158&amp;".energy[Tech description]")&amp;INDIRECT($B$3&amp;"."&amp;$B$158&amp;".energy[Energy description]"),0)),0)</f>
        <v>0</v>
      </c>
      <c r="X207" s="152">
        <f t="array" aca="1" ref="X207" ca="1">IFERROR(INDEX(INDIRECT($B$3&amp;"."&amp;$B$158&amp;".energy["&amp;This.year&amp;"]"),MATCH($C207&amp;X$5,INDIRECT($B$3&amp;"."&amp;$B$158&amp;".energy[Tech description]")&amp;INDIRECT($B$3&amp;"."&amp;$B$158&amp;".energy[Energy description]"),0)),0)</f>
        <v>0</v>
      </c>
      <c r="Y207" s="152">
        <f t="array" aca="1" ref="Y207" ca="1">IFERROR(INDEX(INDIRECT($B$3&amp;"."&amp;$B$158&amp;".energy["&amp;This.year&amp;"]"),MATCH($C207&amp;Y$5,INDIRECT($B$3&amp;"."&amp;$B$158&amp;".energy[Tech description]")&amp;INDIRECT($B$3&amp;"."&amp;$B$158&amp;".energy[Energy description]"),0)),0)</f>
        <v>0</v>
      </c>
      <c r="Z207" s="152">
        <f t="array" aca="1" ref="Z207" ca="1">IFERROR(INDEX(INDIRECT($B$3&amp;"."&amp;$B$158&amp;".energy["&amp;This.year&amp;"]"),MATCH($C207&amp;Z$5,INDIRECT($B$3&amp;"."&amp;$B$158&amp;".energy[Tech description]")&amp;INDIRECT($B$3&amp;"."&amp;$B$158&amp;".energy[Energy description]"),0)),0)</f>
        <v>0</v>
      </c>
      <c r="AA207" s="152">
        <f t="array" aca="1" ref="AA207" ca="1">IFERROR(INDEX(INDIRECT($B$3&amp;"."&amp;$B$158&amp;".energy["&amp;This.year&amp;"]"),MATCH($C207&amp;AA$5,INDIRECT($B$3&amp;"."&amp;$B$158&amp;".energy[Tech description]")&amp;INDIRECT($B$3&amp;"."&amp;$B$158&amp;".energy[Energy description]"),0)),0)</f>
        <v>0</v>
      </c>
      <c r="AB207" s="152">
        <f t="array" aca="1" ref="AB207" ca="1">IFERROR(INDEX(INDIRECT($B$3&amp;"."&amp;$B$158&amp;".energy["&amp;This.year&amp;"]"),MATCH($C207&amp;AB$5,INDIRECT($B$3&amp;"."&amp;$B$158&amp;".energy[Tech description]")&amp;INDIRECT($B$3&amp;"."&amp;$B$158&amp;".energy[Energy description]"),0)),0)</f>
        <v>0</v>
      </c>
      <c r="AC207" s="152">
        <f t="array" aca="1" ref="AC207" ca="1">IFERROR(INDEX(INDIRECT($B$3&amp;"."&amp;$B$158&amp;".energy["&amp;This.year&amp;"]"),MATCH($C207&amp;AC$5,INDIRECT($B$3&amp;"."&amp;$B$158&amp;".energy[Tech description]")&amp;INDIRECT($B$3&amp;"."&amp;$B$158&amp;".energy[Energy description]"),0)),0)</f>
        <v>0</v>
      </c>
      <c r="AD207" s="152">
        <f t="array" aca="1" ref="AD207" ca="1">IFERROR(INDEX(INDIRECT($B$3&amp;"."&amp;$B$158&amp;".energy["&amp;This.year&amp;"]"),MATCH($C207&amp;AD$5,INDIRECT($B$3&amp;"."&amp;$B$158&amp;".energy[Tech description]")&amp;INDIRECT($B$3&amp;"."&amp;$B$158&amp;".energy[Energy description]"),0)),0)</f>
        <v>0</v>
      </c>
      <c r="AE207" s="152">
        <f t="array" aca="1" ref="AE207" ca="1">IFERROR(INDEX(INDIRECT($B$3&amp;"."&amp;$B$158&amp;".energy["&amp;This.year&amp;"]"),MATCH($C207&amp;AE$5,INDIRECT($B$3&amp;"."&amp;$B$158&amp;".energy[Tech description]")&amp;INDIRECT($B$3&amp;"."&amp;$B$158&amp;".energy[Energy description]"),0)),0)</f>
        <v>0</v>
      </c>
      <c r="AF207" s="152">
        <f t="array" aca="1" ref="AF207" ca="1">IFERROR(INDEX(INDIRECT($B$3&amp;"."&amp;$B$158&amp;".energy["&amp;This.year&amp;"]"),MATCH($C207&amp;AF$5,INDIRECT($B$3&amp;"."&amp;$B$158&amp;".energy[Tech description]")&amp;INDIRECT($B$3&amp;"."&amp;$B$158&amp;".energy[Energy description]"),0)),0)</f>
        <v>0</v>
      </c>
      <c r="AG207" s="152">
        <f t="array" aca="1" ref="AG207" ca="1">IFERROR(INDEX(INDIRECT($B$3&amp;"."&amp;$B$158&amp;".energy["&amp;This.year&amp;"]"),MATCH($C207&amp;AG$5,INDIRECT($B$3&amp;"."&amp;$B$158&amp;".energy[Tech description]")&amp;INDIRECT($B$3&amp;"."&amp;$B$158&amp;".energy[Energy description]"),0)),0)</f>
        <v>0</v>
      </c>
      <c r="AH207" s="152">
        <f t="array" aca="1" ref="AH207" ca="1">IFERROR(INDEX(INDIRECT($B$3&amp;"."&amp;$B$158&amp;".energy["&amp;This.year&amp;"]"),MATCH($C207&amp;AH$5,INDIRECT($B$3&amp;"."&amp;$B$158&amp;".energy[Tech description]")&amp;INDIRECT($B$3&amp;"."&amp;$B$158&amp;".energy[Energy description]"),0)),0)</f>
        <v>0</v>
      </c>
      <c r="AI207" s="152">
        <f t="array" aca="1" ref="AI207" ca="1">IFERROR(INDEX(INDIRECT($B$3&amp;"."&amp;$B$158&amp;".energy["&amp;This.year&amp;"]"),MATCH($C207&amp;AI$5,INDIRECT($B$3&amp;"."&amp;$B$158&amp;".energy[Tech description]")&amp;INDIRECT($B$3&amp;"."&amp;$B$158&amp;".energy[Energy description]"),0)),0)</f>
        <v>0</v>
      </c>
      <c r="AJ207" s="152">
        <f t="array" aca="1" ref="AJ207" ca="1">IFERROR(INDEX(INDIRECT($B$3&amp;"."&amp;$B$158&amp;".energy["&amp;This.year&amp;"]"),MATCH($C207&amp;AJ$5,INDIRECT($B$3&amp;"."&amp;$B$158&amp;".energy[Tech description]")&amp;INDIRECT($B$3&amp;"."&amp;$B$158&amp;".energy[Energy description]"),0)),0)</f>
        <v>0</v>
      </c>
      <c r="AK207" s="152">
        <f t="array" aca="1" ref="AK207" ca="1">IFERROR(INDEX(INDIRECT($B$3&amp;"."&amp;$B$158&amp;".energy["&amp;This.year&amp;"]"),MATCH($C207&amp;AK$5,INDIRECT($B$3&amp;"."&amp;$B$158&amp;".energy[Tech description]")&amp;INDIRECT($B$3&amp;"."&amp;$B$158&amp;".energy[Energy description]"),0)),0)</f>
        <v>0</v>
      </c>
      <c r="AL207" s="152">
        <f t="array" aca="1" ref="AL207" ca="1">IFERROR(INDEX(INDIRECT($B$3&amp;"."&amp;$B$158&amp;".energy["&amp;This.year&amp;"]"),MATCH($C207&amp;AL$5,INDIRECT($B$3&amp;"."&amp;$B$158&amp;".energy[Tech description]")&amp;INDIRECT($B$3&amp;"."&amp;$B$158&amp;".energy[Energy description]"),0)),0)</f>
        <v>0</v>
      </c>
      <c r="AM207" s="152">
        <f t="array" aca="1" ref="AM207" ca="1">IFERROR(INDEX(INDIRECT($B$3&amp;"."&amp;$B$158&amp;".energy["&amp;This.year&amp;"]"),MATCH($C207&amp;AM$5,INDIRECT($B$3&amp;"."&amp;$B$158&amp;".energy[Tech description]")&amp;INDIRECT($B$3&amp;"."&amp;$B$158&amp;".energy[Energy description]"),0)),0)</f>
        <v>0</v>
      </c>
      <c r="AN207" s="152">
        <f t="array" aca="1" ref="AN207" ca="1">IFERROR(INDEX(INDIRECT($B$3&amp;"."&amp;$B$158&amp;".energy["&amp;This.year&amp;"]"),MATCH($C207&amp;AN$5,INDIRECT($B$3&amp;"."&amp;$B$158&amp;".energy[Tech description]")&amp;INDIRECT($B$3&amp;"."&amp;$B$158&amp;".energy[Energy description]"),0)),0)</f>
        <v>0</v>
      </c>
      <c r="AO207" s="152">
        <f t="shared" ca="1" si="26"/>
        <v>-1.7803019800553821E-20</v>
      </c>
      <c r="AP207" s="108"/>
      <c r="AQ207" s="21">
        <f t="array" aca="1" ref="AQ207" ca="1">IFERROR(INDEX(INDIRECT($B$3&amp;"."&amp;$B$158&amp;".energy["&amp;This.year&amp;"]"),MATCH($C207&amp;AQ$5,INDIRECT($B$3&amp;"."&amp;$B$158&amp;".energy[Tech description]")&amp;INDIRECT($B$3&amp;"."&amp;$B$158&amp;".energy[Energy description]"),0)),0)</f>
        <v>0</v>
      </c>
      <c r="AR207" s="21">
        <f t="array" aca="1" ref="AR207" ca="1">IFERROR(INDEX(INDIRECT($B$3&amp;"."&amp;$B$158&amp;".energy["&amp;This.year&amp;"]"),MATCH($C207&amp;AR$5,INDIRECT($B$3&amp;"."&amp;$B$158&amp;".energy[Tech description]")&amp;INDIRECT($B$3&amp;"."&amp;$B$158&amp;".energy[Energy description]"),0)),0)</f>
        <v>0</v>
      </c>
      <c r="AS207" s="21">
        <f t="array" aca="1" ref="AS207" ca="1">IFERROR(INDEX(INDIRECT($B$3&amp;"."&amp;$B$158&amp;".energy["&amp;This.year&amp;"]"),MATCH($C207&amp;AS$5,INDIRECT($B$3&amp;"."&amp;$B$158&amp;".energy[Tech description]")&amp;INDIRECT($B$3&amp;"."&amp;$B$158&amp;".energy[Energy description]"),0)),0)</f>
        <v>0</v>
      </c>
      <c r="AT207" s="21">
        <f t="array" aca="1" ref="AT207" ca="1">IFERROR(INDEX(INDIRECT($B$3&amp;"."&amp;$B$158&amp;".energy["&amp;This.year&amp;"]"),MATCH($C207&amp;AT$5,INDIRECT($B$3&amp;"."&amp;$B$158&amp;".energy[Tech description]")&amp;INDIRECT($B$3&amp;"."&amp;$B$158&amp;".energy[Energy description]"),0)),0)</f>
        <v>0</v>
      </c>
      <c r="AU207" s="21">
        <f t="array" aca="1" ref="AU207" ca="1">IFERROR(INDEX(INDIRECT($B$3&amp;"."&amp;$B$158&amp;".energy["&amp;This.year&amp;"]"),MATCH($C207&amp;AU$5,INDIRECT($B$3&amp;"."&amp;$B$158&amp;".energy[Tech description]")&amp;INDIRECT($B$3&amp;"."&amp;$B$158&amp;".energy[Energy description]"),0)),0)</f>
        <v>0</v>
      </c>
      <c r="AV207" s="21">
        <f t="array" aca="1" ref="AV207" ca="1">IFERROR(INDEX(INDIRECT($B$3&amp;"."&amp;$B$158&amp;".energy["&amp;This.year&amp;"]"),MATCH($C207&amp;AV$5,INDIRECT($B$3&amp;"."&amp;$B$158&amp;".energy[Tech description]")&amp;INDIRECT($B$3&amp;"."&amp;$B$158&amp;".energy[Energy description]"),0)),0)</f>
        <v>0</v>
      </c>
      <c r="AW207" s="21">
        <f t="array" aca="1" ref="AW207" ca="1">IFERROR(INDEX(INDIRECT($B$3&amp;"."&amp;$B$158&amp;".energy["&amp;This.year&amp;"]"),MATCH($C207&amp;AW$5,INDIRECT($B$3&amp;"."&amp;$B$158&amp;".energy[Tech description]")&amp;INDIRECT($B$3&amp;"."&amp;$B$158&amp;".energy[Energy description]"),0)),0)</f>
        <v>0</v>
      </c>
      <c r="AX207" s="21">
        <f t="array" aca="1" ref="AX207" ca="1">IFERROR(INDEX(INDIRECT($B$3&amp;"."&amp;$B$158&amp;".energy["&amp;This.year&amp;"]"),MATCH($C207&amp;AX$5,INDIRECT($B$3&amp;"."&amp;$B$158&amp;".energy[Tech description]")&amp;INDIRECT($B$3&amp;"."&amp;$B$158&amp;".energy[Energy description]"),0)),0)</f>
        <v>0</v>
      </c>
      <c r="AY207" s="21">
        <f t="array" aca="1" ref="AY207" ca="1">IFERROR(INDEX(INDIRECT($B$3&amp;"."&amp;$B$158&amp;".energy["&amp;This.year&amp;"]"),MATCH($C207&amp;AY$5,INDIRECT($B$3&amp;"."&amp;$B$158&amp;".energy[Tech description]")&amp;INDIRECT($B$3&amp;"."&amp;$B$158&amp;".energy[Energy description]"),0)),0)</f>
        <v>0</v>
      </c>
      <c r="AZ207" s="21">
        <f t="array" aca="1" ref="AZ207" ca="1">IFERROR(INDEX(INDIRECT($B$3&amp;"."&amp;$B$158&amp;".energy["&amp;This.year&amp;"]"),MATCH($C207&amp;AZ$5,INDIRECT($B$3&amp;"."&amp;$B$158&amp;".energy[Tech description]")&amp;INDIRECT($B$3&amp;"."&amp;$B$158&amp;".energy[Energy description]"),0)),0)</f>
        <v>0</v>
      </c>
      <c r="BA207" s="21">
        <f t="array" aca="1" ref="BA207" ca="1">IFERROR(INDEX(INDIRECT($B$3&amp;"."&amp;$B$158&amp;".energy["&amp;This.year&amp;"]"),MATCH($C207&amp;BA$5,INDIRECT($B$3&amp;"."&amp;$B$158&amp;".energy[Tech description]")&amp;INDIRECT($B$3&amp;"."&amp;$B$158&amp;".energy[Energy description]"),0)),0)</f>
        <v>0</v>
      </c>
      <c r="BB207" s="21">
        <f t="array" aca="1" ref="BB207" ca="1">IFERROR(INDEX(INDIRECT($B$3&amp;"."&amp;$B$158&amp;".energy["&amp;This.year&amp;"]"),MATCH($C207&amp;BB$5,INDIRECT($B$3&amp;"."&amp;$B$158&amp;".energy[Tech description]")&amp;INDIRECT($B$3&amp;"."&amp;$B$158&amp;".energy[Energy description]"),0)),0)</f>
        <v>0</v>
      </c>
      <c r="BC207" s="21">
        <f t="array" aca="1" ref="BC207" ca="1">IFERROR(INDEX(INDIRECT($B$3&amp;"."&amp;$B$158&amp;".energy["&amp;This.year&amp;"]"),MATCH($C207&amp;BC$5,INDIRECT($B$3&amp;"."&amp;$B$158&amp;".energy[Tech description]")&amp;INDIRECT($B$3&amp;"."&amp;$B$158&amp;".energy[Energy description]"),0)),0)</f>
        <v>0</v>
      </c>
      <c r="BD207" s="21">
        <f t="shared" ca="1" si="27"/>
        <v>0</v>
      </c>
      <c r="BE207" s="108"/>
      <c r="BF207" s="49">
        <f t="array" aca="1" ref="BF207" ca="1">IFERROR(INDEX(INDIRECT($B$3&amp;"."&amp;$B$158&amp;".energy["&amp;This.year&amp;"]"),MATCH($C207&amp;BF$5,INDIRECT($B$3&amp;"."&amp;$B$158&amp;".energy[Tech description]")&amp;INDIRECT($B$3&amp;"."&amp;$B$158&amp;".energy[Energy description]"),0)),0)</f>
        <v>0</v>
      </c>
      <c r="BG207" s="49">
        <f t="array" aca="1" ref="BG207" ca="1">IFERROR(INDEX(INDIRECT($B$3&amp;"."&amp;$B$158&amp;".energy["&amp;This.year&amp;"]"),MATCH($C207&amp;BG$5,INDIRECT($B$3&amp;"."&amp;$B$158&amp;".energy[Tech description]")&amp;INDIRECT($B$3&amp;"."&amp;$B$158&amp;".energy[Energy description]"),0)),0)</f>
        <v>0</v>
      </c>
      <c r="BH207" s="49">
        <f t="shared" ca="1" si="28"/>
        <v>0</v>
      </c>
      <c r="BI207" s="219">
        <f t="shared" ca="1" si="9"/>
        <v>0</v>
      </c>
      <c r="BJ207" s="108"/>
    </row>
    <row r="208" spans="1:62" s="54" customFormat="1">
      <c r="A208" s="133"/>
      <c r="B208" s="176" t="s">
        <v>1828</v>
      </c>
      <c r="C208" s="114" t="str">
        <f>INDEX(Regional.Technologies[Description],MATCH($B$3&amp;"."&amp;B208,Regional.Technologies[Code],0))</f>
        <v>Global Coal use in the Chemicals: Ammonia technology</v>
      </c>
      <c r="E208" s="121">
        <f t="array" aca="1" ref="E208" ca="1">IFERROR(INDEX(INDIRECT($B$3&amp;"."&amp;$B$158&amp;".energy["&amp;This.year&amp;"]"),MATCH($C208&amp;E$5,INDIRECT($B$3&amp;"."&amp;$B$158&amp;".energy[Tech description]")&amp;INDIRECT($B$3&amp;"."&amp;$B$158&amp;".energy[Energy description]"),0)),0)</f>
        <v>0</v>
      </c>
      <c r="F208" s="121">
        <f t="array" aca="1" ref="F208" ca="1">IFERROR(INDEX(INDIRECT($B$3&amp;"."&amp;$B$158&amp;".energy["&amp;This.year&amp;"]"),MATCH($C208&amp;F$5,INDIRECT($B$3&amp;"."&amp;$B$158&amp;".energy[Tech description]")&amp;INDIRECT($B$3&amp;"."&amp;$B$158&amp;".energy[Energy description]"),0)),0)</f>
        <v>0</v>
      </c>
      <c r="G208" s="121">
        <f t="array" aca="1" ref="G208" ca="1">IFERROR(INDEX(INDIRECT($B$3&amp;"."&amp;$B$158&amp;".energy["&amp;This.year&amp;"]"),MATCH($C208&amp;G$5,INDIRECT($B$3&amp;"."&amp;$B$158&amp;".energy[Tech description]")&amp;INDIRECT($B$3&amp;"."&amp;$B$158&amp;".energy[Energy description]"),0)),0)</f>
        <v>0</v>
      </c>
      <c r="H208" s="121">
        <f t="array" aca="1" ref="H208" ca="1">IFERROR(INDEX(INDIRECT($B$3&amp;"."&amp;$B$158&amp;".energy["&amp;This.year&amp;"]"),MATCH($C208&amp;H$5,INDIRECT($B$3&amp;"."&amp;$B$158&amp;".energy[Tech description]")&amp;INDIRECT($B$3&amp;"."&amp;$B$158&amp;".energy[Energy description]"),0)),0)</f>
        <v>0</v>
      </c>
      <c r="I208" s="121">
        <f t="array" aca="1" ref="I208" ca="1">IFERROR(INDEX(INDIRECT($B$3&amp;"."&amp;$B$158&amp;".energy["&amp;This.year&amp;"]"),MATCH($C208&amp;I$5,INDIRECT($B$3&amp;"."&amp;$B$158&amp;".energy[Tech description]")&amp;INDIRECT($B$3&amp;"."&amp;$B$158&amp;".energy[Energy description]"),0)),0)</f>
        <v>0</v>
      </c>
      <c r="J208" s="121">
        <f t="array" aca="1" ref="J208" ca="1">IFERROR(INDEX(INDIRECT($B$3&amp;"."&amp;$B$158&amp;".energy["&amp;This.year&amp;"]"),MATCH($C208&amp;J$5,INDIRECT($B$3&amp;"."&amp;$B$158&amp;".energy[Tech description]")&amp;INDIRECT($B$3&amp;"."&amp;$B$158&amp;".energy[Energy description]"),0)),0)</f>
        <v>1.4435125863870013</v>
      </c>
      <c r="K208" s="121">
        <f t="array" aca="1" ref="K208" ca="1">IFERROR(INDEX(INDIRECT($B$3&amp;"."&amp;$B$158&amp;".energy["&amp;This.year&amp;"]"),MATCH($C208&amp;K$5,INDIRECT($B$3&amp;"."&amp;$B$158&amp;".energy[Tech description]")&amp;INDIRECT($B$3&amp;"."&amp;$B$158&amp;".energy[Energy description]"),0)),0)</f>
        <v>0</v>
      </c>
      <c r="L208" s="121">
        <f t="array" aca="1" ref="L208" ca="1">IFERROR(INDEX(INDIRECT($B$3&amp;"."&amp;$B$158&amp;".energy["&amp;This.year&amp;"]"),MATCH($C208&amp;L$5,INDIRECT($B$3&amp;"."&amp;$B$158&amp;".energy[Tech description]")&amp;INDIRECT($B$3&amp;"."&amp;$B$158&amp;".energy[Energy description]"),0)),0)</f>
        <v>0</v>
      </c>
      <c r="M208" s="121">
        <f t="array" aca="1" ref="M208" ca="1">IFERROR(INDEX(INDIRECT($B$3&amp;"."&amp;$B$158&amp;".energy["&amp;This.year&amp;"]"),MATCH($C208&amp;M$5,INDIRECT($B$3&amp;"."&amp;$B$158&amp;".energy[Tech description]")&amp;INDIRECT($B$3&amp;"."&amp;$B$158&amp;".energy[Energy description]"),0)),0)</f>
        <v>0</v>
      </c>
      <c r="N208" s="121">
        <f t="array" aca="1" ref="N208" ca="1">IFERROR(INDEX(INDIRECT($B$3&amp;"."&amp;$B$158&amp;".energy["&amp;This.year&amp;"]"),MATCH($C208&amp;N$5,INDIRECT($B$3&amp;"."&amp;$B$158&amp;".energy[Tech description]")&amp;INDIRECT($B$3&amp;"."&amp;$B$158&amp;".energy[Energy description]"),0)),0)</f>
        <v>0</v>
      </c>
      <c r="O208" s="121">
        <f t="array" aca="1" ref="O208" ca="1">IFERROR(INDEX(INDIRECT($B$3&amp;"."&amp;$B$158&amp;".energy["&amp;This.year&amp;"]"),MATCH($C208&amp;O$5,INDIRECT($B$3&amp;"."&amp;$B$158&amp;".energy[Tech description]")&amp;INDIRECT($B$3&amp;"."&amp;$B$158&amp;".energy[Energy description]"),0)),0)</f>
        <v>0</v>
      </c>
      <c r="P208" s="121">
        <f t="array" aca="1" ref="P208" ca="1">IFERROR(INDEX(INDIRECT($B$3&amp;"."&amp;$B$158&amp;".energy["&amp;This.year&amp;"]"),MATCH($C208&amp;P$5,INDIRECT($B$3&amp;"."&amp;$B$158&amp;".energy[Tech description]")&amp;INDIRECT($B$3&amp;"."&amp;$B$158&amp;".energy[Energy description]"),0)),0)</f>
        <v>0</v>
      </c>
      <c r="Q208" s="121">
        <f t="array" aca="1" ref="Q208" ca="1">IFERROR(INDEX(INDIRECT($B$3&amp;"."&amp;$B$158&amp;".energy["&amp;This.year&amp;"]"),MATCH($C208&amp;Q$5,INDIRECT($B$3&amp;"."&amp;$B$158&amp;".energy[Tech description]")&amp;INDIRECT($B$3&amp;"."&amp;$B$158&amp;".energy[Energy description]"),0)),0)</f>
        <v>0</v>
      </c>
      <c r="R208" s="121">
        <f t="array" aca="1" ref="R208" ca="1">IFERROR(INDEX(INDIRECT($B$3&amp;"."&amp;$B$158&amp;".energy["&amp;This.year&amp;"]"),MATCH($C208&amp;R$5,INDIRECT($B$3&amp;"."&amp;$B$158&amp;".energy[Tech description]")&amp;INDIRECT($B$3&amp;"."&amp;$B$158&amp;".energy[Energy description]"),0)),0)</f>
        <v>0</v>
      </c>
      <c r="S208" s="121">
        <f t="array" aca="1" ref="S208" ca="1">IFERROR(INDEX(INDIRECT($B$3&amp;"."&amp;$B$158&amp;".energy["&amp;This.year&amp;"]"),MATCH($C208&amp;S$5,INDIRECT($B$3&amp;"."&amp;$B$158&amp;".energy[Tech description]")&amp;INDIRECT($B$3&amp;"."&amp;$B$158&amp;".energy[Energy description]"),0)),0)</f>
        <v>0</v>
      </c>
      <c r="T208" s="121">
        <f t="shared" ca="1" si="25"/>
        <v>1.4435125863870013</v>
      </c>
      <c r="U208" s="109"/>
      <c r="V208" s="152">
        <f t="array" aca="1" ref="V208" ca="1">IFERROR(INDEX(INDIRECT($B$3&amp;"."&amp;$B$158&amp;".energy["&amp;This.year&amp;"]"),MATCH($C208&amp;V$5,INDIRECT($B$3&amp;"."&amp;$B$158&amp;".energy[Tech description]")&amp;INDIRECT($B$3&amp;"."&amp;$B$158&amp;".energy[Energy description]"),0)),0)</f>
        <v>0</v>
      </c>
      <c r="W208" s="152">
        <f t="array" aca="1" ref="W208" ca="1">IFERROR(INDEX(INDIRECT($B$3&amp;"."&amp;$B$158&amp;".energy["&amp;This.year&amp;"]"),MATCH($C208&amp;W$5,INDIRECT($B$3&amp;"."&amp;$B$158&amp;".energy[Tech description]")&amp;INDIRECT($B$3&amp;"."&amp;$B$158&amp;".energy[Energy description]"),0)),0)</f>
        <v>0</v>
      </c>
      <c r="X208" s="152">
        <f t="array" aca="1" ref="X208" ca="1">IFERROR(INDEX(INDIRECT($B$3&amp;"."&amp;$B$158&amp;".energy["&amp;This.year&amp;"]"),MATCH($C208&amp;X$5,INDIRECT($B$3&amp;"."&amp;$B$158&amp;".energy[Tech description]")&amp;INDIRECT($B$3&amp;"."&amp;$B$158&amp;".energy[Energy description]"),0)),0)</f>
        <v>0</v>
      </c>
      <c r="Y208" s="152">
        <f t="array" aca="1" ref="Y208" ca="1">IFERROR(INDEX(INDIRECT($B$3&amp;"."&amp;$B$158&amp;".energy["&amp;This.year&amp;"]"),MATCH($C208&amp;Y$5,INDIRECT($B$3&amp;"."&amp;$B$158&amp;".energy[Tech description]")&amp;INDIRECT($B$3&amp;"."&amp;$B$158&amp;".energy[Energy description]"),0)),0)</f>
        <v>0</v>
      </c>
      <c r="Z208" s="152">
        <f t="array" aca="1" ref="Z208" ca="1">IFERROR(INDEX(INDIRECT($B$3&amp;"."&amp;$B$158&amp;".energy["&amp;This.year&amp;"]"),MATCH($C208&amp;Z$5,INDIRECT($B$3&amp;"."&amp;$B$158&amp;".energy[Tech description]")&amp;INDIRECT($B$3&amp;"."&amp;$B$158&amp;".energy[Energy description]"),0)),0)</f>
        <v>0</v>
      </c>
      <c r="AA208" s="152">
        <f t="array" aca="1" ref="AA208" ca="1">IFERROR(INDEX(INDIRECT($B$3&amp;"."&amp;$B$158&amp;".energy["&amp;This.year&amp;"]"),MATCH($C208&amp;AA$5,INDIRECT($B$3&amp;"."&amp;$B$158&amp;".energy[Tech description]")&amp;INDIRECT($B$3&amp;"."&amp;$B$158&amp;".energy[Energy description]"),0)),0)</f>
        <v>-1.4435125863870013</v>
      </c>
      <c r="AB208" s="152">
        <f t="array" aca="1" ref="AB208" ca="1">IFERROR(INDEX(INDIRECT($B$3&amp;"."&amp;$B$158&amp;".energy["&amp;This.year&amp;"]"),MATCH($C208&amp;AB$5,INDIRECT($B$3&amp;"."&amp;$B$158&amp;".energy[Tech description]")&amp;INDIRECT($B$3&amp;"."&amp;$B$158&amp;".energy[Energy description]"),0)),0)</f>
        <v>0</v>
      </c>
      <c r="AC208" s="152">
        <f t="array" aca="1" ref="AC208" ca="1">IFERROR(INDEX(INDIRECT($B$3&amp;"."&amp;$B$158&amp;".energy["&amp;This.year&amp;"]"),MATCH($C208&amp;AC$5,INDIRECT($B$3&amp;"."&amp;$B$158&amp;".energy[Tech description]")&amp;INDIRECT($B$3&amp;"."&amp;$B$158&amp;".energy[Energy description]"),0)),0)</f>
        <v>0</v>
      </c>
      <c r="AD208" s="152">
        <f t="array" aca="1" ref="AD208" ca="1">IFERROR(INDEX(INDIRECT($B$3&amp;"."&amp;$B$158&amp;".energy["&amp;This.year&amp;"]"),MATCH($C208&amp;AD$5,INDIRECT($B$3&amp;"."&amp;$B$158&amp;".energy[Tech description]")&amp;INDIRECT($B$3&amp;"."&amp;$B$158&amp;".energy[Energy description]"),0)),0)</f>
        <v>0</v>
      </c>
      <c r="AE208" s="152">
        <f t="array" aca="1" ref="AE208" ca="1">IFERROR(INDEX(INDIRECT($B$3&amp;"."&amp;$B$158&amp;".energy["&amp;This.year&amp;"]"),MATCH($C208&amp;AE$5,INDIRECT($B$3&amp;"."&amp;$B$158&amp;".energy[Tech description]")&amp;INDIRECT($B$3&amp;"."&amp;$B$158&amp;".energy[Energy description]"),0)),0)</f>
        <v>0</v>
      </c>
      <c r="AF208" s="152">
        <f t="array" aca="1" ref="AF208" ca="1">IFERROR(INDEX(INDIRECT($B$3&amp;"."&amp;$B$158&amp;".energy["&amp;This.year&amp;"]"),MATCH($C208&amp;AF$5,INDIRECT($B$3&amp;"."&amp;$B$158&amp;".energy[Tech description]")&amp;INDIRECT($B$3&amp;"."&amp;$B$158&amp;".energy[Energy description]"),0)),0)</f>
        <v>0</v>
      </c>
      <c r="AG208" s="152">
        <f t="array" aca="1" ref="AG208" ca="1">IFERROR(INDEX(INDIRECT($B$3&amp;"."&amp;$B$158&amp;".energy["&amp;This.year&amp;"]"),MATCH($C208&amp;AG$5,INDIRECT($B$3&amp;"."&amp;$B$158&amp;".energy[Tech description]")&amp;INDIRECT($B$3&amp;"."&amp;$B$158&amp;".energy[Energy description]"),0)),0)</f>
        <v>0</v>
      </c>
      <c r="AH208" s="152">
        <f t="array" aca="1" ref="AH208" ca="1">IFERROR(INDEX(INDIRECT($B$3&amp;"."&amp;$B$158&amp;".energy["&amp;This.year&amp;"]"),MATCH($C208&amp;AH$5,INDIRECT($B$3&amp;"."&amp;$B$158&amp;".energy[Tech description]")&amp;INDIRECT($B$3&amp;"."&amp;$B$158&amp;".energy[Energy description]"),0)),0)</f>
        <v>0</v>
      </c>
      <c r="AI208" s="152">
        <f t="array" aca="1" ref="AI208" ca="1">IFERROR(INDEX(INDIRECT($B$3&amp;"."&amp;$B$158&amp;".energy["&amp;This.year&amp;"]"),MATCH($C208&amp;AI$5,INDIRECT($B$3&amp;"."&amp;$B$158&amp;".energy[Tech description]")&amp;INDIRECT($B$3&amp;"."&amp;$B$158&amp;".energy[Energy description]"),0)),0)</f>
        <v>0</v>
      </c>
      <c r="AJ208" s="152">
        <f t="array" aca="1" ref="AJ208" ca="1">IFERROR(INDEX(INDIRECT($B$3&amp;"."&amp;$B$158&amp;".energy["&amp;This.year&amp;"]"),MATCH($C208&amp;AJ$5,INDIRECT($B$3&amp;"."&amp;$B$158&amp;".energy[Tech description]")&amp;INDIRECT($B$3&amp;"."&amp;$B$158&amp;".energy[Energy description]"),0)),0)</f>
        <v>0</v>
      </c>
      <c r="AK208" s="152">
        <f t="array" aca="1" ref="AK208" ca="1">IFERROR(INDEX(INDIRECT($B$3&amp;"."&amp;$B$158&amp;".energy["&amp;This.year&amp;"]"),MATCH($C208&amp;AK$5,INDIRECT($B$3&amp;"."&amp;$B$158&amp;".energy[Tech description]")&amp;INDIRECT($B$3&amp;"."&amp;$B$158&amp;".energy[Energy description]"),0)),0)</f>
        <v>0</v>
      </c>
      <c r="AL208" s="152">
        <f t="array" aca="1" ref="AL208" ca="1">IFERROR(INDEX(INDIRECT($B$3&amp;"."&amp;$B$158&amp;".energy["&amp;This.year&amp;"]"),MATCH($C208&amp;AL$5,INDIRECT($B$3&amp;"."&amp;$B$158&amp;".energy[Tech description]")&amp;INDIRECT($B$3&amp;"."&amp;$B$158&amp;".energy[Energy description]"),0)),0)</f>
        <v>0</v>
      </c>
      <c r="AM208" s="152">
        <f t="array" aca="1" ref="AM208" ca="1">IFERROR(INDEX(INDIRECT($B$3&amp;"."&amp;$B$158&amp;".energy["&amp;This.year&amp;"]"),MATCH($C208&amp;AM$5,INDIRECT($B$3&amp;"."&amp;$B$158&amp;".energy[Tech description]")&amp;INDIRECT($B$3&amp;"."&amp;$B$158&amp;".energy[Energy description]"),0)),0)</f>
        <v>0</v>
      </c>
      <c r="AN208" s="152">
        <f t="array" aca="1" ref="AN208" ca="1">IFERROR(INDEX(INDIRECT($B$3&amp;"."&amp;$B$158&amp;".energy["&amp;This.year&amp;"]"),MATCH($C208&amp;AN$5,INDIRECT($B$3&amp;"."&amp;$B$158&amp;".energy[Tech description]")&amp;INDIRECT($B$3&amp;"."&amp;$B$158&amp;".energy[Energy description]"),0)),0)</f>
        <v>0</v>
      </c>
      <c r="AO208" s="152">
        <f t="shared" ca="1" si="26"/>
        <v>-1.4435125863870013</v>
      </c>
      <c r="AP208" s="108"/>
      <c r="AQ208" s="21">
        <f t="array" aca="1" ref="AQ208" ca="1">IFERROR(INDEX(INDIRECT($B$3&amp;"."&amp;$B$158&amp;".energy["&amp;This.year&amp;"]"),MATCH($C208&amp;AQ$5,INDIRECT($B$3&amp;"."&amp;$B$158&amp;".energy[Tech description]")&amp;INDIRECT($B$3&amp;"."&amp;$B$158&amp;".energy[Energy description]"),0)),0)</f>
        <v>0</v>
      </c>
      <c r="AR208" s="21">
        <f t="array" aca="1" ref="AR208" ca="1">IFERROR(INDEX(INDIRECT($B$3&amp;"."&amp;$B$158&amp;".energy["&amp;This.year&amp;"]"),MATCH($C208&amp;AR$5,INDIRECT($B$3&amp;"."&amp;$B$158&amp;".energy[Tech description]")&amp;INDIRECT($B$3&amp;"."&amp;$B$158&amp;".energy[Energy description]"),0)),0)</f>
        <v>0</v>
      </c>
      <c r="AS208" s="21">
        <f t="array" aca="1" ref="AS208" ca="1">IFERROR(INDEX(INDIRECT($B$3&amp;"."&amp;$B$158&amp;".energy["&amp;This.year&amp;"]"),MATCH($C208&amp;AS$5,INDIRECT($B$3&amp;"."&amp;$B$158&amp;".energy[Tech description]")&amp;INDIRECT($B$3&amp;"."&amp;$B$158&amp;".energy[Energy description]"),0)),0)</f>
        <v>0</v>
      </c>
      <c r="AT208" s="21">
        <f t="array" aca="1" ref="AT208" ca="1">IFERROR(INDEX(INDIRECT($B$3&amp;"."&amp;$B$158&amp;".energy["&amp;This.year&amp;"]"),MATCH($C208&amp;AT$5,INDIRECT($B$3&amp;"."&amp;$B$158&amp;".energy[Tech description]")&amp;INDIRECT($B$3&amp;"."&amp;$B$158&amp;".energy[Energy description]"),0)),0)</f>
        <v>0</v>
      </c>
      <c r="AU208" s="21">
        <f t="array" aca="1" ref="AU208" ca="1">IFERROR(INDEX(INDIRECT($B$3&amp;"."&amp;$B$158&amp;".energy["&amp;This.year&amp;"]"),MATCH($C208&amp;AU$5,INDIRECT($B$3&amp;"."&amp;$B$158&amp;".energy[Tech description]")&amp;INDIRECT($B$3&amp;"."&amp;$B$158&amp;".energy[Energy description]"),0)),0)</f>
        <v>0</v>
      </c>
      <c r="AV208" s="21">
        <f t="array" aca="1" ref="AV208" ca="1">IFERROR(INDEX(INDIRECT($B$3&amp;"."&amp;$B$158&amp;".energy["&amp;This.year&amp;"]"),MATCH($C208&amp;AV$5,INDIRECT($B$3&amp;"."&amp;$B$158&amp;".energy[Tech description]")&amp;INDIRECT($B$3&amp;"."&amp;$B$158&amp;".energy[Energy description]"),0)),0)</f>
        <v>0</v>
      </c>
      <c r="AW208" s="21">
        <f t="array" aca="1" ref="AW208" ca="1">IFERROR(INDEX(INDIRECT($B$3&amp;"."&amp;$B$158&amp;".energy["&amp;This.year&amp;"]"),MATCH($C208&amp;AW$5,INDIRECT($B$3&amp;"."&amp;$B$158&amp;".energy[Tech description]")&amp;INDIRECT($B$3&amp;"."&amp;$B$158&amp;".energy[Energy description]"),0)),0)</f>
        <v>0</v>
      </c>
      <c r="AX208" s="21">
        <f t="array" aca="1" ref="AX208" ca="1">IFERROR(INDEX(INDIRECT($B$3&amp;"."&amp;$B$158&amp;".energy["&amp;This.year&amp;"]"),MATCH($C208&amp;AX$5,INDIRECT($B$3&amp;"."&amp;$B$158&amp;".energy[Tech description]")&amp;INDIRECT($B$3&amp;"."&amp;$B$158&amp;".energy[Energy description]"),0)),0)</f>
        <v>0</v>
      </c>
      <c r="AY208" s="21">
        <f t="array" aca="1" ref="AY208" ca="1">IFERROR(INDEX(INDIRECT($B$3&amp;"."&amp;$B$158&amp;".energy["&amp;This.year&amp;"]"),MATCH($C208&amp;AY$5,INDIRECT($B$3&amp;"."&amp;$B$158&amp;".energy[Tech description]")&amp;INDIRECT($B$3&amp;"."&amp;$B$158&amp;".energy[Energy description]"),0)),0)</f>
        <v>0</v>
      </c>
      <c r="AZ208" s="21">
        <f t="array" aca="1" ref="AZ208" ca="1">IFERROR(INDEX(INDIRECT($B$3&amp;"."&amp;$B$158&amp;".energy["&amp;This.year&amp;"]"),MATCH($C208&amp;AZ$5,INDIRECT($B$3&amp;"."&amp;$B$158&amp;".energy[Tech description]")&amp;INDIRECT($B$3&amp;"."&amp;$B$158&amp;".energy[Energy description]"),0)),0)</f>
        <v>0</v>
      </c>
      <c r="BA208" s="21">
        <f t="array" aca="1" ref="BA208" ca="1">IFERROR(INDEX(INDIRECT($B$3&amp;"."&amp;$B$158&amp;".energy["&amp;This.year&amp;"]"),MATCH($C208&amp;BA$5,INDIRECT($B$3&amp;"."&amp;$B$158&amp;".energy[Tech description]")&amp;INDIRECT($B$3&amp;"."&amp;$B$158&amp;".energy[Energy description]"),0)),0)</f>
        <v>0</v>
      </c>
      <c r="BB208" s="21">
        <f t="array" aca="1" ref="BB208" ca="1">IFERROR(INDEX(INDIRECT($B$3&amp;"."&amp;$B$158&amp;".energy["&amp;This.year&amp;"]"),MATCH($C208&amp;BB$5,INDIRECT($B$3&amp;"."&amp;$B$158&amp;".energy[Tech description]")&amp;INDIRECT($B$3&amp;"."&amp;$B$158&amp;".energy[Energy description]"),0)),0)</f>
        <v>0</v>
      </c>
      <c r="BC208" s="21">
        <f t="array" aca="1" ref="BC208" ca="1">IFERROR(INDEX(INDIRECT($B$3&amp;"."&amp;$B$158&amp;".energy["&amp;This.year&amp;"]"),MATCH($C208&amp;BC$5,INDIRECT($B$3&amp;"."&amp;$B$158&amp;".energy[Tech description]")&amp;INDIRECT($B$3&amp;"."&amp;$B$158&amp;".energy[Energy description]"),0)),0)</f>
        <v>0</v>
      </c>
      <c r="BD208" s="21">
        <f t="shared" ca="1" si="27"/>
        <v>0</v>
      </c>
      <c r="BE208" s="108"/>
      <c r="BF208" s="49">
        <f t="array" aca="1" ref="BF208" ca="1">IFERROR(INDEX(INDIRECT($B$3&amp;"."&amp;$B$158&amp;".energy["&amp;This.year&amp;"]"),MATCH($C208&amp;BF$5,INDIRECT($B$3&amp;"."&amp;$B$158&amp;".energy[Tech description]")&amp;INDIRECT($B$3&amp;"."&amp;$B$158&amp;".energy[Energy description]"),0)),0)</f>
        <v>0</v>
      </c>
      <c r="BG208" s="49">
        <f t="array" aca="1" ref="BG208" ca="1">IFERROR(INDEX(INDIRECT($B$3&amp;"."&amp;$B$158&amp;".energy["&amp;This.year&amp;"]"),MATCH($C208&amp;BG$5,INDIRECT($B$3&amp;"."&amp;$B$158&amp;".energy[Tech description]")&amp;INDIRECT($B$3&amp;"."&amp;$B$158&amp;".energy[Energy description]"),0)),0)</f>
        <v>0</v>
      </c>
      <c r="BH208" s="49">
        <f t="shared" ca="1" si="28"/>
        <v>0</v>
      </c>
      <c r="BI208" s="219">
        <f t="shared" ca="1" si="9"/>
        <v>0</v>
      </c>
      <c r="BJ208" s="108"/>
    </row>
    <row r="209" spans="1:62" s="54" customFormat="1">
      <c r="A209" s="133"/>
      <c r="B209" s="176" t="s">
        <v>1829</v>
      </c>
      <c r="C209" s="114" t="str">
        <f>INDEX(Regional.Technologies[Description],MATCH($B$3&amp;"."&amp;B209,Regional.Technologies[Code],0))</f>
        <v>Global Oil use in the Chemicals: Ammonia technology</v>
      </c>
      <c r="E209" s="121">
        <f t="array" aca="1" ref="E209" ca="1">IFERROR(INDEX(INDIRECT($B$3&amp;"."&amp;$B$158&amp;".energy["&amp;This.year&amp;"]"),MATCH($C209&amp;E$5,INDIRECT($B$3&amp;"."&amp;$B$158&amp;".energy[Tech description]")&amp;INDIRECT($B$3&amp;"."&amp;$B$158&amp;".energy[Energy description]"),0)),0)</f>
        <v>0</v>
      </c>
      <c r="F209" s="121">
        <f t="array" aca="1" ref="F209" ca="1">IFERROR(INDEX(INDIRECT($B$3&amp;"."&amp;$B$158&amp;".energy["&amp;This.year&amp;"]"),MATCH($C209&amp;F$5,INDIRECT($B$3&amp;"."&amp;$B$158&amp;".energy[Tech description]")&amp;INDIRECT($B$3&amp;"."&amp;$B$158&amp;".energy[Energy description]"),0)),0)</f>
        <v>0</v>
      </c>
      <c r="G209" s="121">
        <f t="array" aca="1" ref="G209" ca="1">IFERROR(INDEX(INDIRECT($B$3&amp;"."&amp;$B$158&amp;".energy["&amp;This.year&amp;"]"),MATCH($C209&amp;G$5,INDIRECT($B$3&amp;"."&amp;$B$158&amp;".energy[Tech description]")&amp;INDIRECT($B$3&amp;"."&amp;$B$158&amp;".energy[Energy description]"),0)),0)</f>
        <v>0</v>
      </c>
      <c r="H209" s="121">
        <f t="array" aca="1" ref="H209" ca="1">IFERROR(INDEX(INDIRECT($B$3&amp;"."&amp;$B$158&amp;".energy["&amp;This.year&amp;"]"),MATCH($C209&amp;H$5,INDIRECT($B$3&amp;"."&amp;$B$158&amp;".energy[Tech description]")&amp;INDIRECT($B$3&amp;"."&amp;$B$158&amp;".energy[Energy description]"),0)),0)</f>
        <v>0</v>
      </c>
      <c r="I209" s="121">
        <f t="array" aca="1" ref="I209" ca="1">IFERROR(INDEX(INDIRECT($B$3&amp;"."&amp;$B$158&amp;".energy["&amp;This.year&amp;"]"),MATCH($C209&amp;I$5,INDIRECT($B$3&amp;"."&amp;$B$158&amp;".energy[Tech description]")&amp;INDIRECT($B$3&amp;"."&amp;$B$158&amp;".energy[Energy description]"),0)),0)</f>
        <v>0</v>
      </c>
      <c r="J209" s="121">
        <f t="array" aca="1" ref="J209" ca="1">IFERROR(INDEX(INDIRECT($B$3&amp;"."&amp;$B$158&amp;".energy["&amp;This.year&amp;"]"),MATCH($C209&amp;J$5,INDIRECT($B$3&amp;"."&amp;$B$158&amp;".energy[Tech description]")&amp;INDIRECT($B$3&amp;"."&amp;$B$158&amp;".energy[Energy description]"),0)),0)</f>
        <v>0</v>
      </c>
      <c r="K209" s="121">
        <f t="array" aca="1" ref="K209" ca="1">IFERROR(INDEX(INDIRECT($B$3&amp;"."&amp;$B$158&amp;".energy["&amp;This.year&amp;"]"),MATCH($C209&amp;K$5,INDIRECT($B$3&amp;"."&amp;$B$158&amp;".energy[Tech description]")&amp;INDIRECT($B$3&amp;"."&amp;$B$158&amp;".energy[Energy description]"),0)),0)</f>
        <v>0</v>
      </c>
      <c r="L209" s="121">
        <f t="array" aca="1" ref="L209" ca="1">IFERROR(INDEX(INDIRECT($B$3&amp;"."&amp;$B$158&amp;".energy["&amp;This.year&amp;"]"),MATCH($C209&amp;L$5,INDIRECT($B$3&amp;"."&amp;$B$158&amp;".energy[Tech description]")&amp;INDIRECT($B$3&amp;"."&amp;$B$158&amp;".energy[Energy description]"),0)),0)</f>
        <v>0</v>
      </c>
      <c r="M209" s="121">
        <f t="array" aca="1" ref="M209" ca="1">IFERROR(INDEX(INDIRECT($B$3&amp;"."&amp;$B$158&amp;".energy["&amp;This.year&amp;"]"),MATCH($C209&amp;M$5,INDIRECT($B$3&amp;"."&amp;$B$158&amp;".energy[Tech description]")&amp;INDIRECT($B$3&amp;"."&amp;$B$158&amp;".energy[Energy description]"),0)),0)</f>
        <v>0</v>
      </c>
      <c r="N209" s="121">
        <f t="array" aca="1" ref="N209" ca="1">IFERROR(INDEX(INDIRECT($B$3&amp;"."&amp;$B$158&amp;".energy["&amp;This.year&amp;"]"),MATCH($C209&amp;N$5,INDIRECT($B$3&amp;"."&amp;$B$158&amp;".energy[Tech description]")&amp;INDIRECT($B$3&amp;"."&amp;$B$158&amp;".energy[Energy description]"),0)),0)</f>
        <v>0</v>
      </c>
      <c r="O209" s="121">
        <f t="array" aca="1" ref="O209" ca="1">IFERROR(INDEX(INDIRECT($B$3&amp;"."&amp;$B$158&amp;".energy["&amp;This.year&amp;"]"),MATCH($C209&amp;O$5,INDIRECT($B$3&amp;"."&amp;$B$158&amp;".energy[Tech description]")&amp;INDIRECT($B$3&amp;"."&amp;$B$158&amp;".energy[Energy description]"),0)),0)</f>
        <v>0</v>
      </c>
      <c r="P209" s="121">
        <f t="array" aca="1" ref="P209" ca="1">IFERROR(INDEX(INDIRECT($B$3&amp;"."&amp;$B$158&amp;".energy["&amp;This.year&amp;"]"),MATCH($C209&amp;P$5,INDIRECT($B$3&amp;"."&amp;$B$158&amp;".energy[Tech description]")&amp;INDIRECT($B$3&amp;"."&amp;$B$158&amp;".energy[Energy description]"),0)),0)</f>
        <v>0</v>
      </c>
      <c r="Q209" s="121">
        <f t="array" aca="1" ref="Q209" ca="1">IFERROR(INDEX(INDIRECT($B$3&amp;"."&amp;$B$158&amp;".energy["&amp;This.year&amp;"]"),MATCH($C209&amp;Q$5,INDIRECT($B$3&amp;"."&amp;$B$158&amp;".energy[Tech description]")&amp;INDIRECT($B$3&amp;"."&amp;$B$158&amp;".energy[Energy description]"),0)),0)</f>
        <v>0</v>
      </c>
      <c r="R209" s="121">
        <f t="array" aca="1" ref="R209" ca="1">IFERROR(INDEX(INDIRECT($B$3&amp;"."&amp;$B$158&amp;".energy["&amp;This.year&amp;"]"),MATCH($C209&amp;R$5,INDIRECT($B$3&amp;"."&amp;$B$158&amp;".energy[Tech description]")&amp;INDIRECT($B$3&amp;"."&amp;$B$158&amp;".energy[Energy description]"),0)),0)</f>
        <v>0</v>
      </c>
      <c r="S209" s="121">
        <f t="array" aca="1" ref="S209" ca="1">IFERROR(INDEX(INDIRECT($B$3&amp;"."&amp;$B$158&amp;".energy["&amp;This.year&amp;"]"),MATCH($C209&amp;S$5,INDIRECT($B$3&amp;"."&amp;$B$158&amp;".energy[Tech description]")&amp;INDIRECT($B$3&amp;"."&amp;$B$158&amp;".energy[Energy description]"),0)),0)</f>
        <v>0</v>
      </c>
      <c r="T209" s="121">
        <f t="shared" ca="1" si="25"/>
        <v>0</v>
      </c>
      <c r="U209" s="109"/>
      <c r="V209" s="152">
        <f t="array" aca="1" ref="V209" ca="1">IFERROR(INDEX(INDIRECT($B$3&amp;"."&amp;$B$158&amp;".energy["&amp;This.year&amp;"]"),MATCH($C209&amp;V$5,INDIRECT($B$3&amp;"."&amp;$B$158&amp;".energy[Tech description]")&amp;INDIRECT($B$3&amp;"."&amp;$B$158&amp;".energy[Energy description]"),0)),0)</f>
        <v>0</v>
      </c>
      <c r="W209" s="152">
        <f t="array" aca="1" ref="W209" ca="1">IFERROR(INDEX(INDIRECT($B$3&amp;"."&amp;$B$158&amp;".energy["&amp;This.year&amp;"]"),MATCH($C209&amp;W$5,INDIRECT($B$3&amp;"."&amp;$B$158&amp;".energy[Tech description]")&amp;INDIRECT($B$3&amp;"."&amp;$B$158&amp;".energy[Energy description]"),0)),0)</f>
        <v>0</v>
      </c>
      <c r="X209" s="152">
        <f t="array" aca="1" ref="X209" ca="1">IFERROR(INDEX(INDIRECT($B$3&amp;"."&amp;$B$158&amp;".energy["&amp;This.year&amp;"]"),MATCH($C209&amp;X$5,INDIRECT($B$3&amp;"."&amp;$B$158&amp;".energy[Tech description]")&amp;INDIRECT($B$3&amp;"."&amp;$B$158&amp;".energy[Energy description]"),0)),0)</f>
        <v>0</v>
      </c>
      <c r="Y209" s="152">
        <f t="array" aca="1" ref="Y209" ca="1">IFERROR(INDEX(INDIRECT($B$3&amp;"."&amp;$B$158&amp;".energy["&amp;This.year&amp;"]"),MATCH($C209&amp;Y$5,INDIRECT($B$3&amp;"."&amp;$B$158&amp;".energy[Tech description]")&amp;INDIRECT($B$3&amp;"."&amp;$B$158&amp;".energy[Energy description]"),0)),0)</f>
        <v>0</v>
      </c>
      <c r="Z209" s="152">
        <f t="array" aca="1" ref="Z209" ca="1">IFERROR(INDEX(INDIRECT($B$3&amp;"."&amp;$B$158&amp;".energy["&amp;This.year&amp;"]"),MATCH($C209&amp;Z$5,INDIRECT($B$3&amp;"."&amp;$B$158&amp;".energy[Tech description]")&amp;INDIRECT($B$3&amp;"."&amp;$B$158&amp;".energy[Energy description]"),0)),0)</f>
        <v>0</v>
      </c>
      <c r="AA209" s="152">
        <f t="array" aca="1" ref="AA209" ca="1">IFERROR(INDEX(INDIRECT($B$3&amp;"."&amp;$B$158&amp;".energy["&amp;This.year&amp;"]"),MATCH($C209&amp;AA$5,INDIRECT($B$3&amp;"."&amp;$B$158&amp;".energy[Tech description]")&amp;INDIRECT($B$3&amp;"."&amp;$B$158&amp;".energy[Energy description]"),0)),0)</f>
        <v>0</v>
      </c>
      <c r="AB209" s="152">
        <f t="array" aca="1" ref="AB209" ca="1">IFERROR(INDEX(INDIRECT($B$3&amp;"."&amp;$B$158&amp;".energy["&amp;This.year&amp;"]"),MATCH($C209&amp;AB$5,INDIRECT($B$3&amp;"."&amp;$B$158&amp;".energy[Tech description]")&amp;INDIRECT($B$3&amp;"."&amp;$B$158&amp;".energy[Energy description]"),0)),0)</f>
        <v>0</v>
      </c>
      <c r="AC209" s="152">
        <f t="array" aca="1" ref="AC209" ca="1">IFERROR(INDEX(INDIRECT($B$3&amp;"."&amp;$B$158&amp;".energy["&amp;This.year&amp;"]"),MATCH($C209&amp;AC$5,INDIRECT($B$3&amp;"."&amp;$B$158&amp;".energy[Tech description]")&amp;INDIRECT($B$3&amp;"."&amp;$B$158&amp;".energy[Energy description]"),0)),0)</f>
        <v>0</v>
      </c>
      <c r="AD209" s="152">
        <f t="array" aca="1" ref="AD209" ca="1">IFERROR(INDEX(INDIRECT($B$3&amp;"."&amp;$B$158&amp;".energy["&amp;This.year&amp;"]"),MATCH($C209&amp;AD$5,INDIRECT($B$3&amp;"."&amp;$B$158&amp;".energy[Tech description]")&amp;INDIRECT($B$3&amp;"."&amp;$B$158&amp;".energy[Energy description]"),0)),0)</f>
        <v>0</v>
      </c>
      <c r="AE209" s="152">
        <f t="array" aca="1" ref="AE209" ca="1">IFERROR(INDEX(INDIRECT($B$3&amp;"."&amp;$B$158&amp;".energy["&amp;This.year&amp;"]"),MATCH($C209&amp;AE$5,INDIRECT($B$3&amp;"."&amp;$B$158&amp;".energy[Tech description]")&amp;INDIRECT($B$3&amp;"."&amp;$B$158&amp;".energy[Energy description]"),0)),0)</f>
        <v>0</v>
      </c>
      <c r="AF209" s="152">
        <f t="array" aca="1" ref="AF209" ca="1">IFERROR(INDEX(INDIRECT($B$3&amp;"."&amp;$B$158&amp;".energy["&amp;This.year&amp;"]"),MATCH($C209&amp;AF$5,INDIRECT($B$3&amp;"."&amp;$B$158&amp;".energy[Tech description]")&amp;INDIRECT($B$3&amp;"."&amp;$B$158&amp;".energy[Energy description]"),0)),0)</f>
        <v>0</v>
      </c>
      <c r="AG209" s="152">
        <f t="array" aca="1" ref="AG209" ca="1">IFERROR(INDEX(INDIRECT($B$3&amp;"."&amp;$B$158&amp;".energy["&amp;This.year&amp;"]"),MATCH($C209&amp;AG$5,INDIRECT($B$3&amp;"."&amp;$B$158&amp;".energy[Tech description]")&amp;INDIRECT($B$3&amp;"."&amp;$B$158&amp;".energy[Energy description]"),0)),0)</f>
        <v>0</v>
      </c>
      <c r="AH209" s="152">
        <f t="array" aca="1" ref="AH209" ca="1">IFERROR(INDEX(INDIRECT($B$3&amp;"."&amp;$B$158&amp;".energy["&amp;This.year&amp;"]"),MATCH($C209&amp;AH$5,INDIRECT($B$3&amp;"."&amp;$B$158&amp;".energy[Tech description]")&amp;INDIRECT($B$3&amp;"."&amp;$B$158&amp;".energy[Energy description]"),0)),0)</f>
        <v>0</v>
      </c>
      <c r="AI209" s="152">
        <f t="array" aca="1" ref="AI209" ca="1">IFERROR(INDEX(INDIRECT($B$3&amp;"."&amp;$B$158&amp;".energy["&amp;This.year&amp;"]"),MATCH($C209&amp;AI$5,INDIRECT($B$3&amp;"."&amp;$B$158&amp;".energy[Tech description]")&amp;INDIRECT($B$3&amp;"."&amp;$B$158&amp;".energy[Energy description]"),0)),0)</f>
        <v>0</v>
      </c>
      <c r="AJ209" s="152">
        <f t="array" aca="1" ref="AJ209" ca="1">IFERROR(INDEX(INDIRECT($B$3&amp;"."&amp;$B$158&amp;".energy["&amp;This.year&amp;"]"),MATCH($C209&amp;AJ$5,INDIRECT($B$3&amp;"."&amp;$B$158&amp;".energy[Tech description]")&amp;INDIRECT($B$3&amp;"."&amp;$B$158&amp;".energy[Energy description]"),0)),0)</f>
        <v>0</v>
      </c>
      <c r="AK209" s="152">
        <f t="array" aca="1" ref="AK209" ca="1">IFERROR(INDEX(INDIRECT($B$3&amp;"."&amp;$B$158&amp;".energy["&amp;This.year&amp;"]"),MATCH($C209&amp;AK$5,INDIRECT($B$3&amp;"."&amp;$B$158&amp;".energy[Tech description]")&amp;INDIRECT($B$3&amp;"."&amp;$B$158&amp;".energy[Energy description]"),0)),0)</f>
        <v>0</v>
      </c>
      <c r="AL209" s="152">
        <f t="array" aca="1" ref="AL209" ca="1">IFERROR(INDEX(INDIRECT($B$3&amp;"."&amp;$B$158&amp;".energy["&amp;This.year&amp;"]"),MATCH($C209&amp;AL$5,INDIRECT($B$3&amp;"."&amp;$B$158&amp;".energy[Tech description]")&amp;INDIRECT($B$3&amp;"."&amp;$B$158&amp;".energy[Energy description]"),0)),0)</f>
        <v>0</v>
      </c>
      <c r="AM209" s="152">
        <f t="array" aca="1" ref="AM209" ca="1">IFERROR(INDEX(INDIRECT($B$3&amp;"."&amp;$B$158&amp;".energy["&amp;This.year&amp;"]"),MATCH($C209&amp;AM$5,INDIRECT($B$3&amp;"."&amp;$B$158&amp;".energy[Tech description]")&amp;INDIRECT($B$3&amp;"."&amp;$B$158&amp;".energy[Energy description]"),0)),0)</f>
        <v>0</v>
      </c>
      <c r="AN209" s="152">
        <f t="array" aca="1" ref="AN209" ca="1">IFERROR(INDEX(INDIRECT($B$3&amp;"."&amp;$B$158&amp;".energy["&amp;This.year&amp;"]"),MATCH($C209&amp;AN$5,INDIRECT($B$3&amp;"."&amp;$B$158&amp;".energy[Tech description]")&amp;INDIRECT($B$3&amp;"."&amp;$B$158&amp;".energy[Energy description]"),0)),0)</f>
        <v>0</v>
      </c>
      <c r="AO209" s="152">
        <f t="shared" ca="1" si="26"/>
        <v>0</v>
      </c>
      <c r="AP209" s="108"/>
      <c r="AQ209" s="21">
        <f t="array" aca="1" ref="AQ209" ca="1">IFERROR(INDEX(INDIRECT($B$3&amp;"."&amp;$B$158&amp;".energy["&amp;This.year&amp;"]"),MATCH($C209&amp;AQ$5,INDIRECT($B$3&amp;"."&amp;$B$158&amp;".energy[Tech description]")&amp;INDIRECT($B$3&amp;"."&amp;$B$158&amp;".energy[Energy description]"),0)),0)</f>
        <v>0</v>
      </c>
      <c r="AR209" s="21">
        <f t="array" aca="1" ref="AR209" ca="1">IFERROR(INDEX(INDIRECT($B$3&amp;"."&amp;$B$158&amp;".energy["&amp;This.year&amp;"]"),MATCH($C209&amp;AR$5,INDIRECT($B$3&amp;"."&amp;$B$158&amp;".energy[Tech description]")&amp;INDIRECT($B$3&amp;"."&amp;$B$158&amp;".energy[Energy description]"),0)),0)</f>
        <v>0</v>
      </c>
      <c r="AS209" s="21">
        <f t="array" aca="1" ref="AS209" ca="1">IFERROR(INDEX(INDIRECT($B$3&amp;"."&amp;$B$158&amp;".energy["&amp;This.year&amp;"]"),MATCH($C209&amp;AS$5,INDIRECT($B$3&amp;"."&amp;$B$158&amp;".energy[Tech description]")&amp;INDIRECT($B$3&amp;"."&amp;$B$158&amp;".energy[Energy description]"),0)),0)</f>
        <v>0</v>
      </c>
      <c r="AT209" s="21">
        <f t="array" aca="1" ref="AT209" ca="1">IFERROR(INDEX(INDIRECT($B$3&amp;"."&amp;$B$158&amp;".energy["&amp;This.year&amp;"]"),MATCH($C209&amp;AT$5,INDIRECT($B$3&amp;"."&amp;$B$158&amp;".energy[Tech description]")&amp;INDIRECT($B$3&amp;"."&amp;$B$158&amp;".energy[Energy description]"),0)),0)</f>
        <v>0</v>
      </c>
      <c r="AU209" s="21">
        <f t="array" aca="1" ref="AU209" ca="1">IFERROR(INDEX(INDIRECT($B$3&amp;"."&amp;$B$158&amp;".energy["&amp;This.year&amp;"]"),MATCH($C209&amp;AU$5,INDIRECT($B$3&amp;"."&amp;$B$158&amp;".energy[Tech description]")&amp;INDIRECT($B$3&amp;"."&amp;$B$158&amp;".energy[Energy description]"),0)),0)</f>
        <v>0</v>
      </c>
      <c r="AV209" s="21">
        <f t="array" aca="1" ref="AV209" ca="1">IFERROR(INDEX(INDIRECT($B$3&amp;"."&amp;$B$158&amp;".energy["&amp;This.year&amp;"]"),MATCH($C209&amp;AV$5,INDIRECT($B$3&amp;"."&amp;$B$158&amp;".energy[Tech description]")&amp;INDIRECT($B$3&amp;"."&amp;$B$158&amp;".energy[Energy description]"),0)),0)</f>
        <v>0</v>
      </c>
      <c r="AW209" s="21">
        <f t="array" aca="1" ref="AW209" ca="1">IFERROR(INDEX(INDIRECT($B$3&amp;"."&amp;$B$158&amp;".energy["&amp;This.year&amp;"]"),MATCH($C209&amp;AW$5,INDIRECT($B$3&amp;"."&amp;$B$158&amp;".energy[Tech description]")&amp;INDIRECT($B$3&amp;"."&amp;$B$158&amp;".energy[Energy description]"),0)),0)</f>
        <v>0</v>
      </c>
      <c r="AX209" s="21">
        <f t="array" aca="1" ref="AX209" ca="1">IFERROR(INDEX(INDIRECT($B$3&amp;"."&amp;$B$158&amp;".energy["&amp;This.year&amp;"]"),MATCH($C209&amp;AX$5,INDIRECT($B$3&amp;"."&amp;$B$158&amp;".energy[Tech description]")&amp;INDIRECT($B$3&amp;"."&amp;$B$158&amp;".energy[Energy description]"),0)),0)</f>
        <v>0</v>
      </c>
      <c r="AY209" s="21">
        <f t="array" aca="1" ref="AY209" ca="1">IFERROR(INDEX(INDIRECT($B$3&amp;"."&amp;$B$158&amp;".energy["&amp;This.year&amp;"]"),MATCH($C209&amp;AY$5,INDIRECT($B$3&amp;"."&amp;$B$158&amp;".energy[Tech description]")&amp;INDIRECT($B$3&amp;"."&amp;$B$158&amp;".energy[Energy description]"),0)),0)</f>
        <v>0</v>
      </c>
      <c r="AZ209" s="21">
        <f t="array" aca="1" ref="AZ209" ca="1">IFERROR(INDEX(INDIRECT($B$3&amp;"."&amp;$B$158&amp;".energy["&amp;This.year&amp;"]"),MATCH($C209&amp;AZ$5,INDIRECT($B$3&amp;"."&amp;$B$158&amp;".energy[Tech description]")&amp;INDIRECT($B$3&amp;"."&amp;$B$158&amp;".energy[Energy description]"),0)),0)</f>
        <v>0</v>
      </c>
      <c r="BA209" s="21">
        <f t="array" aca="1" ref="BA209" ca="1">IFERROR(INDEX(INDIRECT($B$3&amp;"."&amp;$B$158&amp;".energy["&amp;This.year&amp;"]"),MATCH($C209&amp;BA$5,INDIRECT($B$3&amp;"."&amp;$B$158&amp;".energy[Tech description]")&amp;INDIRECT($B$3&amp;"."&amp;$B$158&amp;".energy[Energy description]"),0)),0)</f>
        <v>0</v>
      </c>
      <c r="BB209" s="21">
        <f t="array" aca="1" ref="BB209" ca="1">IFERROR(INDEX(INDIRECT($B$3&amp;"."&amp;$B$158&amp;".energy["&amp;This.year&amp;"]"),MATCH($C209&amp;BB$5,INDIRECT($B$3&amp;"."&amp;$B$158&amp;".energy[Tech description]")&amp;INDIRECT($B$3&amp;"."&amp;$B$158&amp;".energy[Energy description]"),0)),0)</f>
        <v>0</v>
      </c>
      <c r="BC209" s="21">
        <f t="array" aca="1" ref="BC209" ca="1">IFERROR(INDEX(INDIRECT($B$3&amp;"."&amp;$B$158&amp;".energy["&amp;This.year&amp;"]"),MATCH($C209&amp;BC$5,INDIRECT($B$3&amp;"."&amp;$B$158&amp;".energy[Tech description]")&amp;INDIRECT($B$3&amp;"."&amp;$B$158&amp;".energy[Energy description]"),0)),0)</f>
        <v>0</v>
      </c>
      <c r="BD209" s="21">
        <f t="shared" ca="1" si="27"/>
        <v>0</v>
      </c>
      <c r="BE209" s="108"/>
      <c r="BF209" s="49">
        <f t="array" aca="1" ref="BF209" ca="1">IFERROR(INDEX(INDIRECT($B$3&amp;"."&amp;$B$158&amp;".energy["&amp;This.year&amp;"]"),MATCH($C209&amp;BF$5,INDIRECT($B$3&amp;"."&amp;$B$158&amp;".energy[Tech description]")&amp;INDIRECT($B$3&amp;"."&amp;$B$158&amp;".energy[Energy description]"),0)),0)</f>
        <v>0</v>
      </c>
      <c r="BG209" s="49">
        <f t="array" aca="1" ref="BG209" ca="1">IFERROR(INDEX(INDIRECT($B$3&amp;"."&amp;$B$158&amp;".energy["&amp;This.year&amp;"]"),MATCH($C209&amp;BG$5,INDIRECT($B$3&amp;"."&amp;$B$158&amp;".energy[Tech description]")&amp;INDIRECT($B$3&amp;"."&amp;$B$158&amp;".energy[Energy description]"),0)),0)</f>
        <v>0</v>
      </c>
      <c r="BH209" s="49">
        <f t="shared" ca="1" si="28"/>
        <v>0</v>
      </c>
      <c r="BI209" s="219">
        <f t="shared" ca="1" si="9"/>
        <v>0</v>
      </c>
      <c r="BJ209" s="108"/>
    </row>
    <row r="210" spans="1:62" s="54" customFormat="1">
      <c r="A210" s="133"/>
      <c r="B210" s="176" t="s">
        <v>1830</v>
      </c>
      <c r="C210" s="114" t="str">
        <f>INDEX(Regional.Technologies[Description],MATCH($B$3&amp;"."&amp;B210,Regional.Technologies[Code],0))</f>
        <v>Global Natural Gas use in the Chemicals: Ammonia technology</v>
      </c>
      <c r="E210" s="121">
        <f t="array" aca="1" ref="E210" ca="1">IFERROR(INDEX(INDIRECT($B$3&amp;"."&amp;$B$158&amp;".energy["&amp;This.year&amp;"]"),MATCH($C210&amp;E$5,INDIRECT($B$3&amp;"."&amp;$B$158&amp;".energy[Tech description]")&amp;INDIRECT($B$3&amp;"."&amp;$B$158&amp;".energy[Energy description]"),0)),0)</f>
        <v>0</v>
      </c>
      <c r="F210" s="121">
        <f t="array" aca="1" ref="F210" ca="1">IFERROR(INDEX(INDIRECT($B$3&amp;"."&amp;$B$158&amp;".energy["&amp;This.year&amp;"]"),MATCH($C210&amp;F$5,INDIRECT($B$3&amp;"."&amp;$B$158&amp;".energy[Tech description]")&amp;INDIRECT($B$3&amp;"."&amp;$B$158&amp;".energy[Energy description]"),0)),0)</f>
        <v>0</v>
      </c>
      <c r="G210" s="121">
        <f t="array" aca="1" ref="G210" ca="1">IFERROR(INDEX(INDIRECT($B$3&amp;"."&amp;$B$158&amp;".energy["&amp;This.year&amp;"]"),MATCH($C210&amp;G$5,INDIRECT($B$3&amp;"."&amp;$B$158&amp;".energy[Tech description]")&amp;INDIRECT($B$3&amp;"."&amp;$B$158&amp;".energy[Energy description]"),0)),0)</f>
        <v>0</v>
      </c>
      <c r="H210" s="121">
        <f t="array" aca="1" ref="H210" ca="1">IFERROR(INDEX(INDIRECT($B$3&amp;"."&amp;$B$158&amp;".energy["&amp;This.year&amp;"]"),MATCH($C210&amp;H$5,INDIRECT($B$3&amp;"."&amp;$B$158&amp;".energy[Tech description]")&amp;INDIRECT($B$3&amp;"."&amp;$B$158&amp;".energy[Energy description]"),0)),0)</f>
        <v>0</v>
      </c>
      <c r="I210" s="121">
        <f t="array" aca="1" ref="I210" ca="1">IFERROR(INDEX(INDIRECT($B$3&amp;"."&amp;$B$158&amp;".energy["&amp;This.year&amp;"]"),MATCH($C210&amp;I$5,INDIRECT($B$3&amp;"."&amp;$B$158&amp;".energy[Tech description]")&amp;INDIRECT($B$3&amp;"."&amp;$B$158&amp;".energy[Energy description]"),0)),0)</f>
        <v>0</v>
      </c>
      <c r="J210" s="121">
        <f t="array" aca="1" ref="J210" ca="1">IFERROR(INDEX(INDIRECT($B$3&amp;"."&amp;$B$158&amp;".energy["&amp;This.year&amp;"]"),MATCH($C210&amp;J$5,INDIRECT($B$3&amp;"."&amp;$B$158&amp;".energy[Tech description]")&amp;INDIRECT($B$3&amp;"."&amp;$B$158&amp;".energy[Energy description]"),0)),0)</f>
        <v>4.5138365842133039</v>
      </c>
      <c r="K210" s="121">
        <f t="array" aca="1" ref="K210" ca="1">IFERROR(INDEX(INDIRECT($B$3&amp;"."&amp;$B$158&amp;".energy["&amp;This.year&amp;"]"),MATCH($C210&amp;K$5,INDIRECT($B$3&amp;"."&amp;$B$158&amp;".energy[Tech description]")&amp;INDIRECT($B$3&amp;"."&amp;$B$158&amp;".energy[Energy description]"),0)),0)</f>
        <v>0</v>
      </c>
      <c r="L210" s="121">
        <f t="array" aca="1" ref="L210" ca="1">IFERROR(INDEX(INDIRECT($B$3&amp;"."&amp;$B$158&amp;".energy["&amp;This.year&amp;"]"),MATCH($C210&amp;L$5,INDIRECT($B$3&amp;"."&amp;$B$158&amp;".energy[Tech description]")&amp;INDIRECT($B$3&amp;"."&amp;$B$158&amp;".energy[Energy description]"),0)),0)</f>
        <v>0</v>
      </c>
      <c r="M210" s="121">
        <f t="array" aca="1" ref="M210" ca="1">IFERROR(INDEX(INDIRECT($B$3&amp;"."&amp;$B$158&amp;".energy["&amp;This.year&amp;"]"),MATCH($C210&amp;M$5,INDIRECT($B$3&amp;"."&amp;$B$158&amp;".energy[Tech description]")&amp;INDIRECT($B$3&amp;"."&amp;$B$158&amp;".energy[Energy description]"),0)),0)</f>
        <v>0</v>
      </c>
      <c r="N210" s="121">
        <f t="array" aca="1" ref="N210" ca="1">IFERROR(INDEX(INDIRECT($B$3&amp;"."&amp;$B$158&amp;".energy["&amp;This.year&amp;"]"),MATCH($C210&amp;N$5,INDIRECT($B$3&amp;"."&amp;$B$158&amp;".energy[Tech description]")&amp;INDIRECT($B$3&amp;"."&amp;$B$158&amp;".energy[Energy description]"),0)),0)</f>
        <v>0</v>
      </c>
      <c r="O210" s="121">
        <f t="array" aca="1" ref="O210" ca="1">IFERROR(INDEX(INDIRECT($B$3&amp;"."&amp;$B$158&amp;".energy["&amp;This.year&amp;"]"),MATCH($C210&amp;O$5,INDIRECT($B$3&amp;"."&amp;$B$158&amp;".energy[Tech description]")&amp;INDIRECT($B$3&amp;"."&amp;$B$158&amp;".energy[Energy description]"),0)),0)</f>
        <v>0</v>
      </c>
      <c r="P210" s="121">
        <f t="array" aca="1" ref="P210" ca="1">IFERROR(INDEX(INDIRECT($B$3&amp;"."&amp;$B$158&amp;".energy["&amp;This.year&amp;"]"),MATCH($C210&amp;P$5,INDIRECT($B$3&amp;"."&amp;$B$158&amp;".energy[Tech description]")&amp;INDIRECT($B$3&amp;"."&amp;$B$158&amp;".energy[Energy description]"),0)),0)</f>
        <v>0</v>
      </c>
      <c r="Q210" s="121">
        <f t="array" aca="1" ref="Q210" ca="1">IFERROR(INDEX(INDIRECT($B$3&amp;"."&amp;$B$158&amp;".energy["&amp;This.year&amp;"]"),MATCH($C210&amp;Q$5,INDIRECT($B$3&amp;"."&amp;$B$158&amp;".energy[Tech description]")&amp;INDIRECT($B$3&amp;"."&amp;$B$158&amp;".energy[Energy description]"),0)),0)</f>
        <v>0</v>
      </c>
      <c r="R210" s="121">
        <f t="array" aca="1" ref="R210" ca="1">IFERROR(INDEX(INDIRECT($B$3&amp;"."&amp;$B$158&amp;".energy["&amp;This.year&amp;"]"),MATCH($C210&amp;R$5,INDIRECT($B$3&amp;"."&amp;$B$158&amp;".energy[Tech description]")&amp;INDIRECT($B$3&amp;"."&amp;$B$158&amp;".energy[Energy description]"),0)),0)</f>
        <v>0</v>
      </c>
      <c r="S210" s="121">
        <f t="array" aca="1" ref="S210" ca="1">IFERROR(INDEX(INDIRECT($B$3&amp;"."&amp;$B$158&amp;".energy["&amp;This.year&amp;"]"),MATCH($C210&amp;S$5,INDIRECT($B$3&amp;"."&amp;$B$158&amp;".energy[Tech description]")&amp;INDIRECT($B$3&amp;"."&amp;$B$158&amp;".energy[Energy description]"),0)),0)</f>
        <v>0</v>
      </c>
      <c r="T210" s="121">
        <f t="shared" ca="1" si="25"/>
        <v>4.5138365842133039</v>
      </c>
      <c r="U210" s="109"/>
      <c r="V210" s="152">
        <f t="array" aca="1" ref="V210" ca="1">IFERROR(INDEX(INDIRECT($B$3&amp;"."&amp;$B$158&amp;".energy["&amp;This.year&amp;"]"),MATCH($C210&amp;V$5,INDIRECT($B$3&amp;"."&amp;$B$158&amp;".energy[Tech description]")&amp;INDIRECT($B$3&amp;"."&amp;$B$158&amp;".energy[Energy description]"),0)),0)</f>
        <v>0</v>
      </c>
      <c r="W210" s="152">
        <f t="array" aca="1" ref="W210" ca="1">IFERROR(INDEX(INDIRECT($B$3&amp;"."&amp;$B$158&amp;".energy["&amp;This.year&amp;"]"),MATCH($C210&amp;W$5,INDIRECT($B$3&amp;"."&amp;$B$158&amp;".energy[Tech description]")&amp;INDIRECT($B$3&amp;"."&amp;$B$158&amp;".energy[Energy description]"),0)),0)</f>
        <v>0</v>
      </c>
      <c r="X210" s="152">
        <f t="array" aca="1" ref="X210" ca="1">IFERROR(INDEX(INDIRECT($B$3&amp;"."&amp;$B$158&amp;".energy["&amp;This.year&amp;"]"),MATCH($C210&amp;X$5,INDIRECT($B$3&amp;"."&amp;$B$158&amp;".energy[Tech description]")&amp;INDIRECT($B$3&amp;"."&amp;$B$158&amp;".energy[Energy description]"),0)),0)</f>
        <v>0</v>
      </c>
      <c r="Y210" s="152">
        <f t="array" aca="1" ref="Y210" ca="1">IFERROR(INDEX(INDIRECT($B$3&amp;"."&amp;$B$158&amp;".energy["&amp;This.year&amp;"]"),MATCH($C210&amp;Y$5,INDIRECT($B$3&amp;"."&amp;$B$158&amp;".energy[Tech description]")&amp;INDIRECT($B$3&amp;"."&amp;$B$158&amp;".energy[Energy description]"),0)),0)</f>
        <v>0</v>
      </c>
      <c r="Z210" s="152">
        <f t="array" aca="1" ref="Z210" ca="1">IFERROR(INDEX(INDIRECT($B$3&amp;"."&amp;$B$158&amp;".energy["&amp;This.year&amp;"]"),MATCH($C210&amp;Z$5,INDIRECT($B$3&amp;"."&amp;$B$158&amp;".energy[Tech description]")&amp;INDIRECT($B$3&amp;"."&amp;$B$158&amp;".energy[Energy description]"),0)),0)</f>
        <v>0</v>
      </c>
      <c r="AA210" s="152">
        <f t="array" aca="1" ref="AA210" ca="1">IFERROR(INDEX(INDIRECT($B$3&amp;"."&amp;$B$158&amp;".energy["&amp;This.year&amp;"]"),MATCH($C210&amp;AA$5,INDIRECT($B$3&amp;"."&amp;$B$158&amp;".energy[Tech description]")&amp;INDIRECT($B$3&amp;"."&amp;$B$158&amp;".energy[Energy description]"),0)),0)</f>
        <v>0</v>
      </c>
      <c r="AB210" s="152">
        <f t="array" aca="1" ref="AB210" ca="1">IFERROR(INDEX(INDIRECT($B$3&amp;"."&amp;$B$158&amp;".energy["&amp;This.year&amp;"]"),MATCH($C210&amp;AB$5,INDIRECT($B$3&amp;"."&amp;$B$158&amp;".energy[Tech description]")&amp;INDIRECT($B$3&amp;"."&amp;$B$158&amp;".energy[Energy description]"),0)),0)</f>
        <v>0</v>
      </c>
      <c r="AC210" s="152">
        <f t="array" aca="1" ref="AC210" ca="1">IFERROR(INDEX(INDIRECT($B$3&amp;"."&amp;$B$158&amp;".energy["&amp;This.year&amp;"]"),MATCH($C210&amp;AC$5,INDIRECT($B$3&amp;"."&amp;$B$158&amp;".energy[Tech description]")&amp;INDIRECT($B$3&amp;"."&amp;$B$158&amp;".energy[Energy description]"),0)),0)</f>
        <v>-4.5138365842133039</v>
      </c>
      <c r="AD210" s="152">
        <f t="array" aca="1" ref="AD210" ca="1">IFERROR(INDEX(INDIRECT($B$3&amp;"."&amp;$B$158&amp;".energy["&amp;This.year&amp;"]"),MATCH($C210&amp;AD$5,INDIRECT($B$3&amp;"."&amp;$B$158&amp;".energy[Tech description]")&amp;INDIRECT($B$3&amp;"."&amp;$B$158&amp;".energy[Energy description]"),0)),0)</f>
        <v>0</v>
      </c>
      <c r="AE210" s="152">
        <f t="array" aca="1" ref="AE210" ca="1">IFERROR(INDEX(INDIRECT($B$3&amp;"."&amp;$B$158&amp;".energy["&amp;This.year&amp;"]"),MATCH($C210&amp;AE$5,INDIRECT($B$3&amp;"."&amp;$B$158&amp;".energy[Tech description]")&amp;INDIRECT($B$3&amp;"."&amp;$B$158&amp;".energy[Energy description]"),0)),0)</f>
        <v>0</v>
      </c>
      <c r="AF210" s="152">
        <f t="array" aca="1" ref="AF210" ca="1">IFERROR(INDEX(INDIRECT($B$3&amp;"."&amp;$B$158&amp;".energy["&amp;This.year&amp;"]"),MATCH($C210&amp;AF$5,INDIRECT($B$3&amp;"."&amp;$B$158&amp;".energy[Tech description]")&amp;INDIRECT($B$3&amp;"."&amp;$B$158&amp;".energy[Energy description]"),0)),0)</f>
        <v>0</v>
      </c>
      <c r="AG210" s="152">
        <f t="array" aca="1" ref="AG210" ca="1">IFERROR(INDEX(INDIRECT($B$3&amp;"."&amp;$B$158&amp;".energy["&amp;This.year&amp;"]"),MATCH($C210&amp;AG$5,INDIRECT($B$3&amp;"."&amp;$B$158&amp;".energy[Tech description]")&amp;INDIRECT($B$3&amp;"."&amp;$B$158&amp;".energy[Energy description]"),0)),0)</f>
        <v>0</v>
      </c>
      <c r="AH210" s="152">
        <f t="array" aca="1" ref="AH210" ca="1">IFERROR(INDEX(INDIRECT($B$3&amp;"."&amp;$B$158&amp;".energy["&amp;This.year&amp;"]"),MATCH($C210&amp;AH$5,INDIRECT($B$3&amp;"."&amp;$B$158&amp;".energy[Tech description]")&amp;INDIRECT($B$3&amp;"."&amp;$B$158&amp;".energy[Energy description]"),0)),0)</f>
        <v>0</v>
      </c>
      <c r="AI210" s="152">
        <f t="array" aca="1" ref="AI210" ca="1">IFERROR(INDEX(INDIRECT($B$3&amp;"."&amp;$B$158&amp;".energy["&amp;This.year&amp;"]"),MATCH($C210&amp;AI$5,INDIRECT($B$3&amp;"."&amp;$B$158&amp;".energy[Tech description]")&amp;INDIRECT($B$3&amp;"."&amp;$B$158&amp;".energy[Energy description]"),0)),0)</f>
        <v>0</v>
      </c>
      <c r="AJ210" s="152">
        <f t="array" aca="1" ref="AJ210" ca="1">IFERROR(INDEX(INDIRECT($B$3&amp;"."&amp;$B$158&amp;".energy["&amp;This.year&amp;"]"),MATCH($C210&amp;AJ$5,INDIRECT($B$3&amp;"."&amp;$B$158&amp;".energy[Tech description]")&amp;INDIRECT($B$3&amp;"."&amp;$B$158&amp;".energy[Energy description]"),0)),0)</f>
        <v>0</v>
      </c>
      <c r="AK210" s="152">
        <f t="array" aca="1" ref="AK210" ca="1">IFERROR(INDEX(INDIRECT($B$3&amp;"."&amp;$B$158&amp;".energy["&amp;This.year&amp;"]"),MATCH($C210&amp;AK$5,INDIRECT($B$3&amp;"."&amp;$B$158&amp;".energy[Tech description]")&amp;INDIRECT($B$3&amp;"."&amp;$B$158&amp;".energy[Energy description]"),0)),0)</f>
        <v>0</v>
      </c>
      <c r="AL210" s="152">
        <f t="array" aca="1" ref="AL210" ca="1">IFERROR(INDEX(INDIRECT($B$3&amp;"."&amp;$B$158&amp;".energy["&amp;This.year&amp;"]"),MATCH($C210&amp;AL$5,INDIRECT($B$3&amp;"."&amp;$B$158&amp;".energy[Tech description]")&amp;INDIRECT($B$3&amp;"."&amp;$B$158&amp;".energy[Energy description]"),0)),0)</f>
        <v>0</v>
      </c>
      <c r="AM210" s="152">
        <f t="array" aca="1" ref="AM210" ca="1">IFERROR(INDEX(INDIRECT($B$3&amp;"."&amp;$B$158&amp;".energy["&amp;This.year&amp;"]"),MATCH($C210&amp;AM$5,INDIRECT($B$3&amp;"."&amp;$B$158&amp;".energy[Tech description]")&amp;INDIRECT($B$3&amp;"."&amp;$B$158&amp;".energy[Energy description]"),0)),0)</f>
        <v>0</v>
      </c>
      <c r="AN210" s="152">
        <f t="array" aca="1" ref="AN210" ca="1">IFERROR(INDEX(INDIRECT($B$3&amp;"."&amp;$B$158&amp;".energy["&amp;This.year&amp;"]"),MATCH($C210&amp;AN$5,INDIRECT($B$3&amp;"."&amp;$B$158&amp;".energy[Tech description]")&amp;INDIRECT($B$3&amp;"."&amp;$B$158&amp;".energy[Energy description]"),0)),0)</f>
        <v>0</v>
      </c>
      <c r="AO210" s="152">
        <f t="shared" ca="1" si="26"/>
        <v>-4.5138365842133039</v>
      </c>
      <c r="AP210" s="108"/>
      <c r="AQ210" s="21">
        <f t="array" aca="1" ref="AQ210" ca="1">IFERROR(INDEX(INDIRECT($B$3&amp;"."&amp;$B$158&amp;".energy["&amp;This.year&amp;"]"),MATCH($C210&amp;AQ$5,INDIRECT($B$3&amp;"."&amp;$B$158&amp;".energy[Tech description]")&amp;INDIRECT($B$3&amp;"."&amp;$B$158&amp;".energy[Energy description]"),0)),0)</f>
        <v>0</v>
      </c>
      <c r="AR210" s="21">
        <f t="array" aca="1" ref="AR210" ca="1">IFERROR(INDEX(INDIRECT($B$3&amp;"."&amp;$B$158&amp;".energy["&amp;This.year&amp;"]"),MATCH($C210&amp;AR$5,INDIRECT($B$3&amp;"."&amp;$B$158&amp;".energy[Tech description]")&amp;INDIRECT($B$3&amp;"."&amp;$B$158&amp;".energy[Energy description]"),0)),0)</f>
        <v>0</v>
      </c>
      <c r="AS210" s="21">
        <f t="array" aca="1" ref="AS210" ca="1">IFERROR(INDEX(INDIRECT($B$3&amp;"."&amp;$B$158&amp;".energy["&amp;This.year&amp;"]"),MATCH($C210&amp;AS$5,INDIRECT($B$3&amp;"."&amp;$B$158&amp;".energy[Tech description]")&amp;INDIRECT($B$3&amp;"."&amp;$B$158&amp;".energy[Energy description]"),0)),0)</f>
        <v>0</v>
      </c>
      <c r="AT210" s="21">
        <f t="array" aca="1" ref="AT210" ca="1">IFERROR(INDEX(INDIRECT($B$3&amp;"."&amp;$B$158&amp;".energy["&amp;This.year&amp;"]"),MATCH($C210&amp;AT$5,INDIRECT($B$3&amp;"."&amp;$B$158&amp;".energy[Tech description]")&amp;INDIRECT($B$3&amp;"."&amp;$B$158&amp;".energy[Energy description]"),0)),0)</f>
        <v>0</v>
      </c>
      <c r="AU210" s="21">
        <f t="array" aca="1" ref="AU210" ca="1">IFERROR(INDEX(INDIRECT($B$3&amp;"."&amp;$B$158&amp;".energy["&amp;This.year&amp;"]"),MATCH($C210&amp;AU$5,INDIRECT($B$3&amp;"."&amp;$B$158&amp;".energy[Tech description]")&amp;INDIRECT($B$3&amp;"."&amp;$B$158&amp;".energy[Energy description]"),0)),0)</f>
        <v>0</v>
      </c>
      <c r="AV210" s="21">
        <f t="array" aca="1" ref="AV210" ca="1">IFERROR(INDEX(INDIRECT($B$3&amp;"."&amp;$B$158&amp;".energy["&amp;This.year&amp;"]"),MATCH($C210&amp;AV$5,INDIRECT($B$3&amp;"."&amp;$B$158&amp;".energy[Tech description]")&amp;INDIRECT($B$3&amp;"."&amp;$B$158&amp;".energy[Energy description]"),0)),0)</f>
        <v>0</v>
      </c>
      <c r="AW210" s="21">
        <f t="array" aca="1" ref="AW210" ca="1">IFERROR(INDEX(INDIRECT($B$3&amp;"."&amp;$B$158&amp;".energy["&amp;This.year&amp;"]"),MATCH($C210&amp;AW$5,INDIRECT($B$3&amp;"."&amp;$B$158&amp;".energy[Tech description]")&amp;INDIRECT($B$3&amp;"."&amp;$B$158&amp;".energy[Energy description]"),0)),0)</f>
        <v>0</v>
      </c>
      <c r="AX210" s="21">
        <f t="array" aca="1" ref="AX210" ca="1">IFERROR(INDEX(INDIRECT($B$3&amp;"."&amp;$B$158&amp;".energy["&amp;This.year&amp;"]"),MATCH($C210&amp;AX$5,INDIRECT($B$3&amp;"."&amp;$B$158&amp;".energy[Tech description]")&amp;INDIRECT($B$3&amp;"."&amp;$B$158&amp;".energy[Energy description]"),0)),0)</f>
        <v>0</v>
      </c>
      <c r="AY210" s="21">
        <f t="array" aca="1" ref="AY210" ca="1">IFERROR(INDEX(INDIRECT($B$3&amp;"."&amp;$B$158&amp;".energy["&amp;This.year&amp;"]"),MATCH($C210&amp;AY$5,INDIRECT($B$3&amp;"."&amp;$B$158&amp;".energy[Tech description]")&amp;INDIRECT($B$3&amp;"."&amp;$B$158&amp;".energy[Energy description]"),0)),0)</f>
        <v>0</v>
      </c>
      <c r="AZ210" s="21">
        <f t="array" aca="1" ref="AZ210" ca="1">IFERROR(INDEX(INDIRECT($B$3&amp;"."&amp;$B$158&amp;".energy["&amp;This.year&amp;"]"),MATCH($C210&amp;AZ$5,INDIRECT($B$3&amp;"."&amp;$B$158&amp;".energy[Tech description]")&amp;INDIRECT($B$3&amp;"."&amp;$B$158&amp;".energy[Energy description]"),0)),0)</f>
        <v>0</v>
      </c>
      <c r="BA210" s="21">
        <f t="array" aca="1" ref="BA210" ca="1">IFERROR(INDEX(INDIRECT($B$3&amp;"."&amp;$B$158&amp;".energy["&amp;This.year&amp;"]"),MATCH($C210&amp;BA$5,INDIRECT($B$3&amp;"."&amp;$B$158&amp;".energy[Tech description]")&amp;INDIRECT($B$3&amp;"."&amp;$B$158&amp;".energy[Energy description]"),0)),0)</f>
        <v>0</v>
      </c>
      <c r="BB210" s="21">
        <f t="array" aca="1" ref="BB210" ca="1">IFERROR(INDEX(INDIRECT($B$3&amp;"."&amp;$B$158&amp;".energy["&amp;This.year&amp;"]"),MATCH($C210&amp;BB$5,INDIRECT($B$3&amp;"."&amp;$B$158&amp;".energy[Tech description]")&amp;INDIRECT($B$3&amp;"."&amp;$B$158&amp;".energy[Energy description]"),0)),0)</f>
        <v>0</v>
      </c>
      <c r="BC210" s="21">
        <f t="array" aca="1" ref="BC210" ca="1">IFERROR(INDEX(INDIRECT($B$3&amp;"."&amp;$B$158&amp;".energy["&amp;This.year&amp;"]"),MATCH($C210&amp;BC$5,INDIRECT($B$3&amp;"."&amp;$B$158&amp;".energy[Tech description]")&amp;INDIRECT($B$3&amp;"."&amp;$B$158&amp;".energy[Energy description]"),0)),0)</f>
        <v>0</v>
      </c>
      <c r="BD210" s="21">
        <f t="shared" ca="1" si="27"/>
        <v>0</v>
      </c>
      <c r="BE210" s="108"/>
      <c r="BF210" s="49">
        <f t="array" aca="1" ref="BF210" ca="1">IFERROR(INDEX(INDIRECT($B$3&amp;"."&amp;$B$158&amp;".energy["&amp;This.year&amp;"]"),MATCH($C210&amp;BF$5,INDIRECT($B$3&amp;"."&amp;$B$158&amp;".energy[Tech description]")&amp;INDIRECT($B$3&amp;"."&amp;$B$158&amp;".energy[Energy description]"),0)),0)</f>
        <v>0</v>
      </c>
      <c r="BG210" s="49">
        <f t="array" aca="1" ref="BG210" ca="1">IFERROR(INDEX(INDIRECT($B$3&amp;"."&amp;$B$158&amp;".energy["&amp;This.year&amp;"]"),MATCH($C210&amp;BG$5,INDIRECT($B$3&amp;"."&amp;$B$158&amp;".energy[Tech description]")&amp;INDIRECT($B$3&amp;"."&amp;$B$158&amp;".energy[Energy description]"),0)),0)</f>
        <v>0</v>
      </c>
      <c r="BH210" s="49">
        <f t="shared" ca="1" si="28"/>
        <v>0</v>
      </c>
      <c r="BI210" s="219">
        <f t="shared" ca="1" si="9"/>
        <v>0</v>
      </c>
      <c r="BJ210" s="108"/>
    </row>
    <row r="211" spans="1:62" s="54" customFormat="1">
      <c r="A211" s="133"/>
      <c r="B211" s="176" t="s">
        <v>1831</v>
      </c>
      <c r="C211" s="114" t="str">
        <f>INDEX(Regional.Technologies[Description],MATCH($B$3&amp;"."&amp;B211,Regional.Technologies[Code],0))</f>
        <v>Global Solid Hydrocarbons use in the Chemicals: Ammonia technology</v>
      </c>
      <c r="E211" s="121">
        <f t="array" aca="1" ref="E211" ca="1">IFERROR(INDEX(INDIRECT($B$3&amp;"."&amp;$B$158&amp;".energy["&amp;This.year&amp;"]"),MATCH($C211&amp;E$5,INDIRECT($B$3&amp;"."&amp;$B$158&amp;".energy[Tech description]")&amp;INDIRECT($B$3&amp;"."&amp;$B$158&amp;".energy[Energy description]"),0)),0)</f>
        <v>0</v>
      </c>
      <c r="F211" s="121">
        <f t="array" aca="1" ref="F211" ca="1">IFERROR(INDEX(INDIRECT($B$3&amp;"."&amp;$B$158&amp;".energy["&amp;This.year&amp;"]"),MATCH($C211&amp;F$5,INDIRECT($B$3&amp;"."&amp;$B$158&amp;".energy[Tech description]")&amp;INDIRECT($B$3&amp;"."&amp;$B$158&amp;".energy[Energy description]"),0)),0)</f>
        <v>0</v>
      </c>
      <c r="G211" s="121">
        <f t="array" aca="1" ref="G211" ca="1">IFERROR(INDEX(INDIRECT($B$3&amp;"."&amp;$B$158&amp;".energy["&amp;This.year&amp;"]"),MATCH($C211&amp;G$5,INDIRECT($B$3&amp;"."&amp;$B$158&amp;".energy[Tech description]")&amp;INDIRECT($B$3&amp;"."&amp;$B$158&amp;".energy[Energy description]"),0)),0)</f>
        <v>0</v>
      </c>
      <c r="H211" s="121">
        <f t="array" aca="1" ref="H211" ca="1">IFERROR(INDEX(INDIRECT($B$3&amp;"."&amp;$B$158&amp;".energy["&amp;This.year&amp;"]"),MATCH($C211&amp;H$5,INDIRECT($B$3&amp;"."&amp;$B$158&amp;".energy[Tech description]")&amp;INDIRECT($B$3&amp;"."&amp;$B$158&amp;".energy[Energy description]"),0)),0)</f>
        <v>0</v>
      </c>
      <c r="I211" s="121">
        <f t="array" aca="1" ref="I211" ca="1">IFERROR(INDEX(INDIRECT($B$3&amp;"."&amp;$B$158&amp;".energy["&amp;This.year&amp;"]"),MATCH($C211&amp;I$5,INDIRECT($B$3&amp;"."&amp;$B$158&amp;".energy[Tech description]")&amp;INDIRECT($B$3&amp;"."&amp;$B$158&amp;".energy[Energy description]"),0)),0)</f>
        <v>0</v>
      </c>
      <c r="J211" s="121">
        <f t="array" aca="1" ref="J211" ca="1">IFERROR(INDEX(INDIRECT($B$3&amp;"."&amp;$B$158&amp;".energy["&amp;This.year&amp;"]"),MATCH($C211&amp;J$5,INDIRECT($B$3&amp;"."&amp;$B$158&amp;".energy[Tech description]")&amp;INDIRECT($B$3&amp;"."&amp;$B$158&amp;".energy[Energy description]"),0)),0)</f>
        <v>0</v>
      </c>
      <c r="K211" s="121">
        <f t="array" aca="1" ref="K211" ca="1">IFERROR(INDEX(INDIRECT($B$3&amp;"."&amp;$B$158&amp;".energy["&amp;This.year&amp;"]"),MATCH($C211&amp;K$5,INDIRECT($B$3&amp;"."&amp;$B$158&amp;".energy[Tech description]")&amp;INDIRECT($B$3&amp;"."&amp;$B$158&amp;".energy[Energy description]"),0)),0)</f>
        <v>0</v>
      </c>
      <c r="L211" s="121">
        <f t="array" aca="1" ref="L211" ca="1">IFERROR(INDEX(INDIRECT($B$3&amp;"."&amp;$B$158&amp;".energy["&amp;This.year&amp;"]"),MATCH($C211&amp;L$5,INDIRECT($B$3&amp;"."&amp;$B$158&amp;".energy[Tech description]")&amp;INDIRECT($B$3&amp;"."&amp;$B$158&amp;".energy[Energy description]"),0)),0)</f>
        <v>0</v>
      </c>
      <c r="M211" s="121">
        <f t="array" aca="1" ref="M211" ca="1">IFERROR(INDEX(INDIRECT($B$3&amp;"."&amp;$B$158&amp;".energy["&amp;This.year&amp;"]"),MATCH($C211&amp;M$5,INDIRECT($B$3&amp;"."&amp;$B$158&amp;".energy[Tech description]")&amp;INDIRECT($B$3&amp;"."&amp;$B$158&amp;".energy[Energy description]"),0)),0)</f>
        <v>0</v>
      </c>
      <c r="N211" s="121">
        <f t="array" aca="1" ref="N211" ca="1">IFERROR(INDEX(INDIRECT($B$3&amp;"."&amp;$B$158&amp;".energy["&amp;This.year&amp;"]"),MATCH($C211&amp;N$5,INDIRECT($B$3&amp;"."&amp;$B$158&amp;".energy[Tech description]")&amp;INDIRECT($B$3&amp;"."&amp;$B$158&amp;".energy[Energy description]"),0)),0)</f>
        <v>0</v>
      </c>
      <c r="O211" s="121">
        <f t="array" aca="1" ref="O211" ca="1">IFERROR(INDEX(INDIRECT($B$3&amp;"."&amp;$B$158&amp;".energy["&amp;This.year&amp;"]"),MATCH($C211&amp;O$5,INDIRECT($B$3&amp;"."&amp;$B$158&amp;".energy[Tech description]")&amp;INDIRECT($B$3&amp;"."&amp;$B$158&amp;".energy[Energy description]"),0)),0)</f>
        <v>0</v>
      </c>
      <c r="P211" s="121">
        <f t="array" aca="1" ref="P211" ca="1">IFERROR(INDEX(INDIRECT($B$3&amp;"."&amp;$B$158&amp;".energy["&amp;This.year&amp;"]"),MATCH($C211&amp;P$5,INDIRECT($B$3&amp;"."&amp;$B$158&amp;".energy[Tech description]")&amp;INDIRECT($B$3&amp;"."&amp;$B$158&amp;".energy[Energy description]"),0)),0)</f>
        <v>0</v>
      </c>
      <c r="Q211" s="121">
        <f t="array" aca="1" ref="Q211" ca="1">IFERROR(INDEX(INDIRECT($B$3&amp;"."&amp;$B$158&amp;".energy["&amp;This.year&amp;"]"),MATCH($C211&amp;Q$5,INDIRECT($B$3&amp;"."&amp;$B$158&amp;".energy[Tech description]")&amp;INDIRECT($B$3&amp;"."&amp;$B$158&amp;".energy[Energy description]"),0)),0)</f>
        <v>0</v>
      </c>
      <c r="R211" s="121">
        <f t="array" aca="1" ref="R211" ca="1">IFERROR(INDEX(INDIRECT($B$3&amp;"."&amp;$B$158&amp;".energy["&amp;This.year&amp;"]"),MATCH($C211&amp;R$5,INDIRECT($B$3&amp;"."&amp;$B$158&amp;".energy[Tech description]")&amp;INDIRECT($B$3&amp;"."&amp;$B$158&amp;".energy[Energy description]"),0)),0)</f>
        <v>0</v>
      </c>
      <c r="S211" s="121">
        <f t="array" aca="1" ref="S211" ca="1">IFERROR(INDEX(INDIRECT($B$3&amp;"."&amp;$B$158&amp;".energy["&amp;This.year&amp;"]"),MATCH($C211&amp;S$5,INDIRECT($B$3&amp;"."&amp;$B$158&amp;".energy[Tech description]")&amp;INDIRECT($B$3&amp;"."&amp;$B$158&amp;".energy[Energy description]"),0)),0)</f>
        <v>0</v>
      </c>
      <c r="T211" s="121">
        <f t="shared" ca="1" si="25"/>
        <v>0</v>
      </c>
      <c r="U211" s="109"/>
      <c r="V211" s="152">
        <f t="array" aca="1" ref="V211" ca="1">IFERROR(INDEX(INDIRECT($B$3&amp;"."&amp;$B$158&amp;".energy["&amp;This.year&amp;"]"),MATCH($C211&amp;V$5,INDIRECT($B$3&amp;"."&amp;$B$158&amp;".energy[Tech description]")&amp;INDIRECT($B$3&amp;"."&amp;$B$158&amp;".energy[Energy description]"),0)),0)</f>
        <v>0</v>
      </c>
      <c r="W211" s="152">
        <f t="array" aca="1" ref="W211" ca="1">IFERROR(INDEX(INDIRECT($B$3&amp;"."&amp;$B$158&amp;".energy["&amp;This.year&amp;"]"),MATCH($C211&amp;W$5,INDIRECT($B$3&amp;"."&amp;$B$158&amp;".energy[Tech description]")&amp;INDIRECT($B$3&amp;"."&amp;$B$158&amp;".energy[Energy description]"),0)),0)</f>
        <v>0</v>
      </c>
      <c r="X211" s="152">
        <f t="array" aca="1" ref="X211" ca="1">IFERROR(INDEX(INDIRECT($B$3&amp;"."&amp;$B$158&amp;".energy["&amp;This.year&amp;"]"),MATCH($C211&amp;X$5,INDIRECT($B$3&amp;"."&amp;$B$158&amp;".energy[Tech description]")&amp;INDIRECT($B$3&amp;"."&amp;$B$158&amp;".energy[Energy description]"),0)),0)</f>
        <v>0</v>
      </c>
      <c r="Y211" s="152">
        <f t="array" aca="1" ref="Y211" ca="1">IFERROR(INDEX(INDIRECT($B$3&amp;"."&amp;$B$158&amp;".energy["&amp;This.year&amp;"]"),MATCH($C211&amp;Y$5,INDIRECT($B$3&amp;"."&amp;$B$158&amp;".energy[Tech description]")&amp;INDIRECT($B$3&amp;"."&amp;$B$158&amp;".energy[Energy description]"),0)),0)</f>
        <v>0</v>
      </c>
      <c r="Z211" s="152">
        <f t="array" aca="1" ref="Z211" ca="1">IFERROR(INDEX(INDIRECT($B$3&amp;"."&amp;$B$158&amp;".energy["&amp;This.year&amp;"]"),MATCH($C211&amp;Z$5,INDIRECT($B$3&amp;"."&amp;$B$158&amp;".energy[Tech description]")&amp;INDIRECT($B$3&amp;"."&amp;$B$158&amp;".energy[Energy description]"),0)),0)</f>
        <v>0</v>
      </c>
      <c r="AA211" s="152">
        <f t="array" aca="1" ref="AA211" ca="1">IFERROR(INDEX(INDIRECT($B$3&amp;"."&amp;$B$158&amp;".energy["&amp;This.year&amp;"]"),MATCH($C211&amp;AA$5,INDIRECT($B$3&amp;"."&amp;$B$158&amp;".energy[Tech description]")&amp;INDIRECT($B$3&amp;"."&amp;$B$158&amp;".energy[Energy description]"),0)),0)</f>
        <v>0</v>
      </c>
      <c r="AB211" s="152">
        <f t="array" aca="1" ref="AB211" ca="1">IFERROR(INDEX(INDIRECT($B$3&amp;"."&amp;$B$158&amp;".energy["&amp;This.year&amp;"]"),MATCH($C211&amp;AB$5,INDIRECT($B$3&amp;"."&amp;$B$158&amp;".energy[Tech description]")&amp;INDIRECT($B$3&amp;"."&amp;$B$158&amp;".energy[Energy description]"),0)),0)</f>
        <v>0</v>
      </c>
      <c r="AC211" s="152">
        <f t="array" aca="1" ref="AC211" ca="1">IFERROR(INDEX(INDIRECT($B$3&amp;"."&amp;$B$158&amp;".energy["&amp;This.year&amp;"]"),MATCH($C211&amp;AC$5,INDIRECT($B$3&amp;"."&amp;$B$158&amp;".energy[Tech description]")&amp;INDIRECT($B$3&amp;"."&amp;$B$158&amp;".energy[Energy description]"),0)),0)</f>
        <v>0</v>
      </c>
      <c r="AD211" s="152">
        <f t="array" aca="1" ref="AD211" ca="1">IFERROR(INDEX(INDIRECT($B$3&amp;"."&amp;$B$158&amp;".energy["&amp;This.year&amp;"]"),MATCH($C211&amp;AD$5,INDIRECT($B$3&amp;"."&amp;$B$158&amp;".energy[Tech description]")&amp;INDIRECT($B$3&amp;"."&amp;$B$158&amp;".energy[Energy description]"),0)),0)</f>
        <v>0</v>
      </c>
      <c r="AE211" s="152">
        <f t="array" aca="1" ref="AE211" ca="1">IFERROR(INDEX(INDIRECT($B$3&amp;"."&amp;$B$158&amp;".energy["&amp;This.year&amp;"]"),MATCH($C211&amp;AE$5,INDIRECT($B$3&amp;"."&amp;$B$158&amp;".energy[Tech description]")&amp;INDIRECT($B$3&amp;"."&amp;$B$158&amp;".energy[Energy description]"),0)),0)</f>
        <v>0</v>
      </c>
      <c r="AF211" s="152">
        <f t="array" aca="1" ref="AF211" ca="1">IFERROR(INDEX(INDIRECT($B$3&amp;"."&amp;$B$158&amp;".energy["&amp;This.year&amp;"]"),MATCH($C211&amp;AF$5,INDIRECT($B$3&amp;"."&amp;$B$158&amp;".energy[Tech description]")&amp;INDIRECT($B$3&amp;"."&amp;$B$158&amp;".energy[Energy description]"),0)),0)</f>
        <v>0</v>
      </c>
      <c r="AG211" s="152">
        <f t="array" aca="1" ref="AG211" ca="1">IFERROR(INDEX(INDIRECT($B$3&amp;"."&amp;$B$158&amp;".energy["&amp;This.year&amp;"]"),MATCH($C211&amp;AG$5,INDIRECT($B$3&amp;"."&amp;$B$158&amp;".energy[Tech description]")&amp;INDIRECT($B$3&amp;"."&amp;$B$158&amp;".energy[Energy description]"),0)),0)</f>
        <v>0</v>
      </c>
      <c r="AH211" s="152">
        <f t="array" aca="1" ref="AH211" ca="1">IFERROR(INDEX(INDIRECT($B$3&amp;"."&amp;$B$158&amp;".energy["&amp;This.year&amp;"]"),MATCH($C211&amp;AH$5,INDIRECT($B$3&amp;"."&amp;$B$158&amp;".energy[Tech description]")&amp;INDIRECT($B$3&amp;"."&amp;$B$158&amp;".energy[Energy description]"),0)),0)</f>
        <v>0</v>
      </c>
      <c r="AI211" s="152">
        <f t="array" aca="1" ref="AI211" ca="1">IFERROR(INDEX(INDIRECT($B$3&amp;"."&amp;$B$158&amp;".energy["&amp;This.year&amp;"]"),MATCH($C211&amp;AI$5,INDIRECT($B$3&amp;"."&amp;$B$158&amp;".energy[Tech description]")&amp;INDIRECT($B$3&amp;"."&amp;$B$158&amp;".energy[Energy description]"),0)),0)</f>
        <v>0</v>
      </c>
      <c r="AJ211" s="152">
        <f t="array" aca="1" ref="AJ211" ca="1">IFERROR(INDEX(INDIRECT($B$3&amp;"."&amp;$B$158&amp;".energy["&amp;This.year&amp;"]"),MATCH($C211&amp;AJ$5,INDIRECT($B$3&amp;"."&amp;$B$158&amp;".energy[Tech description]")&amp;INDIRECT($B$3&amp;"."&amp;$B$158&amp;".energy[Energy description]"),0)),0)</f>
        <v>0</v>
      </c>
      <c r="AK211" s="152">
        <f t="array" aca="1" ref="AK211" ca="1">IFERROR(INDEX(INDIRECT($B$3&amp;"."&amp;$B$158&amp;".energy["&amp;This.year&amp;"]"),MATCH($C211&amp;AK$5,INDIRECT($B$3&amp;"."&amp;$B$158&amp;".energy[Tech description]")&amp;INDIRECT($B$3&amp;"."&amp;$B$158&amp;".energy[Energy description]"),0)),0)</f>
        <v>0</v>
      </c>
      <c r="AL211" s="152">
        <f t="array" aca="1" ref="AL211" ca="1">IFERROR(INDEX(INDIRECT($B$3&amp;"."&amp;$B$158&amp;".energy["&amp;This.year&amp;"]"),MATCH($C211&amp;AL$5,INDIRECT($B$3&amp;"."&amp;$B$158&amp;".energy[Tech description]")&amp;INDIRECT($B$3&amp;"."&amp;$B$158&amp;".energy[Energy description]"),0)),0)</f>
        <v>0</v>
      </c>
      <c r="AM211" s="152">
        <f t="array" aca="1" ref="AM211" ca="1">IFERROR(INDEX(INDIRECT($B$3&amp;"."&amp;$B$158&amp;".energy["&amp;This.year&amp;"]"),MATCH($C211&amp;AM$5,INDIRECT($B$3&amp;"."&amp;$B$158&amp;".energy[Tech description]")&amp;INDIRECT($B$3&amp;"."&amp;$B$158&amp;".energy[Energy description]"),0)),0)</f>
        <v>0</v>
      </c>
      <c r="AN211" s="152">
        <f t="array" aca="1" ref="AN211" ca="1">IFERROR(INDEX(INDIRECT($B$3&amp;"."&amp;$B$158&amp;".energy["&amp;This.year&amp;"]"),MATCH($C211&amp;AN$5,INDIRECT($B$3&amp;"."&amp;$B$158&amp;".energy[Tech description]")&amp;INDIRECT($B$3&amp;"."&amp;$B$158&amp;".energy[Energy description]"),0)),0)</f>
        <v>0</v>
      </c>
      <c r="AO211" s="152">
        <f t="shared" ca="1" si="26"/>
        <v>0</v>
      </c>
      <c r="AP211" s="108"/>
      <c r="AQ211" s="21">
        <f t="array" aca="1" ref="AQ211" ca="1">IFERROR(INDEX(INDIRECT($B$3&amp;"."&amp;$B$158&amp;".energy["&amp;This.year&amp;"]"),MATCH($C211&amp;AQ$5,INDIRECT($B$3&amp;"."&amp;$B$158&amp;".energy[Tech description]")&amp;INDIRECT($B$3&amp;"."&amp;$B$158&amp;".energy[Energy description]"),0)),0)</f>
        <v>0</v>
      </c>
      <c r="AR211" s="21">
        <f t="array" aca="1" ref="AR211" ca="1">IFERROR(INDEX(INDIRECT($B$3&amp;"."&amp;$B$158&amp;".energy["&amp;This.year&amp;"]"),MATCH($C211&amp;AR$5,INDIRECT($B$3&amp;"."&amp;$B$158&amp;".energy[Tech description]")&amp;INDIRECT($B$3&amp;"."&amp;$B$158&amp;".energy[Energy description]"),0)),0)</f>
        <v>0</v>
      </c>
      <c r="AS211" s="21">
        <f t="array" aca="1" ref="AS211" ca="1">IFERROR(INDEX(INDIRECT($B$3&amp;"."&amp;$B$158&amp;".energy["&amp;This.year&amp;"]"),MATCH($C211&amp;AS$5,INDIRECT($B$3&amp;"."&amp;$B$158&amp;".energy[Tech description]")&amp;INDIRECT($B$3&amp;"."&amp;$B$158&amp;".energy[Energy description]"),0)),0)</f>
        <v>0</v>
      </c>
      <c r="AT211" s="21">
        <f t="array" aca="1" ref="AT211" ca="1">IFERROR(INDEX(INDIRECT($B$3&amp;"."&amp;$B$158&amp;".energy["&amp;This.year&amp;"]"),MATCH($C211&amp;AT$5,INDIRECT($B$3&amp;"."&amp;$B$158&amp;".energy[Tech description]")&amp;INDIRECT($B$3&amp;"."&amp;$B$158&amp;".energy[Energy description]"),0)),0)</f>
        <v>0</v>
      </c>
      <c r="AU211" s="21">
        <f t="array" aca="1" ref="AU211" ca="1">IFERROR(INDEX(INDIRECT($B$3&amp;"."&amp;$B$158&amp;".energy["&amp;This.year&amp;"]"),MATCH($C211&amp;AU$5,INDIRECT($B$3&amp;"."&amp;$B$158&amp;".energy[Tech description]")&amp;INDIRECT($B$3&amp;"."&amp;$B$158&amp;".energy[Energy description]"),0)),0)</f>
        <v>0</v>
      </c>
      <c r="AV211" s="21">
        <f t="array" aca="1" ref="AV211" ca="1">IFERROR(INDEX(INDIRECT($B$3&amp;"."&amp;$B$158&amp;".energy["&amp;This.year&amp;"]"),MATCH($C211&amp;AV$5,INDIRECT($B$3&amp;"."&amp;$B$158&amp;".energy[Tech description]")&amp;INDIRECT($B$3&amp;"."&amp;$B$158&amp;".energy[Energy description]"),0)),0)</f>
        <v>0</v>
      </c>
      <c r="AW211" s="21">
        <f t="array" aca="1" ref="AW211" ca="1">IFERROR(INDEX(INDIRECT($B$3&amp;"."&amp;$B$158&amp;".energy["&amp;This.year&amp;"]"),MATCH($C211&amp;AW$5,INDIRECT($B$3&amp;"."&amp;$B$158&amp;".energy[Tech description]")&amp;INDIRECT($B$3&amp;"."&amp;$B$158&amp;".energy[Energy description]"),0)),0)</f>
        <v>0</v>
      </c>
      <c r="AX211" s="21">
        <f t="array" aca="1" ref="AX211" ca="1">IFERROR(INDEX(INDIRECT($B$3&amp;"."&amp;$B$158&amp;".energy["&amp;This.year&amp;"]"),MATCH($C211&amp;AX$5,INDIRECT($B$3&amp;"."&amp;$B$158&amp;".energy[Tech description]")&amp;INDIRECT($B$3&amp;"."&amp;$B$158&amp;".energy[Energy description]"),0)),0)</f>
        <v>0</v>
      </c>
      <c r="AY211" s="21">
        <f t="array" aca="1" ref="AY211" ca="1">IFERROR(INDEX(INDIRECT($B$3&amp;"."&amp;$B$158&amp;".energy["&amp;This.year&amp;"]"),MATCH($C211&amp;AY$5,INDIRECT($B$3&amp;"."&amp;$B$158&amp;".energy[Tech description]")&amp;INDIRECT($B$3&amp;"."&amp;$B$158&amp;".energy[Energy description]"),0)),0)</f>
        <v>0</v>
      </c>
      <c r="AZ211" s="21">
        <f t="array" aca="1" ref="AZ211" ca="1">IFERROR(INDEX(INDIRECT($B$3&amp;"."&amp;$B$158&amp;".energy["&amp;This.year&amp;"]"),MATCH($C211&amp;AZ$5,INDIRECT($B$3&amp;"."&amp;$B$158&amp;".energy[Tech description]")&amp;INDIRECT($B$3&amp;"."&amp;$B$158&amp;".energy[Energy description]"),0)),0)</f>
        <v>0</v>
      </c>
      <c r="BA211" s="21">
        <f t="array" aca="1" ref="BA211" ca="1">IFERROR(INDEX(INDIRECT($B$3&amp;"."&amp;$B$158&amp;".energy["&amp;This.year&amp;"]"),MATCH($C211&amp;BA$5,INDIRECT($B$3&amp;"."&amp;$B$158&amp;".energy[Tech description]")&amp;INDIRECT($B$3&amp;"."&amp;$B$158&amp;".energy[Energy description]"),0)),0)</f>
        <v>0</v>
      </c>
      <c r="BB211" s="21">
        <f t="array" aca="1" ref="BB211" ca="1">IFERROR(INDEX(INDIRECT($B$3&amp;"."&amp;$B$158&amp;".energy["&amp;This.year&amp;"]"),MATCH($C211&amp;BB$5,INDIRECT($B$3&amp;"."&amp;$B$158&amp;".energy[Tech description]")&amp;INDIRECT($B$3&amp;"."&amp;$B$158&amp;".energy[Energy description]"),0)),0)</f>
        <v>0</v>
      </c>
      <c r="BC211" s="21">
        <f t="array" aca="1" ref="BC211" ca="1">IFERROR(INDEX(INDIRECT($B$3&amp;"."&amp;$B$158&amp;".energy["&amp;This.year&amp;"]"),MATCH($C211&amp;BC$5,INDIRECT($B$3&amp;"."&amp;$B$158&amp;".energy[Tech description]")&amp;INDIRECT($B$3&amp;"."&amp;$B$158&amp;".energy[Energy description]"),0)),0)</f>
        <v>0</v>
      </c>
      <c r="BD211" s="21">
        <f t="shared" ca="1" si="27"/>
        <v>0</v>
      </c>
      <c r="BE211" s="108"/>
      <c r="BF211" s="49">
        <f t="array" aca="1" ref="BF211" ca="1">IFERROR(INDEX(INDIRECT($B$3&amp;"."&amp;$B$158&amp;".energy["&amp;This.year&amp;"]"),MATCH($C211&amp;BF$5,INDIRECT($B$3&amp;"."&amp;$B$158&amp;".energy[Tech description]")&amp;INDIRECT($B$3&amp;"."&amp;$B$158&amp;".energy[Energy description]"),0)),0)</f>
        <v>0</v>
      </c>
      <c r="BG211" s="49">
        <f t="array" aca="1" ref="BG211" ca="1">IFERROR(INDEX(INDIRECT($B$3&amp;"."&amp;$B$158&amp;".energy["&amp;This.year&amp;"]"),MATCH($C211&amp;BG$5,INDIRECT($B$3&amp;"."&amp;$B$158&amp;".energy[Tech description]")&amp;INDIRECT($B$3&amp;"."&amp;$B$158&amp;".energy[Energy description]"),0)),0)</f>
        <v>0</v>
      </c>
      <c r="BH211" s="49">
        <f t="shared" ca="1" si="28"/>
        <v>0</v>
      </c>
      <c r="BI211" s="219">
        <f t="shared" ca="1" si="9"/>
        <v>0</v>
      </c>
      <c r="BJ211" s="108"/>
    </row>
    <row r="212" spans="1:62" s="54" customFormat="1">
      <c r="A212" s="133"/>
      <c r="B212" s="176" t="s">
        <v>1832</v>
      </c>
      <c r="C212" s="114" t="str">
        <f>INDEX(Regional.Technologies[Description],MATCH($B$3&amp;"."&amp;B212,Regional.Technologies[Code],0))</f>
        <v>Global Heat use in the Chemicals: Ammonia technology</v>
      </c>
      <c r="E212" s="121">
        <f t="array" aca="1" ref="E212" ca="1">IFERROR(INDEX(INDIRECT($B$3&amp;"."&amp;$B$158&amp;".energy["&amp;This.year&amp;"]"),MATCH($C212&amp;E$5,INDIRECT($B$3&amp;"."&amp;$B$158&amp;".energy[Tech description]")&amp;INDIRECT($B$3&amp;"."&amp;$B$158&amp;".energy[Energy description]"),0)),0)</f>
        <v>0</v>
      </c>
      <c r="F212" s="121">
        <f t="array" aca="1" ref="F212" ca="1">IFERROR(INDEX(INDIRECT($B$3&amp;"."&amp;$B$158&amp;".energy["&amp;This.year&amp;"]"),MATCH($C212&amp;F$5,INDIRECT($B$3&amp;"."&amp;$B$158&amp;".energy[Tech description]")&amp;INDIRECT($B$3&amp;"."&amp;$B$158&amp;".energy[Energy description]"),0)),0)</f>
        <v>0</v>
      </c>
      <c r="G212" s="121">
        <f t="array" aca="1" ref="G212" ca="1">IFERROR(INDEX(INDIRECT($B$3&amp;"."&amp;$B$158&amp;".energy["&amp;This.year&amp;"]"),MATCH($C212&amp;G$5,INDIRECT($B$3&amp;"."&amp;$B$158&amp;".energy[Tech description]")&amp;INDIRECT($B$3&amp;"."&amp;$B$158&amp;".energy[Energy description]"),0)),0)</f>
        <v>0</v>
      </c>
      <c r="H212" s="121">
        <f t="array" aca="1" ref="H212" ca="1">IFERROR(INDEX(INDIRECT($B$3&amp;"."&amp;$B$158&amp;".energy["&amp;This.year&amp;"]"),MATCH($C212&amp;H$5,INDIRECT($B$3&amp;"."&amp;$B$158&amp;".energy[Tech description]")&amp;INDIRECT($B$3&amp;"."&amp;$B$158&amp;".energy[Energy description]"),0)),0)</f>
        <v>0</v>
      </c>
      <c r="I212" s="121">
        <f t="array" aca="1" ref="I212" ca="1">IFERROR(INDEX(INDIRECT($B$3&amp;"."&amp;$B$158&amp;".energy["&amp;This.year&amp;"]"),MATCH($C212&amp;I$5,INDIRECT($B$3&amp;"."&amp;$B$158&amp;".energy[Tech description]")&amp;INDIRECT($B$3&amp;"."&amp;$B$158&amp;".energy[Energy description]"),0)),0)</f>
        <v>0</v>
      </c>
      <c r="J212" s="121">
        <f t="array" aca="1" ref="J212" ca="1">IFERROR(INDEX(INDIRECT($B$3&amp;"."&amp;$B$158&amp;".energy["&amp;This.year&amp;"]"),MATCH($C212&amp;J$5,INDIRECT($B$3&amp;"."&amp;$B$158&amp;".energy[Tech description]")&amp;INDIRECT($B$3&amp;"."&amp;$B$158&amp;".energy[Energy description]"),0)),0)</f>
        <v>0</v>
      </c>
      <c r="K212" s="121">
        <f t="array" aca="1" ref="K212" ca="1">IFERROR(INDEX(INDIRECT($B$3&amp;"."&amp;$B$158&amp;".energy["&amp;This.year&amp;"]"),MATCH($C212&amp;K$5,INDIRECT($B$3&amp;"."&amp;$B$158&amp;".energy[Tech description]")&amp;INDIRECT($B$3&amp;"."&amp;$B$158&amp;".energy[Energy description]"),0)),0)</f>
        <v>0</v>
      </c>
      <c r="L212" s="121">
        <f t="array" aca="1" ref="L212" ca="1">IFERROR(INDEX(INDIRECT($B$3&amp;"."&amp;$B$158&amp;".energy["&amp;This.year&amp;"]"),MATCH($C212&amp;L$5,INDIRECT($B$3&amp;"."&amp;$B$158&amp;".energy[Tech description]")&amp;INDIRECT($B$3&amp;"."&amp;$B$158&amp;".energy[Energy description]"),0)),0)</f>
        <v>0</v>
      </c>
      <c r="M212" s="121">
        <f t="array" aca="1" ref="M212" ca="1">IFERROR(INDEX(INDIRECT($B$3&amp;"."&amp;$B$158&amp;".energy["&amp;This.year&amp;"]"),MATCH($C212&amp;M$5,INDIRECT($B$3&amp;"."&amp;$B$158&amp;".energy[Tech description]")&amp;INDIRECT($B$3&amp;"."&amp;$B$158&amp;".energy[Energy description]"),0)),0)</f>
        <v>0</v>
      </c>
      <c r="N212" s="121">
        <f t="array" aca="1" ref="N212" ca="1">IFERROR(INDEX(INDIRECT($B$3&amp;"."&amp;$B$158&amp;".energy["&amp;This.year&amp;"]"),MATCH($C212&amp;N$5,INDIRECT($B$3&amp;"."&amp;$B$158&amp;".energy[Tech description]")&amp;INDIRECT($B$3&amp;"."&amp;$B$158&amp;".energy[Energy description]"),0)),0)</f>
        <v>0</v>
      </c>
      <c r="O212" s="121">
        <f t="array" aca="1" ref="O212" ca="1">IFERROR(INDEX(INDIRECT($B$3&amp;"."&amp;$B$158&amp;".energy["&amp;This.year&amp;"]"),MATCH($C212&amp;O$5,INDIRECT($B$3&amp;"."&amp;$B$158&amp;".energy[Tech description]")&amp;INDIRECT($B$3&amp;"."&amp;$B$158&amp;".energy[Energy description]"),0)),0)</f>
        <v>0</v>
      </c>
      <c r="P212" s="121">
        <f t="array" aca="1" ref="P212" ca="1">IFERROR(INDEX(INDIRECT($B$3&amp;"."&amp;$B$158&amp;".energy["&amp;This.year&amp;"]"),MATCH($C212&amp;P$5,INDIRECT($B$3&amp;"."&amp;$B$158&amp;".energy[Tech description]")&amp;INDIRECT($B$3&amp;"."&amp;$B$158&amp;".energy[Energy description]"),0)),0)</f>
        <v>0</v>
      </c>
      <c r="Q212" s="121">
        <f t="array" aca="1" ref="Q212" ca="1">IFERROR(INDEX(INDIRECT($B$3&amp;"."&amp;$B$158&amp;".energy["&amp;This.year&amp;"]"),MATCH($C212&amp;Q$5,INDIRECT($B$3&amp;"."&amp;$B$158&amp;".energy[Tech description]")&amp;INDIRECT($B$3&amp;"."&amp;$B$158&amp;".energy[Energy description]"),0)),0)</f>
        <v>0</v>
      </c>
      <c r="R212" s="121">
        <f t="array" aca="1" ref="R212" ca="1">IFERROR(INDEX(INDIRECT($B$3&amp;"."&amp;$B$158&amp;".energy["&amp;This.year&amp;"]"),MATCH($C212&amp;R$5,INDIRECT($B$3&amp;"."&amp;$B$158&amp;".energy[Tech description]")&amp;INDIRECT($B$3&amp;"."&amp;$B$158&amp;".energy[Energy description]"),0)),0)</f>
        <v>0</v>
      </c>
      <c r="S212" s="121">
        <f t="array" aca="1" ref="S212" ca="1">IFERROR(INDEX(INDIRECT($B$3&amp;"."&amp;$B$158&amp;".energy["&amp;This.year&amp;"]"),MATCH($C212&amp;S$5,INDIRECT($B$3&amp;"."&amp;$B$158&amp;".energy[Tech description]")&amp;INDIRECT($B$3&amp;"."&amp;$B$158&amp;".energy[Energy description]"),0)),0)</f>
        <v>0</v>
      </c>
      <c r="T212" s="121">
        <f t="shared" ca="1" si="25"/>
        <v>0</v>
      </c>
      <c r="U212" s="109"/>
      <c r="V212" s="152">
        <f t="array" aca="1" ref="V212" ca="1">IFERROR(INDEX(INDIRECT($B$3&amp;"."&amp;$B$158&amp;".energy["&amp;This.year&amp;"]"),MATCH($C212&amp;V$5,INDIRECT($B$3&amp;"."&amp;$B$158&amp;".energy[Tech description]")&amp;INDIRECT($B$3&amp;"."&amp;$B$158&amp;".energy[Energy description]"),0)),0)</f>
        <v>0</v>
      </c>
      <c r="W212" s="152">
        <f t="array" aca="1" ref="W212" ca="1">IFERROR(INDEX(INDIRECT($B$3&amp;"."&amp;$B$158&amp;".energy["&amp;This.year&amp;"]"),MATCH($C212&amp;W$5,INDIRECT($B$3&amp;"."&amp;$B$158&amp;".energy[Tech description]")&amp;INDIRECT($B$3&amp;"."&amp;$B$158&amp;".energy[Energy description]"),0)),0)</f>
        <v>0</v>
      </c>
      <c r="X212" s="152">
        <f t="array" aca="1" ref="X212" ca="1">IFERROR(INDEX(INDIRECT($B$3&amp;"."&amp;$B$158&amp;".energy["&amp;This.year&amp;"]"),MATCH($C212&amp;X$5,INDIRECT($B$3&amp;"."&amp;$B$158&amp;".energy[Tech description]")&amp;INDIRECT($B$3&amp;"."&amp;$B$158&amp;".energy[Energy description]"),0)),0)</f>
        <v>0</v>
      </c>
      <c r="Y212" s="152">
        <f t="array" aca="1" ref="Y212" ca="1">IFERROR(INDEX(INDIRECT($B$3&amp;"."&amp;$B$158&amp;".energy["&amp;This.year&amp;"]"),MATCH($C212&amp;Y$5,INDIRECT($B$3&amp;"."&amp;$B$158&amp;".energy[Tech description]")&amp;INDIRECT($B$3&amp;"."&amp;$B$158&amp;".energy[Energy description]"),0)),0)</f>
        <v>0</v>
      </c>
      <c r="Z212" s="152">
        <f t="array" aca="1" ref="Z212" ca="1">IFERROR(INDEX(INDIRECT($B$3&amp;"."&amp;$B$158&amp;".energy["&amp;This.year&amp;"]"),MATCH($C212&amp;Z$5,INDIRECT($B$3&amp;"."&amp;$B$158&amp;".energy[Tech description]")&amp;INDIRECT($B$3&amp;"."&amp;$B$158&amp;".energy[Energy description]"),0)),0)</f>
        <v>0</v>
      </c>
      <c r="AA212" s="152">
        <f t="array" aca="1" ref="AA212" ca="1">IFERROR(INDEX(INDIRECT($B$3&amp;"."&amp;$B$158&amp;".energy["&amp;This.year&amp;"]"),MATCH($C212&amp;AA$5,INDIRECT($B$3&amp;"."&amp;$B$158&amp;".energy[Tech description]")&amp;INDIRECT($B$3&amp;"."&amp;$B$158&amp;".energy[Energy description]"),0)),0)</f>
        <v>0</v>
      </c>
      <c r="AB212" s="152">
        <f t="array" aca="1" ref="AB212" ca="1">IFERROR(INDEX(INDIRECT($B$3&amp;"."&amp;$B$158&amp;".energy["&amp;This.year&amp;"]"),MATCH($C212&amp;AB$5,INDIRECT($B$3&amp;"."&amp;$B$158&amp;".energy[Tech description]")&amp;INDIRECT($B$3&amp;"."&amp;$B$158&amp;".energy[Energy description]"),0)),0)</f>
        <v>0</v>
      </c>
      <c r="AC212" s="152">
        <f t="array" aca="1" ref="AC212" ca="1">IFERROR(INDEX(INDIRECT($B$3&amp;"."&amp;$B$158&amp;".energy["&amp;This.year&amp;"]"),MATCH($C212&amp;AC$5,INDIRECT($B$3&amp;"."&amp;$B$158&amp;".energy[Tech description]")&amp;INDIRECT($B$3&amp;"."&amp;$B$158&amp;".energy[Energy description]"),0)),0)</f>
        <v>0</v>
      </c>
      <c r="AD212" s="152">
        <f t="array" aca="1" ref="AD212" ca="1">IFERROR(INDEX(INDIRECT($B$3&amp;"."&amp;$B$158&amp;".energy["&amp;This.year&amp;"]"),MATCH($C212&amp;AD$5,INDIRECT($B$3&amp;"."&amp;$B$158&amp;".energy[Tech description]")&amp;INDIRECT($B$3&amp;"."&amp;$B$158&amp;".energy[Energy description]"),0)),0)</f>
        <v>0</v>
      </c>
      <c r="AE212" s="152">
        <f t="array" aca="1" ref="AE212" ca="1">IFERROR(INDEX(INDIRECT($B$3&amp;"."&amp;$B$158&amp;".energy["&amp;This.year&amp;"]"),MATCH($C212&amp;AE$5,INDIRECT($B$3&amp;"."&amp;$B$158&amp;".energy[Tech description]")&amp;INDIRECT($B$3&amp;"."&amp;$B$158&amp;".energy[Energy description]"),0)),0)</f>
        <v>0</v>
      </c>
      <c r="AF212" s="152">
        <f t="array" aca="1" ref="AF212" ca="1">IFERROR(INDEX(INDIRECT($B$3&amp;"."&amp;$B$158&amp;".energy["&amp;This.year&amp;"]"),MATCH($C212&amp;AF$5,INDIRECT($B$3&amp;"."&amp;$B$158&amp;".energy[Tech description]")&amp;INDIRECT($B$3&amp;"."&amp;$B$158&amp;".energy[Energy description]"),0)),0)</f>
        <v>0</v>
      </c>
      <c r="AG212" s="152">
        <f t="array" aca="1" ref="AG212" ca="1">IFERROR(INDEX(INDIRECT($B$3&amp;"."&amp;$B$158&amp;".energy["&amp;This.year&amp;"]"),MATCH($C212&amp;AG$5,INDIRECT($B$3&amp;"."&amp;$B$158&amp;".energy[Tech description]")&amp;INDIRECT($B$3&amp;"."&amp;$B$158&amp;".energy[Energy description]"),0)),0)</f>
        <v>0</v>
      </c>
      <c r="AH212" s="152">
        <f t="array" aca="1" ref="AH212" ca="1">IFERROR(INDEX(INDIRECT($B$3&amp;"."&amp;$B$158&amp;".energy["&amp;This.year&amp;"]"),MATCH($C212&amp;AH$5,INDIRECT($B$3&amp;"."&amp;$B$158&amp;".energy[Tech description]")&amp;INDIRECT($B$3&amp;"."&amp;$B$158&amp;".energy[Energy description]"),0)),0)</f>
        <v>0</v>
      </c>
      <c r="AI212" s="152">
        <f t="array" aca="1" ref="AI212" ca="1">IFERROR(INDEX(INDIRECT($B$3&amp;"."&amp;$B$158&amp;".energy["&amp;This.year&amp;"]"),MATCH($C212&amp;AI$5,INDIRECT($B$3&amp;"."&amp;$B$158&amp;".energy[Tech description]")&amp;INDIRECT($B$3&amp;"."&amp;$B$158&amp;".energy[Energy description]"),0)),0)</f>
        <v>0</v>
      </c>
      <c r="AJ212" s="152">
        <f t="array" aca="1" ref="AJ212" ca="1">IFERROR(INDEX(INDIRECT($B$3&amp;"."&amp;$B$158&amp;".energy["&amp;This.year&amp;"]"),MATCH($C212&amp;AJ$5,INDIRECT($B$3&amp;"."&amp;$B$158&amp;".energy[Tech description]")&amp;INDIRECT($B$3&amp;"."&amp;$B$158&amp;".energy[Energy description]"),0)),0)</f>
        <v>0</v>
      </c>
      <c r="AK212" s="152">
        <f t="array" aca="1" ref="AK212" ca="1">IFERROR(INDEX(INDIRECT($B$3&amp;"."&amp;$B$158&amp;".energy["&amp;This.year&amp;"]"),MATCH($C212&amp;AK$5,INDIRECT($B$3&amp;"."&amp;$B$158&amp;".energy[Tech description]")&amp;INDIRECT($B$3&amp;"."&amp;$B$158&amp;".energy[Energy description]"),0)),0)</f>
        <v>0</v>
      </c>
      <c r="AL212" s="152">
        <f t="array" aca="1" ref="AL212" ca="1">IFERROR(INDEX(INDIRECT($B$3&amp;"."&amp;$B$158&amp;".energy["&amp;This.year&amp;"]"),MATCH($C212&amp;AL$5,INDIRECT($B$3&amp;"."&amp;$B$158&amp;".energy[Tech description]")&amp;INDIRECT($B$3&amp;"."&amp;$B$158&amp;".energy[Energy description]"),0)),0)</f>
        <v>0</v>
      </c>
      <c r="AM212" s="152">
        <f t="array" aca="1" ref="AM212" ca="1">IFERROR(INDEX(INDIRECT($B$3&amp;"."&amp;$B$158&amp;".energy["&amp;This.year&amp;"]"),MATCH($C212&amp;AM$5,INDIRECT($B$3&amp;"."&amp;$B$158&amp;".energy[Tech description]")&amp;INDIRECT($B$3&amp;"."&amp;$B$158&amp;".energy[Energy description]"),0)),0)</f>
        <v>0</v>
      </c>
      <c r="AN212" s="152">
        <f t="array" aca="1" ref="AN212" ca="1">IFERROR(INDEX(INDIRECT($B$3&amp;"."&amp;$B$158&amp;".energy["&amp;This.year&amp;"]"),MATCH($C212&amp;AN$5,INDIRECT($B$3&amp;"."&amp;$B$158&amp;".energy[Tech description]")&amp;INDIRECT($B$3&amp;"."&amp;$B$158&amp;".energy[Energy description]"),0)),0)</f>
        <v>0</v>
      </c>
      <c r="AO212" s="152">
        <f t="shared" ca="1" si="26"/>
        <v>0</v>
      </c>
      <c r="AP212" s="108"/>
      <c r="AQ212" s="21">
        <f t="array" aca="1" ref="AQ212" ca="1">IFERROR(INDEX(INDIRECT($B$3&amp;"."&amp;$B$158&amp;".energy["&amp;This.year&amp;"]"),MATCH($C212&amp;AQ$5,INDIRECT($B$3&amp;"."&amp;$B$158&amp;".energy[Tech description]")&amp;INDIRECT($B$3&amp;"."&amp;$B$158&amp;".energy[Energy description]"),0)),0)</f>
        <v>0</v>
      </c>
      <c r="AR212" s="21">
        <f t="array" aca="1" ref="AR212" ca="1">IFERROR(INDEX(INDIRECT($B$3&amp;"."&amp;$B$158&amp;".energy["&amp;This.year&amp;"]"),MATCH($C212&amp;AR$5,INDIRECT($B$3&amp;"."&amp;$B$158&amp;".energy[Tech description]")&amp;INDIRECT($B$3&amp;"."&amp;$B$158&amp;".energy[Energy description]"),0)),0)</f>
        <v>0</v>
      </c>
      <c r="AS212" s="21">
        <f t="array" aca="1" ref="AS212" ca="1">IFERROR(INDEX(INDIRECT($B$3&amp;"."&amp;$B$158&amp;".energy["&amp;This.year&amp;"]"),MATCH($C212&amp;AS$5,INDIRECT($B$3&amp;"."&amp;$B$158&amp;".energy[Tech description]")&amp;INDIRECT($B$3&amp;"."&amp;$B$158&amp;".energy[Energy description]"),0)),0)</f>
        <v>0</v>
      </c>
      <c r="AT212" s="21">
        <f t="array" aca="1" ref="AT212" ca="1">IFERROR(INDEX(INDIRECT($B$3&amp;"."&amp;$B$158&amp;".energy["&amp;This.year&amp;"]"),MATCH($C212&amp;AT$5,INDIRECT($B$3&amp;"."&amp;$B$158&amp;".energy[Tech description]")&amp;INDIRECT($B$3&amp;"."&amp;$B$158&amp;".energy[Energy description]"),0)),0)</f>
        <v>0</v>
      </c>
      <c r="AU212" s="21">
        <f t="array" aca="1" ref="AU212" ca="1">IFERROR(INDEX(INDIRECT($B$3&amp;"."&amp;$B$158&amp;".energy["&amp;This.year&amp;"]"),MATCH($C212&amp;AU$5,INDIRECT($B$3&amp;"."&amp;$B$158&amp;".energy[Tech description]")&amp;INDIRECT($B$3&amp;"."&amp;$B$158&amp;".energy[Energy description]"),0)),0)</f>
        <v>0</v>
      </c>
      <c r="AV212" s="21">
        <f t="array" aca="1" ref="AV212" ca="1">IFERROR(INDEX(INDIRECT($B$3&amp;"."&amp;$B$158&amp;".energy["&amp;This.year&amp;"]"),MATCH($C212&amp;AV$5,INDIRECT($B$3&amp;"."&amp;$B$158&amp;".energy[Tech description]")&amp;INDIRECT($B$3&amp;"."&amp;$B$158&amp;".energy[Energy description]"),0)),0)</f>
        <v>0</v>
      </c>
      <c r="AW212" s="21">
        <f t="array" aca="1" ref="AW212" ca="1">IFERROR(INDEX(INDIRECT($B$3&amp;"."&amp;$B$158&amp;".energy["&amp;This.year&amp;"]"),MATCH($C212&amp;AW$5,INDIRECT($B$3&amp;"."&amp;$B$158&amp;".energy[Tech description]")&amp;INDIRECT($B$3&amp;"."&amp;$B$158&amp;".energy[Energy description]"),0)),0)</f>
        <v>0</v>
      </c>
      <c r="AX212" s="21">
        <f t="array" aca="1" ref="AX212" ca="1">IFERROR(INDEX(INDIRECT($B$3&amp;"."&amp;$B$158&amp;".energy["&amp;This.year&amp;"]"),MATCH($C212&amp;AX$5,INDIRECT($B$3&amp;"."&amp;$B$158&amp;".energy[Tech description]")&amp;INDIRECT($B$3&amp;"."&amp;$B$158&amp;".energy[Energy description]"),0)),0)</f>
        <v>0</v>
      </c>
      <c r="AY212" s="21">
        <f t="array" aca="1" ref="AY212" ca="1">IFERROR(INDEX(INDIRECT($B$3&amp;"."&amp;$B$158&amp;".energy["&amp;This.year&amp;"]"),MATCH($C212&amp;AY$5,INDIRECT($B$3&amp;"."&amp;$B$158&amp;".energy[Tech description]")&amp;INDIRECT($B$3&amp;"."&amp;$B$158&amp;".energy[Energy description]"),0)),0)</f>
        <v>0</v>
      </c>
      <c r="AZ212" s="21">
        <f t="array" aca="1" ref="AZ212" ca="1">IFERROR(INDEX(INDIRECT($B$3&amp;"."&amp;$B$158&amp;".energy["&amp;This.year&amp;"]"),MATCH($C212&amp;AZ$5,INDIRECT($B$3&amp;"."&amp;$B$158&amp;".energy[Tech description]")&amp;INDIRECT($B$3&amp;"."&amp;$B$158&amp;".energy[Energy description]"),0)),0)</f>
        <v>0</v>
      </c>
      <c r="BA212" s="21">
        <f t="array" aca="1" ref="BA212" ca="1">IFERROR(INDEX(INDIRECT($B$3&amp;"."&amp;$B$158&amp;".energy["&amp;This.year&amp;"]"),MATCH($C212&amp;BA$5,INDIRECT($B$3&amp;"."&amp;$B$158&amp;".energy[Tech description]")&amp;INDIRECT($B$3&amp;"."&amp;$B$158&amp;".energy[Energy description]"),0)),0)</f>
        <v>0</v>
      </c>
      <c r="BB212" s="21">
        <f t="array" aca="1" ref="BB212" ca="1">IFERROR(INDEX(INDIRECT($B$3&amp;"."&amp;$B$158&amp;".energy["&amp;This.year&amp;"]"),MATCH($C212&amp;BB$5,INDIRECT($B$3&amp;"."&amp;$B$158&amp;".energy[Tech description]")&amp;INDIRECT($B$3&amp;"."&amp;$B$158&amp;".energy[Energy description]"),0)),0)</f>
        <v>0</v>
      </c>
      <c r="BC212" s="21">
        <f t="array" aca="1" ref="BC212" ca="1">IFERROR(INDEX(INDIRECT($B$3&amp;"."&amp;$B$158&amp;".energy["&amp;This.year&amp;"]"),MATCH($C212&amp;BC$5,INDIRECT($B$3&amp;"."&amp;$B$158&amp;".energy[Tech description]")&amp;INDIRECT($B$3&amp;"."&amp;$B$158&amp;".energy[Energy description]"),0)),0)</f>
        <v>0</v>
      </c>
      <c r="BD212" s="21">
        <f t="shared" ca="1" si="27"/>
        <v>0</v>
      </c>
      <c r="BE212" s="108"/>
      <c r="BF212" s="49">
        <f t="array" aca="1" ref="BF212" ca="1">IFERROR(INDEX(INDIRECT($B$3&amp;"."&amp;$B$158&amp;".energy["&amp;This.year&amp;"]"),MATCH($C212&amp;BF$5,INDIRECT($B$3&amp;"."&amp;$B$158&amp;".energy[Tech description]")&amp;INDIRECT($B$3&amp;"."&amp;$B$158&amp;".energy[Energy description]"),0)),0)</f>
        <v>0</v>
      </c>
      <c r="BG212" s="49">
        <f t="array" aca="1" ref="BG212" ca="1">IFERROR(INDEX(INDIRECT($B$3&amp;"."&amp;$B$158&amp;".energy["&amp;This.year&amp;"]"),MATCH($C212&amp;BG$5,INDIRECT($B$3&amp;"."&amp;$B$158&amp;".energy[Tech description]")&amp;INDIRECT($B$3&amp;"."&amp;$B$158&amp;".energy[Energy description]"),0)),0)</f>
        <v>0</v>
      </c>
      <c r="BH212" s="49">
        <f t="shared" ca="1" si="28"/>
        <v>0</v>
      </c>
      <c r="BI212" s="219">
        <f t="shared" ca="1" si="9"/>
        <v>0</v>
      </c>
      <c r="BJ212" s="108"/>
    </row>
    <row r="213" spans="1:62" s="54" customFormat="1">
      <c r="A213" s="133"/>
      <c r="B213" s="176" t="s">
        <v>1833</v>
      </c>
      <c r="C213" s="114" t="str">
        <f>INDEX(Regional.Technologies[Description],MATCH($B$3&amp;"."&amp;B213,Regional.Technologies[Code],0))</f>
        <v>Global Electricity use in the Chemicals: Methanol technology</v>
      </c>
      <c r="E213" s="121">
        <f t="array" aca="1" ref="E213" ca="1">IFERROR(INDEX(INDIRECT($B$3&amp;"."&amp;$B$158&amp;".energy["&amp;This.year&amp;"]"),MATCH($C213&amp;E$5,INDIRECT($B$3&amp;"."&amp;$B$158&amp;".energy[Tech description]")&amp;INDIRECT($B$3&amp;"."&amp;$B$158&amp;".energy[Energy description]"),0)),0)</f>
        <v>0</v>
      </c>
      <c r="F213" s="121">
        <f t="array" aca="1" ref="F213" ca="1">IFERROR(INDEX(INDIRECT($B$3&amp;"."&amp;$B$158&amp;".energy["&amp;This.year&amp;"]"),MATCH($C213&amp;F$5,INDIRECT($B$3&amp;"."&amp;$B$158&amp;".energy[Tech description]")&amp;INDIRECT($B$3&amp;"."&amp;$B$158&amp;".energy[Energy description]"),0)),0)</f>
        <v>0</v>
      </c>
      <c r="G213" s="121">
        <f t="array" aca="1" ref="G213" ca="1">IFERROR(INDEX(INDIRECT($B$3&amp;"."&amp;$B$158&amp;".energy["&amp;This.year&amp;"]"),MATCH($C213&amp;G$5,INDIRECT($B$3&amp;"."&amp;$B$158&amp;".energy[Tech description]")&amp;INDIRECT($B$3&amp;"."&amp;$B$158&amp;".energy[Energy description]"),0)),0)</f>
        <v>0</v>
      </c>
      <c r="H213" s="121">
        <f t="array" aca="1" ref="H213" ca="1">IFERROR(INDEX(INDIRECT($B$3&amp;"."&amp;$B$158&amp;".energy["&amp;This.year&amp;"]"),MATCH($C213&amp;H$5,INDIRECT($B$3&amp;"."&amp;$B$158&amp;".energy[Tech description]")&amp;INDIRECT($B$3&amp;"."&amp;$B$158&amp;".energy[Energy description]"),0)),0)</f>
        <v>0</v>
      </c>
      <c r="I213" s="121">
        <f t="array" aca="1" ref="I213" ca="1">IFERROR(INDEX(INDIRECT($B$3&amp;"."&amp;$B$158&amp;".energy["&amp;This.year&amp;"]"),MATCH($C213&amp;I$5,INDIRECT($B$3&amp;"."&amp;$B$158&amp;".energy[Tech description]")&amp;INDIRECT($B$3&amp;"."&amp;$B$158&amp;".energy[Energy description]"),0)),0)</f>
        <v>0</v>
      </c>
      <c r="J213" s="121">
        <f t="array" aca="1" ref="J213" ca="1">IFERROR(INDEX(INDIRECT($B$3&amp;"."&amp;$B$158&amp;".energy["&amp;This.year&amp;"]"),MATCH($C213&amp;J$5,INDIRECT($B$3&amp;"."&amp;$B$158&amp;".energy[Tech description]")&amp;INDIRECT($B$3&amp;"."&amp;$B$158&amp;".energy[Energy description]"),0)),0)</f>
        <v>0</v>
      </c>
      <c r="K213" s="121">
        <f t="array" aca="1" ref="K213" ca="1">IFERROR(INDEX(INDIRECT($B$3&amp;"."&amp;$B$158&amp;".energy["&amp;This.year&amp;"]"),MATCH($C213&amp;K$5,INDIRECT($B$3&amp;"."&amp;$B$158&amp;".energy[Tech description]")&amp;INDIRECT($B$3&amp;"."&amp;$B$158&amp;".energy[Energy description]"),0)),0)</f>
        <v>0</v>
      </c>
      <c r="L213" s="121">
        <f t="array" aca="1" ref="L213" ca="1">IFERROR(INDEX(INDIRECT($B$3&amp;"."&amp;$B$158&amp;".energy["&amp;This.year&amp;"]"),MATCH($C213&amp;L$5,INDIRECT($B$3&amp;"."&amp;$B$158&amp;".energy[Tech description]")&amp;INDIRECT($B$3&amp;"."&amp;$B$158&amp;".energy[Energy description]"),0)),0)</f>
        <v>0</v>
      </c>
      <c r="M213" s="121">
        <f t="array" aca="1" ref="M213" ca="1">IFERROR(INDEX(INDIRECT($B$3&amp;"."&amp;$B$158&amp;".energy["&amp;This.year&amp;"]"),MATCH($C213&amp;M$5,INDIRECT($B$3&amp;"."&amp;$B$158&amp;".energy[Tech description]")&amp;INDIRECT($B$3&amp;"."&amp;$B$158&amp;".energy[Energy description]"),0)),0)</f>
        <v>0</v>
      </c>
      <c r="N213" s="121">
        <f t="array" aca="1" ref="N213" ca="1">IFERROR(INDEX(INDIRECT($B$3&amp;"."&amp;$B$158&amp;".energy["&amp;This.year&amp;"]"),MATCH($C213&amp;N$5,INDIRECT($B$3&amp;"."&amp;$B$158&amp;".energy[Tech description]")&amp;INDIRECT($B$3&amp;"."&amp;$B$158&amp;".energy[Energy description]"),0)),0)</f>
        <v>0</v>
      </c>
      <c r="O213" s="121">
        <f t="array" aca="1" ref="O213" ca="1">IFERROR(INDEX(INDIRECT($B$3&amp;"."&amp;$B$158&amp;".energy["&amp;This.year&amp;"]"),MATCH($C213&amp;O$5,INDIRECT($B$3&amp;"."&amp;$B$158&amp;".energy[Tech description]")&amp;INDIRECT($B$3&amp;"."&amp;$B$158&amp;".energy[Energy description]"),0)),0)</f>
        <v>0</v>
      </c>
      <c r="P213" s="121">
        <f t="array" aca="1" ref="P213" ca="1">IFERROR(INDEX(INDIRECT($B$3&amp;"."&amp;$B$158&amp;".energy["&amp;This.year&amp;"]"),MATCH($C213&amp;P$5,INDIRECT($B$3&amp;"."&amp;$B$158&amp;".energy[Tech description]")&amp;INDIRECT($B$3&amp;"."&amp;$B$158&amp;".energy[Energy description]"),0)),0)</f>
        <v>0</v>
      </c>
      <c r="Q213" s="121">
        <f t="array" aca="1" ref="Q213" ca="1">IFERROR(INDEX(INDIRECT($B$3&amp;"."&amp;$B$158&amp;".energy["&amp;This.year&amp;"]"),MATCH($C213&amp;Q$5,INDIRECT($B$3&amp;"."&amp;$B$158&amp;".energy[Tech description]")&amp;INDIRECT($B$3&amp;"."&amp;$B$158&amp;".energy[Energy description]"),0)),0)</f>
        <v>0</v>
      </c>
      <c r="R213" s="121">
        <f t="array" aca="1" ref="R213" ca="1">IFERROR(INDEX(INDIRECT($B$3&amp;"."&amp;$B$158&amp;".energy["&amp;This.year&amp;"]"),MATCH($C213&amp;R$5,INDIRECT($B$3&amp;"."&amp;$B$158&amp;".energy[Tech description]")&amp;INDIRECT($B$3&amp;"."&amp;$B$158&amp;".energy[Energy description]"),0)),0)</f>
        <v>0</v>
      </c>
      <c r="S213" s="121">
        <f t="array" aca="1" ref="S213" ca="1">IFERROR(INDEX(INDIRECT($B$3&amp;"."&amp;$B$158&amp;".energy["&amp;This.year&amp;"]"),MATCH($C213&amp;S$5,INDIRECT($B$3&amp;"."&amp;$B$158&amp;".energy[Tech description]")&amp;INDIRECT($B$3&amp;"."&amp;$B$158&amp;".energy[Energy description]"),0)),0)</f>
        <v>0</v>
      </c>
      <c r="T213" s="121">
        <f t="shared" ca="1" si="25"/>
        <v>0</v>
      </c>
      <c r="U213" s="109"/>
      <c r="V213" s="152">
        <f t="array" aca="1" ref="V213" ca="1">IFERROR(INDEX(INDIRECT($B$3&amp;"."&amp;$B$158&amp;".energy["&amp;This.year&amp;"]"),MATCH($C213&amp;V$5,INDIRECT($B$3&amp;"."&amp;$B$158&amp;".energy[Tech description]")&amp;INDIRECT($B$3&amp;"."&amp;$B$158&amp;".energy[Energy description]"),0)),0)</f>
        <v>0</v>
      </c>
      <c r="W213" s="152">
        <f t="array" aca="1" ref="W213" ca="1">IFERROR(INDEX(INDIRECT($B$3&amp;"."&amp;$B$158&amp;".energy["&amp;This.year&amp;"]"),MATCH($C213&amp;W$5,INDIRECT($B$3&amp;"."&amp;$B$158&amp;".energy[Tech description]")&amp;INDIRECT($B$3&amp;"."&amp;$B$158&amp;".energy[Energy description]"),0)),0)</f>
        <v>0</v>
      </c>
      <c r="X213" s="152">
        <f t="array" aca="1" ref="X213" ca="1">IFERROR(INDEX(INDIRECT($B$3&amp;"."&amp;$B$158&amp;".energy["&amp;This.year&amp;"]"),MATCH($C213&amp;X$5,INDIRECT($B$3&amp;"."&amp;$B$158&amp;".energy[Tech description]")&amp;INDIRECT($B$3&amp;"."&amp;$B$158&amp;".energy[Energy description]"),0)),0)</f>
        <v>0</v>
      </c>
      <c r="Y213" s="152">
        <f t="array" aca="1" ref="Y213" ca="1">IFERROR(INDEX(INDIRECT($B$3&amp;"."&amp;$B$158&amp;".energy["&amp;This.year&amp;"]"),MATCH($C213&amp;Y$5,INDIRECT($B$3&amp;"."&amp;$B$158&amp;".energy[Tech description]")&amp;INDIRECT($B$3&amp;"."&amp;$B$158&amp;".energy[Energy description]"),0)),0)</f>
        <v>0</v>
      </c>
      <c r="Z213" s="152">
        <f t="array" aca="1" ref="Z213" ca="1">IFERROR(INDEX(INDIRECT($B$3&amp;"."&amp;$B$158&amp;".energy["&amp;This.year&amp;"]"),MATCH($C213&amp;Z$5,INDIRECT($B$3&amp;"."&amp;$B$158&amp;".energy[Tech description]")&amp;INDIRECT($B$3&amp;"."&amp;$B$158&amp;".energy[Energy description]"),0)),0)</f>
        <v>0</v>
      </c>
      <c r="AA213" s="152">
        <f t="array" aca="1" ref="AA213" ca="1">IFERROR(INDEX(INDIRECT($B$3&amp;"."&amp;$B$158&amp;".energy["&amp;This.year&amp;"]"),MATCH($C213&amp;AA$5,INDIRECT($B$3&amp;"."&amp;$B$158&amp;".energy[Tech description]")&amp;INDIRECT($B$3&amp;"."&amp;$B$158&amp;".energy[Energy description]"),0)),0)</f>
        <v>0</v>
      </c>
      <c r="AB213" s="152">
        <f t="array" aca="1" ref="AB213" ca="1">IFERROR(INDEX(INDIRECT($B$3&amp;"."&amp;$B$158&amp;".energy["&amp;This.year&amp;"]"),MATCH($C213&amp;AB$5,INDIRECT($B$3&amp;"."&amp;$B$158&amp;".energy[Tech description]")&amp;INDIRECT($B$3&amp;"."&amp;$B$158&amp;".energy[Energy description]"),0)),0)</f>
        <v>0</v>
      </c>
      <c r="AC213" s="152">
        <f t="array" aca="1" ref="AC213" ca="1">IFERROR(INDEX(INDIRECT($B$3&amp;"."&amp;$B$158&amp;".energy["&amp;This.year&amp;"]"),MATCH($C213&amp;AC$5,INDIRECT($B$3&amp;"."&amp;$B$158&amp;".energy[Tech description]")&amp;INDIRECT($B$3&amp;"."&amp;$B$158&amp;".energy[Energy description]"),0)),0)</f>
        <v>0</v>
      </c>
      <c r="AD213" s="152">
        <f t="array" aca="1" ref="AD213" ca="1">IFERROR(INDEX(INDIRECT($B$3&amp;"."&amp;$B$158&amp;".energy["&amp;This.year&amp;"]"),MATCH($C213&amp;AD$5,INDIRECT($B$3&amp;"."&amp;$B$158&amp;".energy[Tech description]")&amp;INDIRECT($B$3&amp;"."&amp;$B$158&amp;".energy[Energy description]"),0)),0)</f>
        <v>0</v>
      </c>
      <c r="AE213" s="152">
        <f t="array" aca="1" ref="AE213" ca="1">IFERROR(INDEX(INDIRECT($B$3&amp;"."&amp;$B$158&amp;".energy["&amp;This.year&amp;"]"),MATCH($C213&amp;AE$5,INDIRECT($B$3&amp;"."&amp;$B$158&amp;".energy[Tech description]")&amp;INDIRECT($B$3&amp;"."&amp;$B$158&amp;".energy[Energy description]"),0)),0)</f>
        <v>0</v>
      </c>
      <c r="AF213" s="152">
        <f t="array" aca="1" ref="AF213" ca="1">IFERROR(INDEX(INDIRECT($B$3&amp;"."&amp;$B$158&amp;".energy["&amp;This.year&amp;"]"),MATCH($C213&amp;AF$5,INDIRECT($B$3&amp;"."&amp;$B$158&amp;".energy[Tech description]")&amp;INDIRECT($B$3&amp;"."&amp;$B$158&amp;".energy[Energy description]"),0)),0)</f>
        <v>0</v>
      </c>
      <c r="AG213" s="152">
        <f t="array" aca="1" ref="AG213" ca="1">IFERROR(INDEX(INDIRECT($B$3&amp;"."&amp;$B$158&amp;".energy["&amp;This.year&amp;"]"),MATCH($C213&amp;AG$5,INDIRECT($B$3&amp;"."&amp;$B$158&amp;".energy[Tech description]")&amp;INDIRECT($B$3&amp;"."&amp;$B$158&amp;".energy[Energy description]"),0)),0)</f>
        <v>0</v>
      </c>
      <c r="AH213" s="152">
        <f t="array" aca="1" ref="AH213" ca="1">IFERROR(INDEX(INDIRECT($B$3&amp;"."&amp;$B$158&amp;".energy["&amp;This.year&amp;"]"),MATCH($C213&amp;AH$5,INDIRECT($B$3&amp;"."&amp;$B$158&amp;".energy[Tech description]")&amp;INDIRECT($B$3&amp;"."&amp;$B$158&amp;".energy[Energy description]"),0)),0)</f>
        <v>0</v>
      </c>
      <c r="AI213" s="152">
        <f t="array" aca="1" ref="AI213" ca="1">IFERROR(INDEX(INDIRECT($B$3&amp;"."&amp;$B$158&amp;".energy["&amp;This.year&amp;"]"),MATCH($C213&amp;AI$5,INDIRECT($B$3&amp;"."&amp;$B$158&amp;".energy[Tech description]")&amp;INDIRECT($B$3&amp;"."&amp;$B$158&amp;".energy[Energy description]"),0)),0)</f>
        <v>0</v>
      </c>
      <c r="AJ213" s="152">
        <f t="array" aca="1" ref="AJ213" ca="1">IFERROR(INDEX(INDIRECT($B$3&amp;"."&amp;$B$158&amp;".energy["&amp;This.year&amp;"]"),MATCH($C213&amp;AJ$5,INDIRECT($B$3&amp;"."&amp;$B$158&amp;".energy[Tech description]")&amp;INDIRECT($B$3&amp;"."&amp;$B$158&amp;".energy[Energy description]"),0)),0)</f>
        <v>0</v>
      </c>
      <c r="AK213" s="152">
        <f t="array" aca="1" ref="AK213" ca="1">IFERROR(INDEX(INDIRECT($B$3&amp;"."&amp;$B$158&amp;".energy["&amp;This.year&amp;"]"),MATCH($C213&amp;AK$5,INDIRECT($B$3&amp;"."&amp;$B$158&amp;".energy[Tech description]")&amp;INDIRECT($B$3&amp;"."&amp;$B$158&amp;".energy[Energy description]"),0)),0)</f>
        <v>0</v>
      </c>
      <c r="AL213" s="152">
        <f t="array" aca="1" ref="AL213" ca="1">IFERROR(INDEX(INDIRECT($B$3&amp;"."&amp;$B$158&amp;".energy["&amp;This.year&amp;"]"),MATCH($C213&amp;AL$5,INDIRECT($B$3&amp;"."&amp;$B$158&amp;".energy[Tech description]")&amp;INDIRECT($B$3&amp;"."&amp;$B$158&amp;".energy[Energy description]"),0)),0)</f>
        <v>0</v>
      </c>
      <c r="AM213" s="152">
        <f t="array" aca="1" ref="AM213" ca="1">IFERROR(INDEX(INDIRECT($B$3&amp;"."&amp;$B$158&amp;".energy["&amp;This.year&amp;"]"),MATCH($C213&amp;AM$5,INDIRECT($B$3&amp;"."&amp;$B$158&amp;".energy[Tech description]")&amp;INDIRECT($B$3&amp;"."&amp;$B$158&amp;".energy[Energy description]"),0)),0)</f>
        <v>0</v>
      </c>
      <c r="AN213" s="152">
        <f t="array" aca="1" ref="AN213" ca="1">IFERROR(INDEX(INDIRECT($B$3&amp;"."&amp;$B$158&amp;".energy["&amp;This.year&amp;"]"),MATCH($C213&amp;AN$5,INDIRECT($B$3&amp;"."&amp;$B$158&amp;".energy[Tech description]")&amp;INDIRECT($B$3&amp;"."&amp;$B$158&amp;".energy[Energy description]"),0)),0)</f>
        <v>0</v>
      </c>
      <c r="AO213" s="152">
        <f t="shared" ca="1" si="26"/>
        <v>0</v>
      </c>
      <c r="AP213" s="108"/>
      <c r="AQ213" s="21">
        <f t="array" aca="1" ref="AQ213" ca="1">IFERROR(INDEX(INDIRECT($B$3&amp;"."&amp;$B$158&amp;".energy["&amp;This.year&amp;"]"),MATCH($C213&amp;AQ$5,INDIRECT($B$3&amp;"."&amp;$B$158&amp;".energy[Tech description]")&amp;INDIRECT($B$3&amp;"."&amp;$B$158&amp;".energy[Energy description]"),0)),0)</f>
        <v>0</v>
      </c>
      <c r="AR213" s="21">
        <f t="array" aca="1" ref="AR213" ca="1">IFERROR(INDEX(INDIRECT($B$3&amp;"."&amp;$B$158&amp;".energy["&amp;This.year&amp;"]"),MATCH($C213&amp;AR$5,INDIRECT($B$3&amp;"."&amp;$B$158&amp;".energy[Tech description]")&amp;INDIRECT($B$3&amp;"."&amp;$B$158&amp;".energy[Energy description]"),0)),0)</f>
        <v>0</v>
      </c>
      <c r="AS213" s="21">
        <f t="array" aca="1" ref="AS213" ca="1">IFERROR(INDEX(INDIRECT($B$3&amp;"."&amp;$B$158&amp;".energy["&amp;This.year&amp;"]"),MATCH($C213&amp;AS$5,INDIRECT($B$3&amp;"."&amp;$B$158&amp;".energy[Tech description]")&amp;INDIRECT($B$3&amp;"."&amp;$B$158&amp;".energy[Energy description]"),0)),0)</f>
        <v>0</v>
      </c>
      <c r="AT213" s="21">
        <f t="array" aca="1" ref="AT213" ca="1">IFERROR(INDEX(INDIRECT($B$3&amp;"."&amp;$B$158&amp;".energy["&amp;This.year&amp;"]"),MATCH($C213&amp;AT$5,INDIRECT($B$3&amp;"."&amp;$B$158&amp;".energy[Tech description]")&amp;INDIRECT($B$3&amp;"."&amp;$B$158&amp;".energy[Energy description]"),0)),0)</f>
        <v>0</v>
      </c>
      <c r="AU213" s="21">
        <f t="array" aca="1" ref="AU213" ca="1">IFERROR(INDEX(INDIRECT($B$3&amp;"."&amp;$B$158&amp;".energy["&amp;This.year&amp;"]"),MATCH($C213&amp;AU$5,INDIRECT($B$3&amp;"."&amp;$B$158&amp;".energy[Tech description]")&amp;INDIRECT($B$3&amp;"."&amp;$B$158&amp;".energy[Energy description]"),0)),0)</f>
        <v>0</v>
      </c>
      <c r="AV213" s="21">
        <f t="array" aca="1" ref="AV213" ca="1">IFERROR(INDEX(INDIRECT($B$3&amp;"."&amp;$B$158&amp;".energy["&amp;This.year&amp;"]"),MATCH($C213&amp;AV$5,INDIRECT($B$3&amp;"."&amp;$B$158&amp;".energy[Tech description]")&amp;INDIRECT($B$3&amp;"."&amp;$B$158&amp;".energy[Energy description]"),0)),0)</f>
        <v>0</v>
      </c>
      <c r="AW213" s="21">
        <f t="array" aca="1" ref="AW213" ca="1">IFERROR(INDEX(INDIRECT($B$3&amp;"."&amp;$B$158&amp;".energy["&amp;This.year&amp;"]"),MATCH($C213&amp;AW$5,INDIRECT($B$3&amp;"."&amp;$B$158&amp;".energy[Tech description]")&amp;INDIRECT($B$3&amp;"."&amp;$B$158&amp;".energy[Energy description]"),0)),0)</f>
        <v>0</v>
      </c>
      <c r="AX213" s="21">
        <f t="array" aca="1" ref="AX213" ca="1">IFERROR(INDEX(INDIRECT($B$3&amp;"."&amp;$B$158&amp;".energy["&amp;This.year&amp;"]"),MATCH($C213&amp;AX$5,INDIRECT($B$3&amp;"."&amp;$B$158&amp;".energy[Tech description]")&amp;INDIRECT($B$3&amp;"."&amp;$B$158&amp;".energy[Energy description]"),0)),0)</f>
        <v>0</v>
      </c>
      <c r="AY213" s="21">
        <f t="array" aca="1" ref="AY213" ca="1">IFERROR(INDEX(INDIRECT($B$3&amp;"."&amp;$B$158&amp;".energy["&amp;This.year&amp;"]"),MATCH($C213&amp;AY$5,INDIRECT($B$3&amp;"."&amp;$B$158&amp;".energy[Tech description]")&amp;INDIRECT($B$3&amp;"."&amp;$B$158&amp;".energy[Energy description]"),0)),0)</f>
        <v>0</v>
      </c>
      <c r="AZ213" s="21">
        <f t="array" aca="1" ref="AZ213" ca="1">IFERROR(INDEX(INDIRECT($B$3&amp;"."&amp;$B$158&amp;".energy["&amp;This.year&amp;"]"),MATCH($C213&amp;AZ$5,INDIRECT($B$3&amp;"."&amp;$B$158&amp;".energy[Tech description]")&amp;INDIRECT($B$3&amp;"."&amp;$B$158&amp;".energy[Energy description]"),0)),0)</f>
        <v>0</v>
      </c>
      <c r="BA213" s="21">
        <f t="array" aca="1" ref="BA213" ca="1">IFERROR(INDEX(INDIRECT($B$3&amp;"."&amp;$B$158&amp;".energy["&amp;This.year&amp;"]"),MATCH($C213&amp;BA$5,INDIRECT($B$3&amp;"."&amp;$B$158&amp;".energy[Tech description]")&amp;INDIRECT($B$3&amp;"."&amp;$B$158&amp;".energy[Energy description]"),0)),0)</f>
        <v>0</v>
      </c>
      <c r="BB213" s="21">
        <f t="array" aca="1" ref="BB213" ca="1">IFERROR(INDEX(INDIRECT($B$3&amp;"."&amp;$B$158&amp;".energy["&amp;This.year&amp;"]"),MATCH($C213&amp;BB$5,INDIRECT($B$3&amp;"."&amp;$B$158&amp;".energy[Tech description]")&amp;INDIRECT($B$3&amp;"."&amp;$B$158&amp;".energy[Energy description]"),0)),0)</f>
        <v>0</v>
      </c>
      <c r="BC213" s="21">
        <f t="array" aca="1" ref="BC213" ca="1">IFERROR(INDEX(INDIRECT($B$3&amp;"."&amp;$B$158&amp;".energy["&amp;This.year&amp;"]"),MATCH($C213&amp;BC$5,INDIRECT($B$3&amp;"."&amp;$B$158&amp;".energy[Tech description]")&amp;INDIRECT($B$3&amp;"."&amp;$B$158&amp;".energy[Energy description]"),0)),0)</f>
        <v>0</v>
      </c>
      <c r="BD213" s="21">
        <f t="shared" ca="1" si="27"/>
        <v>0</v>
      </c>
      <c r="BE213" s="108"/>
      <c r="BF213" s="49">
        <f t="array" aca="1" ref="BF213" ca="1">IFERROR(INDEX(INDIRECT($B$3&amp;"."&amp;$B$158&amp;".energy["&amp;This.year&amp;"]"),MATCH($C213&amp;BF$5,INDIRECT($B$3&amp;"."&amp;$B$158&amp;".energy[Tech description]")&amp;INDIRECT($B$3&amp;"."&amp;$B$158&amp;".energy[Energy description]"),0)),0)</f>
        <v>0</v>
      </c>
      <c r="BG213" s="49">
        <f t="array" aca="1" ref="BG213" ca="1">IFERROR(INDEX(INDIRECT($B$3&amp;"."&amp;$B$158&amp;".energy["&amp;This.year&amp;"]"),MATCH($C213&amp;BG$5,INDIRECT($B$3&amp;"."&amp;$B$158&amp;".energy[Tech description]")&amp;INDIRECT($B$3&amp;"."&amp;$B$158&amp;".energy[Energy description]"),0)),0)</f>
        <v>0</v>
      </c>
      <c r="BH213" s="49">
        <f t="shared" ca="1" si="28"/>
        <v>0</v>
      </c>
      <c r="BI213" s="219">
        <f t="shared" ca="1" si="9"/>
        <v>0</v>
      </c>
      <c r="BJ213" s="108"/>
    </row>
    <row r="214" spans="1:62" s="54" customFormat="1">
      <c r="A214" s="133"/>
      <c r="B214" s="176" t="s">
        <v>1834</v>
      </c>
      <c r="C214" s="114" t="str">
        <f>INDEX(Regional.Technologies[Description],MATCH($B$3&amp;"."&amp;B214,Regional.Technologies[Code],0))</f>
        <v>Global Coal use in the Chemicals: Methanol technology</v>
      </c>
      <c r="E214" s="121">
        <f t="array" aca="1" ref="E214" ca="1">IFERROR(INDEX(INDIRECT($B$3&amp;"."&amp;$B$158&amp;".energy["&amp;This.year&amp;"]"),MATCH($C214&amp;E$5,INDIRECT($B$3&amp;"."&amp;$B$158&amp;".energy[Tech description]")&amp;INDIRECT($B$3&amp;"."&amp;$B$158&amp;".energy[Energy description]"),0)),0)</f>
        <v>0</v>
      </c>
      <c r="F214" s="121">
        <f t="array" aca="1" ref="F214" ca="1">IFERROR(INDEX(INDIRECT($B$3&amp;"."&amp;$B$158&amp;".energy["&amp;This.year&amp;"]"),MATCH($C214&amp;F$5,INDIRECT($B$3&amp;"."&amp;$B$158&amp;".energy[Tech description]")&amp;INDIRECT($B$3&amp;"."&amp;$B$158&amp;".energy[Energy description]"),0)),0)</f>
        <v>0</v>
      </c>
      <c r="G214" s="121">
        <f t="array" aca="1" ref="G214" ca="1">IFERROR(INDEX(INDIRECT($B$3&amp;"."&amp;$B$158&amp;".energy["&amp;This.year&amp;"]"),MATCH($C214&amp;G$5,INDIRECT($B$3&amp;"."&amp;$B$158&amp;".energy[Tech description]")&amp;INDIRECT($B$3&amp;"."&amp;$B$158&amp;".energy[Energy description]"),0)),0)</f>
        <v>0</v>
      </c>
      <c r="H214" s="121">
        <f t="array" aca="1" ref="H214" ca="1">IFERROR(INDEX(INDIRECT($B$3&amp;"."&amp;$B$158&amp;".energy["&amp;This.year&amp;"]"),MATCH($C214&amp;H$5,INDIRECT($B$3&amp;"."&amp;$B$158&amp;".energy[Tech description]")&amp;INDIRECT($B$3&amp;"."&amp;$B$158&amp;".energy[Energy description]"),0)),0)</f>
        <v>0</v>
      </c>
      <c r="I214" s="121">
        <f t="array" aca="1" ref="I214" ca="1">IFERROR(INDEX(INDIRECT($B$3&amp;"."&amp;$B$158&amp;".energy["&amp;This.year&amp;"]"),MATCH($C214&amp;I$5,INDIRECT($B$3&amp;"."&amp;$B$158&amp;".energy[Tech description]")&amp;INDIRECT($B$3&amp;"."&amp;$B$158&amp;".energy[Energy description]"),0)),0)</f>
        <v>0</v>
      </c>
      <c r="J214" s="121">
        <f t="array" aca="1" ref="J214" ca="1">IFERROR(INDEX(INDIRECT($B$3&amp;"."&amp;$B$158&amp;".energy["&amp;This.year&amp;"]"),MATCH($C214&amp;J$5,INDIRECT($B$3&amp;"."&amp;$B$158&amp;".energy[Tech description]")&amp;INDIRECT($B$3&amp;"."&amp;$B$158&amp;".energy[Energy description]"),0)),0)</f>
        <v>0.726021750603001</v>
      </c>
      <c r="K214" s="121">
        <f t="array" aca="1" ref="K214" ca="1">IFERROR(INDEX(INDIRECT($B$3&amp;"."&amp;$B$158&amp;".energy["&amp;This.year&amp;"]"),MATCH($C214&amp;K$5,INDIRECT($B$3&amp;"."&amp;$B$158&amp;".energy[Tech description]")&amp;INDIRECT($B$3&amp;"."&amp;$B$158&amp;".energy[Energy description]"),0)),0)</f>
        <v>0</v>
      </c>
      <c r="L214" s="121">
        <f t="array" aca="1" ref="L214" ca="1">IFERROR(INDEX(INDIRECT($B$3&amp;"."&amp;$B$158&amp;".energy["&amp;This.year&amp;"]"),MATCH($C214&amp;L$5,INDIRECT($B$3&amp;"."&amp;$B$158&amp;".energy[Tech description]")&amp;INDIRECT($B$3&amp;"."&amp;$B$158&amp;".energy[Energy description]"),0)),0)</f>
        <v>0</v>
      </c>
      <c r="M214" s="121">
        <f t="array" aca="1" ref="M214" ca="1">IFERROR(INDEX(INDIRECT($B$3&amp;"."&amp;$B$158&amp;".energy["&amp;This.year&amp;"]"),MATCH($C214&amp;M$5,INDIRECT($B$3&amp;"."&amp;$B$158&amp;".energy[Tech description]")&amp;INDIRECT($B$3&amp;"."&amp;$B$158&amp;".energy[Energy description]"),0)),0)</f>
        <v>0</v>
      </c>
      <c r="N214" s="121">
        <f t="array" aca="1" ref="N214" ca="1">IFERROR(INDEX(INDIRECT($B$3&amp;"."&amp;$B$158&amp;".energy["&amp;This.year&amp;"]"),MATCH($C214&amp;N$5,INDIRECT($B$3&amp;"."&amp;$B$158&amp;".energy[Tech description]")&amp;INDIRECT($B$3&amp;"."&amp;$B$158&amp;".energy[Energy description]"),0)),0)</f>
        <v>0</v>
      </c>
      <c r="O214" s="121">
        <f t="array" aca="1" ref="O214" ca="1">IFERROR(INDEX(INDIRECT($B$3&amp;"."&amp;$B$158&amp;".energy["&amp;This.year&amp;"]"),MATCH($C214&amp;O$5,INDIRECT($B$3&amp;"."&amp;$B$158&amp;".energy[Tech description]")&amp;INDIRECT($B$3&amp;"."&amp;$B$158&amp;".energy[Energy description]"),0)),0)</f>
        <v>0</v>
      </c>
      <c r="P214" s="121">
        <f t="array" aca="1" ref="P214" ca="1">IFERROR(INDEX(INDIRECT($B$3&amp;"."&amp;$B$158&amp;".energy["&amp;This.year&amp;"]"),MATCH($C214&amp;P$5,INDIRECT($B$3&amp;"."&amp;$B$158&amp;".energy[Tech description]")&amp;INDIRECT($B$3&amp;"."&amp;$B$158&amp;".energy[Energy description]"),0)),0)</f>
        <v>0</v>
      </c>
      <c r="Q214" s="121">
        <f t="array" aca="1" ref="Q214" ca="1">IFERROR(INDEX(INDIRECT($B$3&amp;"."&amp;$B$158&amp;".energy["&amp;This.year&amp;"]"),MATCH($C214&amp;Q$5,INDIRECT($B$3&amp;"."&amp;$B$158&amp;".energy[Tech description]")&amp;INDIRECT($B$3&amp;"."&amp;$B$158&amp;".energy[Energy description]"),0)),0)</f>
        <v>0</v>
      </c>
      <c r="R214" s="121">
        <f t="array" aca="1" ref="R214" ca="1">IFERROR(INDEX(INDIRECT($B$3&amp;"."&amp;$B$158&amp;".energy["&amp;This.year&amp;"]"),MATCH($C214&amp;R$5,INDIRECT($B$3&amp;"."&amp;$B$158&amp;".energy[Tech description]")&amp;INDIRECT($B$3&amp;"."&amp;$B$158&amp;".energy[Energy description]"),0)),0)</f>
        <v>0</v>
      </c>
      <c r="S214" s="121">
        <f t="array" aca="1" ref="S214" ca="1">IFERROR(INDEX(INDIRECT($B$3&amp;"."&amp;$B$158&amp;".energy["&amp;This.year&amp;"]"),MATCH($C214&amp;S$5,INDIRECT($B$3&amp;"."&amp;$B$158&amp;".energy[Tech description]")&amp;INDIRECT($B$3&amp;"."&amp;$B$158&amp;".energy[Energy description]"),0)),0)</f>
        <v>0</v>
      </c>
      <c r="T214" s="121">
        <f t="shared" ca="1" si="25"/>
        <v>0.726021750603001</v>
      </c>
      <c r="U214" s="109"/>
      <c r="V214" s="152">
        <f t="array" aca="1" ref="V214" ca="1">IFERROR(INDEX(INDIRECT($B$3&amp;"."&amp;$B$158&amp;".energy["&amp;This.year&amp;"]"),MATCH($C214&amp;V$5,INDIRECT($B$3&amp;"."&amp;$B$158&amp;".energy[Tech description]")&amp;INDIRECT($B$3&amp;"."&amp;$B$158&amp;".energy[Energy description]"),0)),0)</f>
        <v>0</v>
      </c>
      <c r="W214" s="152">
        <f t="array" aca="1" ref="W214" ca="1">IFERROR(INDEX(INDIRECT($B$3&amp;"."&amp;$B$158&amp;".energy["&amp;This.year&amp;"]"),MATCH($C214&amp;W$5,INDIRECT($B$3&amp;"."&amp;$B$158&amp;".energy[Tech description]")&amp;INDIRECT($B$3&amp;"."&amp;$B$158&amp;".energy[Energy description]"),0)),0)</f>
        <v>0</v>
      </c>
      <c r="X214" s="152">
        <f t="array" aca="1" ref="X214" ca="1">IFERROR(INDEX(INDIRECT($B$3&amp;"."&amp;$B$158&amp;".energy["&amp;This.year&amp;"]"),MATCH($C214&amp;X$5,INDIRECT($B$3&amp;"."&amp;$B$158&amp;".energy[Tech description]")&amp;INDIRECT($B$3&amp;"."&amp;$B$158&amp;".energy[Energy description]"),0)),0)</f>
        <v>0</v>
      </c>
      <c r="Y214" s="152">
        <f t="array" aca="1" ref="Y214" ca="1">IFERROR(INDEX(INDIRECT($B$3&amp;"."&amp;$B$158&amp;".energy["&amp;This.year&amp;"]"),MATCH($C214&amp;Y$5,INDIRECT($B$3&amp;"."&amp;$B$158&amp;".energy[Tech description]")&amp;INDIRECT($B$3&amp;"."&amp;$B$158&amp;".energy[Energy description]"),0)),0)</f>
        <v>0</v>
      </c>
      <c r="Z214" s="152">
        <f t="array" aca="1" ref="Z214" ca="1">IFERROR(INDEX(INDIRECT($B$3&amp;"."&amp;$B$158&amp;".energy["&amp;This.year&amp;"]"),MATCH($C214&amp;Z$5,INDIRECT($B$3&amp;"."&amp;$B$158&amp;".energy[Tech description]")&amp;INDIRECT($B$3&amp;"."&amp;$B$158&amp;".energy[Energy description]"),0)),0)</f>
        <v>0</v>
      </c>
      <c r="AA214" s="152">
        <f t="array" aca="1" ref="AA214" ca="1">IFERROR(INDEX(INDIRECT($B$3&amp;"."&amp;$B$158&amp;".energy["&amp;This.year&amp;"]"),MATCH($C214&amp;AA$5,INDIRECT($B$3&amp;"."&amp;$B$158&amp;".energy[Tech description]")&amp;INDIRECT($B$3&amp;"."&amp;$B$158&amp;".energy[Energy description]"),0)),0)</f>
        <v>-0.726021750603001</v>
      </c>
      <c r="AB214" s="152">
        <f t="array" aca="1" ref="AB214" ca="1">IFERROR(INDEX(INDIRECT($B$3&amp;"."&amp;$B$158&amp;".energy["&amp;This.year&amp;"]"),MATCH($C214&amp;AB$5,INDIRECT($B$3&amp;"."&amp;$B$158&amp;".energy[Tech description]")&amp;INDIRECT($B$3&amp;"."&amp;$B$158&amp;".energy[Energy description]"),0)),0)</f>
        <v>0</v>
      </c>
      <c r="AC214" s="152">
        <f t="array" aca="1" ref="AC214" ca="1">IFERROR(INDEX(INDIRECT($B$3&amp;"."&amp;$B$158&amp;".energy["&amp;This.year&amp;"]"),MATCH($C214&amp;AC$5,INDIRECT($B$3&amp;"."&amp;$B$158&amp;".energy[Tech description]")&amp;INDIRECT($B$3&amp;"."&amp;$B$158&amp;".energy[Energy description]"),0)),0)</f>
        <v>0</v>
      </c>
      <c r="AD214" s="152">
        <f t="array" aca="1" ref="AD214" ca="1">IFERROR(INDEX(INDIRECT($B$3&amp;"."&amp;$B$158&amp;".energy["&amp;This.year&amp;"]"),MATCH($C214&amp;AD$5,INDIRECT($B$3&amp;"."&amp;$B$158&amp;".energy[Tech description]")&amp;INDIRECT($B$3&amp;"."&amp;$B$158&amp;".energy[Energy description]"),0)),0)</f>
        <v>0</v>
      </c>
      <c r="AE214" s="152">
        <f t="array" aca="1" ref="AE214" ca="1">IFERROR(INDEX(INDIRECT($B$3&amp;"."&amp;$B$158&amp;".energy["&amp;This.year&amp;"]"),MATCH($C214&amp;AE$5,INDIRECT($B$3&amp;"."&amp;$B$158&amp;".energy[Tech description]")&amp;INDIRECT($B$3&amp;"."&amp;$B$158&amp;".energy[Energy description]"),0)),0)</f>
        <v>0</v>
      </c>
      <c r="AF214" s="152">
        <f t="array" aca="1" ref="AF214" ca="1">IFERROR(INDEX(INDIRECT($B$3&amp;"."&amp;$B$158&amp;".energy["&amp;This.year&amp;"]"),MATCH($C214&amp;AF$5,INDIRECT($B$3&amp;"."&amp;$B$158&amp;".energy[Tech description]")&amp;INDIRECT($B$3&amp;"."&amp;$B$158&amp;".energy[Energy description]"),0)),0)</f>
        <v>0</v>
      </c>
      <c r="AG214" s="152">
        <f t="array" aca="1" ref="AG214" ca="1">IFERROR(INDEX(INDIRECT($B$3&amp;"."&amp;$B$158&amp;".energy["&amp;This.year&amp;"]"),MATCH($C214&amp;AG$5,INDIRECT($B$3&amp;"."&amp;$B$158&amp;".energy[Tech description]")&amp;INDIRECT($B$3&amp;"."&amp;$B$158&amp;".energy[Energy description]"),0)),0)</f>
        <v>0</v>
      </c>
      <c r="AH214" s="152">
        <f t="array" aca="1" ref="AH214" ca="1">IFERROR(INDEX(INDIRECT($B$3&amp;"."&amp;$B$158&amp;".energy["&amp;This.year&amp;"]"),MATCH($C214&amp;AH$5,INDIRECT($B$3&amp;"."&amp;$B$158&amp;".energy[Tech description]")&amp;INDIRECT($B$3&amp;"."&amp;$B$158&amp;".energy[Energy description]"),0)),0)</f>
        <v>0</v>
      </c>
      <c r="AI214" s="152">
        <f t="array" aca="1" ref="AI214" ca="1">IFERROR(INDEX(INDIRECT($B$3&amp;"."&amp;$B$158&amp;".energy["&amp;This.year&amp;"]"),MATCH($C214&amp;AI$5,INDIRECT($B$3&amp;"."&amp;$B$158&amp;".energy[Tech description]")&amp;INDIRECT($B$3&amp;"."&amp;$B$158&amp;".energy[Energy description]"),0)),0)</f>
        <v>0</v>
      </c>
      <c r="AJ214" s="152">
        <f t="array" aca="1" ref="AJ214" ca="1">IFERROR(INDEX(INDIRECT($B$3&amp;"."&amp;$B$158&amp;".energy["&amp;This.year&amp;"]"),MATCH($C214&amp;AJ$5,INDIRECT($B$3&amp;"."&amp;$B$158&amp;".energy[Tech description]")&amp;INDIRECT($B$3&amp;"."&amp;$B$158&amp;".energy[Energy description]"),0)),0)</f>
        <v>0</v>
      </c>
      <c r="AK214" s="152">
        <f t="array" aca="1" ref="AK214" ca="1">IFERROR(INDEX(INDIRECT($B$3&amp;"."&amp;$B$158&amp;".energy["&amp;This.year&amp;"]"),MATCH($C214&amp;AK$5,INDIRECT($B$3&amp;"."&amp;$B$158&amp;".energy[Tech description]")&amp;INDIRECT($B$3&amp;"."&amp;$B$158&amp;".energy[Energy description]"),0)),0)</f>
        <v>0</v>
      </c>
      <c r="AL214" s="152">
        <f t="array" aca="1" ref="AL214" ca="1">IFERROR(INDEX(INDIRECT($B$3&amp;"."&amp;$B$158&amp;".energy["&amp;This.year&amp;"]"),MATCH($C214&amp;AL$5,INDIRECT($B$3&amp;"."&amp;$B$158&amp;".energy[Tech description]")&amp;INDIRECT($B$3&amp;"."&amp;$B$158&amp;".energy[Energy description]"),0)),0)</f>
        <v>0</v>
      </c>
      <c r="AM214" s="152">
        <f t="array" aca="1" ref="AM214" ca="1">IFERROR(INDEX(INDIRECT($B$3&amp;"."&amp;$B$158&amp;".energy["&amp;This.year&amp;"]"),MATCH($C214&amp;AM$5,INDIRECT($B$3&amp;"."&amp;$B$158&amp;".energy[Tech description]")&amp;INDIRECT($B$3&amp;"."&amp;$B$158&amp;".energy[Energy description]"),0)),0)</f>
        <v>0</v>
      </c>
      <c r="AN214" s="152">
        <f t="array" aca="1" ref="AN214" ca="1">IFERROR(INDEX(INDIRECT($B$3&amp;"."&amp;$B$158&amp;".energy["&amp;This.year&amp;"]"),MATCH($C214&amp;AN$5,INDIRECT($B$3&amp;"."&amp;$B$158&amp;".energy[Tech description]")&amp;INDIRECT($B$3&amp;"."&amp;$B$158&amp;".energy[Energy description]"),0)),0)</f>
        <v>0</v>
      </c>
      <c r="AO214" s="152">
        <f t="shared" ca="1" si="26"/>
        <v>-0.726021750603001</v>
      </c>
      <c r="AP214" s="108"/>
      <c r="AQ214" s="21">
        <f t="array" aca="1" ref="AQ214" ca="1">IFERROR(INDEX(INDIRECT($B$3&amp;"."&amp;$B$158&amp;".energy["&amp;This.year&amp;"]"),MATCH($C214&amp;AQ$5,INDIRECT($B$3&amp;"."&amp;$B$158&amp;".energy[Tech description]")&amp;INDIRECT($B$3&amp;"."&amp;$B$158&amp;".energy[Energy description]"),0)),0)</f>
        <v>0</v>
      </c>
      <c r="AR214" s="21">
        <f t="array" aca="1" ref="AR214" ca="1">IFERROR(INDEX(INDIRECT($B$3&amp;"."&amp;$B$158&amp;".energy["&amp;This.year&amp;"]"),MATCH($C214&amp;AR$5,INDIRECT($B$3&amp;"."&amp;$B$158&amp;".energy[Tech description]")&amp;INDIRECT($B$3&amp;"."&amp;$B$158&amp;".energy[Energy description]"),0)),0)</f>
        <v>0</v>
      </c>
      <c r="AS214" s="21">
        <f t="array" aca="1" ref="AS214" ca="1">IFERROR(INDEX(INDIRECT($B$3&amp;"."&amp;$B$158&amp;".energy["&amp;This.year&amp;"]"),MATCH($C214&amp;AS$5,INDIRECT($B$3&amp;"."&amp;$B$158&amp;".energy[Tech description]")&amp;INDIRECT($B$3&amp;"."&amp;$B$158&amp;".energy[Energy description]"),0)),0)</f>
        <v>0</v>
      </c>
      <c r="AT214" s="21">
        <f t="array" aca="1" ref="AT214" ca="1">IFERROR(INDEX(INDIRECT($B$3&amp;"."&amp;$B$158&amp;".energy["&amp;This.year&amp;"]"),MATCH($C214&amp;AT$5,INDIRECT($B$3&amp;"."&amp;$B$158&amp;".energy[Tech description]")&amp;INDIRECT($B$3&amp;"."&amp;$B$158&amp;".energy[Energy description]"),0)),0)</f>
        <v>0</v>
      </c>
      <c r="AU214" s="21">
        <f t="array" aca="1" ref="AU214" ca="1">IFERROR(INDEX(INDIRECT($B$3&amp;"."&amp;$B$158&amp;".energy["&amp;This.year&amp;"]"),MATCH($C214&amp;AU$5,INDIRECT($B$3&amp;"."&amp;$B$158&amp;".energy[Tech description]")&amp;INDIRECT($B$3&amp;"."&amp;$B$158&amp;".energy[Energy description]"),0)),0)</f>
        <v>0</v>
      </c>
      <c r="AV214" s="21">
        <f t="array" aca="1" ref="AV214" ca="1">IFERROR(INDEX(INDIRECT($B$3&amp;"."&amp;$B$158&amp;".energy["&amp;This.year&amp;"]"),MATCH($C214&amp;AV$5,INDIRECT($B$3&amp;"."&amp;$B$158&amp;".energy[Tech description]")&amp;INDIRECT($B$3&amp;"."&amp;$B$158&amp;".energy[Energy description]"),0)),0)</f>
        <v>0</v>
      </c>
      <c r="AW214" s="21">
        <f t="array" aca="1" ref="AW214" ca="1">IFERROR(INDEX(INDIRECT($B$3&amp;"."&amp;$B$158&amp;".energy["&amp;This.year&amp;"]"),MATCH($C214&amp;AW$5,INDIRECT($B$3&amp;"."&amp;$B$158&amp;".energy[Tech description]")&amp;INDIRECT($B$3&amp;"."&amp;$B$158&amp;".energy[Energy description]"),0)),0)</f>
        <v>0</v>
      </c>
      <c r="AX214" s="21">
        <f t="array" aca="1" ref="AX214" ca="1">IFERROR(INDEX(INDIRECT($B$3&amp;"."&amp;$B$158&amp;".energy["&amp;This.year&amp;"]"),MATCH($C214&amp;AX$5,INDIRECT($B$3&amp;"."&amp;$B$158&amp;".energy[Tech description]")&amp;INDIRECT($B$3&amp;"."&amp;$B$158&amp;".energy[Energy description]"),0)),0)</f>
        <v>0</v>
      </c>
      <c r="AY214" s="21">
        <f t="array" aca="1" ref="AY214" ca="1">IFERROR(INDEX(INDIRECT($B$3&amp;"."&amp;$B$158&amp;".energy["&amp;This.year&amp;"]"),MATCH($C214&amp;AY$5,INDIRECT($B$3&amp;"."&amp;$B$158&amp;".energy[Tech description]")&amp;INDIRECT($B$3&amp;"."&amp;$B$158&amp;".energy[Energy description]"),0)),0)</f>
        <v>0</v>
      </c>
      <c r="AZ214" s="21">
        <f t="array" aca="1" ref="AZ214" ca="1">IFERROR(INDEX(INDIRECT($B$3&amp;"."&amp;$B$158&amp;".energy["&amp;This.year&amp;"]"),MATCH($C214&amp;AZ$5,INDIRECT($B$3&amp;"."&amp;$B$158&amp;".energy[Tech description]")&amp;INDIRECT($B$3&amp;"."&amp;$B$158&amp;".energy[Energy description]"),0)),0)</f>
        <v>0</v>
      </c>
      <c r="BA214" s="21">
        <f t="array" aca="1" ref="BA214" ca="1">IFERROR(INDEX(INDIRECT($B$3&amp;"."&amp;$B$158&amp;".energy["&amp;This.year&amp;"]"),MATCH($C214&amp;BA$5,INDIRECT($B$3&amp;"."&amp;$B$158&amp;".energy[Tech description]")&amp;INDIRECT($B$3&amp;"."&amp;$B$158&amp;".energy[Energy description]"),0)),0)</f>
        <v>0</v>
      </c>
      <c r="BB214" s="21">
        <f t="array" aca="1" ref="BB214" ca="1">IFERROR(INDEX(INDIRECT($B$3&amp;"."&amp;$B$158&amp;".energy["&amp;This.year&amp;"]"),MATCH($C214&amp;BB$5,INDIRECT($B$3&amp;"."&amp;$B$158&amp;".energy[Tech description]")&amp;INDIRECT($B$3&amp;"."&amp;$B$158&amp;".energy[Energy description]"),0)),0)</f>
        <v>0</v>
      </c>
      <c r="BC214" s="21">
        <f t="array" aca="1" ref="BC214" ca="1">IFERROR(INDEX(INDIRECT($B$3&amp;"."&amp;$B$158&amp;".energy["&amp;This.year&amp;"]"),MATCH($C214&amp;BC$5,INDIRECT($B$3&amp;"."&amp;$B$158&amp;".energy[Tech description]")&amp;INDIRECT($B$3&amp;"."&amp;$B$158&amp;".energy[Energy description]"),0)),0)</f>
        <v>0</v>
      </c>
      <c r="BD214" s="21">
        <f t="shared" ca="1" si="27"/>
        <v>0</v>
      </c>
      <c r="BE214" s="108"/>
      <c r="BF214" s="49">
        <f t="array" aca="1" ref="BF214" ca="1">IFERROR(INDEX(INDIRECT($B$3&amp;"."&amp;$B$158&amp;".energy["&amp;This.year&amp;"]"),MATCH($C214&amp;BF$5,INDIRECT($B$3&amp;"."&amp;$B$158&amp;".energy[Tech description]")&amp;INDIRECT($B$3&amp;"."&amp;$B$158&amp;".energy[Energy description]"),0)),0)</f>
        <v>0</v>
      </c>
      <c r="BG214" s="49">
        <f t="array" aca="1" ref="BG214" ca="1">IFERROR(INDEX(INDIRECT($B$3&amp;"."&amp;$B$158&amp;".energy["&amp;This.year&amp;"]"),MATCH($C214&amp;BG$5,INDIRECT($B$3&amp;"."&amp;$B$158&amp;".energy[Tech description]")&amp;INDIRECT($B$3&amp;"."&amp;$B$158&amp;".energy[Energy description]"),0)),0)</f>
        <v>0</v>
      </c>
      <c r="BH214" s="49">
        <f t="shared" ca="1" si="28"/>
        <v>0</v>
      </c>
      <c r="BI214" s="219">
        <f t="shared" ca="1" si="9"/>
        <v>0</v>
      </c>
      <c r="BJ214" s="108"/>
    </row>
    <row r="215" spans="1:62" s="54" customFormat="1">
      <c r="A215" s="133"/>
      <c r="B215" s="176" t="s">
        <v>1835</v>
      </c>
      <c r="C215" s="114" t="str">
        <f>INDEX(Regional.Technologies[Description],MATCH($B$3&amp;"."&amp;B215,Regional.Technologies[Code],0))</f>
        <v>Global Oil use in the Chemicals: Methanol technology</v>
      </c>
      <c r="E215" s="121">
        <f t="array" aca="1" ref="E215" ca="1">IFERROR(INDEX(INDIRECT($B$3&amp;"."&amp;$B$158&amp;".energy["&amp;This.year&amp;"]"),MATCH($C215&amp;E$5,INDIRECT($B$3&amp;"."&amp;$B$158&amp;".energy[Tech description]")&amp;INDIRECT($B$3&amp;"."&amp;$B$158&amp;".energy[Energy description]"),0)),0)</f>
        <v>0</v>
      </c>
      <c r="F215" s="121">
        <f t="array" aca="1" ref="F215" ca="1">IFERROR(INDEX(INDIRECT($B$3&amp;"."&amp;$B$158&amp;".energy["&amp;This.year&amp;"]"),MATCH($C215&amp;F$5,INDIRECT($B$3&amp;"."&amp;$B$158&amp;".energy[Tech description]")&amp;INDIRECT($B$3&amp;"."&amp;$B$158&amp;".energy[Energy description]"),0)),0)</f>
        <v>0</v>
      </c>
      <c r="G215" s="121">
        <f t="array" aca="1" ref="G215" ca="1">IFERROR(INDEX(INDIRECT($B$3&amp;"."&amp;$B$158&amp;".energy["&amp;This.year&amp;"]"),MATCH($C215&amp;G$5,INDIRECT($B$3&amp;"."&amp;$B$158&amp;".energy[Tech description]")&amp;INDIRECT($B$3&amp;"."&amp;$B$158&amp;".energy[Energy description]"),0)),0)</f>
        <v>0</v>
      </c>
      <c r="H215" s="121">
        <f t="array" aca="1" ref="H215" ca="1">IFERROR(INDEX(INDIRECT($B$3&amp;"."&amp;$B$158&amp;".energy["&amp;This.year&amp;"]"),MATCH($C215&amp;H$5,INDIRECT($B$3&amp;"."&amp;$B$158&amp;".energy[Tech description]")&amp;INDIRECT($B$3&amp;"."&amp;$B$158&amp;".energy[Energy description]"),0)),0)</f>
        <v>0</v>
      </c>
      <c r="I215" s="121">
        <f t="array" aca="1" ref="I215" ca="1">IFERROR(INDEX(INDIRECT($B$3&amp;"."&amp;$B$158&amp;".energy["&amp;This.year&amp;"]"),MATCH($C215&amp;I$5,INDIRECT($B$3&amp;"."&amp;$B$158&amp;".energy[Tech description]")&amp;INDIRECT($B$3&amp;"."&amp;$B$158&amp;".energy[Energy description]"),0)),0)</f>
        <v>0</v>
      </c>
      <c r="J215" s="121">
        <f t="array" aca="1" ref="J215" ca="1">IFERROR(INDEX(INDIRECT($B$3&amp;"."&amp;$B$158&amp;".energy["&amp;This.year&amp;"]"),MATCH($C215&amp;J$5,INDIRECT($B$3&amp;"."&amp;$B$158&amp;".energy[Tech description]")&amp;INDIRECT($B$3&amp;"."&amp;$B$158&amp;".energy[Energy description]"),0)),0)</f>
        <v>0</v>
      </c>
      <c r="K215" s="121">
        <f t="array" aca="1" ref="K215" ca="1">IFERROR(INDEX(INDIRECT($B$3&amp;"."&amp;$B$158&amp;".energy["&amp;This.year&amp;"]"),MATCH($C215&amp;K$5,INDIRECT($B$3&amp;"."&amp;$B$158&amp;".energy[Tech description]")&amp;INDIRECT($B$3&amp;"."&amp;$B$158&amp;".energy[Energy description]"),0)),0)</f>
        <v>0</v>
      </c>
      <c r="L215" s="121">
        <f t="array" aca="1" ref="L215" ca="1">IFERROR(INDEX(INDIRECT($B$3&amp;"."&amp;$B$158&amp;".energy["&amp;This.year&amp;"]"),MATCH($C215&amp;L$5,INDIRECT($B$3&amp;"."&amp;$B$158&amp;".energy[Tech description]")&amp;INDIRECT($B$3&amp;"."&amp;$B$158&amp;".energy[Energy description]"),0)),0)</f>
        <v>0</v>
      </c>
      <c r="M215" s="121">
        <f t="array" aca="1" ref="M215" ca="1">IFERROR(INDEX(INDIRECT($B$3&amp;"."&amp;$B$158&amp;".energy["&amp;This.year&amp;"]"),MATCH($C215&amp;M$5,INDIRECT($B$3&amp;"."&amp;$B$158&amp;".energy[Tech description]")&amp;INDIRECT($B$3&amp;"."&amp;$B$158&amp;".energy[Energy description]"),0)),0)</f>
        <v>0</v>
      </c>
      <c r="N215" s="121">
        <f t="array" aca="1" ref="N215" ca="1">IFERROR(INDEX(INDIRECT($B$3&amp;"."&amp;$B$158&amp;".energy["&amp;This.year&amp;"]"),MATCH($C215&amp;N$5,INDIRECT($B$3&amp;"."&amp;$B$158&amp;".energy[Tech description]")&amp;INDIRECT($B$3&amp;"."&amp;$B$158&amp;".energy[Energy description]"),0)),0)</f>
        <v>0</v>
      </c>
      <c r="O215" s="121">
        <f t="array" aca="1" ref="O215" ca="1">IFERROR(INDEX(INDIRECT($B$3&amp;"."&amp;$B$158&amp;".energy["&amp;This.year&amp;"]"),MATCH($C215&amp;O$5,INDIRECT($B$3&amp;"."&amp;$B$158&amp;".energy[Tech description]")&amp;INDIRECT($B$3&amp;"."&amp;$B$158&amp;".energy[Energy description]"),0)),0)</f>
        <v>0</v>
      </c>
      <c r="P215" s="121">
        <f t="array" aca="1" ref="P215" ca="1">IFERROR(INDEX(INDIRECT($B$3&amp;"."&amp;$B$158&amp;".energy["&amp;This.year&amp;"]"),MATCH($C215&amp;P$5,INDIRECT($B$3&amp;"."&amp;$B$158&amp;".energy[Tech description]")&amp;INDIRECT($B$3&amp;"."&amp;$B$158&amp;".energy[Energy description]"),0)),0)</f>
        <v>0</v>
      </c>
      <c r="Q215" s="121">
        <f t="array" aca="1" ref="Q215" ca="1">IFERROR(INDEX(INDIRECT($B$3&amp;"."&amp;$B$158&amp;".energy["&amp;This.year&amp;"]"),MATCH($C215&amp;Q$5,INDIRECT($B$3&amp;"."&amp;$B$158&amp;".energy[Tech description]")&amp;INDIRECT($B$3&amp;"."&amp;$B$158&amp;".energy[Energy description]"),0)),0)</f>
        <v>0</v>
      </c>
      <c r="R215" s="121">
        <f t="array" aca="1" ref="R215" ca="1">IFERROR(INDEX(INDIRECT($B$3&amp;"."&amp;$B$158&amp;".energy["&amp;This.year&amp;"]"),MATCH($C215&amp;R$5,INDIRECT($B$3&amp;"."&amp;$B$158&amp;".energy[Tech description]")&amp;INDIRECT($B$3&amp;"."&amp;$B$158&amp;".energy[Energy description]"),0)),0)</f>
        <v>0</v>
      </c>
      <c r="S215" s="121">
        <f t="array" aca="1" ref="S215" ca="1">IFERROR(INDEX(INDIRECT($B$3&amp;"."&amp;$B$158&amp;".energy["&amp;This.year&amp;"]"),MATCH($C215&amp;S$5,INDIRECT($B$3&amp;"."&amp;$B$158&amp;".energy[Tech description]")&amp;INDIRECT($B$3&amp;"."&amp;$B$158&amp;".energy[Energy description]"),0)),0)</f>
        <v>0</v>
      </c>
      <c r="T215" s="121">
        <f t="shared" ca="1" si="25"/>
        <v>0</v>
      </c>
      <c r="U215" s="109"/>
      <c r="V215" s="152">
        <f t="array" aca="1" ref="V215" ca="1">IFERROR(INDEX(INDIRECT($B$3&amp;"."&amp;$B$158&amp;".energy["&amp;This.year&amp;"]"),MATCH($C215&amp;V$5,INDIRECT($B$3&amp;"."&amp;$B$158&amp;".energy[Tech description]")&amp;INDIRECT($B$3&amp;"."&amp;$B$158&amp;".energy[Energy description]"),0)),0)</f>
        <v>0</v>
      </c>
      <c r="W215" s="152">
        <f t="array" aca="1" ref="W215" ca="1">IFERROR(INDEX(INDIRECT($B$3&amp;"."&amp;$B$158&amp;".energy["&amp;This.year&amp;"]"),MATCH($C215&amp;W$5,INDIRECT($B$3&amp;"."&amp;$B$158&amp;".energy[Tech description]")&amp;INDIRECT($B$3&amp;"."&amp;$B$158&amp;".energy[Energy description]"),0)),0)</f>
        <v>0</v>
      </c>
      <c r="X215" s="152">
        <f t="array" aca="1" ref="X215" ca="1">IFERROR(INDEX(INDIRECT($B$3&amp;"."&amp;$B$158&amp;".energy["&amp;This.year&amp;"]"),MATCH($C215&amp;X$5,INDIRECT($B$3&amp;"."&amp;$B$158&amp;".energy[Tech description]")&amp;INDIRECT($B$3&amp;"."&amp;$B$158&amp;".energy[Energy description]"),0)),0)</f>
        <v>0</v>
      </c>
      <c r="Y215" s="152">
        <f t="array" aca="1" ref="Y215" ca="1">IFERROR(INDEX(INDIRECT($B$3&amp;"."&amp;$B$158&amp;".energy["&amp;This.year&amp;"]"),MATCH($C215&amp;Y$5,INDIRECT($B$3&amp;"."&amp;$B$158&amp;".energy[Tech description]")&amp;INDIRECT($B$3&amp;"."&amp;$B$158&amp;".energy[Energy description]"),0)),0)</f>
        <v>0</v>
      </c>
      <c r="Z215" s="152">
        <f t="array" aca="1" ref="Z215" ca="1">IFERROR(INDEX(INDIRECT($B$3&amp;"."&amp;$B$158&amp;".energy["&amp;This.year&amp;"]"),MATCH($C215&amp;Z$5,INDIRECT($B$3&amp;"."&amp;$B$158&amp;".energy[Tech description]")&amp;INDIRECT($B$3&amp;"."&amp;$B$158&amp;".energy[Energy description]"),0)),0)</f>
        <v>0</v>
      </c>
      <c r="AA215" s="152">
        <f t="array" aca="1" ref="AA215" ca="1">IFERROR(INDEX(INDIRECT($B$3&amp;"."&amp;$B$158&amp;".energy["&amp;This.year&amp;"]"),MATCH($C215&amp;AA$5,INDIRECT($B$3&amp;"."&amp;$B$158&amp;".energy[Tech description]")&amp;INDIRECT($B$3&amp;"."&amp;$B$158&amp;".energy[Energy description]"),0)),0)</f>
        <v>0</v>
      </c>
      <c r="AB215" s="152">
        <f t="array" aca="1" ref="AB215" ca="1">IFERROR(INDEX(INDIRECT($B$3&amp;"."&amp;$B$158&amp;".energy["&amp;This.year&amp;"]"),MATCH($C215&amp;AB$5,INDIRECT($B$3&amp;"."&amp;$B$158&amp;".energy[Tech description]")&amp;INDIRECT($B$3&amp;"."&amp;$B$158&amp;".energy[Energy description]"),0)),0)</f>
        <v>0</v>
      </c>
      <c r="AC215" s="152">
        <f t="array" aca="1" ref="AC215" ca="1">IFERROR(INDEX(INDIRECT($B$3&amp;"."&amp;$B$158&amp;".energy["&amp;This.year&amp;"]"),MATCH($C215&amp;AC$5,INDIRECT($B$3&amp;"."&amp;$B$158&amp;".energy[Tech description]")&amp;INDIRECT($B$3&amp;"."&amp;$B$158&amp;".energy[Energy description]"),0)),0)</f>
        <v>0</v>
      </c>
      <c r="AD215" s="152">
        <f t="array" aca="1" ref="AD215" ca="1">IFERROR(INDEX(INDIRECT($B$3&amp;"."&amp;$B$158&amp;".energy["&amp;This.year&amp;"]"),MATCH($C215&amp;AD$5,INDIRECT($B$3&amp;"."&amp;$B$158&amp;".energy[Tech description]")&amp;INDIRECT($B$3&amp;"."&amp;$B$158&amp;".energy[Energy description]"),0)),0)</f>
        <v>0</v>
      </c>
      <c r="AE215" s="152">
        <f t="array" aca="1" ref="AE215" ca="1">IFERROR(INDEX(INDIRECT($B$3&amp;"."&amp;$B$158&amp;".energy["&amp;This.year&amp;"]"),MATCH($C215&amp;AE$5,INDIRECT($B$3&amp;"."&amp;$B$158&amp;".energy[Tech description]")&amp;INDIRECT($B$3&amp;"."&amp;$B$158&amp;".energy[Energy description]"),0)),0)</f>
        <v>0</v>
      </c>
      <c r="AF215" s="152">
        <f t="array" aca="1" ref="AF215" ca="1">IFERROR(INDEX(INDIRECT($B$3&amp;"."&amp;$B$158&amp;".energy["&amp;This.year&amp;"]"),MATCH($C215&amp;AF$5,INDIRECT($B$3&amp;"."&amp;$B$158&amp;".energy[Tech description]")&amp;INDIRECT($B$3&amp;"."&amp;$B$158&amp;".energy[Energy description]"),0)),0)</f>
        <v>0</v>
      </c>
      <c r="AG215" s="152">
        <f t="array" aca="1" ref="AG215" ca="1">IFERROR(INDEX(INDIRECT($B$3&amp;"."&amp;$B$158&amp;".energy["&amp;This.year&amp;"]"),MATCH($C215&amp;AG$5,INDIRECT($B$3&amp;"."&amp;$B$158&amp;".energy[Tech description]")&amp;INDIRECT($B$3&amp;"."&amp;$B$158&amp;".energy[Energy description]"),0)),0)</f>
        <v>0</v>
      </c>
      <c r="AH215" s="152">
        <f t="array" aca="1" ref="AH215" ca="1">IFERROR(INDEX(INDIRECT($B$3&amp;"."&amp;$B$158&amp;".energy["&amp;This.year&amp;"]"),MATCH($C215&amp;AH$5,INDIRECT($B$3&amp;"."&amp;$B$158&amp;".energy[Tech description]")&amp;INDIRECT($B$3&amp;"."&amp;$B$158&amp;".energy[Energy description]"),0)),0)</f>
        <v>0</v>
      </c>
      <c r="AI215" s="152">
        <f t="array" aca="1" ref="AI215" ca="1">IFERROR(INDEX(INDIRECT($B$3&amp;"."&amp;$B$158&amp;".energy["&amp;This.year&amp;"]"),MATCH($C215&amp;AI$5,INDIRECT($B$3&amp;"."&amp;$B$158&amp;".energy[Tech description]")&amp;INDIRECT($B$3&amp;"."&amp;$B$158&amp;".energy[Energy description]"),0)),0)</f>
        <v>0</v>
      </c>
      <c r="AJ215" s="152">
        <f t="array" aca="1" ref="AJ215" ca="1">IFERROR(INDEX(INDIRECT($B$3&amp;"."&amp;$B$158&amp;".energy["&amp;This.year&amp;"]"),MATCH($C215&amp;AJ$5,INDIRECT($B$3&amp;"."&amp;$B$158&amp;".energy[Tech description]")&amp;INDIRECT($B$3&amp;"."&amp;$B$158&amp;".energy[Energy description]"),0)),0)</f>
        <v>0</v>
      </c>
      <c r="AK215" s="152">
        <f t="array" aca="1" ref="AK215" ca="1">IFERROR(INDEX(INDIRECT($B$3&amp;"."&amp;$B$158&amp;".energy["&amp;This.year&amp;"]"),MATCH($C215&amp;AK$5,INDIRECT($B$3&amp;"."&amp;$B$158&amp;".energy[Tech description]")&amp;INDIRECT($B$3&amp;"."&amp;$B$158&amp;".energy[Energy description]"),0)),0)</f>
        <v>0</v>
      </c>
      <c r="AL215" s="152">
        <f t="array" aca="1" ref="AL215" ca="1">IFERROR(INDEX(INDIRECT($B$3&amp;"."&amp;$B$158&amp;".energy["&amp;This.year&amp;"]"),MATCH($C215&amp;AL$5,INDIRECT($B$3&amp;"."&amp;$B$158&amp;".energy[Tech description]")&amp;INDIRECT($B$3&amp;"."&amp;$B$158&amp;".energy[Energy description]"),0)),0)</f>
        <v>0</v>
      </c>
      <c r="AM215" s="152">
        <f t="array" aca="1" ref="AM215" ca="1">IFERROR(INDEX(INDIRECT($B$3&amp;"."&amp;$B$158&amp;".energy["&amp;This.year&amp;"]"),MATCH($C215&amp;AM$5,INDIRECT($B$3&amp;"."&amp;$B$158&amp;".energy[Tech description]")&amp;INDIRECT($B$3&amp;"."&amp;$B$158&amp;".energy[Energy description]"),0)),0)</f>
        <v>0</v>
      </c>
      <c r="AN215" s="152">
        <f t="array" aca="1" ref="AN215" ca="1">IFERROR(INDEX(INDIRECT($B$3&amp;"."&amp;$B$158&amp;".energy["&amp;This.year&amp;"]"),MATCH($C215&amp;AN$5,INDIRECT($B$3&amp;"."&amp;$B$158&amp;".energy[Tech description]")&amp;INDIRECT($B$3&amp;"."&amp;$B$158&amp;".energy[Energy description]"),0)),0)</f>
        <v>0</v>
      </c>
      <c r="AO215" s="152">
        <f t="shared" ca="1" si="26"/>
        <v>0</v>
      </c>
      <c r="AP215" s="108"/>
      <c r="AQ215" s="21">
        <f t="array" aca="1" ref="AQ215" ca="1">IFERROR(INDEX(INDIRECT($B$3&amp;"."&amp;$B$158&amp;".energy["&amp;This.year&amp;"]"),MATCH($C215&amp;AQ$5,INDIRECT($B$3&amp;"."&amp;$B$158&amp;".energy[Tech description]")&amp;INDIRECT($B$3&amp;"."&amp;$B$158&amp;".energy[Energy description]"),0)),0)</f>
        <v>0</v>
      </c>
      <c r="AR215" s="21">
        <f t="array" aca="1" ref="AR215" ca="1">IFERROR(INDEX(INDIRECT($B$3&amp;"."&amp;$B$158&amp;".energy["&amp;This.year&amp;"]"),MATCH($C215&amp;AR$5,INDIRECT($B$3&amp;"."&amp;$B$158&amp;".energy[Tech description]")&amp;INDIRECT($B$3&amp;"."&amp;$B$158&amp;".energy[Energy description]"),0)),0)</f>
        <v>0</v>
      </c>
      <c r="AS215" s="21">
        <f t="array" aca="1" ref="AS215" ca="1">IFERROR(INDEX(INDIRECT($B$3&amp;"."&amp;$B$158&amp;".energy["&amp;This.year&amp;"]"),MATCH($C215&amp;AS$5,INDIRECT($B$3&amp;"."&amp;$B$158&amp;".energy[Tech description]")&amp;INDIRECT($B$3&amp;"."&amp;$B$158&amp;".energy[Energy description]"),0)),0)</f>
        <v>0</v>
      </c>
      <c r="AT215" s="21">
        <f t="array" aca="1" ref="AT215" ca="1">IFERROR(INDEX(INDIRECT($B$3&amp;"."&amp;$B$158&amp;".energy["&amp;This.year&amp;"]"),MATCH($C215&amp;AT$5,INDIRECT($B$3&amp;"."&amp;$B$158&amp;".energy[Tech description]")&amp;INDIRECT($B$3&amp;"."&amp;$B$158&amp;".energy[Energy description]"),0)),0)</f>
        <v>0</v>
      </c>
      <c r="AU215" s="21">
        <f t="array" aca="1" ref="AU215" ca="1">IFERROR(INDEX(INDIRECT($B$3&amp;"."&amp;$B$158&amp;".energy["&amp;This.year&amp;"]"),MATCH($C215&amp;AU$5,INDIRECT($B$3&amp;"."&amp;$B$158&amp;".energy[Tech description]")&amp;INDIRECT($B$3&amp;"."&amp;$B$158&amp;".energy[Energy description]"),0)),0)</f>
        <v>0</v>
      </c>
      <c r="AV215" s="21">
        <f t="array" aca="1" ref="AV215" ca="1">IFERROR(INDEX(INDIRECT($B$3&amp;"."&amp;$B$158&amp;".energy["&amp;This.year&amp;"]"),MATCH($C215&amp;AV$5,INDIRECT($B$3&amp;"."&amp;$B$158&amp;".energy[Tech description]")&amp;INDIRECT($B$3&amp;"."&amp;$B$158&amp;".energy[Energy description]"),0)),0)</f>
        <v>0</v>
      </c>
      <c r="AW215" s="21">
        <f t="array" aca="1" ref="AW215" ca="1">IFERROR(INDEX(INDIRECT($B$3&amp;"."&amp;$B$158&amp;".energy["&amp;This.year&amp;"]"),MATCH($C215&amp;AW$5,INDIRECT($B$3&amp;"."&amp;$B$158&amp;".energy[Tech description]")&amp;INDIRECT($B$3&amp;"."&amp;$B$158&amp;".energy[Energy description]"),0)),0)</f>
        <v>0</v>
      </c>
      <c r="AX215" s="21">
        <f t="array" aca="1" ref="AX215" ca="1">IFERROR(INDEX(INDIRECT($B$3&amp;"."&amp;$B$158&amp;".energy["&amp;This.year&amp;"]"),MATCH($C215&amp;AX$5,INDIRECT($B$3&amp;"."&amp;$B$158&amp;".energy[Tech description]")&amp;INDIRECT($B$3&amp;"."&amp;$B$158&amp;".energy[Energy description]"),0)),0)</f>
        <v>0</v>
      </c>
      <c r="AY215" s="21">
        <f t="array" aca="1" ref="AY215" ca="1">IFERROR(INDEX(INDIRECT($B$3&amp;"."&amp;$B$158&amp;".energy["&amp;This.year&amp;"]"),MATCH($C215&amp;AY$5,INDIRECT($B$3&amp;"."&amp;$B$158&amp;".energy[Tech description]")&amp;INDIRECT($B$3&amp;"."&amp;$B$158&amp;".energy[Energy description]"),0)),0)</f>
        <v>0</v>
      </c>
      <c r="AZ215" s="21">
        <f t="array" aca="1" ref="AZ215" ca="1">IFERROR(INDEX(INDIRECT($B$3&amp;"."&amp;$B$158&amp;".energy["&amp;This.year&amp;"]"),MATCH($C215&amp;AZ$5,INDIRECT($B$3&amp;"."&amp;$B$158&amp;".energy[Tech description]")&amp;INDIRECT($B$3&amp;"."&amp;$B$158&amp;".energy[Energy description]"),0)),0)</f>
        <v>0</v>
      </c>
      <c r="BA215" s="21">
        <f t="array" aca="1" ref="BA215" ca="1">IFERROR(INDEX(INDIRECT($B$3&amp;"."&amp;$B$158&amp;".energy["&amp;This.year&amp;"]"),MATCH($C215&amp;BA$5,INDIRECT($B$3&amp;"."&amp;$B$158&amp;".energy[Tech description]")&amp;INDIRECT($B$3&amp;"."&amp;$B$158&amp;".energy[Energy description]"),0)),0)</f>
        <v>0</v>
      </c>
      <c r="BB215" s="21">
        <f t="array" aca="1" ref="BB215" ca="1">IFERROR(INDEX(INDIRECT($B$3&amp;"."&amp;$B$158&amp;".energy["&amp;This.year&amp;"]"),MATCH($C215&amp;BB$5,INDIRECT($B$3&amp;"."&amp;$B$158&amp;".energy[Tech description]")&amp;INDIRECT($B$3&amp;"."&amp;$B$158&amp;".energy[Energy description]"),0)),0)</f>
        <v>0</v>
      </c>
      <c r="BC215" s="21">
        <f t="array" aca="1" ref="BC215" ca="1">IFERROR(INDEX(INDIRECT($B$3&amp;"."&amp;$B$158&amp;".energy["&amp;This.year&amp;"]"),MATCH($C215&amp;BC$5,INDIRECT($B$3&amp;"."&amp;$B$158&amp;".energy[Tech description]")&amp;INDIRECT($B$3&amp;"."&amp;$B$158&amp;".energy[Energy description]"),0)),0)</f>
        <v>0</v>
      </c>
      <c r="BD215" s="21">
        <f t="shared" ca="1" si="27"/>
        <v>0</v>
      </c>
      <c r="BE215" s="108"/>
      <c r="BF215" s="49">
        <f t="array" aca="1" ref="BF215" ca="1">IFERROR(INDEX(INDIRECT($B$3&amp;"."&amp;$B$158&amp;".energy["&amp;This.year&amp;"]"),MATCH($C215&amp;BF$5,INDIRECT($B$3&amp;"."&amp;$B$158&amp;".energy[Tech description]")&amp;INDIRECT($B$3&amp;"."&amp;$B$158&amp;".energy[Energy description]"),0)),0)</f>
        <v>0</v>
      </c>
      <c r="BG215" s="49">
        <f t="array" aca="1" ref="BG215" ca="1">IFERROR(INDEX(INDIRECT($B$3&amp;"."&amp;$B$158&amp;".energy["&amp;This.year&amp;"]"),MATCH($C215&amp;BG$5,INDIRECT($B$3&amp;"."&amp;$B$158&amp;".energy[Tech description]")&amp;INDIRECT($B$3&amp;"."&amp;$B$158&amp;".energy[Energy description]"),0)),0)</f>
        <v>0</v>
      </c>
      <c r="BH215" s="49">
        <f t="shared" ca="1" si="28"/>
        <v>0</v>
      </c>
      <c r="BI215" s="219">
        <f t="shared" ca="1" si="9"/>
        <v>0</v>
      </c>
      <c r="BJ215" s="108"/>
    </row>
    <row r="216" spans="1:62" s="54" customFormat="1">
      <c r="A216" s="133"/>
      <c r="B216" s="176" t="s">
        <v>1836</v>
      </c>
      <c r="C216" s="114" t="str">
        <f>INDEX(Regional.Technologies[Description],MATCH($B$3&amp;"."&amp;B216,Regional.Technologies[Code],0))</f>
        <v>Global Natural Gas use in the Chemicals: Methanol technology</v>
      </c>
      <c r="E216" s="121">
        <f t="array" aca="1" ref="E216" ca="1">IFERROR(INDEX(INDIRECT($B$3&amp;"."&amp;$B$158&amp;".energy["&amp;This.year&amp;"]"),MATCH($C216&amp;E$5,INDIRECT($B$3&amp;"."&amp;$B$158&amp;".energy[Tech description]")&amp;INDIRECT($B$3&amp;"."&amp;$B$158&amp;".energy[Energy description]"),0)),0)</f>
        <v>0</v>
      </c>
      <c r="F216" s="121">
        <f t="array" aca="1" ref="F216" ca="1">IFERROR(INDEX(INDIRECT($B$3&amp;"."&amp;$B$158&amp;".energy["&amp;This.year&amp;"]"),MATCH($C216&amp;F$5,INDIRECT($B$3&amp;"."&amp;$B$158&amp;".energy[Tech description]")&amp;INDIRECT($B$3&amp;"."&amp;$B$158&amp;".energy[Energy description]"),0)),0)</f>
        <v>0</v>
      </c>
      <c r="G216" s="121">
        <f t="array" aca="1" ref="G216" ca="1">IFERROR(INDEX(INDIRECT($B$3&amp;"."&amp;$B$158&amp;".energy["&amp;This.year&amp;"]"),MATCH($C216&amp;G$5,INDIRECT($B$3&amp;"."&amp;$B$158&amp;".energy[Tech description]")&amp;INDIRECT($B$3&amp;"."&amp;$B$158&amp;".energy[Energy description]"),0)),0)</f>
        <v>0</v>
      </c>
      <c r="H216" s="121">
        <f t="array" aca="1" ref="H216" ca="1">IFERROR(INDEX(INDIRECT($B$3&amp;"."&amp;$B$158&amp;".energy["&amp;This.year&amp;"]"),MATCH($C216&amp;H$5,INDIRECT($B$3&amp;"."&amp;$B$158&amp;".energy[Tech description]")&amp;INDIRECT($B$3&amp;"."&amp;$B$158&amp;".energy[Energy description]"),0)),0)</f>
        <v>0</v>
      </c>
      <c r="I216" s="121">
        <f t="array" aca="1" ref="I216" ca="1">IFERROR(INDEX(INDIRECT($B$3&amp;"."&amp;$B$158&amp;".energy["&amp;This.year&amp;"]"),MATCH($C216&amp;I$5,INDIRECT($B$3&amp;"."&amp;$B$158&amp;".energy[Tech description]")&amp;INDIRECT($B$3&amp;"."&amp;$B$158&amp;".energy[Energy description]"),0)),0)</f>
        <v>0</v>
      </c>
      <c r="J216" s="121">
        <f t="array" aca="1" ref="J216" ca="1">IFERROR(INDEX(INDIRECT($B$3&amp;"."&amp;$B$158&amp;".energy["&amp;This.year&amp;"]"),MATCH($C216&amp;J$5,INDIRECT($B$3&amp;"."&amp;$B$158&amp;".energy[Tech description]")&amp;INDIRECT($B$3&amp;"."&amp;$B$158&amp;".energy[Energy description]"),0)),0)</f>
        <v>0.937789568259083</v>
      </c>
      <c r="K216" s="121">
        <f t="array" aca="1" ref="K216" ca="1">IFERROR(INDEX(INDIRECT($B$3&amp;"."&amp;$B$158&amp;".energy["&amp;This.year&amp;"]"),MATCH($C216&amp;K$5,INDIRECT($B$3&amp;"."&amp;$B$158&amp;".energy[Tech description]")&amp;INDIRECT($B$3&amp;"."&amp;$B$158&amp;".energy[Energy description]"),0)),0)</f>
        <v>0</v>
      </c>
      <c r="L216" s="121">
        <f t="array" aca="1" ref="L216" ca="1">IFERROR(INDEX(INDIRECT($B$3&amp;"."&amp;$B$158&amp;".energy["&amp;This.year&amp;"]"),MATCH($C216&amp;L$5,INDIRECT($B$3&amp;"."&amp;$B$158&amp;".energy[Tech description]")&amp;INDIRECT($B$3&amp;"."&amp;$B$158&amp;".energy[Energy description]"),0)),0)</f>
        <v>0</v>
      </c>
      <c r="M216" s="121">
        <f t="array" aca="1" ref="M216" ca="1">IFERROR(INDEX(INDIRECT($B$3&amp;"."&amp;$B$158&amp;".energy["&amp;This.year&amp;"]"),MATCH($C216&amp;M$5,INDIRECT($B$3&amp;"."&amp;$B$158&amp;".energy[Tech description]")&amp;INDIRECT($B$3&amp;"."&amp;$B$158&amp;".energy[Energy description]"),0)),0)</f>
        <v>0</v>
      </c>
      <c r="N216" s="121">
        <f t="array" aca="1" ref="N216" ca="1">IFERROR(INDEX(INDIRECT($B$3&amp;"."&amp;$B$158&amp;".energy["&amp;This.year&amp;"]"),MATCH($C216&amp;N$5,INDIRECT($B$3&amp;"."&amp;$B$158&amp;".energy[Tech description]")&amp;INDIRECT($B$3&amp;"."&amp;$B$158&amp;".energy[Energy description]"),0)),0)</f>
        <v>0</v>
      </c>
      <c r="O216" s="121">
        <f t="array" aca="1" ref="O216" ca="1">IFERROR(INDEX(INDIRECT($B$3&amp;"."&amp;$B$158&amp;".energy["&amp;This.year&amp;"]"),MATCH($C216&amp;O$5,INDIRECT($B$3&amp;"."&amp;$B$158&amp;".energy[Tech description]")&amp;INDIRECT($B$3&amp;"."&amp;$B$158&amp;".energy[Energy description]"),0)),0)</f>
        <v>0</v>
      </c>
      <c r="P216" s="121">
        <f t="array" aca="1" ref="P216" ca="1">IFERROR(INDEX(INDIRECT($B$3&amp;"."&amp;$B$158&amp;".energy["&amp;This.year&amp;"]"),MATCH($C216&amp;P$5,INDIRECT($B$3&amp;"."&amp;$B$158&amp;".energy[Tech description]")&amp;INDIRECT($B$3&amp;"."&amp;$B$158&amp;".energy[Energy description]"),0)),0)</f>
        <v>0</v>
      </c>
      <c r="Q216" s="121">
        <f t="array" aca="1" ref="Q216" ca="1">IFERROR(INDEX(INDIRECT($B$3&amp;"."&amp;$B$158&amp;".energy["&amp;This.year&amp;"]"),MATCH($C216&amp;Q$5,INDIRECT($B$3&amp;"."&amp;$B$158&amp;".energy[Tech description]")&amp;INDIRECT($B$3&amp;"."&amp;$B$158&amp;".energy[Energy description]"),0)),0)</f>
        <v>0</v>
      </c>
      <c r="R216" s="121">
        <f t="array" aca="1" ref="R216" ca="1">IFERROR(INDEX(INDIRECT($B$3&amp;"."&amp;$B$158&amp;".energy["&amp;This.year&amp;"]"),MATCH($C216&amp;R$5,INDIRECT($B$3&amp;"."&amp;$B$158&amp;".energy[Tech description]")&amp;INDIRECT($B$3&amp;"."&amp;$B$158&amp;".energy[Energy description]"),0)),0)</f>
        <v>0</v>
      </c>
      <c r="S216" s="121">
        <f t="array" aca="1" ref="S216" ca="1">IFERROR(INDEX(INDIRECT($B$3&amp;"."&amp;$B$158&amp;".energy["&amp;This.year&amp;"]"),MATCH($C216&amp;S$5,INDIRECT($B$3&amp;"."&amp;$B$158&amp;".energy[Tech description]")&amp;INDIRECT($B$3&amp;"."&amp;$B$158&amp;".energy[Energy description]"),0)),0)</f>
        <v>0</v>
      </c>
      <c r="T216" s="121">
        <f t="shared" ca="1" si="25"/>
        <v>0.937789568259083</v>
      </c>
      <c r="U216" s="109"/>
      <c r="V216" s="152">
        <f t="array" aca="1" ref="V216" ca="1">IFERROR(INDEX(INDIRECT($B$3&amp;"."&amp;$B$158&amp;".energy["&amp;This.year&amp;"]"),MATCH($C216&amp;V$5,INDIRECT($B$3&amp;"."&amp;$B$158&amp;".energy[Tech description]")&amp;INDIRECT($B$3&amp;"."&amp;$B$158&amp;".energy[Energy description]"),0)),0)</f>
        <v>0</v>
      </c>
      <c r="W216" s="152">
        <f t="array" aca="1" ref="W216" ca="1">IFERROR(INDEX(INDIRECT($B$3&amp;"."&amp;$B$158&amp;".energy["&amp;This.year&amp;"]"),MATCH($C216&amp;W$5,INDIRECT($B$3&amp;"."&amp;$B$158&amp;".energy[Tech description]")&amp;INDIRECT($B$3&amp;"."&amp;$B$158&amp;".energy[Energy description]"),0)),0)</f>
        <v>0</v>
      </c>
      <c r="X216" s="152">
        <f t="array" aca="1" ref="X216" ca="1">IFERROR(INDEX(INDIRECT($B$3&amp;"."&amp;$B$158&amp;".energy["&amp;This.year&amp;"]"),MATCH($C216&amp;X$5,INDIRECT($B$3&amp;"."&amp;$B$158&amp;".energy[Tech description]")&amp;INDIRECT($B$3&amp;"."&amp;$B$158&amp;".energy[Energy description]"),0)),0)</f>
        <v>0</v>
      </c>
      <c r="Y216" s="152">
        <f t="array" aca="1" ref="Y216" ca="1">IFERROR(INDEX(INDIRECT($B$3&amp;"."&amp;$B$158&amp;".energy["&amp;This.year&amp;"]"),MATCH($C216&amp;Y$5,INDIRECT($B$3&amp;"."&amp;$B$158&amp;".energy[Tech description]")&amp;INDIRECT($B$3&amp;"."&amp;$B$158&amp;".energy[Energy description]"),0)),0)</f>
        <v>0</v>
      </c>
      <c r="Z216" s="152">
        <f t="array" aca="1" ref="Z216" ca="1">IFERROR(INDEX(INDIRECT($B$3&amp;"."&amp;$B$158&amp;".energy["&amp;This.year&amp;"]"),MATCH($C216&amp;Z$5,INDIRECT($B$3&amp;"."&amp;$B$158&amp;".energy[Tech description]")&amp;INDIRECT($B$3&amp;"."&amp;$B$158&amp;".energy[Energy description]"),0)),0)</f>
        <v>0</v>
      </c>
      <c r="AA216" s="152">
        <f t="array" aca="1" ref="AA216" ca="1">IFERROR(INDEX(INDIRECT($B$3&amp;"."&amp;$B$158&amp;".energy["&amp;This.year&amp;"]"),MATCH($C216&amp;AA$5,INDIRECT($B$3&amp;"."&amp;$B$158&amp;".energy[Tech description]")&amp;INDIRECT($B$3&amp;"."&amp;$B$158&amp;".energy[Energy description]"),0)),0)</f>
        <v>0</v>
      </c>
      <c r="AB216" s="152">
        <f t="array" aca="1" ref="AB216" ca="1">IFERROR(INDEX(INDIRECT($B$3&amp;"."&amp;$B$158&amp;".energy["&amp;This.year&amp;"]"),MATCH($C216&amp;AB$5,INDIRECT($B$3&amp;"."&amp;$B$158&amp;".energy[Tech description]")&amp;INDIRECT($B$3&amp;"."&amp;$B$158&amp;".energy[Energy description]"),0)),0)</f>
        <v>0</v>
      </c>
      <c r="AC216" s="152">
        <f t="array" aca="1" ref="AC216" ca="1">IFERROR(INDEX(INDIRECT($B$3&amp;"."&amp;$B$158&amp;".energy["&amp;This.year&amp;"]"),MATCH($C216&amp;AC$5,INDIRECT($B$3&amp;"."&amp;$B$158&amp;".energy[Tech description]")&amp;INDIRECT($B$3&amp;"."&amp;$B$158&amp;".energy[Energy description]"),0)),0)</f>
        <v>-0.937789568259083</v>
      </c>
      <c r="AD216" s="152">
        <f t="array" aca="1" ref="AD216" ca="1">IFERROR(INDEX(INDIRECT($B$3&amp;"."&amp;$B$158&amp;".energy["&amp;This.year&amp;"]"),MATCH($C216&amp;AD$5,INDIRECT($B$3&amp;"."&amp;$B$158&amp;".energy[Tech description]")&amp;INDIRECT($B$3&amp;"."&amp;$B$158&amp;".energy[Energy description]"),0)),0)</f>
        <v>0</v>
      </c>
      <c r="AE216" s="152">
        <f t="array" aca="1" ref="AE216" ca="1">IFERROR(INDEX(INDIRECT($B$3&amp;"."&amp;$B$158&amp;".energy["&amp;This.year&amp;"]"),MATCH($C216&amp;AE$5,INDIRECT($B$3&amp;"."&amp;$B$158&amp;".energy[Tech description]")&amp;INDIRECT($B$3&amp;"."&amp;$B$158&amp;".energy[Energy description]"),0)),0)</f>
        <v>0</v>
      </c>
      <c r="AF216" s="152">
        <f t="array" aca="1" ref="AF216" ca="1">IFERROR(INDEX(INDIRECT($B$3&amp;"."&amp;$B$158&amp;".energy["&amp;This.year&amp;"]"),MATCH($C216&amp;AF$5,INDIRECT($B$3&amp;"."&amp;$B$158&amp;".energy[Tech description]")&amp;INDIRECT($B$3&amp;"."&amp;$B$158&amp;".energy[Energy description]"),0)),0)</f>
        <v>0</v>
      </c>
      <c r="AG216" s="152">
        <f t="array" aca="1" ref="AG216" ca="1">IFERROR(INDEX(INDIRECT($B$3&amp;"."&amp;$B$158&amp;".energy["&amp;This.year&amp;"]"),MATCH($C216&amp;AG$5,INDIRECT($B$3&amp;"."&amp;$B$158&amp;".energy[Tech description]")&amp;INDIRECT($B$3&amp;"."&amp;$B$158&amp;".energy[Energy description]"),0)),0)</f>
        <v>0</v>
      </c>
      <c r="AH216" s="152">
        <f t="array" aca="1" ref="AH216" ca="1">IFERROR(INDEX(INDIRECT($B$3&amp;"."&amp;$B$158&amp;".energy["&amp;This.year&amp;"]"),MATCH($C216&amp;AH$5,INDIRECT($B$3&amp;"."&amp;$B$158&amp;".energy[Tech description]")&amp;INDIRECT($B$3&amp;"."&amp;$B$158&amp;".energy[Energy description]"),0)),0)</f>
        <v>0</v>
      </c>
      <c r="AI216" s="152">
        <f t="array" aca="1" ref="AI216" ca="1">IFERROR(INDEX(INDIRECT($B$3&amp;"."&amp;$B$158&amp;".energy["&amp;This.year&amp;"]"),MATCH($C216&amp;AI$5,INDIRECT($B$3&amp;"."&amp;$B$158&amp;".energy[Tech description]")&amp;INDIRECT($B$3&amp;"."&amp;$B$158&amp;".energy[Energy description]"),0)),0)</f>
        <v>0</v>
      </c>
      <c r="AJ216" s="152">
        <f t="array" aca="1" ref="AJ216" ca="1">IFERROR(INDEX(INDIRECT($B$3&amp;"."&amp;$B$158&amp;".energy["&amp;This.year&amp;"]"),MATCH($C216&amp;AJ$5,INDIRECT($B$3&amp;"."&amp;$B$158&amp;".energy[Tech description]")&amp;INDIRECT($B$3&amp;"."&amp;$B$158&amp;".energy[Energy description]"),0)),0)</f>
        <v>0</v>
      </c>
      <c r="AK216" s="152">
        <f t="array" aca="1" ref="AK216" ca="1">IFERROR(INDEX(INDIRECT($B$3&amp;"."&amp;$B$158&amp;".energy["&amp;This.year&amp;"]"),MATCH($C216&amp;AK$5,INDIRECT($B$3&amp;"."&amp;$B$158&amp;".energy[Tech description]")&amp;INDIRECT($B$3&amp;"."&amp;$B$158&amp;".energy[Energy description]"),0)),0)</f>
        <v>0</v>
      </c>
      <c r="AL216" s="152">
        <f t="array" aca="1" ref="AL216" ca="1">IFERROR(INDEX(INDIRECT($B$3&amp;"."&amp;$B$158&amp;".energy["&amp;This.year&amp;"]"),MATCH($C216&amp;AL$5,INDIRECT($B$3&amp;"."&amp;$B$158&amp;".energy[Tech description]")&amp;INDIRECT($B$3&amp;"."&amp;$B$158&amp;".energy[Energy description]"),0)),0)</f>
        <v>0</v>
      </c>
      <c r="AM216" s="152">
        <f t="array" aca="1" ref="AM216" ca="1">IFERROR(INDEX(INDIRECT($B$3&amp;"."&amp;$B$158&amp;".energy["&amp;This.year&amp;"]"),MATCH($C216&amp;AM$5,INDIRECT($B$3&amp;"."&amp;$B$158&amp;".energy[Tech description]")&amp;INDIRECT($B$3&amp;"."&amp;$B$158&amp;".energy[Energy description]"),0)),0)</f>
        <v>0</v>
      </c>
      <c r="AN216" s="152">
        <f t="array" aca="1" ref="AN216" ca="1">IFERROR(INDEX(INDIRECT($B$3&amp;"."&amp;$B$158&amp;".energy["&amp;This.year&amp;"]"),MATCH($C216&amp;AN$5,INDIRECT($B$3&amp;"."&amp;$B$158&amp;".energy[Tech description]")&amp;INDIRECT($B$3&amp;"."&amp;$B$158&amp;".energy[Energy description]"),0)),0)</f>
        <v>0</v>
      </c>
      <c r="AO216" s="152">
        <f t="shared" ca="1" si="26"/>
        <v>-0.937789568259083</v>
      </c>
      <c r="AP216" s="108"/>
      <c r="AQ216" s="21">
        <f t="array" aca="1" ref="AQ216" ca="1">IFERROR(INDEX(INDIRECT($B$3&amp;"."&amp;$B$158&amp;".energy["&amp;This.year&amp;"]"),MATCH($C216&amp;AQ$5,INDIRECT($B$3&amp;"."&amp;$B$158&amp;".energy[Tech description]")&amp;INDIRECT($B$3&amp;"."&amp;$B$158&amp;".energy[Energy description]"),0)),0)</f>
        <v>0</v>
      </c>
      <c r="AR216" s="21">
        <f t="array" aca="1" ref="AR216" ca="1">IFERROR(INDEX(INDIRECT($B$3&amp;"."&amp;$B$158&amp;".energy["&amp;This.year&amp;"]"),MATCH($C216&amp;AR$5,INDIRECT($B$3&amp;"."&amp;$B$158&amp;".energy[Tech description]")&amp;INDIRECT($B$3&amp;"."&amp;$B$158&amp;".energy[Energy description]"),0)),0)</f>
        <v>0</v>
      </c>
      <c r="AS216" s="21">
        <f t="array" aca="1" ref="AS216" ca="1">IFERROR(INDEX(INDIRECT($B$3&amp;"."&amp;$B$158&amp;".energy["&amp;This.year&amp;"]"),MATCH($C216&amp;AS$5,INDIRECT($B$3&amp;"."&amp;$B$158&amp;".energy[Tech description]")&amp;INDIRECT($B$3&amp;"."&amp;$B$158&amp;".energy[Energy description]"),0)),0)</f>
        <v>0</v>
      </c>
      <c r="AT216" s="21">
        <f t="array" aca="1" ref="AT216" ca="1">IFERROR(INDEX(INDIRECT($B$3&amp;"."&amp;$B$158&amp;".energy["&amp;This.year&amp;"]"),MATCH($C216&amp;AT$5,INDIRECT($B$3&amp;"."&amp;$B$158&amp;".energy[Tech description]")&amp;INDIRECT($B$3&amp;"."&amp;$B$158&amp;".energy[Energy description]"),0)),0)</f>
        <v>0</v>
      </c>
      <c r="AU216" s="21">
        <f t="array" aca="1" ref="AU216" ca="1">IFERROR(INDEX(INDIRECT($B$3&amp;"."&amp;$B$158&amp;".energy["&amp;This.year&amp;"]"),MATCH($C216&amp;AU$5,INDIRECT($B$3&amp;"."&amp;$B$158&amp;".energy[Tech description]")&amp;INDIRECT($B$3&amp;"."&amp;$B$158&amp;".energy[Energy description]"),0)),0)</f>
        <v>0</v>
      </c>
      <c r="AV216" s="21">
        <f t="array" aca="1" ref="AV216" ca="1">IFERROR(INDEX(INDIRECT($B$3&amp;"."&amp;$B$158&amp;".energy["&amp;This.year&amp;"]"),MATCH($C216&amp;AV$5,INDIRECT($B$3&amp;"."&amp;$B$158&amp;".energy[Tech description]")&amp;INDIRECT($B$3&amp;"."&amp;$B$158&amp;".energy[Energy description]"),0)),0)</f>
        <v>0</v>
      </c>
      <c r="AW216" s="21">
        <f t="array" aca="1" ref="AW216" ca="1">IFERROR(INDEX(INDIRECT($B$3&amp;"."&amp;$B$158&amp;".energy["&amp;This.year&amp;"]"),MATCH($C216&amp;AW$5,INDIRECT($B$3&amp;"."&amp;$B$158&amp;".energy[Tech description]")&amp;INDIRECT($B$3&amp;"."&amp;$B$158&amp;".energy[Energy description]"),0)),0)</f>
        <v>0</v>
      </c>
      <c r="AX216" s="21">
        <f t="array" aca="1" ref="AX216" ca="1">IFERROR(INDEX(INDIRECT($B$3&amp;"."&amp;$B$158&amp;".energy["&amp;This.year&amp;"]"),MATCH($C216&amp;AX$5,INDIRECT($B$3&amp;"."&amp;$B$158&amp;".energy[Tech description]")&amp;INDIRECT($B$3&amp;"."&amp;$B$158&amp;".energy[Energy description]"),0)),0)</f>
        <v>0</v>
      </c>
      <c r="AY216" s="21">
        <f t="array" aca="1" ref="AY216" ca="1">IFERROR(INDEX(INDIRECT($B$3&amp;"."&amp;$B$158&amp;".energy["&amp;This.year&amp;"]"),MATCH($C216&amp;AY$5,INDIRECT($B$3&amp;"."&amp;$B$158&amp;".energy[Tech description]")&amp;INDIRECT($B$3&amp;"."&amp;$B$158&amp;".energy[Energy description]"),0)),0)</f>
        <v>0</v>
      </c>
      <c r="AZ216" s="21">
        <f t="array" aca="1" ref="AZ216" ca="1">IFERROR(INDEX(INDIRECT($B$3&amp;"."&amp;$B$158&amp;".energy["&amp;This.year&amp;"]"),MATCH($C216&amp;AZ$5,INDIRECT($B$3&amp;"."&amp;$B$158&amp;".energy[Tech description]")&amp;INDIRECT($B$3&amp;"."&amp;$B$158&amp;".energy[Energy description]"),0)),0)</f>
        <v>0</v>
      </c>
      <c r="BA216" s="21">
        <f t="array" aca="1" ref="BA216" ca="1">IFERROR(INDEX(INDIRECT($B$3&amp;"."&amp;$B$158&amp;".energy["&amp;This.year&amp;"]"),MATCH($C216&amp;BA$5,INDIRECT($B$3&amp;"."&amp;$B$158&amp;".energy[Tech description]")&amp;INDIRECT($B$3&amp;"."&amp;$B$158&amp;".energy[Energy description]"),0)),0)</f>
        <v>0</v>
      </c>
      <c r="BB216" s="21">
        <f t="array" aca="1" ref="BB216" ca="1">IFERROR(INDEX(INDIRECT($B$3&amp;"."&amp;$B$158&amp;".energy["&amp;This.year&amp;"]"),MATCH($C216&amp;BB$5,INDIRECT($B$3&amp;"."&amp;$B$158&amp;".energy[Tech description]")&amp;INDIRECT($B$3&amp;"."&amp;$B$158&amp;".energy[Energy description]"),0)),0)</f>
        <v>0</v>
      </c>
      <c r="BC216" s="21">
        <f t="array" aca="1" ref="BC216" ca="1">IFERROR(INDEX(INDIRECT($B$3&amp;"."&amp;$B$158&amp;".energy["&amp;This.year&amp;"]"),MATCH($C216&amp;BC$5,INDIRECT($B$3&amp;"."&amp;$B$158&amp;".energy[Tech description]")&amp;INDIRECT($B$3&amp;"."&amp;$B$158&amp;".energy[Energy description]"),0)),0)</f>
        <v>0</v>
      </c>
      <c r="BD216" s="21">
        <f t="shared" ca="1" si="27"/>
        <v>0</v>
      </c>
      <c r="BE216" s="108"/>
      <c r="BF216" s="49">
        <f t="array" aca="1" ref="BF216" ca="1">IFERROR(INDEX(INDIRECT($B$3&amp;"."&amp;$B$158&amp;".energy["&amp;This.year&amp;"]"),MATCH($C216&amp;BF$5,INDIRECT($B$3&amp;"."&amp;$B$158&amp;".energy[Tech description]")&amp;INDIRECT($B$3&amp;"."&amp;$B$158&amp;".energy[Energy description]"),0)),0)</f>
        <v>0</v>
      </c>
      <c r="BG216" s="49">
        <f t="array" aca="1" ref="BG216" ca="1">IFERROR(INDEX(INDIRECT($B$3&amp;"."&amp;$B$158&amp;".energy["&amp;This.year&amp;"]"),MATCH($C216&amp;BG$5,INDIRECT($B$3&amp;"."&amp;$B$158&amp;".energy[Tech description]")&amp;INDIRECT($B$3&amp;"."&amp;$B$158&amp;".energy[Energy description]"),0)),0)</f>
        <v>0</v>
      </c>
      <c r="BH216" s="49">
        <f t="shared" ca="1" si="28"/>
        <v>0</v>
      </c>
      <c r="BI216" s="219">
        <f t="shared" ca="1" si="9"/>
        <v>0</v>
      </c>
      <c r="BJ216" s="108"/>
    </row>
    <row r="217" spans="1:62" s="54" customFormat="1">
      <c r="A217" s="133"/>
      <c r="B217" s="176" t="s">
        <v>1837</v>
      </c>
      <c r="C217" s="114" t="str">
        <f>INDEX(Regional.Technologies[Description],MATCH($B$3&amp;"."&amp;B217,Regional.Technologies[Code],0))</f>
        <v>Global Solid Hydrocarbons use in the Chemicals: Methanol technology</v>
      </c>
      <c r="E217" s="121">
        <f t="array" aca="1" ref="E217" ca="1">IFERROR(INDEX(INDIRECT($B$3&amp;"."&amp;$B$158&amp;".energy["&amp;This.year&amp;"]"),MATCH($C217&amp;E$5,INDIRECT($B$3&amp;"."&amp;$B$158&amp;".energy[Tech description]")&amp;INDIRECT($B$3&amp;"."&amp;$B$158&amp;".energy[Energy description]"),0)),0)</f>
        <v>0</v>
      </c>
      <c r="F217" s="121">
        <f t="array" aca="1" ref="F217" ca="1">IFERROR(INDEX(INDIRECT($B$3&amp;"."&amp;$B$158&amp;".energy["&amp;This.year&amp;"]"),MATCH($C217&amp;F$5,INDIRECT($B$3&amp;"."&amp;$B$158&amp;".energy[Tech description]")&amp;INDIRECT($B$3&amp;"."&amp;$B$158&amp;".energy[Energy description]"),0)),0)</f>
        <v>0</v>
      </c>
      <c r="G217" s="121">
        <f t="array" aca="1" ref="G217" ca="1">IFERROR(INDEX(INDIRECT($B$3&amp;"."&amp;$B$158&amp;".energy["&amp;This.year&amp;"]"),MATCH($C217&amp;G$5,INDIRECT($B$3&amp;"."&amp;$B$158&amp;".energy[Tech description]")&amp;INDIRECT($B$3&amp;"."&amp;$B$158&amp;".energy[Energy description]"),0)),0)</f>
        <v>0</v>
      </c>
      <c r="H217" s="121">
        <f t="array" aca="1" ref="H217" ca="1">IFERROR(INDEX(INDIRECT($B$3&amp;"."&amp;$B$158&amp;".energy["&amp;This.year&amp;"]"),MATCH($C217&amp;H$5,INDIRECT($B$3&amp;"."&amp;$B$158&amp;".energy[Tech description]")&amp;INDIRECT($B$3&amp;"."&amp;$B$158&amp;".energy[Energy description]"),0)),0)</f>
        <v>0</v>
      </c>
      <c r="I217" s="121">
        <f t="array" aca="1" ref="I217" ca="1">IFERROR(INDEX(INDIRECT($B$3&amp;"."&amp;$B$158&amp;".energy["&amp;This.year&amp;"]"),MATCH($C217&amp;I$5,INDIRECT($B$3&amp;"."&amp;$B$158&amp;".energy[Tech description]")&amp;INDIRECT($B$3&amp;"."&amp;$B$158&amp;".energy[Energy description]"),0)),0)</f>
        <v>0</v>
      </c>
      <c r="J217" s="121">
        <f t="array" aca="1" ref="J217" ca="1">IFERROR(INDEX(INDIRECT($B$3&amp;"."&amp;$B$158&amp;".energy["&amp;This.year&amp;"]"),MATCH($C217&amp;J$5,INDIRECT($B$3&amp;"."&amp;$B$158&amp;".energy[Tech description]")&amp;INDIRECT($B$3&amp;"."&amp;$B$158&amp;".energy[Energy description]"),0)),0)</f>
        <v>0</v>
      </c>
      <c r="K217" s="121">
        <f t="array" aca="1" ref="K217" ca="1">IFERROR(INDEX(INDIRECT($B$3&amp;"."&amp;$B$158&amp;".energy["&amp;This.year&amp;"]"),MATCH($C217&amp;K$5,INDIRECT($B$3&amp;"."&amp;$B$158&amp;".energy[Tech description]")&amp;INDIRECT($B$3&amp;"."&amp;$B$158&amp;".energy[Energy description]"),0)),0)</f>
        <v>0</v>
      </c>
      <c r="L217" s="121">
        <f t="array" aca="1" ref="L217" ca="1">IFERROR(INDEX(INDIRECT($B$3&amp;"."&amp;$B$158&amp;".energy["&amp;This.year&amp;"]"),MATCH($C217&amp;L$5,INDIRECT($B$3&amp;"."&amp;$B$158&amp;".energy[Tech description]")&amp;INDIRECT($B$3&amp;"."&amp;$B$158&amp;".energy[Energy description]"),0)),0)</f>
        <v>0</v>
      </c>
      <c r="M217" s="121">
        <f t="array" aca="1" ref="M217" ca="1">IFERROR(INDEX(INDIRECT($B$3&amp;"."&amp;$B$158&amp;".energy["&amp;This.year&amp;"]"),MATCH($C217&amp;M$5,INDIRECT($B$3&amp;"."&amp;$B$158&amp;".energy[Tech description]")&amp;INDIRECT($B$3&amp;"."&amp;$B$158&amp;".energy[Energy description]"),0)),0)</f>
        <v>0</v>
      </c>
      <c r="N217" s="121">
        <f t="array" aca="1" ref="N217" ca="1">IFERROR(INDEX(INDIRECT($B$3&amp;"."&amp;$B$158&amp;".energy["&amp;This.year&amp;"]"),MATCH($C217&amp;N$5,INDIRECT($B$3&amp;"."&amp;$B$158&amp;".energy[Tech description]")&amp;INDIRECT($B$3&amp;"."&amp;$B$158&amp;".energy[Energy description]"),0)),0)</f>
        <v>0</v>
      </c>
      <c r="O217" s="121">
        <f t="array" aca="1" ref="O217" ca="1">IFERROR(INDEX(INDIRECT($B$3&amp;"."&amp;$B$158&amp;".energy["&amp;This.year&amp;"]"),MATCH($C217&amp;O$5,INDIRECT($B$3&amp;"."&amp;$B$158&amp;".energy[Tech description]")&amp;INDIRECT($B$3&amp;"."&amp;$B$158&amp;".energy[Energy description]"),0)),0)</f>
        <v>0</v>
      </c>
      <c r="P217" s="121">
        <f t="array" aca="1" ref="P217" ca="1">IFERROR(INDEX(INDIRECT($B$3&amp;"."&amp;$B$158&amp;".energy["&amp;This.year&amp;"]"),MATCH($C217&amp;P$5,INDIRECT($B$3&amp;"."&amp;$B$158&amp;".energy[Tech description]")&amp;INDIRECT($B$3&amp;"."&amp;$B$158&amp;".energy[Energy description]"),0)),0)</f>
        <v>0</v>
      </c>
      <c r="Q217" s="121">
        <f t="array" aca="1" ref="Q217" ca="1">IFERROR(INDEX(INDIRECT($B$3&amp;"."&amp;$B$158&amp;".energy["&amp;This.year&amp;"]"),MATCH($C217&amp;Q$5,INDIRECT($B$3&amp;"."&amp;$B$158&amp;".energy[Tech description]")&amp;INDIRECT($B$3&amp;"."&amp;$B$158&amp;".energy[Energy description]"),0)),0)</f>
        <v>0</v>
      </c>
      <c r="R217" s="121">
        <f t="array" aca="1" ref="R217" ca="1">IFERROR(INDEX(INDIRECT($B$3&amp;"."&amp;$B$158&amp;".energy["&amp;This.year&amp;"]"),MATCH($C217&amp;R$5,INDIRECT($B$3&amp;"."&amp;$B$158&amp;".energy[Tech description]")&amp;INDIRECT($B$3&amp;"."&amp;$B$158&amp;".energy[Energy description]"),0)),0)</f>
        <v>0</v>
      </c>
      <c r="S217" s="121">
        <f t="array" aca="1" ref="S217" ca="1">IFERROR(INDEX(INDIRECT($B$3&amp;"."&amp;$B$158&amp;".energy["&amp;This.year&amp;"]"),MATCH($C217&amp;S$5,INDIRECT($B$3&amp;"."&amp;$B$158&amp;".energy[Tech description]")&amp;INDIRECT($B$3&amp;"."&amp;$B$158&amp;".energy[Energy description]"),0)),0)</f>
        <v>0</v>
      </c>
      <c r="T217" s="121">
        <f t="shared" ca="1" si="25"/>
        <v>0</v>
      </c>
      <c r="U217" s="109"/>
      <c r="V217" s="152">
        <f t="array" aca="1" ref="V217" ca="1">IFERROR(INDEX(INDIRECT($B$3&amp;"."&amp;$B$158&amp;".energy["&amp;This.year&amp;"]"),MATCH($C217&amp;V$5,INDIRECT($B$3&amp;"."&amp;$B$158&amp;".energy[Tech description]")&amp;INDIRECT($B$3&amp;"."&amp;$B$158&amp;".energy[Energy description]"),0)),0)</f>
        <v>0</v>
      </c>
      <c r="W217" s="152">
        <f t="array" aca="1" ref="W217" ca="1">IFERROR(INDEX(INDIRECT($B$3&amp;"."&amp;$B$158&amp;".energy["&amp;This.year&amp;"]"),MATCH($C217&amp;W$5,INDIRECT($B$3&amp;"."&amp;$B$158&amp;".energy[Tech description]")&amp;INDIRECT($B$3&amp;"."&amp;$B$158&amp;".energy[Energy description]"),0)),0)</f>
        <v>0</v>
      </c>
      <c r="X217" s="152">
        <f t="array" aca="1" ref="X217" ca="1">IFERROR(INDEX(INDIRECT($B$3&amp;"."&amp;$B$158&amp;".energy["&amp;This.year&amp;"]"),MATCH($C217&amp;X$5,INDIRECT($B$3&amp;"."&amp;$B$158&amp;".energy[Tech description]")&amp;INDIRECT($B$3&amp;"."&amp;$B$158&amp;".energy[Energy description]"),0)),0)</f>
        <v>0</v>
      </c>
      <c r="Y217" s="152">
        <f t="array" aca="1" ref="Y217" ca="1">IFERROR(INDEX(INDIRECT($B$3&amp;"."&amp;$B$158&amp;".energy["&amp;This.year&amp;"]"),MATCH($C217&amp;Y$5,INDIRECT($B$3&amp;"."&amp;$B$158&amp;".energy[Tech description]")&amp;INDIRECT($B$3&amp;"."&amp;$B$158&amp;".energy[Energy description]"),0)),0)</f>
        <v>0</v>
      </c>
      <c r="Z217" s="152">
        <f t="array" aca="1" ref="Z217" ca="1">IFERROR(INDEX(INDIRECT($B$3&amp;"."&amp;$B$158&amp;".energy["&amp;This.year&amp;"]"),MATCH($C217&amp;Z$5,INDIRECT($B$3&amp;"."&amp;$B$158&amp;".energy[Tech description]")&amp;INDIRECT($B$3&amp;"."&amp;$B$158&amp;".energy[Energy description]"),0)),0)</f>
        <v>0</v>
      </c>
      <c r="AA217" s="152">
        <f t="array" aca="1" ref="AA217" ca="1">IFERROR(INDEX(INDIRECT($B$3&amp;"."&amp;$B$158&amp;".energy["&amp;This.year&amp;"]"),MATCH($C217&amp;AA$5,INDIRECT($B$3&amp;"."&amp;$B$158&amp;".energy[Tech description]")&amp;INDIRECT($B$3&amp;"."&amp;$B$158&amp;".energy[Energy description]"),0)),0)</f>
        <v>0</v>
      </c>
      <c r="AB217" s="152">
        <f t="array" aca="1" ref="AB217" ca="1">IFERROR(INDEX(INDIRECT($B$3&amp;"."&amp;$B$158&amp;".energy["&amp;This.year&amp;"]"),MATCH($C217&amp;AB$5,INDIRECT($B$3&amp;"."&amp;$B$158&amp;".energy[Tech description]")&amp;INDIRECT($B$3&amp;"."&amp;$B$158&amp;".energy[Energy description]"),0)),0)</f>
        <v>0</v>
      </c>
      <c r="AC217" s="152">
        <f t="array" aca="1" ref="AC217" ca="1">IFERROR(INDEX(INDIRECT($B$3&amp;"."&amp;$B$158&amp;".energy["&amp;This.year&amp;"]"),MATCH($C217&amp;AC$5,INDIRECT($B$3&amp;"."&amp;$B$158&amp;".energy[Tech description]")&amp;INDIRECT($B$3&amp;"."&amp;$B$158&amp;".energy[Energy description]"),0)),0)</f>
        <v>0</v>
      </c>
      <c r="AD217" s="152">
        <f t="array" aca="1" ref="AD217" ca="1">IFERROR(INDEX(INDIRECT($B$3&amp;"."&amp;$B$158&amp;".energy["&amp;This.year&amp;"]"),MATCH($C217&amp;AD$5,INDIRECT($B$3&amp;"."&amp;$B$158&amp;".energy[Tech description]")&amp;INDIRECT($B$3&amp;"."&amp;$B$158&amp;".energy[Energy description]"),0)),0)</f>
        <v>0</v>
      </c>
      <c r="AE217" s="152">
        <f t="array" aca="1" ref="AE217" ca="1">IFERROR(INDEX(INDIRECT($B$3&amp;"."&amp;$B$158&amp;".energy["&amp;This.year&amp;"]"),MATCH($C217&amp;AE$5,INDIRECT($B$3&amp;"."&amp;$B$158&amp;".energy[Tech description]")&amp;INDIRECT($B$3&amp;"."&amp;$B$158&amp;".energy[Energy description]"),0)),0)</f>
        <v>0</v>
      </c>
      <c r="AF217" s="152">
        <f t="array" aca="1" ref="AF217" ca="1">IFERROR(INDEX(INDIRECT($B$3&amp;"."&amp;$B$158&amp;".energy["&amp;This.year&amp;"]"),MATCH($C217&amp;AF$5,INDIRECT($B$3&amp;"."&amp;$B$158&amp;".energy[Tech description]")&amp;INDIRECT($B$3&amp;"."&amp;$B$158&amp;".energy[Energy description]"),0)),0)</f>
        <v>0</v>
      </c>
      <c r="AG217" s="152">
        <f t="array" aca="1" ref="AG217" ca="1">IFERROR(INDEX(INDIRECT($B$3&amp;"."&amp;$B$158&amp;".energy["&amp;This.year&amp;"]"),MATCH($C217&amp;AG$5,INDIRECT($B$3&amp;"."&amp;$B$158&amp;".energy[Tech description]")&amp;INDIRECT($B$3&amp;"."&amp;$B$158&amp;".energy[Energy description]"),0)),0)</f>
        <v>0</v>
      </c>
      <c r="AH217" s="152">
        <f t="array" aca="1" ref="AH217" ca="1">IFERROR(INDEX(INDIRECT($B$3&amp;"."&amp;$B$158&amp;".energy["&amp;This.year&amp;"]"),MATCH($C217&amp;AH$5,INDIRECT($B$3&amp;"."&amp;$B$158&amp;".energy[Tech description]")&amp;INDIRECT($B$3&amp;"."&amp;$B$158&amp;".energy[Energy description]"),0)),0)</f>
        <v>0</v>
      </c>
      <c r="AI217" s="152">
        <f t="array" aca="1" ref="AI217" ca="1">IFERROR(INDEX(INDIRECT($B$3&amp;"."&amp;$B$158&amp;".energy["&amp;This.year&amp;"]"),MATCH($C217&amp;AI$5,INDIRECT($B$3&amp;"."&amp;$B$158&amp;".energy[Tech description]")&amp;INDIRECT($B$3&amp;"."&amp;$B$158&amp;".energy[Energy description]"),0)),0)</f>
        <v>0</v>
      </c>
      <c r="AJ217" s="152">
        <f t="array" aca="1" ref="AJ217" ca="1">IFERROR(INDEX(INDIRECT($B$3&amp;"."&amp;$B$158&amp;".energy["&amp;This.year&amp;"]"),MATCH($C217&amp;AJ$5,INDIRECT($B$3&amp;"."&amp;$B$158&amp;".energy[Tech description]")&amp;INDIRECT($B$3&amp;"."&amp;$B$158&amp;".energy[Energy description]"),0)),0)</f>
        <v>0</v>
      </c>
      <c r="AK217" s="152">
        <f t="array" aca="1" ref="AK217" ca="1">IFERROR(INDEX(INDIRECT($B$3&amp;"."&amp;$B$158&amp;".energy["&amp;This.year&amp;"]"),MATCH($C217&amp;AK$5,INDIRECT($B$3&amp;"."&amp;$B$158&amp;".energy[Tech description]")&amp;INDIRECT($B$3&amp;"."&amp;$B$158&amp;".energy[Energy description]"),0)),0)</f>
        <v>0</v>
      </c>
      <c r="AL217" s="152">
        <f t="array" aca="1" ref="AL217" ca="1">IFERROR(INDEX(INDIRECT($B$3&amp;"."&amp;$B$158&amp;".energy["&amp;This.year&amp;"]"),MATCH($C217&amp;AL$5,INDIRECT($B$3&amp;"."&amp;$B$158&amp;".energy[Tech description]")&amp;INDIRECT($B$3&amp;"."&amp;$B$158&amp;".energy[Energy description]"),0)),0)</f>
        <v>0</v>
      </c>
      <c r="AM217" s="152">
        <f t="array" aca="1" ref="AM217" ca="1">IFERROR(INDEX(INDIRECT($B$3&amp;"."&amp;$B$158&amp;".energy["&amp;This.year&amp;"]"),MATCH($C217&amp;AM$5,INDIRECT($B$3&amp;"."&amp;$B$158&amp;".energy[Tech description]")&amp;INDIRECT($B$3&amp;"."&amp;$B$158&amp;".energy[Energy description]"),0)),0)</f>
        <v>0</v>
      </c>
      <c r="AN217" s="152">
        <f t="array" aca="1" ref="AN217" ca="1">IFERROR(INDEX(INDIRECT($B$3&amp;"."&amp;$B$158&amp;".energy["&amp;This.year&amp;"]"),MATCH($C217&amp;AN$5,INDIRECT($B$3&amp;"."&amp;$B$158&amp;".energy[Tech description]")&amp;INDIRECT($B$3&amp;"."&amp;$B$158&amp;".energy[Energy description]"),0)),0)</f>
        <v>0</v>
      </c>
      <c r="AO217" s="152">
        <f t="shared" ca="1" si="26"/>
        <v>0</v>
      </c>
      <c r="AP217" s="108"/>
      <c r="AQ217" s="21">
        <f t="array" aca="1" ref="AQ217" ca="1">IFERROR(INDEX(INDIRECT($B$3&amp;"."&amp;$B$158&amp;".energy["&amp;This.year&amp;"]"),MATCH($C217&amp;AQ$5,INDIRECT($B$3&amp;"."&amp;$B$158&amp;".energy[Tech description]")&amp;INDIRECT($B$3&amp;"."&amp;$B$158&amp;".energy[Energy description]"),0)),0)</f>
        <v>0</v>
      </c>
      <c r="AR217" s="21">
        <f t="array" aca="1" ref="AR217" ca="1">IFERROR(INDEX(INDIRECT($B$3&amp;"."&amp;$B$158&amp;".energy["&amp;This.year&amp;"]"),MATCH($C217&amp;AR$5,INDIRECT($B$3&amp;"."&amp;$B$158&amp;".energy[Tech description]")&amp;INDIRECT($B$3&amp;"."&amp;$B$158&amp;".energy[Energy description]"),0)),0)</f>
        <v>0</v>
      </c>
      <c r="AS217" s="21">
        <f t="array" aca="1" ref="AS217" ca="1">IFERROR(INDEX(INDIRECT($B$3&amp;"."&amp;$B$158&amp;".energy["&amp;This.year&amp;"]"),MATCH($C217&amp;AS$5,INDIRECT($B$3&amp;"."&amp;$B$158&amp;".energy[Tech description]")&amp;INDIRECT($B$3&amp;"."&amp;$B$158&amp;".energy[Energy description]"),0)),0)</f>
        <v>0</v>
      </c>
      <c r="AT217" s="21">
        <f t="array" aca="1" ref="AT217" ca="1">IFERROR(INDEX(INDIRECT($B$3&amp;"."&amp;$B$158&amp;".energy["&amp;This.year&amp;"]"),MATCH($C217&amp;AT$5,INDIRECT($B$3&amp;"."&amp;$B$158&amp;".energy[Tech description]")&amp;INDIRECT($B$3&amp;"."&amp;$B$158&amp;".energy[Energy description]"),0)),0)</f>
        <v>0</v>
      </c>
      <c r="AU217" s="21">
        <f t="array" aca="1" ref="AU217" ca="1">IFERROR(INDEX(INDIRECT($B$3&amp;"."&amp;$B$158&amp;".energy["&amp;This.year&amp;"]"),MATCH($C217&amp;AU$5,INDIRECT($B$3&amp;"."&amp;$B$158&amp;".energy[Tech description]")&amp;INDIRECT($B$3&amp;"."&amp;$B$158&amp;".energy[Energy description]"),0)),0)</f>
        <v>0</v>
      </c>
      <c r="AV217" s="21">
        <f t="array" aca="1" ref="AV217" ca="1">IFERROR(INDEX(INDIRECT($B$3&amp;"."&amp;$B$158&amp;".energy["&amp;This.year&amp;"]"),MATCH($C217&amp;AV$5,INDIRECT($B$3&amp;"."&amp;$B$158&amp;".energy[Tech description]")&amp;INDIRECT($B$3&amp;"."&amp;$B$158&amp;".energy[Energy description]"),0)),0)</f>
        <v>0</v>
      </c>
      <c r="AW217" s="21">
        <f t="array" aca="1" ref="AW217" ca="1">IFERROR(INDEX(INDIRECT($B$3&amp;"."&amp;$B$158&amp;".energy["&amp;This.year&amp;"]"),MATCH($C217&amp;AW$5,INDIRECT($B$3&amp;"."&amp;$B$158&amp;".energy[Tech description]")&amp;INDIRECT($B$3&amp;"."&amp;$B$158&amp;".energy[Energy description]"),0)),0)</f>
        <v>0</v>
      </c>
      <c r="AX217" s="21">
        <f t="array" aca="1" ref="AX217" ca="1">IFERROR(INDEX(INDIRECT($B$3&amp;"."&amp;$B$158&amp;".energy["&amp;This.year&amp;"]"),MATCH($C217&amp;AX$5,INDIRECT($B$3&amp;"."&amp;$B$158&amp;".energy[Tech description]")&amp;INDIRECT($B$3&amp;"."&amp;$B$158&amp;".energy[Energy description]"),0)),0)</f>
        <v>0</v>
      </c>
      <c r="AY217" s="21">
        <f t="array" aca="1" ref="AY217" ca="1">IFERROR(INDEX(INDIRECT($B$3&amp;"."&amp;$B$158&amp;".energy["&amp;This.year&amp;"]"),MATCH($C217&amp;AY$5,INDIRECT($B$3&amp;"."&amp;$B$158&amp;".energy[Tech description]")&amp;INDIRECT($B$3&amp;"."&amp;$B$158&amp;".energy[Energy description]"),0)),0)</f>
        <v>0</v>
      </c>
      <c r="AZ217" s="21">
        <f t="array" aca="1" ref="AZ217" ca="1">IFERROR(INDEX(INDIRECT($B$3&amp;"."&amp;$B$158&amp;".energy["&amp;This.year&amp;"]"),MATCH($C217&amp;AZ$5,INDIRECT($B$3&amp;"."&amp;$B$158&amp;".energy[Tech description]")&amp;INDIRECT($B$3&amp;"."&amp;$B$158&amp;".energy[Energy description]"),0)),0)</f>
        <v>0</v>
      </c>
      <c r="BA217" s="21">
        <f t="array" aca="1" ref="BA217" ca="1">IFERROR(INDEX(INDIRECT($B$3&amp;"."&amp;$B$158&amp;".energy["&amp;This.year&amp;"]"),MATCH($C217&amp;BA$5,INDIRECT($B$3&amp;"."&amp;$B$158&amp;".energy[Tech description]")&amp;INDIRECT($B$3&amp;"."&amp;$B$158&amp;".energy[Energy description]"),0)),0)</f>
        <v>0</v>
      </c>
      <c r="BB217" s="21">
        <f t="array" aca="1" ref="BB217" ca="1">IFERROR(INDEX(INDIRECT($B$3&amp;"."&amp;$B$158&amp;".energy["&amp;This.year&amp;"]"),MATCH($C217&amp;BB$5,INDIRECT($B$3&amp;"."&amp;$B$158&amp;".energy[Tech description]")&amp;INDIRECT($B$3&amp;"."&amp;$B$158&amp;".energy[Energy description]"),0)),0)</f>
        <v>0</v>
      </c>
      <c r="BC217" s="21">
        <f t="array" aca="1" ref="BC217" ca="1">IFERROR(INDEX(INDIRECT($B$3&amp;"."&amp;$B$158&amp;".energy["&amp;This.year&amp;"]"),MATCH($C217&amp;BC$5,INDIRECT($B$3&amp;"."&amp;$B$158&amp;".energy[Tech description]")&amp;INDIRECT($B$3&amp;"."&amp;$B$158&amp;".energy[Energy description]"),0)),0)</f>
        <v>0</v>
      </c>
      <c r="BD217" s="21">
        <f t="shared" ca="1" si="27"/>
        <v>0</v>
      </c>
      <c r="BE217" s="108"/>
      <c r="BF217" s="49">
        <f t="array" aca="1" ref="BF217" ca="1">IFERROR(INDEX(INDIRECT($B$3&amp;"."&amp;$B$158&amp;".energy["&amp;This.year&amp;"]"),MATCH($C217&amp;BF$5,INDIRECT($B$3&amp;"."&amp;$B$158&amp;".energy[Tech description]")&amp;INDIRECT($B$3&amp;"."&amp;$B$158&amp;".energy[Energy description]"),0)),0)</f>
        <v>0</v>
      </c>
      <c r="BG217" s="49">
        <f t="array" aca="1" ref="BG217" ca="1">IFERROR(INDEX(INDIRECT($B$3&amp;"."&amp;$B$158&amp;".energy["&amp;This.year&amp;"]"),MATCH($C217&amp;BG$5,INDIRECT($B$3&amp;"."&amp;$B$158&amp;".energy[Tech description]")&amp;INDIRECT($B$3&amp;"."&amp;$B$158&amp;".energy[Energy description]"),0)),0)</f>
        <v>0</v>
      </c>
      <c r="BH217" s="49">
        <f t="shared" ca="1" si="28"/>
        <v>0</v>
      </c>
      <c r="BI217" s="219">
        <f t="shared" ca="1" si="9"/>
        <v>0</v>
      </c>
      <c r="BJ217" s="108"/>
    </row>
    <row r="218" spans="1:62" s="54" customFormat="1">
      <c r="A218" s="133"/>
      <c r="B218" s="176" t="s">
        <v>1838</v>
      </c>
      <c r="C218" s="114" t="str">
        <f>INDEX(Regional.Technologies[Description],MATCH($B$3&amp;"."&amp;B218,Regional.Technologies[Code],0))</f>
        <v>Global Heat use in the Chemicals: Methanol technology</v>
      </c>
      <c r="E218" s="121">
        <f t="array" aca="1" ref="E218" ca="1">IFERROR(INDEX(INDIRECT($B$3&amp;"."&amp;$B$158&amp;".energy["&amp;This.year&amp;"]"),MATCH($C218&amp;E$5,INDIRECT($B$3&amp;"."&amp;$B$158&amp;".energy[Tech description]")&amp;INDIRECT($B$3&amp;"."&amp;$B$158&amp;".energy[Energy description]"),0)),0)</f>
        <v>0</v>
      </c>
      <c r="F218" s="121">
        <f t="array" aca="1" ref="F218" ca="1">IFERROR(INDEX(INDIRECT($B$3&amp;"."&amp;$B$158&amp;".energy["&amp;This.year&amp;"]"),MATCH($C218&amp;F$5,INDIRECT($B$3&amp;"."&amp;$B$158&amp;".energy[Tech description]")&amp;INDIRECT($B$3&amp;"."&amp;$B$158&amp;".energy[Energy description]"),0)),0)</f>
        <v>0</v>
      </c>
      <c r="G218" s="121">
        <f t="array" aca="1" ref="G218" ca="1">IFERROR(INDEX(INDIRECT($B$3&amp;"."&amp;$B$158&amp;".energy["&amp;This.year&amp;"]"),MATCH($C218&amp;G$5,INDIRECT($B$3&amp;"."&amp;$B$158&amp;".energy[Tech description]")&amp;INDIRECT($B$3&amp;"."&amp;$B$158&amp;".energy[Energy description]"),0)),0)</f>
        <v>0</v>
      </c>
      <c r="H218" s="121">
        <f t="array" aca="1" ref="H218" ca="1">IFERROR(INDEX(INDIRECT($B$3&amp;"."&amp;$B$158&amp;".energy["&amp;This.year&amp;"]"),MATCH($C218&amp;H$5,INDIRECT($B$3&amp;"."&amp;$B$158&amp;".energy[Tech description]")&amp;INDIRECT($B$3&amp;"."&amp;$B$158&amp;".energy[Energy description]"),0)),0)</f>
        <v>0</v>
      </c>
      <c r="I218" s="121">
        <f t="array" aca="1" ref="I218" ca="1">IFERROR(INDEX(INDIRECT($B$3&amp;"."&amp;$B$158&amp;".energy["&amp;This.year&amp;"]"),MATCH($C218&amp;I$5,INDIRECT($B$3&amp;"."&amp;$B$158&amp;".energy[Tech description]")&amp;INDIRECT($B$3&amp;"."&amp;$B$158&amp;".energy[Energy description]"),0)),0)</f>
        <v>0</v>
      </c>
      <c r="J218" s="121">
        <f t="array" aca="1" ref="J218" ca="1">IFERROR(INDEX(INDIRECT($B$3&amp;"."&amp;$B$158&amp;".energy["&amp;This.year&amp;"]"),MATCH($C218&amp;J$5,INDIRECT($B$3&amp;"."&amp;$B$158&amp;".energy[Tech description]")&amp;INDIRECT($B$3&amp;"."&amp;$B$158&amp;".energy[Energy description]"),0)),0)</f>
        <v>0</v>
      </c>
      <c r="K218" s="121">
        <f t="array" aca="1" ref="K218" ca="1">IFERROR(INDEX(INDIRECT($B$3&amp;"."&amp;$B$158&amp;".energy["&amp;This.year&amp;"]"),MATCH($C218&amp;K$5,INDIRECT($B$3&amp;"."&amp;$B$158&amp;".energy[Tech description]")&amp;INDIRECT($B$3&amp;"."&amp;$B$158&amp;".energy[Energy description]"),0)),0)</f>
        <v>0</v>
      </c>
      <c r="L218" s="121">
        <f t="array" aca="1" ref="L218" ca="1">IFERROR(INDEX(INDIRECT($B$3&amp;"."&amp;$B$158&amp;".energy["&amp;This.year&amp;"]"),MATCH($C218&amp;L$5,INDIRECT($B$3&amp;"."&amp;$B$158&amp;".energy[Tech description]")&amp;INDIRECT($B$3&amp;"."&amp;$B$158&amp;".energy[Energy description]"),0)),0)</f>
        <v>0</v>
      </c>
      <c r="M218" s="121">
        <f t="array" aca="1" ref="M218" ca="1">IFERROR(INDEX(INDIRECT($B$3&amp;"."&amp;$B$158&amp;".energy["&amp;This.year&amp;"]"),MATCH($C218&amp;M$5,INDIRECT($B$3&amp;"."&amp;$B$158&amp;".energy[Tech description]")&amp;INDIRECT($B$3&amp;"."&amp;$B$158&amp;".energy[Energy description]"),0)),0)</f>
        <v>0</v>
      </c>
      <c r="N218" s="121">
        <f t="array" aca="1" ref="N218" ca="1">IFERROR(INDEX(INDIRECT($B$3&amp;"."&amp;$B$158&amp;".energy["&amp;This.year&amp;"]"),MATCH($C218&amp;N$5,INDIRECT($B$3&amp;"."&amp;$B$158&amp;".energy[Tech description]")&amp;INDIRECT($B$3&amp;"."&amp;$B$158&amp;".energy[Energy description]"),0)),0)</f>
        <v>0</v>
      </c>
      <c r="O218" s="121">
        <f t="array" aca="1" ref="O218" ca="1">IFERROR(INDEX(INDIRECT($B$3&amp;"."&amp;$B$158&amp;".energy["&amp;This.year&amp;"]"),MATCH($C218&amp;O$5,INDIRECT($B$3&amp;"."&amp;$B$158&amp;".energy[Tech description]")&amp;INDIRECT($B$3&amp;"."&amp;$B$158&amp;".energy[Energy description]"),0)),0)</f>
        <v>0</v>
      </c>
      <c r="P218" s="121">
        <f t="array" aca="1" ref="P218" ca="1">IFERROR(INDEX(INDIRECT($B$3&amp;"."&amp;$B$158&amp;".energy["&amp;This.year&amp;"]"),MATCH($C218&amp;P$5,INDIRECT($B$3&amp;"."&amp;$B$158&amp;".energy[Tech description]")&amp;INDIRECT($B$3&amp;"."&amp;$B$158&amp;".energy[Energy description]"),0)),0)</f>
        <v>0</v>
      </c>
      <c r="Q218" s="121">
        <f t="array" aca="1" ref="Q218" ca="1">IFERROR(INDEX(INDIRECT($B$3&amp;"."&amp;$B$158&amp;".energy["&amp;This.year&amp;"]"),MATCH($C218&amp;Q$5,INDIRECT($B$3&amp;"."&amp;$B$158&amp;".energy[Tech description]")&amp;INDIRECT($B$3&amp;"."&amp;$B$158&amp;".energy[Energy description]"),0)),0)</f>
        <v>0</v>
      </c>
      <c r="R218" s="121">
        <f t="array" aca="1" ref="R218" ca="1">IFERROR(INDEX(INDIRECT($B$3&amp;"."&amp;$B$158&amp;".energy["&amp;This.year&amp;"]"),MATCH($C218&amp;R$5,INDIRECT($B$3&amp;"."&amp;$B$158&amp;".energy[Tech description]")&amp;INDIRECT($B$3&amp;"."&amp;$B$158&amp;".energy[Energy description]"),0)),0)</f>
        <v>0</v>
      </c>
      <c r="S218" s="121">
        <f t="array" aca="1" ref="S218" ca="1">IFERROR(INDEX(INDIRECT($B$3&amp;"."&amp;$B$158&amp;".energy["&amp;This.year&amp;"]"),MATCH($C218&amp;S$5,INDIRECT($B$3&amp;"."&amp;$B$158&amp;".energy[Tech description]")&amp;INDIRECT($B$3&amp;"."&amp;$B$158&amp;".energy[Energy description]"),0)),0)</f>
        <v>0</v>
      </c>
      <c r="T218" s="121">
        <f t="shared" ca="1" si="25"/>
        <v>0</v>
      </c>
      <c r="U218" s="109"/>
      <c r="V218" s="152">
        <f t="array" aca="1" ref="V218" ca="1">IFERROR(INDEX(INDIRECT($B$3&amp;"."&amp;$B$158&amp;".energy["&amp;This.year&amp;"]"),MATCH($C218&amp;V$5,INDIRECT($B$3&amp;"."&amp;$B$158&amp;".energy[Tech description]")&amp;INDIRECT($B$3&amp;"."&amp;$B$158&amp;".energy[Energy description]"),0)),0)</f>
        <v>0</v>
      </c>
      <c r="W218" s="152">
        <f t="array" aca="1" ref="W218" ca="1">IFERROR(INDEX(INDIRECT($B$3&amp;"."&amp;$B$158&amp;".energy["&amp;This.year&amp;"]"),MATCH($C218&amp;W$5,INDIRECT($B$3&amp;"."&amp;$B$158&amp;".energy[Tech description]")&amp;INDIRECT($B$3&amp;"."&amp;$B$158&amp;".energy[Energy description]"),0)),0)</f>
        <v>0</v>
      </c>
      <c r="X218" s="152">
        <f t="array" aca="1" ref="X218" ca="1">IFERROR(INDEX(INDIRECT($B$3&amp;"."&amp;$B$158&amp;".energy["&amp;This.year&amp;"]"),MATCH($C218&amp;X$5,INDIRECT($B$3&amp;"."&amp;$B$158&amp;".energy[Tech description]")&amp;INDIRECT($B$3&amp;"."&amp;$B$158&amp;".energy[Energy description]"),0)),0)</f>
        <v>0</v>
      </c>
      <c r="Y218" s="152">
        <f t="array" aca="1" ref="Y218" ca="1">IFERROR(INDEX(INDIRECT($B$3&amp;"."&amp;$B$158&amp;".energy["&amp;This.year&amp;"]"),MATCH($C218&amp;Y$5,INDIRECT($B$3&amp;"."&amp;$B$158&amp;".energy[Tech description]")&amp;INDIRECT($B$3&amp;"."&amp;$B$158&amp;".energy[Energy description]"),0)),0)</f>
        <v>0</v>
      </c>
      <c r="Z218" s="152">
        <f t="array" aca="1" ref="Z218" ca="1">IFERROR(INDEX(INDIRECT($B$3&amp;"."&amp;$B$158&amp;".energy["&amp;This.year&amp;"]"),MATCH($C218&amp;Z$5,INDIRECT($B$3&amp;"."&amp;$B$158&amp;".energy[Tech description]")&amp;INDIRECT($B$3&amp;"."&amp;$B$158&amp;".energy[Energy description]"),0)),0)</f>
        <v>0</v>
      </c>
      <c r="AA218" s="152">
        <f t="array" aca="1" ref="AA218" ca="1">IFERROR(INDEX(INDIRECT($B$3&amp;"."&amp;$B$158&amp;".energy["&amp;This.year&amp;"]"),MATCH($C218&amp;AA$5,INDIRECT($B$3&amp;"."&amp;$B$158&amp;".energy[Tech description]")&amp;INDIRECT($B$3&amp;"."&amp;$B$158&amp;".energy[Energy description]"),0)),0)</f>
        <v>0</v>
      </c>
      <c r="AB218" s="152">
        <f t="array" aca="1" ref="AB218" ca="1">IFERROR(INDEX(INDIRECT($B$3&amp;"."&amp;$B$158&amp;".energy["&amp;This.year&amp;"]"),MATCH($C218&amp;AB$5,INDIRECT($B$3&amp;"."&amp;$B$158&amp;".energy[Tech description]")&amp;INDIRECT($B$3&amp;"."&amp;$B$158&amp;".energy[Energy description]"),0)),0)</f>
        <v>0</v>
      </c>
      <c r="AC218" s="152">
        <f t="array" aca="1" ref="AC218" ca="1">IFERROR(INDEX(INDIRECT($B$3&amp;"."&amp;$B$158&amp;".energy["&amp;This.year&amp;"]"),MATCH($C218&amp;AC$5,INDIRECT($B$3&amp;"."&amp;$B$158&amp;".energy[Tech description]")&amp;INDIRECT($B$3&amp;"."&amp;$B$158&amp;".energy[Energy description]"),0)),0)</f>
        <v>0</v>
      </c>
      <c r="AD218" s="152">
        <f t="array" aca="1" ref="AD218" ca="1">IFERROR(INDEX(INDIRECT($B$3&amp;"."&amp;$B$158&amp;".energy["&amp;This.year&amp;"]"),MATCH($C218&amp;AD$5,INDIRECT($B$3&amp;"."&amp;$B$158&amp;".energy[Tech description]")&amp;INDIRECT($B$3&amp;"."&amp;$B$158&amp;".energy[Energy description]"),0)),0)</f>
        <v>0</v>
      </c>
      <c r="AE218" s="152">
        <f t="array" aca="1" ref="AE218" ca="1">IFERROR(INDEX(INDIRECT($B$3&amp;"."&amp;$B$158&amp;".energy["&amp;This.year&amp;"]"),MATCH($C218&amp;AE$5,INDIRECT($B$3&amp;"."&amp;$B$158&amp;".energy[Tech description]")&amp;INDIRECT($B$3&amp;"."&amp;$B$158&amp;".energy[Energy description]"),0)),0)</f>
        <v>0</v>
      </c>
      <c r="AF218" s="152">
        <f t="array" aca="1" ref="AF218" ca="1">IFERROR(INDEX(INDIRECT($B$3&amp;"."&amp;$B$158&amp;".energy["&amp;This.year&amp;"]"),MATCH($C218&amp;AF$5,INDIRECT($B$3&amp;"."&amp;$B$158&amp;".energy[Tech description]")&amp;INDIRECT($B$3&amp;"."&amp;$B$158&amp;".energy[Energy description]"),0)),0)</f>
        <v>0</v>
      </c>
      <c r="AG218" s="152">
        <f t="array" aca="1" ref="AG218" ca="1">IFERROR(INDEX(INDIRECT($B$3&amp;"."&amp;$B$158&amp;".energy["&amp;This.year&amp;"]"),MATCH($C218&amp;AG$5,INDIRECT($B$3&amp;"."&amp;$B$158&amp;".energy[Tech description]")&amp;INDIRECT($B$3&amp;"."&amp;$B$158&amp;".energy[Energy description]"),0)),0)</f>
        <v>0</v>
      </c>
      <c r="AH218" s="152">
        <f t="array" aca="1" ref="AH218" ca="1">IFERROR(INDEX(INDIRECT($B$3&amp;"."&amp;$B$158&amp;".energy["&amp;This.year&amp;"]"),MATCH($C218&amp;AH$5,INDIRECT($B$3&amp;"."&amp;$B$158&amp;".energy[Tech description]")&amp;INDIRECT($B$3&amp;"."&amp;$B$158&amp;".energy[Energy description]"),0)),0)</f>
        <v>0</v>
      </c>
      <c r="AI218" s="152">
        <f t="array" aca="1" ref="AI218" ca="1">IFERROR(INDEX(INDIRECT($B$3&amp;"."&amp;$B$158&amp;".energy["&amp;This.year&amp;"]"),MATCH($C218&amp;AI$5,INDIRECT($B$3&amp;"."&amp;$B$158&amp;".energy[Tech description]")&amp;INDIRECT($B$3&amp;"."&amp;$B$158&amp;".energy[Energy description]"),0)),0)</f>
        <v>0</v>
      </c>
      <c r="AJ218" s="152">
        <f t="array" aca="1" ref="AJ218" ca="1">IFERROR(INDEX(INDIRECT($B$3&amp;"."&amp;$B$158&amp;".energy["&amp;This.year&amp;"]"),MATCH($C218&amp;AJ$5,INDIRECT($B$3&amp;"."&amp;$B$158&amp;".energy[Tech description]")&amp;INDIRECT($B$3&amp;"."&amp;$B$158&amp;".energy[Energy description]"),0)),0)</f>
        <v>0</v>
      </c>
      <c r="AK218" s="152">
        <f t="array" aca="1" ref="AK218" ca="1">IFERROR(INDEX(INDIRECT($B$3&amp;"."&amp;$B$158&amp;".energy["&amp;This.year&amp;"]"),MATCH($C218&amp;AK$5,INDIRECT($B$3&amp;"."&amp;$B$158&amp;".energy[Tech description]")&amp;INDIRECT($B$3&amp;"."&amp;$B$158&amp;".energy[Energy description]"),0)),0)</f>
        <v>0</v>
      </c>
      <c r="AL218" s="152">
        <f t="array" aca="1" ref="AL218" ca="1">IFERROR(INDEX(INDIRECT($B$3&amp;"."&amp;$B$158&amp;".energy["&amp;This.year&amp;"]"),MATCH($C218&amp;AL$5,INDIRECT($B$3&amp;"."&amp;$B$158&amp;".energy[Tech description]")&amp;INDIRECT($B$3&amp;"."&amp;$B$158&amp;".energy[Energy description]"),0)),0)</f>
        <v>0</v>
      </c>
      <c r="AM218" s="152">
        <f t="array" aca="1" ref="AM218" ca="1">IFERROR(INDEX(INDIRECT($B$3&amp;"."&amp;$B$158&amp;".energy["&amp;This.year&amp;"]"),MATCH($C218&amp;AM$5,INDIRECT($B$3&amp;"."&amp;$B$158&amp;".energy[Tech description]")&amp;INDIRECT($B$3&amp;"."&amp;$B$158&amp;".energy[Energy description]"),0)),0)</f>
        <v>0</v>
      </c>
      <c r="AN218" s="152">
        <f t="array" aca="1" ref="AN218" ca="1">IFERROR(INDEX(INDIRECT($B$3&amp;"."&amp;$B$158&amp;".energy["&amp;This.year&amp;"]"),MATCH($C218&amp;AN$5,INDIRECT($B$3&amp;"."&amp;$B$158&amp;".energy[Tech description]")&amp;INDIRECT($B$3&amp;"."&amp;$B$158&amp;".energy[Energy description]"),0)),0)</f>
        <v>0</v>
      </c>
      <c r="AO218" s="152">
        <f t="shared" ca="1" si="26"/>
        <v>0</v>
      </c>
      <c r="AP218" s="108"/>
      <c r="AQ218" s="21">
        <f t="array" aca="1" ref="AQ218" ca="1">IFERROR(INDEX(INDIRECT($B$3&amp;"."&amp;$B$158&amp;".energy["&amp;This.year&amp;"]"),MATCH($C218&amp;AQ$5,INDIRECT($B$3&amp;"."&amp;$B$158&amp;".energy[Tech description]")&amp;INDIRECT($B$3&amp;"."&amp;$B$158&amp;".energy[Energy description]"),0)),0)</f>
        <v>0</v>
      </c>
      <c r="AR218" s="21">
        <f t="array" aca="1" ref="AR218" ca="1">IFERROR(INDEX(INDIRECT($B$3&amp;"."&amp;$B$158&amp;".energy["&amp;This.year&amp;"]"),MATCH($C218&amp;AR$5,INDIRECT($B$3&amp;"."&amp;$B$158&amp;".energy[Tech description]")&amp;INDIRECT($B$3&amp;"."&amp;$B$158&amp;".energy[Energy description]"),0)),0)</f>
        <v>0</v>
      </c>
      <c r="AS218" s="21">
        <f t="array" aca="1" ref="AS218" ca="1">IFERROR(INDEX(INDIRECT($B$3&amp;"."&amp;$B$158&amp;".energy["&amp;This.year&amp;"]"),MATCH($C218&amp;AS$5,INDIRECT($B$3&amp;"."&amp;$B$158&amp;".energy[Tech description]")&amp;INDIRECT($B$3&amp;"."&amp;$B$158&amp;".energy[Energy description]"),0)),0)</f>
        <v>0</v>
      </c>
      <c r="AT218" s="21">
        <f t="array" aca="1" ref="AT218" ca="1">IFERROR(INDEX(INDIRECT($B$3&amp;"."&amp;$B$158&amp;".energy["&amp;This.year&amp;"]"),MATCH($C218&amp;AT$5,INDIRECT($B$3&amp;"."&amp;$B$158&amp;".energy[Tech description]")&amp;INDIRECT($B$3&amp;"."&amp;$B$158&amp;".energy[Energy description]"),0)),0)</f>
        <v>0</v>
      </c>
      <c r="AU218" s="21">
        <f t="array" aca="1" ref="AU218" ca="1">IFERROR(INDEX(INDIRECT($B$3&amp;"."&amp;$B$158&amp;".energy["&amp;This.year&amp;"]"),MATCH($C218&amp;AU$5,INDIRECT($B$3&amp;"."&amp;$B$158&amp;".energy[Tech description]")&amp;INDIRECT($B$3&amp;"."&amp;$B$158&amp;".energy[Energy description]"),0)),0)</f>
        <v>0</v>
      </c>
      <c r="AV218" s="21">
        <f t="array" aca="1" ref="AV218" ca="1">IFERROR(INDEX(INDIRECT($B$3&amp;"."&amp;$B$158&amp;".energy["&amp;This.year&amp;"]"),MATCH($C218&amp;AV$5,INDIRECT($B$3&amp;"."&amp;$B$158&amp;".energy[Tech description]")&amp;INDIRECT($B$3&amp;"."&amp;$B$158&amp;".energy[Energy description]"),0)),0)</f>
        <v>0</v>
      </c>
      <c r="AW218" s="21">
        <f t="array" aca="1" ref="AW218" ca="1">IFERROR(INDEX(INDIRECT($B$3&amp;"."&amp;$B$158&amp;".energy["&amp;This.year&amp;"]"),MATCH($C218&amp;AW$5,INDIRECT($B$3&amp;"."&amp;$B$158&amp;".energy[Tech description]")&amp;INDIRECT($B$3&amp;"."&amp;$B$158&amp;".energy[Energy description]"),0)),0)</f>
        <v>0</v>
      </c>
      <c r="AX218" s="21">
        <f t="array" aca="1" ref="AX218" ca="1">IFERROR(INDEX(INDIRECT($B$3&amp;"."&amp;$B$158&amp;".energy["&amp;This.year&amp;"]"),MATCH($C218&amp;AX$5,INDIRECT($B$3&amp;"."&amp;$B$158&amp;".energy[Tech description]")&amp;INDIRECT($B$3&amp;"."&amp;$B$158&amp;".energy[Energy description]"),0)),0)</f>
        <v>0</v>
      </c>
      <c r="AY218" s="21">
        <f t="array" aca="1" ref="AY218" ca="1">IFERROR(INDEX(INDIRECT($B$3&amp;"."&amp;$B$158&amp;".energy["&amp;This.year&amp;"]"),MATCH($C218&amp;AY$5,INDIRECT($B$3&amp;"."&amp;$B$158&amp;".energy[Tech description]")&amp;INDIRECT($B$3&amp;"."&amp;$B$158&amp;".energy[Energy description]"),0)),0)</f>
        <v>0</v>
      </c>
      <c r="AZ218" s="21">
        <f t="array" aca="1" ref="AZ218" ca="1">IFERROR(INDEX(INDIRECT($B$3&amp;"."&amp;$B$158&amp;".energy["&amp;This.year&amp;"]"),MATCH($C218&amp;AZ$5,INDIRECT($B$3&amp;"."&amp;$B$158&amp;".energy[Tech description]")&amp;INDIRECT($B$3&amp;"."&amp;$B$158&amp;".energy[Energy description]"),0)),0)</f>
        <v>0</v>
      </c>
      <c r="BA218" s="21">
        <f t="array" aca="1" ref="BA218" ca="1">IFERROR(INDEX(INDIRECT($B$3&amp;"."&amp;$B$158&amp;".energy["&amp;This.year&amp;"]"),MATCH($C218&amp;BA$5,INDIRECT($B$3&amp;"."&amp;$B$158&amp;".energy[Tech description]")&amp;INDIRECT($B$3&amp;"."&amp;$B$158&amp;".energy[Energy description]"),0)),0)</f>
        <v>0</v>
      </c>
      <c r="BB218" s="21">
        <f t="array" aca="1" ref="BB218" ca="1">IFERROR(INDEX(INDIRECT($B$3&amp;"."&amp;$B$158&amp;".energy["&amp;This.year&amp;"]"),MATCH($C218&amp;BB$5,INDIRECT($B$3&amp;"."&amp;$B$158&amp;".energy[Tech description]")&amp;INDIRECT($B$3&amp;"."&amp;$B$158&amp;".energy[Energy description]"),0)),0)</f>
        <v>0</v>
      </c>
      <c r="BC218" s="21">
        <f t="array" aca="1" ref="BC218" ca="1">IFERROR(INDEX(INDIRECT($B$3&amp;"."&amp;$B$158&amp;".energy["&amp;This.year&amp;"]"),MATCH($C218&amp;BC$5,INDIRECT($B$3&amp;"."&amp;$B$158&amp;".energy[Tech description]")&amp;INDIRECT($B$3&amp;"."&amp;$B$158&amp;".energy[Energy description]"),0)),0)</f>
        <v>0</v>
      </c>
      <c r="BD218" s="21">
        <f t="shared" ca="1" si="27"/>
        <v>0</v>
      </c>
      <c r="BE218" s="108"/>
      <c r="BF218" s="49">
        <f t="array" aca="1" ref="BF218" ca="1">IFERROR(INDEX(INDIRECT($B$3&amp;"."&amp;$B$158&amp;".energy["&amp;This.year&amp;"]"),MATCH($C218&amp;BF$5,INDIRECT($B$3&amp;"."&amp;$B$158&amp;".energy[Tech description]")&amp;INDIRECT($B$3&amp;"."&amp;$B$158&amp;".energy[Energy description]"),0)),0)</f>
        <v>0</v>
      </c>
      <c r="BG218" s="49">
        <f t="array" aca="1" ref="BG218" ca="1">IFERROR(INDEX(INDIRECT($B$3&amp;"."&amp;$B$158&amp;".energy["&amp;This.year&amp;"]"),MATCH($C218&amp;BG$5,INDIRECT($B$3&amp;"."&amp;$B$158&amp;".energy[Tech description]")&amp;INDIRECT($B$3&amp;"."&amp;$B$158&amp;".energy[Energy description]"),0)),0)</f>
        <v>0</v>
      </c>
      <c r="BH218" s="49">
        <f t="shared" ca="1" si="28"/>
        <v>0</v>
      </c>
      <c r="BI218" s="219">
        <f t="shared" ca="1" si="9"/>
        <v>0</v>
      </c>
      <c r="BJ218" s="108"/>
    </row>
    <row r="219" spans="1:62" s="54" customFormat="1">
      <c r="A219" s="133"/>
      <c r="B219" s="176" t="s">
        <v>1839</v>
      </c>
      <c r="C219" s="114" t="str">
        <f>INDEX(Regional.Technologies[Description],MATCH($B$3&amp;"."&amp;B219,Regional.Technologies[Code],0))</f>
        <v>Global Electricity use in the Chemicals: Others technology</v>
      </c>
      <c r="E219" s="121">
        <f t="array" aca="1" ref="E219" ca="1">IFERROR(INDEX(INDIRECT($B$3&amp;"."&amp;$B$158&amp;".energy["&amp;This.year&amp;"]"),MATCH($C219&amp;E$5,INDIRECT($B$3&amp;"."&amp;$B$158&amp;".energy[Tech description]")&amp;INDIRECT($B$3&amp;"."&amp;$B$158&amp;".energy[Energy description]"),0)),0)</f>
        <v>0</v>
      </c>
      <c r="F219" s="121">
        <f t="array" aca="1" ref="F219" ca="1">IFERROR(INDEX(INDIRECT($B$3&amp;"."&amp;$B$158&amp;".energy["&amp;This.year&amp;"]"),MATCH($C219&amp;F$5,INDIRECT($B$3&amp;"."&amp;$B$158&amp;".energy[Tech description]")&amp;INDIRECT($B$3&amp;"."&amp;$B$158&amp;".energy[Energy description]"),0)),0)</f>
        <v>0</v>
      </c>
      <c r="G219" s="121">
        <f t="array" aca="1" ref="G219" ca="1">IFERROR(INDEX(INDIRECT($B$3&amp;"."&amp;$B$158&amp;".energy["&amp;This.year&amp;"]"),MATCH($C219&amp;G$5,INDIRECT($B$3&amp;"."&amp;$B$158&amp;".energy[Tech description]")&amp;INDIRECT($B$3&amp;"."&amp;$B$158&amp;".energy[Energy description]"),0)),0)</f>
        <v>0</v>
      </c>
      <c r="H219" s="121">
        <f t="array" aca="1" ref="H219" ca="1">IFERROR(INDEX(INDIRECT($B$3&amp;"."&amp;$B$158&amp;".energy["&amp;This.year&amp;"]"),MATCH($C219&amp;H$5,INDIRECT($B$3&amp;"."&amp;$B$158&amp;".energy[Tech description]")&amp;INDIRECT($B$3&amp;"."&amp;$B$158&amp;".energy[Energy description]"),0)),0)</f>
        <v>0</v>
      </c>
      <c r="I219" s="121">
        <f t="array" aca="1" ref="I219" ca="1">IFERROR(INDEX(INDIRECT($B$3&amp;"."&amp;$B$158&amp;".energy["&amp;This.year&amp;"]"),MATCH($C219&amp;I$5,INDIRECT($B$3&amp;"."&amp;$B$158&amp;".energy[Tech description]")&amp;INDIRECT($B$3&amp;"."&amp;$B$158&amp;".energy[Energy description]"),0)),0)</f>
        <v>0</v>
      </c>
      <c r="J219" s="121">
        <f t="array" aca="1" ref="J219" ca="1">IFERROR(INDEX(INDIRECT($B$3&amp;"."&amp;$B$158&amp;".energy["&amp;This.year&amp;"]"),MATCH($C219&amp;J$5,INDIRECT($B$3&amp;"."&amp;$B$158&amp;".energy[Tech description]")&amp;INDIRECT($B$3&amp;"."&amp;$B$158&amp;".energy[Energy description]"),0)),0)</f>
        <v>4.1752925085634338</v>
      </c>
      <c r="K219" s="121">
        <f t="array" aca="1" ref="K219" ca="1">IFERROR(INDEX(INDIRECT($B$3&amp;"."&amp;$B$158&amp;".energy["&amp;This.year&amp;"]"),MATCH($C219&amp;K$5,INDIRECT($B$3&amp;"."&amp;$B$158&amp;".energy[Tech description]")&amp;INDIRECT($B$3&amp;"."&amp;$B$158&amp;".energy[Energy description]"),0)),0)</f>
        <v>0</v>
      </c>
      <c r="L219" s="121">
        <f t="array" aca="1" ref="L219" ca="1">IFERROR(INDEX(INDIRECT($B$3&amp;"."&amp;$B$158&amp;".energy["&amp;This.year&amp;"]"),MATCH($C219&amp;L$5,INDIRECT($B$3&amp;"."&amp;$B$158&amp;".energy[Tech description]")&amp;INDIRECT($B$3&amp;"."&amp;$B$158&amp;".energy[Energy description]"),0)),0)</f>
        <v>0</v>
      </c>
      <c r="M219" s="121">
        <f t="array" aca="1" ref="M219" ca="1">IFERROR(INDEX(INDIRECT($B$3&amp;"."&amp;$B$158&amp;".energy["&amp;This.year&amp;"]"),MATCH($C219&amp;M$5,INDIRECT($B$3&amp;"."&amp;$B$158&amp;".energy[Tech description]")&amp;INDIRECT($B$3&amp;"."&amp;$B$158&amp;".energy[Energy description]"),0)),0)</f>
        <v>0</v>
      </c>
      <c r="N219" s="121">
        <f t="array" aca="1" ref="N219" ca="1">IFERROR(INDEX(INDIRECT($B$3&amp;"."&amp;$B$158&amp;".energy["&amp;This.year&amp;"]"),MATCH($C219&amp;N$5,INDIRECT($B$3&amp;"."&amp;$B$158&amp;".energy[Tech description]")&amp;INDIRECT($B$3&amp;"."&amp;$B$158&amp;".energy[Energy description]"),0)),0)</f>
        <v>0</v>
      </c>
      <c r="O219" s="121">
        <f t="array" aca="1" ref="O219" ca="1">IFERROR(INDEX(INDIRECT($B$3&amp;"."&amp;$B$158&amp;".energy["&amp;This.year&amp;"]"),MATCH($C219&amp;O$5,INDIRECT($B$3&amp;"."&amp;$B$158&amp;".energy[Tech description]")&amp;INDIRECT($B$3&amp;"."&amp;$B$158&amp;".energy[Energy description]"),0)),0)</f>
        <v>0</v>
      </c>
      <c r="P219" s="121">
        <f t="array" aca="1" ref="P219" ca="1">IFERROR(INDEX(INDIRECT($B$3&amp;"."&amp;$B$158&amp;".energy["&amp;This.year&amp;"]"),MATCH($C219&amp;P$5,INDIRECT($B$3&amp;"."&amp;$B$158&amp;".energy[Tech description]")&amp;INDIRECT($B$3&amp;"."&amp;$B$158&amp;".energy[Energy description]"),0)),0)</f>
        <v>0</v>
      </c>
      <c r="Q219" s="121">
        <f t="array" aca="1" ref="Q219" ca="1">IFERROR(INDEX(INDIRECT($B$3&amp;"."&amp;$B$158&amp;".energy["&amp;This.year&amp;"]"),MATCH($C219&amp;Q$5,INDIRECT($B$3&amp;"."&amp;$B$158&amp;".energy[Tech description]")&amp;INDIRECT($B$3&amp;"."&amp;$B$158&amp;".energy[Energy description]"),0)),0)</f>
        <v>0</v>
      </c>
      <c r="R219" s="121">
        <f t="array" aca="1" ref="R219" ca="1">IFERROR(INDEX(INDIRECT($B$3&amp;"."&amp;$B$158&amp;".energy["&amp;This.year&amp;"]"),MATCH($C219&amp;R$5,INDIRECT($B$3&amp;"."&amp;$B$158&amp;".energy[Tech description]")&amp;INDIRECT($B$3&amp;"."&amp;$B$158&amp;".energy[Energy description]"),0)),0)</f>
        <v>0</v>
      </c>
      <c r="S219" s="121">
        <f t="array" aca="1" ref="S219" ca="1">IFERROR(INDEX(INDIRECT($B$3&amp;"."&amp;$B$158&amp;".energy["&amp;This.year&amp;"]"),MATCH($C219&amp;S$5,INDIRECT($B$3&amp;"."&amp;$B$158&amp;".energy[Tech description]")&amp;INDIRECT($B$3&amp;"."&amp;$B$158&amp;".energy[Energy description]"),0)),0)</f>
        <v>0</v>
      </c>
      <c r="T219" s="121">
        <f t="shared" ca="1" si="25"/>
        <v>4.1752925085634338</v>
      </c>
      <c r="U219" s="109"/>
      <c r="V219" s="152">
        <f t="array" aca="1" ref="V219" ca="1">IFERROR(INDEX(INDIRECT($B$3&amp;"."&amp;$B$158&amp;".energy["&amp;This.year&amp;"]"),MATCH($C219&amp;V$5,INDIRECT($B$3&amp;"."&amp;$B$158&amp;".energy[Tech description]")&amp;INDIRECT($B$3&amp;"."&amp;$B$158&amp;".energy[Energy description]"),0)),0)</f>
        <v>-4.1752925085634338</v>
      </c>
      <c r="W219" s="152">
        <f t="array" aca="1" ref="W219" ca="1">IFERROR(INDEX(INDIRECT($B$3&amp;"."&amp;$B$158&amp;".energy["&amp;This.year&amp;"]"),MATCH($C219&amp;W$5,INDIRECT($B$3&amp;"."&amp;$B$158&amp;".energy[Tech description]")&amp;INDIRECT($B$3&amp;"."&amp;$B$158&amp;".energy[Energy description]"),0)),0)</f>
        <v>0</v>
      </c>
      <c r="X219" s="152">
        <f t="array" aca="1" ref="X219" ca="1">IFERROR(INDEX(INDIRECT($B$3&amp;"."&amp;$B$158&amp;".energy["&amp;This.year&amp;"]"),MATCH($C219&amp;X$5,INDIRECT($B$3&amp;"."&amp;$B$158&amp;".energy[Tech description]")&amp;INDIRECT($B$3&amp;"."&amp;$B$158&amp;".energy[Energy description]"),0)),0)</f>
        <v>0</v>
      </c>
      <c r="Y219" s="152">
        <f t="array" aca="1" ref="Y219" ca="1">IFERROR(INDEX(INDIRECT($B$3&amp;"."&amp;$B$158&amp;".energy["&amp;This.year&amp;"]"),MATCH($C219&amp;Y$5,INDIRECT($B$3&amp;"."&amp;$B$158&amp;".energy[Tech description]")&amp;INDIRECT($B$3&amp;"."&amp;$B$158&amp;".energy[Energy description]"),0)),0)</f>
        <v>0</v>
      </c>
      <c r="Z219" s="152">
        <f t="array" aca="1" ref="Z219" ca="1">IFERROR(INDEX(INDIRECT($B$3&amp;"."&amp;$B$158&amp;".energy["&amp;This.year&amp;"]"),MATCH($C219&amp;Z$5,INDIRECT($B$3&amp;"."&amp;$B$158&amp;".energy[Tech description]")&amp;INDIRECT($B$3&amp;"."&amp;$B$158&amp;".energy[Energy description]"),0)),0)</f>
        <v>0</v>
      </c>
      <c r="AA219" s="152">
        <f t="array" aca="1" ref="AA219" ca="1">IFERROR(INDEX(INDIRECT($B$3&amp;"."&amp;$B$158&amp;".energy["&amp;This.year&amp;"]"),MATCH($C219&amp;AA$5,INDIRECT($B$3&amp;"."&amp;$B$158&amp;".energy[Tech description]")&amp;INDIRECT($B$3&amp;"."&amp;$B$158&amp;".energy[Energy description]"),0)),0)</f>
        <v>0</v>
      </c>
      <c r="AB219" s="152">
        <f t="array" aca="1" ref="AB219" ca="1">IFERROR(INDEX(INDIRECT($B$3&amp;"."&amp;$B$158&amp;".energy["&amp;This.year&amp;"]"),MATCH($C219&amp;AB$5,INDIRECT($B$3&amp;"."&amp;$B$158&amp;".energy[Tech description]")&amp;INDIRECT($B$3&amp;"."&amp;$B$158&amp;".energy[Energy description]"),0)),0)</f>
        <v>0</v>
      </c>
      <c r="AC219" s="152">
        <f t="array" aca="1" ref="AC219" ca="1">IFERROR(INDEX(INDIRECT($B$3&amp;"."&amp;$B$158&amp;".energy["&amp;This.year&amp;"]"),MATCH($C219&amp;AC$5,INDIRECT($B$3&amp;"."&amp;$B$158&amp;".energy[Tech description]")&amp;INDIRECT($B$3&amp;"."&amp;$B$158&amp;".energy[Energy description]"),0)),0)</f>
        <v>0</v>
      </c>
      <c r="AD219" s="152">
        <f t="array" aca="1" ref="AD219" ca="1">IFERROR(INDEX(INDIRECT($B$3&amp;"."&amp;$B$158&amp;".energy["&amp;This.year&amp;"]"),MATCH($C219&amp;AD$5,INDIRECT($B$3&amp;"."&amp;$B$158&amp;".energy[Tech description]")&amp;INDIRECT($B$3&amp;"."&amp;$B$158&amp;".energy[Energy description]"),0)),0)</f>
        <v>0</v>
      </c>
      <c r="AE219" s="152">
        <f t="array" aca="1" ref="AE219" ca="1">IFERROR(INDEX(INDIRECT($B$3&amp;"."&amp;$B$158&amp;".energy["&amp;This.year&amp;"]"),MATCH($C219&amp;AE$5,INDIRECT($B$3&amp;"."&amp;$B$158&amp;".energy[Tech description]")&amp;INDIRECT($B$3&amp;"."&amp;$B$158&amp;".energy[Energy description]"),0)),0)</f>
        <v>0</v>
      </c>
      <c r="AF219" s="152">
        <f t="array" aca="1" ref="AF219" ca="1">IFERROR(INDEX(INDIRECT($B$3&amp;"."&amp;$B$158&amp;".energy["&amp;This.year&amp;"]"),MATCH($C219&amp;AF$5,INDIRECT($B$3&amp;"."&amp;$B$158&amp;".energy[Tech description]")&amp;INDIRECT($B$3&amp;"."&amp;$B$158&amp;".energy[Energy description]"),0)),0)</f>
        <v>0</v>
      </c>
      <c r="AG219" s="152">
        <f t="array" aca="1" ref="AG219" ca="1">IFERROR(INDEX(INDIRECT($B$3&amp;"."&amp;$B$158&amp;".energy["&amp;This.year&amp;"]"),MATCH($C219&amp;AG$5,INDIRECT($B$3&amp;"."&amp;$B$158&amp;".energy[Tech description]")&amp;INDIRECT($B$3&amp;"."&amp;$B$158&amp;".energy[Energy description]"),0)),0)</f>
        <v>0</v>
      </c>
      <c r="AH219" s="152">
        <f t="array" aca="1" ref="AH219" ca="1">IFERROR(INDEX(INDIRECT($B$3&amp;"."&amp;$B$158&amp;".energy["&amp;This.year&amp;"]"),MATCH($C219&amp;AH$5,INDIRECT($B$3&amp;"."&amp;$B$158&amp;".energy[Tech description]")&amp;INDIRECT($B$3&amp;"."&amp;$B$158&amp;".energy[Energy description]"),0)),0)</f>
        <v>0</v>
      </c>
      <c r="AI219" s="152">
        <f t="array" aca="1" ref="AI219" ca="1">IFERROR(INDEX(INDIRECT($B$3&amp;"."&amp;$B$158&amp;".energy["&amp;This.year&amp;"]"),MATCH($C219&amp;AI$5,INDIRECT($B$3&amp;"."&amp;$B$158&amp;".energy[Tech description]")&amp;INDIRECT($B$3&amp;"."&amp;$B$158&amp;".energy[Energy description]"),0)),0)</f>
        <v>0</v>
      </c>
      <c r="AJ219" s="152">
        <f t="array" aca="1" ref="AJ219" ca="1">IFERROR(INDEX(INDIRECT($B$3&amp;"."&amp;$B$158&amp;".energy["&amp;This.year&amp;"]"),MATCH($C219&amp;AJ$5,INDIRECT($B$3&amp;"."&amp;$B$158&amp;".energy[Tech description]")&amp;INDIRECT($B$3&amp;"."&amp;$B$158&amp;".energy[Energy description]"),0)),0)</f>
        <v>0</v>
      </c>
      <c r="AK219" s="152">
        <f t="array" aca="1" ref="AK219" ca="1">IFERROR(INDEX(INDIRECT($B$3&amp;"."&amp;$B$158&amp;".energy["&amp;This.year&amp;"]"),MATCH($C219&amp;AK$5,INDIRECT($B$3&amp;"."&amp;$B$158&amp;".energy[Tech description]")&amp;INDIRECT($B$3&amp;"."&amp;$B$158&amp;".energy[Energy description]"),0)),0)</f>
        <v>0</v>
      </c>
      <c r="AL219" s="152">
        <f t="array" aca="1" ref="AL219" ca="1">IFERROR(INDEX(INDIRECT($B$3&amp;"."&amp;$B$158&amp;".energy["&amp;This.year&amp;"]"),MATCH($C219&amp;AL$5,INDIRECT($B$3&amp;"."&amp;$B$158&amp;".energy[Tech description]")&amp;INDIRECT($B$3&amp;"."&amp;$B$158&amp;".energy[Energy description]"),0)),0)</f>
        <v>0</v>
      </c>
      <c r="AM219" s="152">
        <f t="array" aca="1" ref="AM219" ca="1">IFERROR(INDEX(INDIRECT($B$3&amp;"."&amp;$B$158&amp;".energy["&amp;This.year&amp;"]"),MATCH($C219&amp;AM$5,INDIRECT($B$3&amp;"."&amp;$B$158&amp;".energy[Tech description]")&amp;INDIRECT($B$3&amp;"."&amp;$B$158&amp;".energy[Energy description]"),0)),0)</f>
        <v>0</v>
      </c>
      <c r="AN219" s="152">
        <f t="array" aca="1" ref="AN219" ca="1">IFERROR(INDEX(INDIRECT($B$3&amp;"."&amp;$B$158&amp;".energy["&amp;This.year&amp;"]"),MATCH($C219&amp;AN$5,INDIRECT($B$3&amp;"."&amp;$B$158&amp;".energy[Tech description]")&amp;INDIRECT($B$3&amp;"."&amp;$B$158&amp;".energy[Energy description]"),0)),0)</f>
        <v>0</v>
      </c>
      <c r="AO219" s="152">
        <f t="shared" ca="1" si="26"/>
        <v>-4.1752925085634338</v>
      </c>
      <c r="AP219" s="108"/>
      <c r="AQ219" s="21">
        <f t="array" aca="1" ref="AQ219" ca="1">IFERROR(INDEX(INDIRECT($B$3&amp;"."&amp;$B$158&amp;".energy["&amp;This.year&amp;"]"),MATCH($C219&amp;AQ$5,INDIRECT($B$3&amp;"."&amp;$B$158&amp;".energy[Tech description]")&amp;INDIRECT($B$3&amp;"."&amp;$B$158&amp;".energy[Energy description]"),0)),0)</f>
        <v>0</v>
      </c>
      <c r="AR219" s="21">
        <f t="array" aca="1" ref="AR219" ca="1">IFERROR(INDEX(INDIRECT($B$3&amp;"."&amp;$B$158&amp;".energy["&amp;This.year&amp;"]"),MATCH($C219&amp;AR$5,INDIRECT($B$3&amp;"."&amp;$B$158&amp;".energy[Tech description]")&amp;INDIRECT($B$3&amp;"."&amp;$B$158&amp;".energy[Energy description]"),0)),0)</f>
        <v>0</v>
      </c>
      <c r="AS219" s="21">
        <f t="array" aca="1" ref="AS219" ca="1">IFERROR(INDEX(INDIRECT($B$3&amp;"."&amp;$B$158&amp;".energy["&amp;This.year&amp;"]"),MATCH($C219&amp;AS$5,INDIRECT($B$3&amp;"."&amp;$B$158&amp;".energy[Tech description]")&amp;INDIRECT($B$3&amp;"."&amp;$B$158&amp;".energy[Energy description]"),0)),0)</f>
        <v>0</v>
      </c>
      <c r="AT219" s="21">
        <f t="array" aca="1" ref="AT219" ca="1">IFERROR(INDEX(INDIRECT($B$3&amp;"."&amp;$B$158&amp;".energy["&amp;This.year&amp;"]"),MATCH($C219&amp;AT$5,INDIRECT($B$3&amp;"."&amp;$B$158&amp;".energy[Tech description]")&amp;INDIRECT($B$3&amp;"."&amp;$B$158&amp;".energy[Energy description]"),0)),0)</f>
        <v>0</v>
      </c>
      <c r="AU219" s="21">
        <f t="array" aca="1" ref="AU219" ca="1">IFERROR(INDEX(INDIRECT($B$3&amp;"."&amp;$B$158&amp;".energy["&amp;This.year&amp;"]"),MATCH($C219&amp;AU$5,INDIRECT($B$3&amp;"."&amp;$B$158&amp;".energy[Tech description]")&amp;INDIRECT($B$3&amp;"."&amp;$B$158&amp;".energy[Energy description]"),0)),0)</f>
        <v>0</v>
      </c>
      <c r="AV219" s="21">
        <f t="array" aca="1" ref="AV219" ca="1">IFERROR(INDEX(INDIRECT($B$3&amp;"."&amp;$B$158&amp;".energy["&amp;This.year&amp;"]"),MATCH($C219&amp;AV$5,INDIRECT($B$3&amp;"."&amp;$B$158&amp;".energy[Tech description]")&amp;INDIRECT($B$3&amp;"."&amp;$B$158&amp;".energy[Energy description]"),0)),0)</f>
        <v>0</v>
      </c>
      <c r="AW219" s="21">
        <f t="array" aca="1" ref="AW219" ca="1">IFERROR(INDEX(INDIRECT($B$3&amp;"."&amp;$B$158&amp;".energy["&amp;This.year&amp;"]"),MATCH($C219&amp;AW$5,INDIRECT($B$3&amp;"."&amp;$B$158&amp;".energy[Tech description]")&amp;INDIRECT($B$3&amp;"."&amp;$B$158&amp;".energy[Energy description]"),0)),0)</f>
        <v>0</v>
      </c>
      <c r="AX219" s="21">
        <f t="array" aca="1" ref="AX219" ca="1">IFERROR(INDEX(INDIRECT($B$3&amp;"."&amp;$B$158&amp;".energy["&amp;This.year&amp;"]"),MATCH($C219&amp;AX$5,INDIRECT($B$3&amp;"."&amp;$B$158&amp;".energy[Tech description]")&amp;INDIRECT($B$3&amp;"."&amp;$B$158&amp;".energy[Energy description]"),0)),0)</f>
        <v>0</v>
      </c>
      <c r="AY219" s="21">
        <f t="array" aca="1" ref="AY219" ca="1">IFERROR(INDEX(INDIRECT($B$3&amp;"."&amp;$B$158&amp;".energy["&amp;This.year&amp;"]"),MATCH($C219&amp;AY$5,INDIRECT($B$3&amp;"."&amp;$B$158&amp;".energy[Tech description]")&amp;INDIRECT($B$3&amp;"."&amp;$B$158&amp;".energy[Energy description]"),0)),0)</f>
        <v>0</v>
      </c>
      <c r="AZ219" s="21">
        <f t="array" aca="1" ref="AZ219" ca="1">IFERROR(INDEX(INDIRECT($B$3&amp;"."&amp;$B$158&amp;".energy["&amp;This.year&amp;"]"),MATCH($C219&amp;AZ$5,INDIRECT($B$3&amp;"."&amp;$B$158&amp;".energy[Tech description]")&amp;INDIRECT($B$3&amp;"."&amp;$B$158&amp;".energy[Energy description]"),0)),0)</f>
        <v>0</v>
      </c>
      <c r="BA219" s="21">
        <f t="array" aca="1" ref="BA219" ca="1">IFERROR(INDEX(INDIRECT($B$3&amp;"."&amp;$B$158&amp;".energy["&amp;This.year&amp;"]"),MATCH($C219&amp;BA$5,INDIRECT($B$3&amp;"."&amp;$B$158&amp;".energy[Tech description]")&amp;INDIRECT($B$3&amp;"."&amp;$B$158&amp;".energy[Energy description]"),0)),0)</f>
        <v>0</v>
      </c>
      <c r="BB219" s="21">
        <f t="array" aca="1" ref="BB219" ca="1">IFERROR(INDEX(INDIRECT($B$3&amp;"."&amp;$B$158&amp;".energy["&amp;This.year&amp;"]"),MATCH($C219&amp;BB$5,INDIRECT($B$3&amp;"."&amp;$B$158&amp;".energy[Tech description]")&amp;INDIRECT($B$3&amp;"."&amp;$B$158&amp;".energy[Energy description]"),0)),0)</f>
        <v>0</v>
      </c>
      <c r="BC219" s="21">
        <f t="array" aca="1" ref="BC219" ca="1">IFERROR(INDEX(INDIRECT($B$3&amp;"."&amp;$B$158&amp;".energy["&amp;This.year&amp;"]"),MATCH($C219&amp;BC$5,INDIRECT($B$3&amp;"."&amp;$B$158&amp;".energy[Tech description]")&amp;INDIRECT($B$3&amp;"."&amp;$B$158&amp;".energy[Energy description]"),0)),0)</f>
        <v>0</v>
      </c>
      <c r="BD219" s="21">
        <f t="shared" ca="1" si="27"/>
        <v>0</v>
      </c>
      <c r="BE219" s="108"/>
      <c r="BF219" s="49">
        <f t="array" aca="1" ref="BF219" ca="1">IFERROR(INDEX(INDIRECT($B$3&amp;"."&amp;$B$158&amp;".energy["&amp;This.year&amp;"]"),MATCH($C219&amp;BF$5,INDIRECT($B$3&amp;"."&amp;$B$158&amp;".energy[Tech description]")&amp;INDIRECT($B$3&amp;"."&amp;$B$158&amp;".energy[Energy description]"),0)),0)</f>
        <v>0</v>
      </c>
      <c r="BG219" s="49">
        <f t="array" aca="1" ref="BG219" ca="1">IFERROR(INDEX(INDIRECT($B$3&amp;"."&amp;$B$158&amp;".energy["&amp;This.year&amp;"]"),MATCH($C219&amp;BG$5,INDIRECT($B$3&amp;"."&amp;$B$158&amp;".energy[Tech description]")&amp;INDIRECT($B$3&amp;"."&amp;$B$158&amp;".energy[Energy description]"),0)),0)</f>
        <v>0</v>
      </c>
      <c r="BH219" s="49">
        <f t="shared" ca="1" si="28"/>
        <v>0</v>
      </c>
      <c r="BI219" s="219">
        <f t="shared" ca="1" si="9"/>
        <v>0</v>
      </c>
      <c r="BJ219" s="108"/>
    </row>
    <row r="220" spans="1:62" s="54" customFormat="1">
      <c r="A220" s="133"/>
      <c r="B220" s="176" t="s">
        <v>1840</v>
      </c>
      <c r="C220" s="114" t="str">
        <f>INDEX(Regional.Technologies[Description],MATCH($B$3&amp;"."&amp;B220,Regional.Technologies[Code],0))</f>
        <v>Global Coal use in the Chemicals: Others technology</v>
      </c>
      <c r="E220" s="121">
        <f t="array" aca="1" ref="E220" ca="1">IFERROR(INDEX(INDIRECT($B$3&amp;"."&amp;$B$158&amp;".energy["&amp;This.year&amp;"]"),MATCH($C220&amp;E$5,INDIRECT($B$3&amp;"."&amp;$B$158&amp;".energy[Tech description]")&amp;INDIRECT($B$3&amp;"."&amp;$B$158&amp;".energy[Energy description]"),0)),0)</f>
        <v>0</v>
      </c>
      <c r="F220" s="121">
        <f t="array" aca="1" ref="F220" ca="1">IFERROR(INDEX(INDIRECT($B$3&amp;"."&amp;$B$158&amp;".energy["&amp;This.year&amp;"]"),MATCH($C220&amp;F$5,INDIRECT($B$3&amp;"."&amp;$B$158&amp;".energy[Tech description]")&amp;INDIRECT($B$3&amp;"."&amp;$B$158&amp;".energy[Energy description]"),0)),0)</f>
        <v>0</v>
      </c>
      <c r="G220" s="121">
        <f t="array" aca="1" ref="G220" ca="1">IFERROR(INDEX(INDIRECT($B$3&amp;"."&amp;$B$158&amp;".energy["&amp;This.year&amp;"]"),MATCH($C220&amp;G$5,INDIRECT($B$3&amp;"."&amp;$B$158&amp;".energy[Tech description]")&amp;INDIRECT($B$3&amp;"."&amp;$B$158&amp;".energy[Energy description]"),0)),0)</f>
        <v>0</v>
      </c>
      <c r="H220" s="121">
        <f t="array" aca="1" ref="H220" ca="1">IFERROR(INDEX(INDIRECT($B$3&amp;"."&amp;$B$158&amp;".energy["&amp;This.year&amp;"]"),MATCH($C220&amp;H$5,INDIRECT($B$3&amp;"."&amp;$B$158&amp;".energy[Tech description]")&amp;INDIRECT($B$3&amp;"."&amp;$B$158&amp;".energy[Energy description]"),0)),0)</f>
        <v>0</v>
      </c>
      <c r="I220" s="121">
        <f t="array" aca="1" ref="I220" ca="1">IFERROR(INDEX(INDIRECT($B$3&amp;"."&amp;$B$158&amp;".energy["&amp;This.year&amp;"]"),MATCH($C220&amp;I$5,INDIRECT($B$3&amp;"."&amp;$B$158&amp;".energy[Tech description]")&amp;INDIRECT($B$3&amp;"."&amp;$B$158&amp;".energy[Energy description]"),0)),0)</f>
        <v>0</v>
      </c>
      <c r="J220" s="121">
        <f t="array" aca="1" ref="J220" ca="1">IFERROR(INDEX(INDIRECT($B$3&amp;"."&amp;$B$158&amp;".energy["&amp;This.year&amp;"]"),MATCH($C220&amp;J$5,INDIRECT($B$3&amp;"."&amp;$B$158&amp;".energy[Tech description]")&amp;INDIRECT($B$3&amp;"."&amp;$B$158&amp;".energy[Energy description]"),0)),0)</f>
        <v>0.37414965620854623</v>
      </c>
      <c r="K220" s="121">
        <f t="array" aca="1" ref="K220" ca="1">IFERROR(INDEX(INDIRECT($B$3&amp;"."&amp;$B$158&amp;".energy["&amp;This.year&amp;"]"),MATCH($C220&amp;K$5,INDIRECT($B$3&amp;"."&amp;$B$158&amp;".energy[Tech description]")&amp;INDIRECT($B$3&amp;"."&amp;$B$158&amp;".energy[Energy description]"),0)),0)</f>
        <v>0</v>
      </c>
      <c r="L220" s="121">
        <f t="array" aca="1" ref="L220" ca="1">IFERROR(INDEX(INDIRECT($B$3&amp;"."&amp;$B$158&amp;".energy["&amp;This.year&amp;"]"),MATCH($C220&amp;L$5,INDIRECT($B$3&amp;"."&amp;$B$158&amp;".energy[Tech description]")&amp;INDIRECT($B$3&amp;"."&amp;$B$158&amp;".energy[Energy description]"),0)),0)</f>
        <v>0</v>
      </c>
      <c r="M220" s="121">
        <f t="array" aca="1" ref="M220" ca="1">IFERROR(INDEX(INDIRECT($B$3&amp;"."&amp;$B$158&amp;".energy["&amp;This.year&amp;"]"),MATCH($C220&amp;M$5,INDIRECT($B$3&amp;"."&amp;$B$158&amp;".energy[Tech description]")&amp;INDIRECT($B$3&amp;"."&amp;$B$158&amp;".energy[Energy description]"),0)),0)</f>
        <v>0</v>
      </c>
      <c r="N220" s="121">
        <f t="array" aca="1" ref="N220" ca="1">IFERROR(INDEX(INDIRECT($B$3&amp;"."&amp;$B$158&amp;".energy["&amp;This.year&amp;"]"),MATCH($C220&amp;N$5,INDIRECT($B$3&amp;"."&amp;$B$158&amp;".energy[Tech description]")&amp;INDIRECT($B$3&amp;"."&amp;$B$158&amp;".energy[Energy description]"),0)),0)</f>
        <v>0</v>
      </c>
      <c r="O220" s="121">
        <f t="array" aca="1" ref="O220" ca="1">IFERROR(INDEX(INDIRECT($B$3&amp;"."&amp;$B$158&amp;".energy["&amp;This.year&amp;"]"),MATCH($C220&amp;O$5,INDIRECT($B$3&amp;"."&amp;$B$158&amp;".energy[Tech description]")&amp;INDIRECT($B$3&amp;"."&amp;$B$158&amp;".energy[Energy description]"),0)),0)</f>
        <v>0</v>
      </c>
      <c r="P220" s="121">
        <f t="array" aca="1" ref="P220" ca="1">IFERROR(INDEX(INDIRECT($B$3&amp;"."&amp;$B$158&amp;".energy["&amp;This.year&amp;"]"),MATCH($C220&amp;P$5,INDIRECT($B$3&amp;"."&amp;$B$158&amp;".energy[Tech description]")&amp;INDIRECT($B$3&amp;"."&amp;$B$158&amp;".energy[Energy description]"),0)),0)</f>
        <v>0</v>
      </c>
      <c r="Q220" s="121">
        <f t="array" aca="1" ref="Q220" ca="1">IFERROR(INDEX(INDIRECT($B$3&amp;"."&amp;$B$158&amp;".energy["&amp;This.year&amp;"]"),MATCH($C220&amp;Q$5,INDIRECT($B$3&amp;"."&amp;$B$158&amp;".energy[Tech description]")&amp;INDIRECT($B$3&amp;"."&amp;$B$158&amp;".energy[Energy description]"),0)),0)</f>
        <v>0</v>
      </c>
      <c r="R220" s="121">
        <f t="array" aca="1" ref="R220" ca="1">IFERROR(INDEX(INDIRECT($B$3&amp;"."&amp;$B$158&amp;".energy["&amp;This.year&amp;"]"),MATCH($C220&amp;R$5,INDIRECT($B$3&amp;"."&amp;$B$158&amp;".energy[Tech description]")&amp;INDIRECT($B$3&amp;"."&amp;$B$158&amp;".energy[Energy description]"),0)),0)</f>
        <v>0</v>
      </c>
      <c r="S220" s="121">
        <f t="array" aca="1" ref="S220" ca="1">IFERROR(INDEX(INDIRECT($B$3&amp;"."&amp;$B$158&amp;".energy["&amp;This.year&amp;"]"),MATCH($C220&amp;S$5,INDIRECT($B$3&amp;"."&amp;$B$158&amp;".energy[Tech description]")&amp;INDIRECT($B$3&amp;"."&amp;$B$158&amp;".energy[Energy description]"),0)),0)</f>
        <v>0</v>
      </c>
      <c r="T220" s="121">
        <f t="shared" ca="1" si="25"/>
        <v>0.37414965620854623</v>
      </c>
      <c r="U220" s="109"/>
      <c r="V220" s="152">
        <f t="array" aca="1" ref="V220" ca="1">IFERROR(INDEX(INDIRECT($B$3&amp;"."&amp;$B$158&amp;".energy["&amp;This.year&amp;"]"),MATCH($C220&amp;V$5,INDIRECT($B$3&amp;"."&amp;$B$158&amp;".energy[Tech description]")&amp;INDIRECT($B$3&amp;"."&amp;$B$158&amp;".energy[Energy description]"),0)),0)</f>
        <v>0</v>
      </c>
      <c r="W220" s="152">
        <f t="array" aca="1" ref="W220" ca="1">IFERROR(INDEX(INDIRECT($B$3&amp;"."&amp;$B$158&amp;".energy["&amp;This.year&amp;"]"),MATCH($C220&amp;W$5,INDIRECT($B$3&amp;"."&amp;$B$158&amp;".energy[Tech description]")&amp;INDIRECT($B$3&amp;"."&amp;$B$158&amp;".energy[Energy description]"),0)),0)</f>
        <v>0</v>
      </c>
      <c r="X220" s="152">
        <f t="array" aca="1" ref="X220" ca="1">IFERROR(INDEX(INDIRECT($B$3&amp;"."&amp;$B$158&amp;".energy["&amp;This.year&amp;"]"),MATCH($C220&amp;X$5,INDIRECT($B$3&amp;"."&amp;$B$158&amp;".energy[Tech description]")&amp;INDIRECT($B$3&amp;"."&amp;$B$158&amp;".energy[Energy description]"),0)),0)</f>
        <v>0</v>
      </c>
      <c r="Y220" s="152">
        <f t="array" aca="1" ref="Y220" ca="1">IFERROR(INDEX(INDIRECT($B$3&amp;"."&amp;$B$158&amp;".energy["&amp;This.year&amp;"]"),MATCH($C220&amp;Y$5,INDIRECT($B$3&amp;"."&amp;$B$158&amp;".energy[Tech description]")&amp;INDIRECT($B$3&amp;"."&amp;$B$158&amp;".energy[Energy description]"),0)),0)</f>
        <v>0</v>
      </c>
      <c r="Z220" s="152">
        <f t="array" aca="1" ref="Z220" ca="1">IFERROR(INDEX(INDIRECT($B$3&amp;"."&amp;$B$158&amp;".energy["&amp;This.year&amp;"]"),MATCH($C220&amp;Z$5,INDIRECT($B$3&amp;"."&amp;$B$158&amp;".energy[Tech description]")&amp;INDIRECT($B$3&amp;"."&amp;$B$158&amp;".energy[Energy description]"),0)),0)</f>
        <v>0</v>
      </c>
      <c r="AA220" s="152">
        <f t="array" aca="1" ref="AA220" ca="1">IFERROR(INDEX(INDIRECT($B$3&amp;"."&amp;$B$158&amp;".energy["&amp;This.year&amp;"]"),MATCH($C220&amp;AA$5,INDIRECT($B$3&amp;"."&amp;$B$158&amp;".energy[Tech description]")&amp;INDIRECT($B$3&amp;"."&amp;$B$158&amp;".energy[Energy description]"),0)),0)</f>
        <v>-0.37414965620854623</v>
      </c>
      <c r="AB220" s="152">
        <f t="array" aca="1" ref="AB220" ca="1">IFERROR(INDEX(INDIRECT($B$3&amp;"."&amp;$B$158&amp;".energy["&amp;This.year&amp;"]"),MATCH($C220&amp;AB$5,INDIRECT($B$3&amp;"."&amp;$B$158&amp;".energy[Tech description]")&amp;INDIRECT($B$3&amp;"."&amp;$B$158&amp;".energy[Energy description]"),0)),0)</f>
        <v>0</v>
      </c>
      <c r="AC220" s="152">
        <f t="array" aca="1" ref="AC220" ca="1">IFERROR(INDEX(INDIRECT($B$3&amp;"."&amp;$B$158&amp;".energy["&amp;This.year&amp;"]"),MATCH($C220&amp;AC$5,INDIRECT($B$3&amp;"."&amp;$B$158&amp;".energy[Tech description]")&amp;INDIRECT($B$3&amp;"."&amp;$B$158&amp;".energy[Energy description]"),0)),0)</f>
        <v>0</v>
      </c>
      <c r="AD220" s="152">
        <f t="array" aca="1" ref="AD220" ca="1">IFERROR(INDEX(INDIRECT($B$3&amp;"."&amp;$B$158&amp;".energy["&amp;This.year&amp;"]"),MATCH($C220&amp;AD$5,INDIRECT($B$3&amp;"."&amp;$B$158&amp;".energy[Tech description]")&amp;INDIRECT($B$3&amp;"."&amp;$B$158&amp;".energy[Energy description]"),0)),0)</f>
        <v>0</v>
      </c>
      <c r="AE220" s="152">
        <f t="array" aca="1" ref="AE220" ca="1">IFERROR(INDEX(INDIRECT($B$3&amp;"."&amp;$B$158&amp;".energy["&amp;This.year&amp;"]"),MATCH($C220&amp;AE$5,INDIRECT($B$3&amp;"."&amp;$B$158&amp;".energy[Tech description]")&amp;INDIRECT($B$3&amp;"."&amp;$B$158&amp;".energy[Energy description]"),0)),0)</f>
        <v>0</v>
      </c>
      <c r="AF220" s="152">
        <f t="array" aca="1" ref="AF220" ca="1">IFERROR(INDEX(INDIRECT($B$3&amp;"."&amp;$B$158&amp;".energy["&amp;This.year&amp;"]"),MATCH($C220&amp;AF$5,INDIRECT($B$3&amp;"."&amp;$B$158&amp;".energy[Tech description]")&amp;INDIRECT($B$3&amp;"."&amp;$B$158&amp;".energy[Energy description]"),0)),0)</f>
        <v>0</v>
      </c>
      <c r="AG220" s="152">
        <f t="array" aca="1" ref="AG220" ca="1">IFERROR(INDEX(INDIRECT($B$3&amp;"."&amp;$B$158&amp;".energy["&amp;This.year&amp;"]"),MATCH($C220&amp;AG$5,INDIRECT($B$3&amp;"."&amp;$B$158&amp;".energy[Tech description]")&amp;INDIRECT($B$3&amp;"."&amp;$B$158&amp;".energy[Energy description]"),0)),0)</f>
        <v>0</v>
      </c>
      <c r="AH220" s="152">
        <f t="array" aca="1" ref="AH220" ca="1">IFERROR(INDEX(INDIRECT($B$3&amp;"."&amp;$B$158&amp;".energy["&amp;This.year&amp;"]"),MATCH($C220&amp;AH$5,INDIRECT($B$3&amp;"."&amp;$B$158&amp;".energy[Tech description]")&amp;INDIRECT($B$3&amp;"."&amp;$B$158&amp;".energy[Energy description]"),0)),0)</f>
        <v>0</v>
      </c>
      <c r="AI220" s="152">
        <f t="array" aca="1" ref="AI220" ca="1">IFERROR(INDEX(INDIRECT($B$3&amp;"."&amp;$B$158&amp;".energy["&amp;This.year&amp;"]"),MATCH($C220&amp;AI$5,INDIRECT($B$3&amp;"."&amp;$B$158&amp;".energy[Tech description]")&amp;INDIRECT($B$3&amp;"."&amp;$B$158&amp;".energy[Energy description]"),0)),0)</f>
        <v>0</v>
      </c>
      <c r="AJ220" s="152">
        <f t="array" aca="1" ref="AJ220" ca="1">IFERROR(INDEX(INDIRECT($B$3&amp;"."&amp;$B$158&amp;".energy["&amp;This.year&amp;"]"),MATCH($C220&amp;AJ$5,INDIRECT($B$3&amp;"."&amp;$B$158&amp;".energy[Tech description]")&amp;INDIRECT($B$3&amp;"."&amp;$B$158&amp;".energy[Energy description]"),0)),0)</f>
        <v>0</v>
      </c>
      <c r="AK220" s="152">
        <f t="array" aca="1" ref="AK220" ca="1">IFERROR(INDEX(INDIRECT($B$3&amp;"."&amp;$B$158&amp;".energy["&amp;This.year&amp;"]"),MATCH($C220&amp;AK$5,INDIRECT($B$3&amp;"."&amp;$B$158&amp;".energy[Tech description]")&amp;INDIRECT($B$3&amp;"."&amp;$B$158&amp;".energy[Energy description]"),0)),0)</f>
        <v>0</v>
      </c>
      <c r="AL220" s="152">
        <f t="array" aca="1" ref="AL220" ca="1">IFERROR(INDEX(INDIRECT($B$3&amp;"."&amp;$B$158&amp;".energy["&amp;This.year&amp;"]"),MATCH($C220&amp;AL$5,INDIRECT($B$3&amp;"."&amp;$B$158&amp;".energy[Tech description]")&amp;INDIRECT($B$3&amp;"."&amp;$B$158&amp;".energy[Energy description]"),0)),0)</f>
        <v>0</v>
      </c>
      <c r="AM220" s="152">
        <f t="array" aca="1" ref="AM220" ca="1">IFERROR(INDEX(INDIRECT($B$3&amp;"."&amp;$B$158&amp;".energy["&amp;This.year&amp;"]"),MATCH($C220&amp;AM$5,INDIRECT($B$3&amp;"."&amp;$B$158&amp;".energy[Tech description]")&amp;INDIRECT($B$3&amp;"."&amp;$B$158&amp;".energy[Energy description]"),0)),0)</f>
        <v>0</v>
      </c>
      <c r="AN220" s="152">
        <f t="array" aca="1" ref="AN220" ca="1">IFERROR(INDEX(INDIRECT($B$3&amp;"."&amp;$B$158&amp;".energy["&amp;This.year&amp;"]"),MATCH($C220&amp;AN$5,INDIRECT($B$3&amp;"."&amp;$B$158&amp;".energy[Tech description]")&amp;INDIRECT($B$3&amp;"."&amp;$B$158&amp;".energy[Energy description]"),0)),0)</f>
        <v>0</v>
      </c>
      <c r="AO220" s="152">
        <f t="shared" ca="1" si="26"/>
        <v>-0.37414965620854623</v>
      </c>
      <c r="AP220" s="108"/>
      <c r="AQ220" s="21">
        <f t="array" aca="1" ref="AQ220" ca="1">IFERROR(INDEX(INDIRECT($B$3&amp;"."&amp;$B$158&amp;".energy["&amp;This.year&amp;"]"),MATCH($C220&amp;AQ$5,INDIRECT($B$3&amp;"."&amp;$B$158&amp;".energy[Tech description]")&amp;INDIRECT($B$3&amp;"."&amp;$B$158&amp;".energy[Energy description]"),0)),0)</f>
        <v>0</v>
      </c>
      <c r="AR220" s="21">
        <f t="array" aca="1" ref="AR220" ca="1">IFERROR(INDEX(INDIRECT($B$3&amp;"."&amp;$B$158&amp;".energy["&amp;This.year&amp;"]"),MATCH($C220&amp;AR$5,INDIRECT($B$3&amp;"."&amp;$B$158&amp;".energy[Tech description]")&amp;INDIRECT($B$3&amp;"."&amp;$B$158&amp;".energy[Energy description]"),0)),0)</f>
        <v>0</v>
      </c>
      <c r="AS220" s="21">
        <f t="array" aca="1" ref="AS220" ca="1">IFERROR(INDEX(INDIRECT($B$3&amp;"."&amp;$B$158&amp;".energy["&amp;This.year&amp;"]"),MATCH($C220&amp;AS$5,INDIRECT($B$3&amp;"."&amp;$B$158&amp;".energy[Tech description]")&amp;INDIRECT($B$3&amp;"."&amp;$B$158&amp;".energy[Energy description]"),0)),0)</f>
        <v>0</v>
      </c>
      <c r="AT220" s="21">
        <f t="array" aca="1" ref="AT220" ca="1">IFERROR(INDEX(INDIRECT($B$3&amp;"."&amp;$B$158&amp;".energy["&amp;This.year&amp;"]"),MATCH($C220&amp;AT$5,INDIRECT($B$3&amp;"."&amp;$B$158&amp;".energy[Tech description]")&amp;INDIRECT($B$3&amp;"."&amp;$B$158&amp;".energy[Energy description]"),0)),0)</f>
        <v>0</v>
      </c>
      <c r="AU220" s="21">
        <f t="array" aca="1" ref="AU220" ca="1">IFERROR(INDEX(INDIRECT($B$3&amp;"."&amp;$B$158&amp;".energy["&amp;This.year&amp;"]"),MATCH($C220&amp;AU$5,INDIRECT($B$3&amp;"."&amp;$B$158&amp;".energy[Tech description]")&amp;INDIRECT($B$3&amp;"."&amp;$B$158&amp;".energy[Energy description]"),0)),0)</f>
        <v>0</v>
      </c>
      <c r="AV220" s="21">
        <f t="array" aca="1" ref="AV220" ca="1">IFERROR(INDEX(INDIRECT($B$3&amp;"."&amp;$B$158&amp;".energy["&amp;This.year&amp;"]"),MATCH($C220&amp;AV$5,INDIRECT($B$3&amp;"."&amp;$B$158&amp;".energy[Tech description]")&amp;INDIRECT($B$3&amp;"."&amp;$B$158&amp;".energy[Energy description]"),0)),0)</f>
        <v>0</v>
      </c>
      <c r="AW220" s="21">
        <f t="array" aca="1" ref="AW220" ca="1">IFERROR(INDEX(INDIRECT($B$3&amp;"."&amp;$B$158&amp;".energy["&amp;This.year&amp;"]"),MATCH($C220&amp;AW$5,INDIRECT($B$3&amp;"."&amp;$B$158&amp;".energy[Tech description]")&amp;INDIRECT($B$3&amp;"."&amp;$B$158&amp;".energy[Energy description]"),0)),0)</f>
        <v>0</v>
      </c>
      <c r="AX220" s="21">
        <f t="array" aca="1" ref="AX220" ca="1">IFERROR(INDEX(INDIRECT($B$3&amp;"."&amp;$B$158&amp;".energy["&amp;This.year&amp;"]"),MATCH($C220&amp;AX$5,INDIRECT($B$3&amp;"."&amp;$B$158&amp;".energy[Tech description]")&amp;INDIRECT($B$3&amp;"."&amp;$B$158&amp;".energy[Energy description]"),0)),0)</f>
        <v>0</v>
      </c>
      <c r="AY220" s="21">
        <f t="array" aca="1" ref="AY220" ca="1">IFERROR(INDEX(INDIRECT($B$3&amp;"."&amp;$B$158&amp;".energy["&amp;This.year&amp;"]"),MATCH($C220&amp;AY$5,INDIRECT($B$3&amp;"."&amp;$B$158&amp;".energy[Tech description]")&amp;INDIRECT($B$3&amp;"."&amp;$B$158&amp;".energy[Energy description]"),0)),0)</f>
        <v>0</v>
      </c>
      <c r="AZ220" s="21">
        <f t="array" aca="1" ref="AZ220" ca="1">IFERROR(INDEX(INDIRECT($B$3&amp;"."&amp;$B$158&amp;".energy["&amp;This.year&amp;"]"),MATCH($C220&amp;AZ$5,INDIRECT($B$3&amp;"."&amp;$B$158&amp;".energy[Tech description]")&amp;INDIRECT($B$3&amp;"."&amp;$B$158&amp;".energy[Energy description]"),0)),0)</f>
        <v>0</v>
      </c>
      <c r="BA220" s="21">
        <f t="array" aca="1" ref="BA220" ca="1">IFERROR(INDEX(INDIRECT($B$3&amp;"."&amp;$B$158&amp;".energy["&amp;This.year&amp;"]"),MATCH($C220&amp;BA$5,INDIRECT($B$3&amp;"."&amp;$B$158&amp;".energy[Tech description]")&amp;INDIRECT($B$3&amp;"."&amp;$B$158&amp;".energy[Energy description]"),0)),0)</f>
        <v>0</v>
      </c>
      <c r="BB220" s="21">
        <f t="array" aca="1" ref="BB220" ca="1">IFERROR(INDEX(INDIRECT($B$3&amp;"."&amp;$B$158&amp;".energy["&amp;This.year&amp;"]"),MATCH($C220&amp;BB$5,INDIRECT($B$3&amp;"."&amp;$B$158&amp;".energy[Tech description]")&amp;INDIRECT($B$3&amp;"."&amp;$B$158&amp;".energy[Energy description]"),0)),0)</f>
        <v>0</v>
      </c>
      <c r="BC220" s="21">
        <f t="array" aca="1" ref="BC220" ca="1">IFERROR(INDEX(INDIRECT($B$3&amp;"."&amp;$B$158&amp;".energy["&amp;This.year&amp;"]"),MATCH($C220&amp;BC$5,INDIRECT($B$3&amp;"."&amp;$B$158&amp;".energy[Tech description]")&amp;INDIRECT($B$3&amp;"."&amp;$B$158&amp;".energy[Energy description]"),0)),0)</f>
        <v>0</v>
      </c>
      <c r="BD220" s="21">
        <f t="shared" ca="1" si="27"/>
        <v>0</v>
      </c>
      <c r="BE220" s="108"/>
      <c r="BF220" s="49">
        <f t="array" aca="1" ref="BF220" ca="1">IFERROR(INDEX(INDIRECT($B$3&amp;"."&amp;$B$158&amp;".energy["&amp;This.year&amp;"]"),MATCH($C220&amp;BF$5,INDIRECT($B$3&amp;"."&amp;$B$158&amp;".energy[Tech description]")&amp;INDIRECT($B$3&amp;"."&amp;$B$158&amp;".energy[Energy description]"),0)),0)</f>
        <v>0</v>
      </c>
      <c r="BG220" s="49">
        <f t="array" aca="1" ref="BG220" ca="1">IFERROR(INDEX(INDIRECT($B$3&amp;"."&amp;$B$158&amp;".energy["&amp;This.year&amp;"]"),MATCH($C220&amp;BG$5,INDIRECT($B$3&amp;"."&amp;$B$158&amp;".energy[Tech description]")&amp;INDIRECT($B$3&amp;"."&amp;$B$158&amp;".energy[Energy description]"),0)),0)</f>
        <v>0</v>
      </c>
      <c r="BH220" s="49">
        <f t="shared" ca="1" si="28"/>
        <v>0</v>
      </c>
      <c r="BI220" s="219">
        <f t="shared" ca="1" si="9"/>
        <v>0</v>
      </c>
      <c r="BJ220" s="108"/>
    </row>
    <row r="221" spans="1:62" s="54" customFormat="1">
      <c r="A221" s="133"/>
      <c r="B221" s="176" t="s">
        <v>1841</v>
      </c>
      <c r="C221" s="114" t="str">
        <f>INDEX(Regional.Technologies[Description],MATCH($B$3&amp;"."&amp;B221,Regional.Technologies[Code],0))</f>
        <v>Global Oil use in the Chemicals: Others technology</v>
      </c>
      <c r="E221" s="121">
        <f t="array" aca="1" ref="E221" ca="1">IFERROR(INDEX(INDIRECT($B$3&amp;"."&amp;$B$158&amp;".energy["&amp;This.year&amp;"]"),MATCH($C221&amp;E$5,INDIRECT($B$3&amp;"."&amp;$B$158&amp;".energy[Tech description]")&amp;INDIRECT($B$3&amp;"."&amp;$B$158&amp;".energy[Energy description]"),0)),0)</f>
        <v>0</v>
      </c>
      <c r="F221" s="121">
        <f t="array" aca="1" ref="F221" ca="1">IFERROR(INDEX(INDIRECT($B$3&amp;"."&amp;$B$158&amp;".energy["&amp;This.year&amp;"]"),MATCH($C221&amp;F$5,INDIRECT($B$3&amp;"."&amp;$B$158&amp;".energy[Tech description]")&amp;INDIRECT($B$3&amp;"."&amp;$B$158&amp;".energy[Energy description]"),0)),0)</f>
        <v>0</v>
      </c>
      <c r="G221" s="121">
        <f t="array" aca="1" ref="G221" ca="1">IFERROR(INDEX(INDIRECT($B$3&amp;"."&amp;$B$158&amp;".energy["&amp;This.year&amp;"]"),MATCH($C221&amp;G$5,INDIRECT($B$3&amp;"."&amp;$B$158&amp;".energy[Tech description]")&amp;INDIRECT($B$3&amp;"."&amp;$B$158&amp;".energy[Energy description]"),0)),0)</f>
        <v>0</v>
      </c>
      <c r="H221" s="121">
        <f t="array" aca="1" ref="H221" ca="1">IFERROR(INDEX(INDIRECT($B$3&amp;"."&amp;$B$158&amp;".energy["&amp;This.year&amp;"]"),MATCH($C221&amp;H$5,INDIRECT($B$3&amp;"."&amp;$B$158&amp;".energy[Tech description]")&amp;INDIRECT($B$3&amp;"."&amp;$B$158&amp;".energy[Energy description]"),0)),0)</f>
        <v>0</v>
      </c>
      <c r="I221" s="121">
        <f t="array" aca="1" ref="I221" ca="1">IFERROR(INDEX(INDIRECT($B$3&amp;"."&amp;$B$158&amp;".energy["&amp;This.year&amp;"]"),MATCH($C221&amp;I$5,INDIRECT($B$3&amp;"."&amp;$B$158&amp;".energy[Tech description]")&amp;INDIRECT($B$3&amp;"."&amp;$B$158&amp;".energy[Energy description]"),0)),0)</f>
        <v>0</v>
      </c>
      <c r="J221" s="121">
        <f t="array" aca="1" ref="J221" ca="1">IFERROR(INDEX(INDIRECT($B$3&amp;"."&amp;$B$158&amp;".energy["&amp;This.year&amp;"]"),MATCH($C221&amp;J$5,INDIRECT($B$3&amp;"."&amp;$B$158&amp;".energy[Tech description]")&amp;INDIRECT($B$3&amp;"."&amp;$B$158&amp;".energy[Energy description]"),0)),0)</f>
        <v>-2.3799202608643097E-15</v>
      </c>
      <c r="K221" s="121">
        <f t="array" aca="1" ref="K221" ca="1">IFERROR(INDEX(INDIRECT($B$3&amp;"."&amp;$B$158&amp;".energy["&amp;This.year&amp;"]"),MATCH($C221&amp;K$5,INDIRECT($B$3&amp;"."&amp;$B$158&amp;".energy[Tech description]")&amp;INDIRECT($B$3&amp;"."&amp;$B$158&amp;".energy[Energy description]"),0)),0)</f>
        <v>0</v>
      </c>
      <c r="L221" s="121">
        <f t="array" aca="1" ref="L221" ca="1">IFERROR(INDEX(INDIRECT($B$3&amp;"."&amp;$B$158&amp;".energy["&amp;This.year&amp;"]"),MATCH($C221&amp;L$5,INDIRECT($B$3&amp;"."&amp;$B$158&amp;".energy[Tech description]")&amp;INDIRECT($B$3&amp;"."&amp;$B$158&amp;".energy[Energy description]"),0)),0)</f>
        <v>0</v>
      </c>
      <c r="M221" s="121">
        <f t="array" aca="1" ref="M221" ca="1">IFERROR(INDEX(INDIRECT($B$3&amp;"."&amp;$B$158&amp;".energy["&amp;This.year&amp;"]"),MATCH($C221&amp;M$5,INDIRECT($B$3&amp;"."&amp;$B$158&amp;".energy[Tech description]")&amp;INDIRECT($B$3&amp;"."&amp;$B$158&amp;".energy[Energy description]"),0)),0)</f>
        <v>0</v>
      </c>
      <c r="N221" s="121">
        <f t="array" aca="1" ref="N221" ca="1">IFERROR(INDEX(INDIRECT($B$3&amp;"."&amp;$B$158&amp;".energy["&amp;This.year&amp;"]"),MATCH($C221&amp;N$5,INDIRECT($B$3&amp;"."&amp;$B$158&amp;".energy[Tech description]")&amp;INDIRECT($B$3&amp;"."&amp;$B$158&amp;".energy[Energy description]"),0)),0)</f>
        <v>0</v>
      </c>
      <c r="O221" s="121">
        <f t="array" aca="1" ref="O221" ca="1">IFERROR(INDEX(INDIRECT($B$3&amp;"."&amp;$B$158&amp;".energy["&amp;This.year&amp;"]"),MATCH($C221&amp;O$5,INDIRECT($B$3&amp;"."&amp;$B$158&amp;".energy[Tech description]")&amp;INDIRECT($B$3&amp;"."&amp;$B$158&amp;".energy[Energy description]"),0)),0)</f>
        <v>0</v>
      </c>
      <c r="P221" s="121">
        <f t="array" aca="1" ref="P221" ca="1">IFERROR(INDEX(INDIRECT($B$3&amp;"."&amp;$B$158&amp;".energy["&amp;This.year&amp;"]"),MATCH($C221&amp;P$5,INDIRECT($B$3&amp;"."&amp;$B$158&amp;".energy[Tech description]")&amp;INDIRECT($B$3&amp;"."&amp;$B$158&amp;".energy[Energy description]"),0)),0)</f>
        <v>0</v>
      </c>
      <c r="Q221" s="121">
        <f t="array" aca="1" ref="Q221" ca="1">IFERROR(INDEX(INDIRECT($B$3&amp;"."&amp;$B$158&amp;".energy["&amp;This.year&amp;"]"),MATCH($C221&amp;Q$5,INDIRECT($B$3&amp;"."&amp;$B$158&amp;".energy[Tech description]")&amp;INDIRECT($B$3&amp;"."&amp;$B$158&amp;".energy[Energy description]"),0)),0)</f>
        <v>0</v>
      </c>
      <c r="R221" s="121">
        <f t="array" aca="1" ref="R221" ca="1">IFERROR(INDEX(INDIRECT($B$3&amp;"."&amp;$B$158&amp;".energy["&amp;This.year&amp;"]"),MATCH($C221&amp;R$5,INDIRECT($B$3&amp;"."&amp;$B$158&amp;".energy[Tech description]")&amp;INDIRECT($B$3&amp;"."&amp;$B$158&amp;".energy[Energy description]"),0)),0)</f>
        <v>0</v>
      </c>
      <c r="S221" s="121">
        <f t="array" aca="1" ref="S221" ca="1">IFERROR(INDEX(INDIRECT($B$3&amp;"."&amp;$B$158&amp;".energy["&amp;This.year&amp;"]"),MATCH($C221&amp;S$5,INDIRECT($B$3&amp;"."&amp;$B$158&amp;".energy[Tech description]")&amp;INDIRECT($B$3&amp;"."&amp;$B$158&amp;".energy[Energy description]"),0)),0)</f>
        <v>0</v>
      </c>
      <c r="T221" s="121">
        <f t="shared" ca="1" si="25"/>
        <v>-2.3799202608643097E-15</v>
      </c>
      <c r="U221" s="109"/>
      <c r="V221" s="152">
        <f t="array" aca="1" ref="V221" ca="1">IFERROR(INDEX(INDIRECT($B$3&amp;"."&amp;$B$158&amp;".energy["&amp;This.year&amp;"]"),MATCH($C221&amp;V$5,INDIRECT($B$3&amp;"."&amp;$B$158&amp;".energy[Tech description]")&amp;INDIRECT($B$3&amp;"."&amp;$B$158&amp;".energy[Energy description]"),0)),0)</f>
        <v>0</v>
      </c>
      <c r="W221" s="152">
        <f t="array" aca="1" ref="W221" ca="1">IFERROR(INDEX(INDIRECT($B$3&amp;"."&amp;$B$158&amp;".energy["&amp;This.year&amp;"]"),MATCH($C221&amp;W$5,INDIRECT($B$3&amp;"."&amp;$B$158&amp;".energy[Tech description]")&amp;INDIRECT($B$3&amp;"."&amp;$B$158&amp;".energy[Energy description]"),0)),0)</f>
        <v>0</v>
      </c>
      <c r="X221" s="152">
        <f t="array" aca="1" ref="X221" ca="1">IFERROR(INDEX(INDIRECT($B$3&amp;"."&amp;$B$158&amp;".energy["&amp;This.year&amp;"]"),MATCH($C221&amp;X$5,INDIRECT($B$3&amp;"."&amp;$B$158&amp;".energy[Tech description]")&amp;INDIRECT($B$3&amp;"."&amp;$B$158&amp;".energy[Energy description]"),0)),0)</f>
        <v>0</v>
      </c>
      <c r="Y221" s="152">
        <f t="array" aca="1" ref="Y221" ca="1">IFERROR(INDEX(INDIRECT($B$3&amp;"."&amp;$B$158&amp;".energy["&amp;This.year&amp;"]"),MATCH($C221&amp;Y$5,INDIRECT($B$3&amp;"."&amp;$B$158&amp;".energy[Tech description]")&amp;INDIRECT($B$3&amp;"."&amp;$B$158&amp;".energy[Energy description]"),0)),0)</f>
        <v>0</v>
      </c>
      <c r="Z221" s="152">
        <f t="array" aca="1" ref="Z221" ca="1">IFERROR(INDEX(INDIRECT($B$3&amp;"."&amp;$B$158&amp;".energy["&amp;This.year&amp;"]"),MATCH($C221&amp;Z$5,INDIRECT($B$3&amp;"."&amp;$B$158&amp;".energy[Tech description]")&amp;INDIRECT($B$3&amp;"."&amp;$B$158&amp;".energy[Energy description]"),0)),0)</f>
        <v>0</v>
      </c>
      <c r="AA221" s="152">
        <f t="array" aca="1" ref="AA221" ca="1">IFERROR(INDEX(INDIRECT($B$3&amp;"."&amp;$B$158&amp;".energy["&amp;This.year&amp;"]"),MATCH($C221&amp;AA$5,INDIRECT($B$3&amp;"."&amp;$B$158&amp;".energy[Tech description]")&amp;INDIRECT($B$3&amp;"."&amp;$B$158&amp;".energy[Energy description]"),0)),0)</f>
        <v>0</v>
      </c>
      <c r="AB221" s="152">
        <f t="array" aca="1" ref="AB221" ca="1">IFERROR(INDEX(INDIRECT($B$3&amp;"."&amp;$B$158&amp;".energy["&amp;This.year&amp;"]"),MATCH($C221&amp;AB$5,INDIRECT($B$3&amp;"."&amp;$B$158&amp;".energy[Tech description]")&amp;INDIRECT($B$3&amp;"."&amp;$B$158&amp;".energy[Energy description]"),0)),0)</f>
        <v>2.3799202608643097E-15</v>
      </c>
      <c r="AC221" s="152">
        <f t="array" aca="1" ref="AC221" ca="1">IFERROR(INDEX(INDIRECT($B$3&amp;"."&amp;$B$158&amp;".energy["&amp;This.year&amp;"]"),MATCH($C221&amp;AC$5,INDIRECT($B$3&amp;"."&amp;$B$158&amp;".energy[Tech description]")&amp;INDIRECT($B$3&amp;"."&amp;$B$158&amp;".energy[Energy description]"),0)),0)</f>
        <v>0</v>
      </c>
      <c r="AD221" s="152">
        <f t="array" aca="1" ref="AD221" ca="1">IFERROR(INDEX(INDIRECT($B$3&amp;"."&amp;$B$158&amp;".energy["&amp;This.year&amp;"]"),MATCH($C221&amp;AD$5,INDIRECT($B$3&amp;"."&amp;$B$158&amp;".energy[Tech description]")&amp;INDIRECT($B$3&amp;"."&amp;$B$158&amp;".energy[Energy description]"),0)),0)</f>
        <v>0</v>
      </c>
      <c r="AE221" s="152">
        <f t="array" aca="1" ref="AE221" ca="1">IFERROR(INDEX(INDIRECT($B$3&amp;"."&amp;$B$158&amp;".energy["&amp;This.year&amp;"]"),MATCH($C221&amp;AE$5,INDIRECT($B$3&amp;"."&amp;$B$158&amp;".energy[Tech description]")&amp;INDIRECT($B$3&amp;"."&amp;$B$158&amp;".energy[Energy description]"),0)),0)</f>
        <v>0</v>
      </c>
      <c r="AF221" s="152">
        <f t="array" aca="1" ref="AF221" ca="1">IFERROR(INDEX(INDIRECT($B$3&amp;"."&amp;$B$158&amp;".energy["&amp;This.year&amp;"]"),MATCH($C221&amp;AF$5,INDIRECT($B$3&amp;"."&amp;$B$158&amp;".energy[Tech description]")&amp;INDIRECT($B$3&amp;"."&amp;$B$158&amp;".energy[Energy description]"),0)),0)</f>
        <v>0</v>
      </c>
      <c r="AG221" s="152">
        <f t="array" aca="1" ref="AG221" ca="1">IFERROR(INDEX(INDIRECT($B$3&amp;"."&amp;$B$158&amp;".energy["&amp;This.year&amp;"]"),MATCH($C221&amp;AG$5,INDIRECT($B$3&amp;"."&amp;$B$158&amp;".energy[Tech description]")&amp;INDIRECT($B$3&amp;"."&amp;$B$158&amp;".energy[Energy description]"),0)),0)</f>
        <v>0</v>
      </c>
      <c r="AH221" s="152">
        <f t="array" aca="1" ref="AH221" ca="1">IFERROR(INDEX(INDIRECT($B$3&amp;"."&amp;$B$158&amp;".energy["&amp;This.year&amp;"]"),MATCH($C221&amp;AH$5,INDIRECT($B$3&amp;"."&amp;$B$158&amp;".energy[Tech description]")&amp;INDIRECT($B$3&amp;"."&amp;$B$158&amp;".energy[Energy description]"),0)),0)</f>
        <v>0</v>
      </c>
      <c r="AI221" s="152">
        <f t="array" aca="1" ref="AI221" ca="1">IFERROR(INDEX(INDIRECT($B$3&amp;"."&amp;$B$158&amp;".energy["&amp;This.year&amp;"]"),MATCH($C221&amp;AI$5,INDIRECT($B$3&amp;"."&amp;$B$158&amp;".energy[Tech description]")&amp;INDIRECT($B$3&amp;"."&amp;$B$158&amp;".energy[Energy description]"),0)),0)</f>
        <v>0</v>
      </c>
      <c r="AJ221" s="152">
        <f t="array" aca="1" ref="AJ221" ca="1">IFERROR(INDEX(INDIRECT($B$3&amp;"."&amp;$B$158&amp;".energy["&amp;This.year&amp;"]"),MATCH($C221&amp;AJ$5,INDIRECT($B$3&amp;"."&amp;$B$158&amp;".energy[Tech description]")&amp;INDIRECT($B$3&amp;"."&amp;$B$158&amp;".energy[Energy description]"),0)),0)</f>
        <v>0</v>
      </c>
      <c r="AK221" s="152">
        <f t="array" aca="1" ref="AK221" ca="1">IFERROR(INDEX(INDIRECT($B$3&amp;"."&amp;$B$158&amp;".energy["&amp;This.year&amp;"]"),MATCH($C221&amp;AK$5,INDIRECT($B$3&amp;"."&amp;$B$158&amp;".energy[Tech description]")&amp;INDIRECT($B$3&amp;"."&amp;$B$158&amp;".energy[Energy description]"),0)),0)</f>
        <v>0</v>
      </c>
      <c r="AL221" s="152">
        <f t="array" aca="1" ref="AL221" ca="1">IFERROR(INDEX(INDIRECT($B$3&amp;"."&amp;$B$158&amp;".energy["&amp;This.year&amp;"]"),MATCH($C221&amp;AL$5,INDIRECT($B$3&amp;"."&amp;$B$158&amp;".energy[Tech description]")&amp;INDIRECT($B$3&amp;"."&amp;$B$158&amp;".energy[Energy description]"),0)),0)</f>
        <v>0</v>
      </c>
      <c r="AM221" s="152">
        <f t="array" aca="1" ref="AM221" ca="1">IFERROR(INDEX(INDIRECT($B$3&amp;"."&amp;$B$158&amp;".energy["&amp;This.year&amp;"]"),MATCH($C221&amp;AM$5,INDIRECT($B$3&amp;"."&amp;$B$158&amp;".energy[Tech description]")&amp;INDIRECT($B$3&amp;"."&amp;$B$158&amp;".energy[Energy description]"),0)),0)</f>
        <v>0</v>
      </c>
      <c r="AN221" s="152">
        <f t="array" aca="1" ref="AN221" ca="1">IFERROR(INDEX(INDIRECT($B$3&amp;"."&amp;$B$158&amp;".energy["&amp;This.year&amp;"]"),MATCH($C221&amp;AN$5,INDIRECT($B$3&amp;"."&amp;$B$158&amp;".energy[Tech description]")&amp;INDIRECT($B$3&amp;"."&amp;$B$158&amp;".energy[Energy description]"),0)),0)</f>
        <v>0</v>
      </c>
      <c r="AO221" s="152">
        <f t="shared" ca="1" si="26"/>
        <v>2.3799202608643097E-15</v>
      </c>
      <c r="AP221" s="108"/>
      <c r="AQ221" s="21">
        <f t="array" aca="1" ref="AQ221" ca="1">IFERROR(INDEX(INDIRECT($B$3&amp;"."&amp;$B$158&amp;".energy["&amp;This.year&amp;"]"),MATCH($C221&amp;AQ$5,INDIRECT($B$3&amp;"."&amp;$B$158&amp;".energy[Tech description]")&amp;INDIRECT($B$3&amp;"."&amp;$B$158&amp;".energy[Energy description]"),0)),0)</f>
        <v>0</v>
      </c>
      <c r="AR221" s="21">
        <f t="array" aca="1" ref="AR221" ca="1">IFERROR(INDEX(INDIRECT($B$3&amp;"."&amp;$B$158&amp;".energy["&amp;This.year&amp;"]"),MATCH($C221&amp;AR$5,INDIRECT($B$3&amp;"."&amp;$B$158&amp;".energy[Tech description]")&amp;INDIRECT($B$3&amp;"."&amp;$B$158&amp;".energy[Energy description]"),0)),0)</f>
        <v>0</v>
      </c>
      <c r="AS221" s="21">
        <f t="array" aca="1" ref="AS221" ca="1">IFERROR(INDEX(INDIRECT($B$3&amp;"."&amp;$B$158&amp;".energy["&amp;This.year&amp;"]"),MATCH($C221&amp;AS$5,INDIRECT($B$3&amp;"."&amp;$B$158&amp;".energy[Tech description]")&amp;INDIRECT($B$3&amp;"."&amp;$B$158&amp;".energy[Energy description]"),0)),0)</f>
        <v>0</v>
      </c>
      <c r="AT221" s="21">
        <f t="array" aca="1" ref="AT221" ca="1">IFERROR(INDEX(INDIRECT($B$3&amp;"."&amp;$B$158&amp;".energy["&amp;This.year&amp;"]"),MATCH($C221&amp;AT$5,INDIRECT($B$3&amp;"."&amp;$B$158&amp;".energy[Tech description]")&amp;INDIRECT($B$3&amp;"."&amp;$B$158&amp;".energy[Energy description]"),0)),0)</f>
        <v>0</v>
      </c>
      <c r="AU221" s="21">
        <f t="array" aca="1" ref="AU221" ca="1">IFERROR(INDEX(INDIRECT($B$3&amp;"."&amp;$B$158&amp;".energy["&amp;This.year&amp;"]"),MATCH($C221&amp;AU$5,INDIRECT($B$3&amp;"."&amp;$B$158&amp;".energy[Tech description]")&amp;INDIRECT($B$3&amp;"."&amp;$B$158&amp;".energy[Energy description]"),0)),0)</f>
        <v>0</v>
      </c>
      <c r="AV221" s="21">
        <f t="array" aca="1" ref="AV221" ca="1">IFERROR(INDEX(INDIRECT($B$3&amp;"."&amp;$B$158&amp;".energy["&amp;This.year&amp;"]"),MATCH($C221&amp;AV$5,INDIRECT($B$3&amp;"."&amp;$B$158&amp;".energy[Tech description]")&amp;INDIRECT($B$3&amp;"."&amp;$B$158&amp;".energy[Energy description]"),0)),0)</f>
        <v>0</v>
      </c>
      <c r="AW221" s="21">
        <f t="array" aca="1" ref="AW221" ca="1">IFERROR(INDEX(INDIRECT($B$3&amp;"."&amp;$B$158&amp;".energy["&amp;This.year&amp;"]"),MATCH($C221&amp;AW$5,INDIRECT($B$3&amp;"."&amp;$B$158&amp;".energy[Tech description]")&amp;INDIRECT($B$3&amp;"."&amp;$B$158&amp;".energy[Energy description]"),0)),0)</f>
        <v>0</v>
      </c>
      <c r="AX221" s="21">
        <f t="array" aca="1" ref="AX221" ca="1">IFERROR(INDEX(INDIRECT($B$3&amp;"."&amp;$B$158&amp;".energy["&amp;This.year&amp;"]"),MATCH($C221&amp;AX$5,INDIRECT($B$3&amp;"."&amp;$B$158&amp;".energy[Tech description]")&amp;INDIRECT($B$3&amp;"."&amp;$B$158&amp;".energy[Energy description]"),0)),0)</f>
        <v>0</v>
      </c>
      <c r="AY221" s="21">
        <f t="array" aca="1" ref="AY221" ca="1">IFERROR(INDEX(INDIRECT($B$3&amp;"."&amp;$B$158&amp;".energy["&amp;This.year&amp;"]"),MATCH($C221&amp;AY$5,INDIRECT($B$3&amp;"."&amp;$B$158&amp;".energy[Tech description]")&amp;INDIRECT($B$3&amp;"."&amp;$B$158&amp;".energy[Energy description]"),0)),0)</f>
        <v>0</v>
      </c>
      <c r="AZ221" s="21">
        <f t="array" aca="1" ref="AZ221" ca="1">IFERROR(INDEX(INDIRECT($B$3&amp;"."&amp;$B$158&amp;".energy["&amp;This.year&amp;"]"),MATCH($C221&amp;AZ$5,INDIRECT($B$3&amp;"."&amp;$B$158&amp;".energy[Tech description]")&amp;INDIRECT($B$3&amp;"."&amp;$B$158&amp;".energy[Energy description]"),0)),0)</f>
        <v>0</v>
      </c>
      <c r="BA221" s="21">
        <f t="array" aca="1" ref="BA221" ca="1">IFERROR(INDEX(INDIRECT($B$3&amp;"."&amp;$B$158&amp;".energy["&amp;This.year&amp;"]"),MATCH($C221&amp;BA$5,INDIRECT($B$3&amp;"."&amp;$B$158&amp;".energy[Tech description]")&amp;INDIRECT($B$3&amp;"."&amp;$B$158&amp;".energy[Energy description]"),0)),0)</f>
        <v>0</v>
      </c>
      <c r="BB221" s="21">
        <f t="array" aca="1" ref="BB221" ca="1">IFERROR(INDEX(INDIRECT($B$3&amp;"."&amp;$B$158&amp;".energy["&amp;This.year&amp;"]"),MATCH($C221&amp;BB$5,INDIRECT($B$3&amp;"."&amp;$B$158&amp;".energy[Tech description]")&amp;INDIRECT($B$3&amp;"."&amp;$B$158&amp;".energy[Energy description]"),0)),0)</f>
        <v>0</v>
      </c>
      <c r="BC221" s="21">
        <f t="array" aca="1" ref="BC221" ca="1">IFERROR(INDEX(INDIRECT($B$3&amp;"."&amp;$B$158&amp;".energy["&amp;This.year&amp;"]"),MATCH($C221&amp;BC$5,INDIRECT($B$3&amp;"."&amp;$B$158&amp;".energy[Tech description]")&amp;INDIRECT($B$3&amp;"."&amp;$B$158&amp;".energy[Energy description]"),0)),0)</f>
        <v>0</v>
      </c>
      <c r="BD221" s="21">
        <f t="shared" ca="1" si="27"/>
        <v>0</v>
      </c>
      <c r="BE221" s="108"/>
      <c r="BF221" s="49">
        <f t="array" aca="1" ref="BF221" ca="1">IFERROR(INDEX(INDIRECT($B$3&amp;"."&amp;$B$158&amp;".energy["&amp;This.year&amp;"]"),MATCH($C221&amp;BF$5,INDIRECT($B$3&amp;"."&amp;$B$158&amp;".energy[Tech description]")&amp;INDIRECT($B$3&amp;"."&amp;$B$158&amp;".energy[Energy description]"),0)),0)</f>
        <v>0</v>
      </c>
      <c r="BG221" s="49">
        <f t="array" aca="1" ref="BG221" ca="1">IFERROR(INDEX(INDIRECT($B$3&amp;"."&amp;$B$158&amp;".energy["&amp;This.year&amp;"]"),MATCH($C221&amp;BG$5,INDIRECT($B$3&amp;"."&amp;$B$158&amp;".energy[Tech description]")&amp;INDIRECT($B$3&amp;"."&amp;$B$158&amp;".energy[Energy description]"),0)),0)</f>
        <v>0</v>
      </c>
      <c r="BH221" s="49">
        <f t="shared" ca="1" si="28"/>
        <v>0</v>
      </c>
      <c r="BI221" s="219">
        <f t="shared" ca="1" si="9"/>
        <v>0</v>
      </c>
      <c r="BJ221" s="108"/>
    </row>
    <row r="222" spans="1:62" s="54" customFormat="1">
      <c r="A222" s="133"/>
      <c r="B222" s="176" t="s">
        <v>1842</v>
      </c>
      <c r="C222" s="114" t="str">
        <f>INDEX(Regional.Technologies[Description],MATCH($B$3&amp;"."&amp;B222,Regional.Technologies[Code],0))</f>
        <v>Global Natural Gas use in the Chemicals: Others technology</v>
      </c>
      <c r="E222" s="121">
        <f t="array" aca="1" ref="E222" ca="1">IFERROR(INDEX(INDIRECT($B$3&amp;"."&amp;$B$158&amp;".energy["&amp;This.year&amp;"]"),MATCH($C222&amp;E$5,INDIRECT($B$3&amp;"."&amp;$B$158&amp;".energy[Tech description]")&amp;INDIRECT($B$3&amp;"."&amp;$B$158&amp;".energy[Energy description]"),0)),0)</f>
        <v>0</v>
      </c>
      <c r="F222" s="121">
        <f t="array" aca="1" ref="F222" ca="1">IFERROR(INDEX(INDIRECT($B$3&amp;"."&amp;$B$158&amp;".energy["&amp;This.year&amp;"]"),MATCH($C222&amp;F$5,INDIRECT($B$3&amp;"."&amp;$B$158&amp;".energy[Tech description]")&amp;INDIRECT($B$3&amp;"."&amp;$B$158&amp;".energy[Energy description]"),0)),0)</f>
        <v>0</v>
      </c>
      <c r="G222" s="121">
        <f t="array" aca="1" ref="G222" ca="1">IFERROR(INDEX(INDIRECT($B$3&amp;"."&amp;$B$158&amp;".energy["&amp;This.year&amp;"]"),MATCH($C222&amp;G$5,INDIRECT($B$3&amp;"."&amp;$B$158&amp;".energy[Tech description]")&amp;INDIRECT($B$3&amp;"."&amp;$B$158&amp;".energy[Energy description]"),0)),0)</f>
        <v>0</v>
      </c>
      <c r="H222" s="121">
        <f t="array" aca="1" ref="H222" ca="1">IFERROR(INDEX(INDIRECT($B$3&amp;"."&amp;$B$158&amp;".energy["&amp;This.year&amp;"]"),MATCH($C222&amp;H$5,INDIRECT($B$3&amp;"."&amp;$B$158&amp;".energy[Tech description]")&amp;INDIRECT($B$3&amp;"."&amp;$B$158&amp;".energy[Energy description]"),0)),0)</f>
        <v>0</v>
      </c>
      <c r="I222" s="121">
        <f t="array" aca="1" ref="I222" ca="1">IFERROR(INDEX(INDIRECT($B$3&amp;"."&amp;$B$158&amp;".energy["&amp;This.year&amp;"]"),MATCH($C222&amp;I$5,INDIRECT($B$3&amp;"."&amp;$B$158&amp;".energy[Tech description]")&amp;INDIRECT($B$3&amp;"."&amp;$B$158&amp;".energy[Energy description]"),0)),0)</f>
        <v>0</v>
      </c>
      <c r="J222" s="121">
        <f t="array" aca="1" ref="J222" ca="1">IFERROR(INDEX(INDIRECT($B$3&amp;"."&amp;$B$158&amp;".energy["&amp;This.year&amp;"]"),MATCH($C222&amp;J$5,INDIRECT($B$3&amp;"."&amp;$B$158&amp;".energy[Tech description]")&amp;INDIRECT($B$3&amp;"."&amp;$B$158&amp;".energy[Energy description]"),0)),0)</f>
        <v>6.0442800620537298</v>
      </c>
      <c r="K222" s="121">
        <f t="array" aca="1" ref="K222" ca="1">IFERROR(INDEX(INDIRECT($B$3&amp;"."&amp;$B$158&amp;".energy["&amp;This.year&amp;"]"),MATCH($C222&amp;K$5,INDIRECT($B$3&amp;"."&amp;$B$158&amp;".energy[Tech description]")&amp;INDIRECT($B$3&amp;"."&amp;$B$158&amp;".energy[Energy description]"),0)),0)</f>
        <v>0</v>
      </c>
      <c r="L222" s="121">
        <f t="array" aca="1" ref="L222" ca="1">IFERROR(INDEX(INDIRECT($B$3&amp;"."&amp;$B$158&amp;".energy["&amp;This.year&amp;"]"),MATCH($C222&amp;L$5,INDIRECT($B$3&amp;"."&amp;$B$158&amp;".energy[Tech description]")&amp;INDIRECT($B$3&amp;"."&amp;$B$158&amp;".energy[Energy description]"),0)),0)</f>
        <v>0</v>
      </c>
      <c r="M222" s="121">
        <f t="array" aca="1" ref="M222" ca="1">IFERROR(INDEX(INDIRECT($B$3&amp;"."&amp;$B$158&amp;".energy["&amp;This.year&amp;"]"),MATCH($C222&amp;M$5,INDIRECT($B$3&amp;"."&amp;$B$158&amp;".energy[Tech description]")&amp;INDIRECT($B$3&amp;"."&amp;$B$158&amp;".energy[Energy description]"),0)),0)</f>
        <v>0</v>
      </c>
      <c r="N222" s="121">
        <f t="array" aca="1" ref="N222" ca="1">IFERROR(INDEX(INDIRECT($B$3&amp;"."&amp;$B$158&amp;".energy["&amp;This.year&amp;"]"),MATCH($C222&amp;N$5,INDIRECT($B$3&amp;"."&amp;$B$158&amp;".energy[Tech description]")&amp;INDIRECT($B$3&amp;"."&amp;$B$158&amp;".energy[Energy description]"),0)),0)</f>
        <v>0</v>
      </c>
      <c r="O222" s="121">
        <f t="array" aca="1" ref="O222" ca="1">IFERROR(INDEX(INDIRECT($B$3&amp;"."&amp;$B$158&amp;".energy["&amp;This.year&amp;"]"),MATCH($C222&amp;O$5,INDIRECT($B$3&amp;"."&amp;$B$158&amp;".energy[Tech description]")&amp;INDIRECT($B$3&amp;"."&amp;$B$158&amp;".energy[Energy description]"),0)),0)</f>
        <v>0</v>
      </c>
      <c r="P222" s="121">
        <f t="array" aca="1" ref="P222" ca="1">IFERROR(INDEX(INDIRECT($B$3&amp;"."&amp;$B$158&amp;".energy["&amp;This.year&amp;"]"),MATCH($C222&amp;P$5,INDIRECT($B$3&amp;"."&amp;$B$158&amp;".energy[Tech description]")&amp;INDIRECT($B$3&amp;"."&amp;$B$158&amp;".energy[Energy description]"),0)),0)</f>
        <v>0</v>
      </c>
      <c r="Q222" s="121">
        <f t="array" aca="1" ref="Q222" ca="1">IFERROR(INDEX(INDIRECT($B$3&amp;"."&amp;$B$158&amp;".energy["&amp;This.year&amp;"]"),MATCH($C222&amp;Q$5,INDIRECT($B$3&amp;"."&amp;$B$158&amp;".energy[Tech description]")&amp;INDIRECT($B$3&amp;"."&amp;$B$158&amp;".energy[Energy description]"),0)),0)</f>
        <v>0</v>
      </c>
      <c r="R222" s="121">
        <f t="array" aca="1" ref="R222" ca="1">IFERROR(INDEX(INDIRECT($B$3&amp;"."&amp;$B$158&amp;".energy["&amp;This.year&amp;"]"),MATCH($C222&amp;R$5,INDIRECT($B$3&amp;"."&amp;$B$158&amp;".energy[Tech description]")&amp;INDIRECT($B$3&amp;"."&amp;$B$158&amp;".energy[Energy description]"),0)),0)</f>
        <v>0</v>
      </c>
      <c r="S222" s="121">
        <f t="array" aca="1" ref="S222" ca="1">IFERROR(INDEX(INDIRECT($B$3&amp;"."&amp;$B$158&amp;".energy["&amp;This.year&amp;"]"),MATCH($C222&amp;S$5,INDIRECT($B$3&amp;"."&amp;$B$158&amp;".energy[Tech description]")&amp;INDIRECT($B$3&amp;"."&amp;$B$158&amp;".energy[Energy description]"),0)),0)</f>
        <v>0</v>
      </c>
      <c r="T222" s="121">
        <f t="shared" ca="1" si="25"/>
        <v>6.0442800620537298</v>
      </c>
      <c r="U222" s="109"/>
      <c r="V222" s="152">
        <f t="array" aca="1" ref="V222" ca="1">IFERROR(INDEX(INDIRECT($B$3&amp;"."&amp;$B$158&amp;".energy["&amp;This.year&amp;"]"),MATCH($C222&amp;V$5,INDIRECT($B$3&amp;"."&amp;$B$158&amp;".energy[Tech description]")&amp;INDIRECT($B$3&amp;"."&amp;$B$158&amp;".energy[Energy description]"),0)),0)</f>
        <v>0</v>
      </c>
      <c r="W222" s="152">
        <f t="array" aca="1" ref="W222" ca="1">IFERROR(INDEX(INDIRECT($B$3&amp;"."&amp;$B$158&amp;".energy["&amp;This.year&amp;"]"),MATCH($C222&amp;W$5,INDIRECT($B$3&amp;"."&amp;$B$158&amp;".energy[Tech description]")&amp;INDIRECT($B$3&amp;"."&amp;$B$158&amp;".energy[Energy description]"),0)),0)</f>
        <v>0</v>
      </c>
      <c r="X222" s="152">
        <f t="array" aca="1" ref="X222" ca="1">IFERROR(INDEX(INDIRECT($B$3&amp;"."&amp;$B$158&amp;".energy["&amp;This.year&amp;"]"),MATCH($C222&amp;X$5,INDIRECT($B$3&amp;"."&amp;$B$158&amp;".energy[Tech description]")&amp;INDIRECT($B$3&amp;"."&amp;$B$158&amp;".energy[Energy description]"),0)),0)</f>
        <v>0</v>
      </c>
      <c r="Y222" s="152">
        <f t="array" aca="1" ref="Y222" ca="1">IFERROR(INDEX(INDIRECT($B$3&amp;"."&amp;$B$158&amp;".energy["&amp;This.year&amp;"]"),MATCH($C222&amp;Y$5,INDIRECT($B$3&amp;"."&amp;$B$158&amp;".energy[Tech description]")&amp;INDIRECT($B$3&amp;"."&amp;$B$158&amp;".energy[Energy description]"),0)),0)</f>
        <v>0</v>
      </c>
      <c r="Z222" s="152">
        <f t="array" aca="1" ref="Z222" ca="1">IFERROR(INDEX(INDIRECT($B$3&amp;"."&amp;$B$158&amp;".energy["&amp;This.year&amp;"]"),MATCH($C222&amp;Z$5,INDIRECT($B$3&amp;"."&amp;$B$158&amp;".energy[Tech description]")&amp;INDIRECT($B$3&amp;"."&amp;$B$158&amp;".energy[Energy description]"),0)),0)</f>
        <v>0</v>
      </c>
      <c r="AA222" s="152">
        <f t="array" aca="1" ref="AA222" ca="1">IFERROR(INDEX(INDIRECT($B$3&amp;"."&amp;$B$158&amp;".energy["&amp;This.year&amp;"]"),MATCH($C222&amp;AA$5,INDIRECT($B$3&amp;"."&amp;$B$158&amp;".energy[Tech description]")&amp;INDIRECT($B$3&amp;"."&amp;$B$158&amp;".energy[Energy description]"),0)),0)</f>
        <v>0</v>
      </c>
      <c r="AB222" s="152">
        <f t="array" aca="1" ref="AB222" ca="1">IFERROR(INDEX(INDIRECT($B$3&amp;"."&amp;$B$158&amp;".energy["&amp;This.year&amp;"]"),MATCH($C222&amp;AB$5,INDIRECT($B$3&amp;"."&amp;$B$158&amp;".energy[Tech description]")&amp;INDIRECT($B$3&amp;"."&amp;$B$158&amp;".energy[Energy description]"),0)),0)</f>
        <v>0</v>
      </c>
      <c r="AC222" s="152">
        <f t="array" aca="1" ref="AC222" ca="1">IFERROR(INDEX(INDIRECT($B$3&amp;"."&amp;$B$158&amp;".energy["&amp;This.year&amp;"]"),MATCH($C222&amp;AC$5,INDIRECT($B$3&amp;"."&amp;$B$158&amp;".energy[Tech description]")&amp;INDIRECT($B$3&amp;"."&amp;$B$158&amp;".energy[Energy description]"),0)),0)</f>
        <v>-6.0442800620537298</v>
      </c>
      <c r="AD222" s="152">
        <f t="array" aca="1" ref="AD222" ca="1">IFERROR(INDEX(INDIRECT($B$3&amp;"."&amp;$B$158&amp;".energy["&amp;This.year&amp;"]"),MATCH($C222&amp;AD$5,INDIRECT($B$3&amp;"."&amp;$B$158&amp;".energy[Tech description]")&amp;INDIRECT($B$3&amp;"."&amp;$B$158&amp;".energy[Energy description]"),0)),0)</f>
        <v>0</v>
      </c>
      <c r="AE222" s="152">
        <f t="array" aca="1" ref="AE222" ca="1">IFERROR(INDEX(INDIRECT($B$3&amp;"."&amp;$B$158&amp;".energy["&amp;This.year&amp;"]"),MATCH($C222&amp;AE$5,INDIRECT($B$3&amp;"."&amp;$B$158&amp;".energy[Tech description]")&amp;INDIRECT($B$3&amp;"."&amp;$B$158&amp;".energy[Energy description]"),0)),0)</f>
        <v>0</v>
      </c>
      <c r="AF222" s="152">
        <f t="array" aca="1" ref="AF222" ca="1">IFERROR(INDEX(INDIRECT($B$3&amp;"."&amp;$B$158&amp;".energy["&amp;This.year&amp;"]"),MATCH($C222&amp;AF$5,INDIRECT($B$3&amp;"."&amp;$B$158&amp;".energy[Tech description]")&amp;INDIRECT($B$3&amp;"."&amp;$B$158&amp;".energy[Energy description]"),0)),0)</f>
        <v>0</v>
      </c>
      <c r="AG222" s="152">
        <f t="array" aca="1" ref="AG222" ca="1">IFERROR(INDEX(INDIRECT($B$3&amp;"."&amp;$B$158&amp;".energy["&amp;This.year&amp;"]"),MATCH($C222&amp;AG$5,INDIRECT($B$3&amp;"."&amp;$B$158&amp;".energy[Tech description]")&amp;INDIRECT($B$3&amp;"."&amp;$B$158&amp;".energy[Energy description]"),0)),0)</f>
        <v>0</v>
      </c>
      <c r="AH222" s="152">
        <f t="array" aca="1" ref="AH222" ca="1">IFERROR(INDEX(INDIRECT($B$3&amp;"."&amp;$B$158&amp;".energy["&amp;This.year&amp;"]"),MATCH($C222&amp;AH$5,INDIRECT($B$3&amp;"."&amp;$B$158&amp;".energy[Tech description]")&amp;INDIRECT($B$3&amp;"."&amp;$B$158&amp;".energy[Energy description]"),0)),0)</f>
        <v>0</v>
      </c>
      <c r="AI222" s="152">
        <f t="array" aca="1" ref="AI222" ca="1">IFERROR(INDEX(INDIRECT($B$3&amp;"."&amp;$B$158&amp;".energy["&amp;This.year&amp;"]"),MATCH($C222&amp;AI$5,INDIRECT($B$3&amp;"."&amp;$B$158&amp;".energy[Tech description]")&amp;INDIRECT($B$3&amp;"."&amp;$B$158&amp;".energy[Energy description]"),0)),0)</f>
        <v>0</v>
      </c>
      <c r="AJ222" s="152">
        <f t="array" aca="1" ref="AJ222" ca="1">IFERROR(INDEX(INDIRECT($B$3&amp;"."&amp;$B$158&amp;".energy["&amp;This.year&amp;"]"),MATCH($C222&amp;AJ$5,INDIRECT($B$3&amp;"."&amp;$B$158&amp;".energy[Tech description]")&amp;INDIRECT($B$3&amp;"."&amp;$B$158&amp;".energy[Energy description]"),0)),0)</f>
        <v>0</v>
      </c>
      <c r="AK222" s="152">
        <f t="array" aca="1" ref="AK222" ca="1">IFERROR(INDEX(INDIRECT($B$3&amp;"."&amp;$B$158&amp;".energy["&amp;This.year&amp;"]"),MATCH($C222&amp;AK$5,INDIRECT($B$3&amp;"."&amp;$B$158&amp;".energy[Tech description]")&amp;INDIRECT($B$3&amp;"."&amp;$B$158&amp;".energy[Energy description]"),0)),0)</f>
        <v>0</v>
      </c>
      <c r="AL222" s="152">
        <f t="array" aca="1" ref="AL222" ca="1">IFERROR(INDEX(INDIRECT($B$3&amp;"."&amp;$B$158&amp;".energy["&amp;This.year&amp;"]"),MATCH($C222&amp;AL$5,INDIRECT($B$3&amp;"."&amp;$B$158&amp;".energy[Tech description]")&amp;INDIRECT($B$3&amp;"."&amp;$B$158&amp;".energy[Energy description]"),0)),0)</f>
        <v>0</v>
      </c>
      <c r="AM222" s="152">
        <f t="array" aca="1" ref="AM222" ca="1">IFERROR(INDEX(INDIRECT($B$3&amp;"."&amp;$B$158&amp;".energy["&amp;This.year&amp;"]"),MATCH($C222&amp;AM$5,INDIRECT($B$3&amp;"."&amp;$B$158&amp;".energy[Tech description]")&amp;INDIRECT($B$3&amp;"."&amp;$B$158&amp;".energy[Energy description]"),0)),0)</f>
        <v>0</v>
      </c>
      <c r="AN222" s="152">
        <f t="array" aca="1" ref="AN222" ca="1">IFERROR(INDEX(INDIRECT($B$3&amp;"."&amp;$B$158&amp;".energy["&amp;This.year&amp;"]"),MATCH($C222&amp;AN$5,INDIRECT($B$3&amp;"."&amp;$B$158&amp;".energy[Tech description]")&amp;INDIRECT($B$3&amp;"."&amp;$B$158&amp;".energy[Energy description]"),0)),0)</f>
        <v>0</v>
      </c>
      <c r="AO222" s="152">
        <f t="shared" ca="1" si="26"/>
        <v>-6.0442800620537298</v>
      </c>
      <c r="AP222" s="108"/>
      <c r="AQ222" s="21">
        <f t="array" aca="1" ref="AQ222" ca="1">IFERROR(INDEX(INDIRECT($B$3&amp;"."&amp;$B$158&amp;".energy["&amp;This.year&amp;"]"),MATCH($C222&amp;AQ$5,INDIRECT($B$3&amp;"."&amp;$B$158&amp;".energy[Tech description]")&amp;INDIRECT($B$3&amp;"."&amp;$B$158&amp;".energy[Energy description]"),0)),0)</f>
        <v>0</v>
      </c>
      <c r="AR222" s="21">
        <f t="array" aca="1" ref="AR222" ca="1">IFERROR(INDEX(INDIRECT($B$3&amp;"."&amp;$B$158&amp;".energy["&amp;This.year&amp;"]"),MATCH($C222&amp;AR$5,INDIRECT($B$3&amp;"."&amp;$B$158&amp;".energy[Tech description]")&amp;INDIRECT($B$3&amp;"."&amp;$B$158&amp;".energy[Energy description]"),0)),0)</f>
        <v>0</v>
      </c>
      <c r="AS222" s="21">
        <f t="array" aca="1" ref="AS222" ca="1">IFERROR(INDEX(INDIRECT($B$3&amp;"."&amp;$B$158&amp;".energy["&amp;This.year&amp;"]"),MATCH($C222&amp;AS$5,INDIRECT($B$3&amp;"."&amp;$B$158&amp;".energy[Tech description]")&amp;INDIRECT($B$3&amp;"."&amp;$B$158&amp;".energy[Energy description]"),0)),0)</f>
        <v>0</v>
      </c>
      <c r="AT222" s="21">
        <f t="array" aca="1" ref="AT222" ca="1">IFERROR(INDEX(INDIRECT($B$3&amp;"."&amp;$B$158&amp;".energy["&amp;This.year&amp;"]"),MATCH($C222&amp;AT$5,INDIRECT($B$3&amp;"."&amp;$B$158&amp;".energy[Tech description]")&amp;INDIRECT($B$3&amp;"."&amp;$B$158&amp;".energy[Energy description]"),0)),0)</f>
        <v>0</v>
      </c>
      <c r="AU222" s="21">
        <f t="array" aca="1" ref="AU222" ca="1">IFERROR(INDEX(INDIRECT($B$3&amp;"."&amp;$B$158&amp;".energy["&amp;This.year&amp;"]"),MATCH($C222&amp;AU$5,INDIRECT($B$3&amp;"."&amp;$B$158&amp;".energy[Tech description]")&amp;INDIRECT($B$3&amp;"."&amp;$B$158&amp;".energy[Energy description]"),0)),0)</f>
        <v>0</v>
      </c>
      <c r="AV222" s="21">
        <f t="array" aca="1" ref="AV222" ca="1">IFERROR(INDEX(INDIRECT($B$3&amp;"."&amp;$B$158&amp;".energy["&amp;This.year&amp;"]"),MATCH($C222&amp;AV$5,INDIRECT($B$3&amp;"."&amp;$B$158&amp;".energy[Tech description]")&amp;INDIRECT($B$3&amp;"."&amp;$B$158&amp;".energy[Energy description]"),0)),0)</f>
        <v>0</v>
      </c>
      <c r="AW222" s="21">
        <f t="array" aca="1" ref="AW222" ca="1">IFERROR(INDEX(INDIRECT($B$3&amp;"."&amp;$B$158&amp;".energy["&amp;This.year&amp;"]"),MATCH($C222&amp;AW$5,INDIRECT($B$3&amp;"."&amp;$B$158&amp;".energy[Tech description]")&amp;INDIRECT($B$3&amp;"."&amp;$B$158&amp;".energy[Energy description]"),0)),0)</f>
        <v>0</v>
      </c>
      <c r="AX222" s="21">
        <f t="array" aca="1" ref="AX222" ca="1">IFERROR(INDEX(INDIRECT($B$3&amp;"."&amp;$B$158&amp;".energy["&amp;This.year&amp;"]"),MATCH($C222&amp;AX$5,INDIRECT($B$3&amp;"."&amp;$B$158&amp;".energy[Tech description]")&amp;INDIRECT($B$3&amp;"."&amp;$B$158&amp;".energy[Energy description]"),0)),0)</f>
        <v>0</v>
      </c>
      <c r="AY222" s="21">
        <f t="array" aca="1" ref="AY222" ca="1">IFERROR(INDEX(INDIRECT($B$3&amp;"."&amp;$B$158&amp;".energy["&amp;This.year&amp;"]"),MATCH($C222&amp;AY$5,INDIRECT($B$3&amp;"."&amp;$B$158&amp;".energy[Tech description]")&amp;INDIRECT($B$3&amp;"."&amp;$B$158&amp;".energy[Energy description]"),0)),0)</f>
        <v>0</v>
      </c>
      <c r="AZ222" s="21">
        <f t="array" aca="1" ref="AZ222" ca="1">IFERROR(INDEX(INDIRECT($B$3&amp;"."&amp;$B$158&amp;".energy["&amp;This.year&amp;"]"),MATCH($C222&amp;AZ$5,INDIRECT($B$3&amp;"."&amp;$B$158&amp;".energy[Tech description]")&amp;INDIRECT($B$3&amp;"."&amp;$B$158&amp;".energy[Energy description]"),0)),0)</f>
        <v>0</v>
      </c>
      <c r="BA222" s="21">
        <f t="array" aca="1" ref="BA222" ca="1">IFERROR(INDEX(INDIRECT($B$3&amp;"."&amp;$B$158&amp;".energy["&amp;This.year&amp;"]"),MATCH($C222&amp;BA$5,INDIRECT($B$3&amp;"."&amp;$B$158&amp;".energy[Tech description]")&amp;INDIRECT($B$3&amp;"."&amp;$B$158&amp;".energy[Energy description]"),0)),0)</f>
        <v>0</v>
      </c>
      <c r="BB222" s="21">
        <f t="array" aca="1" ref="BB222" ca="1">IFERROR(INDEX(INDIRECT($B$3&amp;"."&amp;$B$158&amp;".energy["&amp;This.year&amp;"]"),MATCH($C222&amp;BB$5,INDIRECT($B$3&amp;"."&amp;$B$158&amp;".energy[Tech description]")&amp;INDIRECT($B$3&amp;"."&amp;$B$158&amp;".energy[Energy description]"),0)),0)</f>
        <v>0</v>
      </c>
      <c r="BC222" s="21">
        <f t="array" aca="1" ref="BC222" ca="1">IFERROR(INDEX(INDIRECT($B$3&amp;"."&amp;$B$158&amp;".energy["&amp;This.year&amp;"]"),MATCH($C222&amp;BC$5,INDIRECT($B$3&amp;"."&amp;$B$158&amp;".energy[Tech description]")&amp;INDIRECT($B$3&amp;"."&amp;$B$158&amp;".energy[Energy description]"),0)),0)</f>
        <v>0</v>
      </c>
      <c r="BD222" s="21">
        <f t="shared" ca="1" si="27"/>
        <v>0</v>
      </c>
      <c r="BE222" s="108"/>
      <c r="BF222" s="49">
        <f t="array" aca="1" ref="BF222" ca="1">IFERROR(INDEX(INDIRECT($B$3&amp;"."&amp;$B$158&amp;".energy["&amp;This.year&amp;"]"),MATCH($C222&amp;BF$5,INDIRECT($B$3&amp;"."&amp;$B$158&amp;".energy[Tech description]")&amp;INDIRECT($B$3&amp;"."&amp;$B$158&amp;".energy[Energy description]"),0)),0)</f>
        <v>0</v>
      </c>
      <c r="BG222" s="49">
        <f t="array" aca="1" ref="BG222" ca="1">IFERROR(INDEX(INDIRECT($B$3&amp;"."&amp;$B$158&amp;".energy["&amp;This.year&amp;"]"),MATCH($C222&amp;BG$5,INDIRECT($B$3&amp;"."&amp;$B$158&amp;".energy[Tech description]")&amp;INDIRECT($B$3&amp;"."&amp;$B$158&amp;".energy[Energy description]"),0)),0)</f>
        <v>0</v>
      </c>
      <c r="BH222" s="49">
        <f t="shared" ca="1" si="28"/>
        <v>0</v>
      </c>
      <c r="BI222" s="219">
        <f t="shared" ca="1" si="9"/>
        <v>0</v>
      </c>
      <c r="BJ222" s="108"/>
    </row>
    <row r="223" spans="1:62" s="54" customFormat="1">
      <c r="A223" s="133"/>
      <c r="B223" s="176" t="s">
        <v>1843</v>
      </c>
      <c r="C223" s="114" t="str">
        <f>INDEX(Regional.Technologies[Description],MATCH($B$3&amp;"."&amp;B223,Regional.Technologies[Code],0))</f>
        <v>Global Solid Hydrocarbons use in the Chemicals: Others technology</v>
      </c>
      <c r="E223" s="121">
        <f t="array" aca="1" ref="E223" ca="1">IFERROR(INDEX(INDIRECT($B$3&amp;"."&amp;$B$158&amp;".energy["&amp;This.year&amp;"]"),MATCH($C223&amp;E$5,INDIRECT($B$3&amp;"."&amp;$B$158&amp;".energy[Tech description]")&amp;INDIRECT($B$3&amp;"."&amp;$B$158&amp;".energy[Energy description]"),0)),0)</f>
        <v>0</v>
      </c>
      <c r="F223" s="121">
        <f t="array" aca="1" ref="F223" ca="1">IFERROR(INDEX(INDIRECT($B$3&amp;"."&amp;$B$158&amp;".energy["&amp;This.year&amp;"]"),MATCH($C223&amp;F$5,INDIRECT($B$3&amp;"."&amp;$B$158&amp;".energy[Tech description]")&amp;INDIRECT($B$3&amp;"."&amp;$B$158&amp;".energy[Energy description]"),0)),0)</f>
        <v>0</v>
      </c>
      <c r="G223" s="121">
        <f t="array" aca="1" ref="G223" ca="1">IFERROR(INDEX(INDIRECT($B$3&amp;"."&amp;$B$158&amp;".energy["&amp;This.year&amp;"]"),MATCH($C223&amp;G$5,INDIRECT($B$3&amp;"."&amp;$B$158&amp;".energy[Tech description]")&amp;INDIRECT($B$3&amp;"."&amp;$B$158&amp;".energy[Energy description]"),0)),0)</f>
        <v>0</v>
      </c>
      <c r="H223" s="121">
        <f t="array" aca="1" ref="H223" ca="1">IFERROR(INDEX(INDIRECT($B$3&amp;"."&amp;$B$158&amp;".energy["&amp;This.year&amp;"]"),MATCH($C223&amp;H$5,INDIRECT($B$3&amp;"."&amp;$B$158&amp;".energy[Tech description]")&amp;INDIRECT($B$3&amp;"."&amp;$B$158&amp;".energy[Energy description]"),0)),0)</f>
        <v>0</v>
      </c>
      <c r="I223" s="121">
        <f t="array" aca="1" ref="I223" ca="1">IFERROR(INDEX(INDIRECT($B$3&amp;"."&amp;$B$158&amp;".energy["&amp;This.year&amp;"]"),MATCH($C223&amp;I$5,INDIRECT($B$3&amp;"."&amp;$B$158&amp;".energy[Tech description]")&amp;INDIRECT($B$3&amp;"."&amp;$B$158&amp;".energy[Energy description]"),0)),0)</f>
        <v>0</v>
      </c>
      <c r="J223" s="121">
        <f t="array" aca="1" ref="J223" ca="1">IFERROR(INDEX(INDIRECT($B$3&amp;"."&amp;$B$158&amp;".energy["&amp;This.year&amp;"]"),MATCH($C223&amp;J$5,INDIRECT($B$3&amp;"."&amp;$B$158&amp;".energy[Tech description]")&amp;INDIRECT($B$3&amp;"."&amp;$B$158&amp;".energy[Energy description]"),0)),0)</f>
        <v>0.16313870478909601</v>
      </c>
      <c r="K223" s="121">
        <f t="array" aca="1" ref="K223" ca="1">IFERROR(INDEX(INDIRECT($B$3&amp;"."&amp;$B$158&amp;".energy["&amp;This.year&amp;"]"),MATCH($C223&amp;K$5,INDIRECT($B$3&amp;"."&amp;$B$158&amp;".energy[Tech description]")&amp;INDIRECT($B$3&amp;"."&amp;$B$158&amp;".energy[Energy description]"),0)),0)</f>
        <v>0</v>
      </c>
      <c r="L223" s="121">
        <f t="array" aca="1" ref="L223" ca="1">IFERROR(INDEX(INDIRECT($B$3&amp;"."&amp;$B$158&amp;".energy["&amp;This.year&amp;"]"),MATCH($C223&amp;L$5,INDIRECT($B$3&amp;"."&amp;$B$158&amp;".energy[Tech description]")&amp;INDIRECT($B$3&amp;"."&amp;$B$158&amp;".energy[Energy description]"),0)),0)</f>
        <v>0</v>
      </c>
      <c r="M223" s="121">
        <f t="array" aca="1" ref="M223" ca="1">IFERROR(INDEX(INDIRECT($B$3&amp;"."&amp;$B$158&amp;".energy["&amp;This.year&amp;"]"),MATCH($C223&amp;M$5,INDIRECT($B$3&amp;"."&amp;$B$158&amp;".energy[Tech description]")&amp;INDIRECT($B$3&amp;"."&amp;$B$158&amp;".energy[Energy description]"),0)),0)</f>
        <v>0</v>
      </c>
      <c r="N223" s="121">
        <f t="array" aca="1" ref="N223" ca="1">IFERROR(INDEX(INDIRECT($B$3&amp;"."&amp;$B$158&amp;".energy["&amp;This.year&amp;"]"),MATCH($C223&amp;N$5,INDIRECT($B$3&amp;"."&amp;$B$158&amp;".energy[Tech description]")&amp;INDIRECT($B$3&amp;"."&amp;$B$158&amp;".energy[Energy description]"),0)),0)</f>
        <v>0</v>
      </c>
      <c r="O223" s="121">
        <f t="array" aca="1" ref="O223" ca="1">IFERROR(INDEX(INDIRECT($B$3&amp;"."&amp;$B$158&amp;".energy["&amp;This.year&amp;"]"),MATCH($C223&amp;O$5,INDIRECT($B$3&amp;"."&amp;$B$158&amp;".energy[Tech description]")&amp;INDIRECT($B$3&amp;"."&amp;$B$158&amp;".energy[Energy description]"),0)),0)</f>
        <v>0</v>
      </c>
      <c r="P223" s="121">
        <f t="array" aca="1" ref="P223" ca="1">IFERROR(INDEX(INDIRECT($B$3&amp;"."&amp;$B$158&amp;".energy["&amp;This.year&amp;"]"),MATCH($C223&amp;P$5,INDIRECT($B$3&amp;"."&amp;$B$158&amp;".energy[Tech description]")&amp;INDIRECT($B$3&amp;"."&amp;$B$158&amp;".energy[Energy description]"),0)),0)</f>
        <v>0</v>
      </c>
      <c r="Q223" s="121">
        <f t="array" aca="1" ref="Q223" ca="1">IFERROR(INDEX(INDIRECT($B$3&amp;"."&amp;$B$158&amp;".energy["&amp;This.year&amp;"]"),MATCH($C223&amp;Q$5,INDIRECT($B$3&amp;"."&amp;$B$158&amp;".energy[Tech description]")&amp;INDIRECT($B$3&amp;"."&amp;$B$158&amp;".energy[Energy description]"),0)),0)</f>
        <v>0</v>
      </c>
      <c r="R223" s="121">
        <f t="array" aca="1" ref="R223" ca="1">IFERROR(INDEX(INDIRECT($B$3&amp;"."&amp;$B$158&amp;".energy["&amp;This.year&amp;"]"),MATCH($C223&amp;R$5,INDIRECT($B$3&amp;"."&amp;$B$158&amp;".energy[Tech description]")&amp;INDIRECT($B$3&amp;"."&amp;$B$158&amp;".energy[Energy description]"),0)),0)</f>
        <v>0</v>
      </c>
      <c r="S223" s="121">
        <f t="array" aca="1" ref="S223" ca="1">IFERROR(INDEX(INDIRECT($B$3&amp;"."&amp;$B$158&amp;".energy["&amp;This.year&amp;"]"),MATCH($C223&amp;S$5,INDIRECT($B$3&amp;"."&amp;$B$158&amp;".energy[Tech description]")&amp;INDIRECT($B$3&amp;"."&amp;$B$158&amp;".energy[Energy description]"),0)),0)</f>
        <v>0</v>
      </c>
      <c r="T223" s="121">
        <f t="shared" ca="1" si="25"/>
        <v>0.16313870478909601</v>
      </c>
      <c r="U223" s="109"/>
      <c r="V223" s="152">
        <f t="array" aca="1" ref="V223" ca="1">IFERROR(INDEX(INDIRECT($B$3&amp;"."&amp;$B$158&amp;".energy["&amp;This.year&amp;"]"),MATCH($C223&amp;V$5,INDIRECT($B$3&amp;"."&amp;$B$158&amp;".energy[Tech description]")&amp;INDIRECT($B$3&amp;"."&amp;$B$158&amp;".energy[Energy description]"),0)),0)</f>
        <v>0</v>
      </c>
      <c r="W223" s="152">
        <f t="array" aca="1" ref="W223" ca="1">IFERROR(INDEX(INDIRECT($B$3&amp;"."&amp;$B$158&amp;".energy["&amp;This.year&amp;"]"),MATCH($C223&amp;W$5,INDIRECT($B$3&amp;"."&amp;$B$158&amp;".energy[Tech description]")&amp;INDIRECT($B$3&amp;"."&amp;$B$158&amp;".energy[Energy description]"),0)),0)</f>
        <v>0</v>
      </c>
      <c r="X223" s="152">
        <f t="array" aca="1" ref="X223" ca="1">IFERROR(INDEX(INDIRECT($B$3&amp;"."&amp;$B$158&amp;".energy["&amp;This.year&amp;"]"),MATCH($C223&amp;X$5,INDIRECT($B$3&amp;"."&amp;$B$158&amp;".energy[Tech description]")&amp;INDIRECT($B$3&amp;"."&amp;$B$158&amp;".energy[Energy description]"),0)),0)</f>
        <v>-0.16313870478909601</v>
      </c>
      <c r="Y223" s="152">
        <f t="array" aca="1" ref="Y223" ca="1">IFERROR(INDEX(INDIRECT($B$3&amp;"."&amp;$B$158&amp;".energy["&amp;This.year&amp;"]"),MATCH($C223&amp;Y$5,INDIRECT($B$3&amp;"."&amp;$B$158&amp;".energy[Tech description]")&amp;INDIRECT($B$3&amp;"."&amp;$B$158&amp;".energy[Energy description]"),0)),0)</f>
        <v>0</v>
      </c>
      <c r="Z223" s="152">
        <f t="array" aca="1" ref="Z223" ca="1">IFERROR(INDEX(INDIRECT($B$3&amp;"."&amp;$B$158&amp;".energy["&amp;This.year&amp;"]"),MATCH($C223&amp;Z$5,INDIRECT($B$3&amp;"."&amp;$B$158&amp;".energy[Tech description]")&amp;INDIRECT($B$3&amp;"."&amp;$B$158&amp;".energy[Energy description]"),0)),0)</f>
        <v>0</v>
      </c>
      <c r="AA223" s="152">
        <f t="array" aca="1" ref="AA223" ca="1">IFERROR(INDEX(INDIRECT($B$3&amp;"."&amp;$B$158&amp;".energy["&amp;This.year&amp;"]"),MATCH($C223&amp;AA$5,INDIRECT($B$3&amp;"."&amp;$B$158&amp;".energy[Tech description]")&amp;INDIRECT($B$3&amp;"."&amp;$B$158&amp;".energy[Energy description]"),0)),0)</f>
        <v>0</v>
      </c>
      <c r="AB223" s="152">
        <f t="array" aca="1" ref="AB223" ca="1">IFERROR(INDEX(INDIRECT($B$3&amp;"."&amp;$B$158&amp;".energy["&amp;This.year&amp;"]"),MATCH($C223&amp;AB$5,INDIRECT($B$3&amp;"."&amp;$B$158&amp;".energy[Tech description]")&amp;INDIRECT($B$3&amp;"."&amp;$B$158&amp;".energy[Energy description]"),0)),0)</f>
        <v>0</v>
      </c>
      <c r="AC223" s="152">
        <f t="array" aca="1" ref="AC223" ca="1">IFERROR(INDEX(INDIRECT($B$3&amp;"."&amp;$B$158&amp;".energy["&amp;This.year&amp;"]"),MATCH($C223&amp;AC$5,INDIRECT($B$3&amp;"."&amp;$B$158&amp;".energy[Tech description]")&amp;INDIRECT($B$3&amp;"."&amp;$B$158&amp;".energy[Energy description]"),0)),0)</f>
        <v>0</v>
      </c>
      <c r="AD223" s="152">
        <f t="array" aca="1" ref="AD223" ca="1">IFERROR(INDEX(INDIRECT($B$3&amp;"."&amp;$B$158&amp;".energy["&amp;This.year&amp;"]"),MATCH($C223&amp;AD$5,INDIRECT($B$3&amp;"."&amp;$B$158&amp;".energy[Tech description]")&amp;INDIRECT($B$3&amp;"."&amp;$B$158&amp;".energy[Energy description]"),0)),0)</f>
        <v>0</v>
      </c>
      <c r="AE223" s="152">
        <f t="array" aca="1" ref="AE223" ca="1">IFERROR(INDEX(INDIRECT($B$3&amp;"."&amp;$B$158&amp;".energy["&amp;This.year&amp;"]"),MATCH($C223&amp;AE$5,INDIRECT($B$3&amp;"."&amp;$B$158&amp;".energy[Tech description]")&amp;INDIRECT($B$3&amp;"."&amp;$B$158&amp;".energy[Energy description]"),0)),0)</f>
        <v>0</v>
      </c>
      <c r="AF223" s="152">
        <f t="array" aca="1" ref="AF223" ca="1">IFERROR(INDEX(INDIRECT($B$3&amp;"."&amp;$B$158&amp;".energy["&amp;This.year&amp;"]"),MATCH($C223&amp;AF$5,INDIRECT($B$3&amp;"."&amp;$B$158&amp;".energy[Tech description]")&amp;INDIRECT($B$3&amp;"."&amp;$B$158&amp;".energy[Energy description]"),0)),0)</f>
        <v>0</v>
      </c>
      <c r="AG223" s="152">
        <f t="array" aca="1" ref="AG223" ca="1">IFERROR(INDEX(INDIRECT($B$3&amp;"."&amp;$B$158&amp;".energy["&amp;This.year&amp;"]"),MATCH($C223&amp;AG$5,INDIRECT($B$3&amp;"."&amp;$B$158&amp;".energy[Tech description]")&amp;INDIRECT($B$3&amp;"."&amp;$B$158&amp;".energy[Energy description]"),0)),0)</f>
        <v>0</v>
      </c>
      <c r="AH223" s="152">
        <f t="array" aca="1" ref="AH223" ca="1">IFERROR(INDEX(INDIRECT($B$3&amp;"."&amp;$B$158&amp;".energy["&amp;This.year&amp;"]"),MATCH($C223&amp;AH$5,INDIRECT($B$3&amp;"."&amp;$B$158&amp;".energy[Tech description]")&amp;INDIRECT($B$3&amp;"."&amp;$B$158&amp;".energy[Energy description]"),0)),0)</f>
        <v>0</v>
      </c>
      <c r="AI223" s="152">
        <f t="array" aca="1" ref="AI223" ca="1">IFERROR(INDEX(INDIRECT($B$3&amp;"."&amp;$B$158&amp;".energy["&amp;This.year&amp;"]"),MATCH($C223&amp;AI$5,INDIRECT($B$3&amp;"."&amp;$B$158&amp;".energy[Tech description]")&amp;INDIRECT($B$3&amp;"."&amp;$B$158&amp;".energy[Energy description]"),0)),0)</f>
        <v>0</v>
      </c>
      <c r="AJ223" s="152">
        <f t="array" aca="1" ref="AJ223" ca="1">IFERROR(INDEX(INDIRECT($B$3&amp;"."&amp;$B$158&amp;".energy["&amp;This.year&amp;"]"),MATCH($C223&amp;AJ$5,INDIRECT($B$3&amp;"."&amp;$B$158&amp;".energy[Tech description]")&amp;INDIRECT($B$3&amp;"."&amp;$B$158&amp;".energy[Energy description]"),0)),0)</f>
        <v>0</v>
      </c>
      <c r="AK223" s="152">
        <f t="array" aca="1" ref="AK223" ca="1">IFERROR(INDEX(INDIRECT($B$3&amp;"."&amp;$B$158&amp;".energy["&amp;This.year&amp;"]"),MATCH($C223&amp;AK$5,INDIRECT($B$3&amp;"."&amp;$B$158&amp;".energy[Tech description]")&amp;INDIRECT($B$3&amp;"."&amp;$B$158&amp;".energy[Energy description]"),0)),0)</f>
        <v>0</v>
      </c>
      <c r="AL223" s="152">
        <f t="array" aca="1" ref="AL223" ca="1">IFERROR(INDEX(INDIRECT($B$3&amp;"."&amp;$B$158&amp;".energy["&amp;This.year&amp;"]"),MATCH($C223&amp;AL$5,INDIRECT($B$3&amp;"."&amp;$B$158&amp;".energy[Tech description]")&amp;INDIRECT($B$3&amp;"."&amp;$B$158&amp;".energy[Energy description]"),0)),0)</f>
        <v>0</v>
      </c>
      <c r="AM223" s="152">
        <f t="array" aca="1" ref="AM223" ca="1">IFERROR(INDEX(INDIRECT($B$3&amp;"."&amp;$B$158&amp;".energy["&amp;This.year&amp;"]"),MATCH($C223&amp;AM$5,INDIRECT($B$3&amp;"."&amp;$B$158&amp;".energy[Tech description]")&amp;INDIRECT($B$3&amp;"."&amp;$B$158&amp;".energy[Energy description]"),0)),0)</f>
        <v>0</v>
      </c>
      <c r="AN223" s="152">
        <f t="array" aca="1" ref="AN223" ca="1">IFERROR(INDEX(INDIRECT($B$3&amp;"."&amp;$B$158&amp;".energy["&amp;This.year&amp;"]"),MATCH($C223&amp;AN$5,INDIRECT($B$3&amp;"."&amp;$B$158&amp;".energy[Tech description]")&amp;INDIRECT($B$3&amp;"."&amp;$B$158&amp;".energy[Energy description]"),0)),0)</f>
        <v>0</v>
      </c>
      <c r="AO223" s="152">
        <f t="shared" ca="1" si="26"/>
        <v>-0.16313870478909601</v>
      </c>
      <c r="AP223" s="108"/>
      <c r="AQ223" s="21">
        <f t="array" aca="1" ref="AQ223" ca="1">IFERROR(INDEX(INDIRECT($B$3&amp;"."&amp;$B$158&amp;".energy["&amp;This.year&amp;"]"),MATCH($C223&amp;AQ$5,INDIRECT($B$3&amp;"."&amp;$B$158&amp;".energy[Tech description]")&amp;INDIRECT($B$3&amp;"."&amp;$B$158&amp;".energy[Energy description]"),0)),0)</f>
        <v>0</v>
      </c>
      <c r="AR223" s="21">
        <f t="array" aca="1" ref="AR223" ca="1">IFERROR(INDEX(INDIRECT($B$3&amp;"."&amp;$B$158&amp;".energy["&amp;This.year&amp;"]"),MATCH($C223&amp;AR$5,INDIRECT($B$3&amp;"."&amp;$B$158&amp;".energy[Tech description]")&amp;INDIRECT($B$3&amp;"."&amp;$B$158&amp;".energy[Energy description]"),0)),0)</f>
        <v>0</v>
      </c>
      <c r="AS223" s="21">
        <f t="array" aca="1" ref="AS223" ca="1">IFERROR(INDEX(INDIRECT($B$3&amp;"."&amp;$B$158&amp;".energy["&amp;This.year&amp;"]"),MATCH($C223&amp;AS$5,INDIRECT($B$3&amp;"."&amp;$B$158&amp;".energy[Tech description]")&amp;INDIRECT($B$3&amp;"."&amp;$B$158&amp;".energy[Energy description]"),0)),0)</f>
        <v>0</v>
      </c>
      <c r="AT223" s="21">
        <f t="array" aca="1" ref="AT223" ca="1">IFERROR(INDEX(INDIRECT($B$3&amp;"."&amp;$B$158&amp;".energy["&amp;This.year&amp;"]"),MATCH($C223&amp;AT$5,INDIRECT($B$3&amp;"."&amp;$B$158&amp;".energy[Tech description]")&amp;INDIRECT($B$3&amp;"."&amp;$B$158&amp;".energy[Energy description]"),0)),0)</f>
        <v>0</v>
      </c>
      <c r="AU223" s="21">
        <f t="array" aca="1" ref="AU223" ca="1">IFERROR(INDEX(INDIRECT($B$3&amp;"."&amp;$B$158&amp;".energy["&amp;This.year&amp;"]"),MATCH($C223&amp;AU$5,INDIRECT($B$3&amp;"."&amp;$B$158&amp;".energy[Tech description]")&amp;INDIRECT($B$3&amp;"."&amp;$B$158&amp;".energy[Energy description]"),0)),0)</f>
        <v>0</v>
      </c>
      <c r="AV223" s="21">
        <f t="array" aca="1" ref="AV223" ca="1">IFERROR(INDEX(INDIRECT($B$3&amp;"."&amp;$B$158&amp;".energy["&amp;This.year&amp;"]"),MATCH($C223&amp;AV$5,INDIRECT($B$3&amp;"."&amp;$B$158&amp;".energy[Tech description]")&amp;INDIRECT($B$3&amp;"."&amp;$B$158&amp;".energy[Energy description]"),0)),0)</f>
        <v>0</v>
      </c>
      <c r="AW223" s="21">
        <f t="array" aca="1" ref="AW223" ca="1">IFERROR(INDEX(INDIRECT($B$3&amp;"."&amp;$B$158&amp;".energy["&amp;This.year&amp;"]"),MATCH($C223&amp;AW$5,INDIRECT($B$3&amp;"."&amp;$B$158&amp;".energy[Tech description]")&amp;INDIRECT($B$3&amp;"."&amp;$B$158&amp;".energy[Energy description]"),0)),0)</f>
        <v>0</v>
      </c>
      <c r="AX223" s="21">
        <f t="array" aca="1" ref="AX223" ca="1">IFERROR(INDEX(INDIRECT($B$3&amp;"."&amp;$B$158&amp;".energy["&amp;This.year&amp;"]"),MATCH($C223&amp;AX$5,INDIRECT($B$3&amp;"."&amp;$B$158&amp;".energy[Tech description]")&amp;INDIRECT($B$3&amp;"."&amp;$B$158&amp;".energy[Energy description]"),0)),0)</f>
        <v>0</v>
      </c>
      <c r="AY223" s="21">
        <f t="array" aca="1" ref="AY223" ca="1">IFERROR(INDEX(INDIRECT($B$3&amp;"."&amp;$B$158&amp;".energy["&amp;This.year&amp;"]"),MATCH($C223&amp;AY$5,INDIRECT($B$3&amp;"."&amp;$B$158&amp;".energy[Tech description]")&amp;INDIRECT($B$3&amp;"."&amp;$B$158&amp;".energy[Energy description]"),0)),0)</f>
        <v>0</v>
      </c>
      <c r="AZ223" s="21">
        <f t="array" aca="1" ref="AZ223" ca="1">IFERROR(INDEX(INDIRECT($B$3&amp;"."&amp;$B$158&amp;".energy["&amp;This.year&amp;"]"),MATCH($C223&amp;AZ$5,INDIRECT($B$3&amp;"."&amp;$B$158&amp;".energy[Tech description]")&amp;INDIRECT($B$3&amp;"."&amp;$B$158&amp;".energy[Energy description]"),0)),0)</f>
        <v>0</v>
      </c>
      <c r="BA223" s="21">
        <f t="array" aca="1" ref="BA223" ca="1">IFERROR(INDEX(INDIRECT($B$3&amp;"."&amp;$B$158&amp;".energy["&amp;This.year&amp;"]"),MATCH($C223&amp;BA$5,INDIRECT($B$3&amp;"."&amp;$B$158&amp;".energy[Tech description]")&amp;INDIRECT($B$3&amp;"."&amp;$B$158&amp;".energy[Energy description]"),0)),0)</f>
        <v>0</v>
      </c>
      <c r="BB223" s="21">
        <f t="array" aca="1" ref="BB223" ca="1">IFERROR(INDEX(INDIRECT($B$3&amp;"."&amp;$B$158&amp;".energy["&amp;This.year&amp;"]"),MATCH($C223&amp;BB$5,INDIRECT($B$3&amp;"."&amp;$B$158&amp;".energy[Tech description]")&amp;INDIRECT($B$3&amp;"."&amp;$B$158&amp;".energy[Energy description]"),0)),0)</f>
        <v>0</v>
      </c>
      <c r="BC223" s="21">
        <f t="array" aca="1" ref="BC223" ca="1">IFERROR(INDEX(INDIRECT($B$3&amp;"."&amp;$B$158&amp;".energy["&amp;This.year&amp;"]"),MATCH($C223&amp;BC$5,INDIRECT($B$3&amp;"."&amp;$B$158&amp;".energy[Tech description]")&amp;INDIRECT($B$3&amp;"."&amp;$B$158&amp;".energy[Energy description]"),0)),0)</f>
        <v>0</v>
      </c>
      <c r="BD223" s="21">
        <f t="shared" ca="1" si="27"/>
        <v>0</v>
      </c>
      <c r="BE223" s="108"/>
      <c r="BF223" s="49">
        <f t="array" aca="1" ref="BF223" ca="1">IFERROR(INDEX(INDIRECT($B$3&amp;"."&amp;$B$158&amp;".energy["&amp;This.year&amp;"]"),MATCH($C223&amp;BF$5,INDIRECT($B$3&amp;"."&amp;$B$158&amp;".energy[Tech description]")&amp;INDIRECT($B$3&amp;"."&amp;$B$158&amp;".energy[Energy description]"),0)),0)</f>
        <v>0</v>
      </c>
      <c r="BG223" s="49">
        <f t="array" aca="1" ref="BG223" ca="1">IFERROR(INDEX(INDIRECT($B$3&amp;"."&amp;$B$158&amp;".energy["&amp;This.year&amp;"]"),MATCH($C223&amp;BG$5,INDIRECT($B$3&amp;"."&amp;$B$158&amp;".energy[Tech description]")&amp;INDIRECT($B$3&amp;"."&amp;$B$158&amp;".energy[Energy description]"),0)),0)</f>
        <v>0</v>
      </c>
      <c r="BH223" s="49">
        <f t="shared" ca="1" si="28"/>
        <v>0</v>
      </c>
      <c r="BI223" s="219">
        <f t="shared" ca="1" si="9"/>
        <v>0</v>
      </c>
      <c r="BJ223" s="108"/>
    </row>
    <row r="224" spans="1:62" s="54" customFormat="1">
      <c r="A224" s="133"/>
      <c r="B224" s="176" t="s">
        <v>1844</v>
      </c>
      <c r="C224" s="114" t="str">
        <f>INDEX(Regional.Technologies[Description],MATCH($B$3&amp;"."&amp;B224,Regional.Technologies[Code],0))</f>
        <v>Global Heat use in the Chemicals: Others technology</v>
      </c>
      <c r="E224" s="121">
        <f t="array" aca="1" ref="E224" ca="1">IFERROR(INDEX(INDIRECT($B$3&amp;"."&amp;$B$158&amp;".energy["&amp;This.year&amp;"]"),MATCH($C224&amp;E$5,INDIRECT($B$3&amp;"."&amp;$B$158&amp;".energy[Tech description]")&amp;INDIRECT($B$3&amp;"."&amp;$B$158&amp;".energy[Energy description]"),0)),0)</f>
        <v>0</v>
      </c>
      <c r="F224" s="121">
        <f t="array" aca="1" ref="F224" ca="1">IFERROR(INDEX(INDIRECT($B$3&amp;"."&amp;$B$158&amp;".energy["&amp;This.year&amp;"]"),MATCH($C224&amp;F$5,INDIRECT($B$3&amp;"."&amp;$B$158&amp;".energy[Tech description]")&amp;INDIRECT($B$3&amp;"."&amp;$B$158&amp;".energy[Energy description]"),0)),0)</f>
        <v>0</v>
      </c>
      <c r="G224" s="121">
        <f t="array" aca="1" ref="G224" ca="1">IFERROR(INDEX(INDIRECT($B$3&amp;"."&amp;$B$158&amp;".energy["&amp;This.year&amp;"]"),MATCH($C224&amp;G$5,INDIRECT($B$3&amp;"."&amp;$B$158&amp;".energy[Tech description]")&amp;INDIRECT($B$3&amp;"."&amp;$B$158&amp;".energy[Energy description]"),0)),0)</f>
        <v>0</v>
      </c>
      <c r="H224" s="121">
        <f t="array" aca="1" ref="H224" ca="1">IFERROR(INDEX(INDIRECT($B$3&amp;"."&amp;$B$158&amp;".energy["&amp;This.year&amp;"]"),MATCH($C224&amp;H$5,INDIRECT($B$3&amp;"."&amp;$B$158&amp;".energy[Tech description]")&amp;INDIRECT($B$3&amp;"."&amp;$B$158&amp;".energy[Energy description]"),0)),0)</f>
        <v>0</v>
      </c>
      <c r="I224" s="121">
        <f t="array" aca="1" ref="I224" ca="1">IFERROR(INDEX(INDIRECT($B$3&amp;"."&amp;$B$158&amp;".energy["&amp;This.year&amp;"]"),MATCH($C224&amp;I$5,INDIRECT($B$3&amp;"."&amp;$B$158&amp;".energy[Tech description]")&amp;INDIRECT($B$3&amp;"."&amp;$B$158&amp;".energy[Energy description]"),0)),0)</f>
        <v>0</v>
      </c>
      <c r="J224" s="121">
        <f t="array" aca="1" ref="J224" ca="1">IFERROR(INDEX(INDIRECT($B$3&amp;"."&amp;$B$158&amp;".energy["&amp;This.year&amp;"]"),MATCH($C224&amp;J$5,INDIRECT($B$3&amp;"."&amp;$B$158&amp;".energy[Tech description]")&amp;INDIRECT($B$3&amp;"."&amp;$B$158&amp;".energy[Energy description]"),0)),0)</f>
        <v>1.9701384317850921</v>
      </c>
      <c r="K224" s="121">
        <f t="array" aca="1" ref="K224" ca="1">IFERROR(INDEX(INDIRECT($B$3&amp;"."&amp;$B$158&amp;".energy["&amp;This.year&amp;"]"),MATCH($C224&amp;K$5,INDIRECT($B$3&amp;"."&amp;$B$158&amp;".energy[Tech description]")&amp;INDIRECT($B$3&amp;"."&amp;$B$158&amp;".energy[Energy description]"),0)),0)</f>
        <v>0</v>
      </c>
      <c r="L224" s="121">
        <f t="array" aca="1" ref="L224" ca="1">IFERROR(INDEX(INDIRECT($B$3&amp;"."&amp;$B$158&amp;".energy["&amp;This.year&amp;"]"),MATCH($C224&amp;L$5,INDIRECT($B$3&amp;"."&amp;$B$158&amp;".energy[Tech description]")&amp;INDIRECT($B$3&amp;"."&amp;$B$158&amp;".energy[Energy description]"),0)),0)</f>
        <v>0</v>
      </c>
      <c r="M224" s="121">
        <f t="array" aca="1" ref="M224" ca="1">IFERROR(INDEX(INDIRECT($B$3&amp;"."&amp;$B$158&amp;".energy["&amp;This.year&amp;"]"),MATCH($C224&amp;M$5,INDIRECT($B$3&amp;"."&amp;$B$158&amp;".energy[Tech description]")&amp;INDIRECT($B$3&amp;"."&amp;$B$158&amp;".energy[Energy description]"),0)),0)</f>
        <v>0</v>
      </c>
      <c r="N224" s="121">
        <f t="array" aca="1" ref="N224" ca="1">IFERROR(INDEX(INDIRECT($B$3&amp;"."&amp;$B$158&amp;".energy["&amp;This.year&amp;"]"),MATCH($C224&amp;N$5,INDIRECT($B$3&amp;"."&amp;$B$158&amp;".energy[Tech description]")&amp;INDIRECT($B$3&amp;"."&amp;$B$158&amp;".energy[Energy description]"),0)),0)</f>
        <v>0</v>
      </c>
      <c r="O224" s="121">
        <f t="array" aca="1" ref="O224" ca="1">IFERROR(INDEX(INDIRECT($B$3&amp;"."&amp;$B$158&amp;".energy["&amp;This.year&amp;"]"),MATCH($C224&amp;O$5,INDIRECT($B$3&amp;"."&amp;$B$158&amp;".energy[Tech description]")&amp;INDIRECT($B$3&amp;"."&amp;$B$158&amp;".energy[Energy description]"),0)),0)</f>
        <v>0</v>
      </c>
      <c r="P224" s="121">
        <f t="array" aca="1" ref="P224" ca="1">IFERROR(INDEX(INDIRECT($B$3&amp;"."&amp;$B$158&amp;".energy["&amp;This.year&amp;"]"),MATCH($C224&amp;P$5,INDIRECT($B$3&amp;"."&amp;$B$158&amp;".energy[Tech description]")&amp;INDIRECT($B$3&amp;"."&amp;$B$158&amp;".energy[Energy description]"),0)),0)</f>
        <v>0</v>
      </c>
      <c r="Q224" s="121">
        <f t="array" aca="1" ref="Q224" ca="1">IFERROR(INDEX(INDIRECT($B$3&amp;"."&amp;$B$158&amp;".energy["&amp;This.year&amp;"]"),MATCH($C224&amp;Q$5,INDIRECT($B$3&amp;"."&amp;$B$158&amp;".energy[Tech description]")&amp;INDIRECT($B$3&amp;"."&amp;$B$158&amp;".energy[Energy description]"),0)),0)</f>
        <v>0</v>
      </c>
      <c r="R224" s="121">
        <f t="array" aca="1" ref="R224" ca="1">IFERROR(INDEX(INDIRECT($B$3&amp;"."&amp;$B$158&amp;".energy["&amp;This.year&amp;"]"),MATCH($C224&amp;R$5,INDIRECT($B$3&amp;"."&amp;$B$158&amp;".energy[Tech description]")&amp;INDIRECT($B$3&amp;"."&amp;$B$158&amp;".energy[Energy description]"),0)),0)</f>
        <v>0</v>
      </c>
      <c r="S224" s="121">
        <f t="array" aca="1" ref="S224" ca="1">IFERROR(INDEX(INDIRECT($B$3&amp;"."&amp;$B$158&amp;".energy["&amp;This.year&amp;"]"),MATCH($C224&amp;S$5,INDIRECT($B$3&amp;"."&amp;$B$158&amp;".energy[Tech description]")&amp;INDIRECT($B$3&amp;"."&amp;$B$158&amp;".energy[Energy description]"),0)),0)</f>
        <v>0</v>
      </c>
      <c r="T224" s="121">
        <f t="shared" ca="1" si="25"/>
        <v>1.9701384317850921</v>
      </c>
      <c r="U224" s="109"/>
      <c r="V224" s="152">
        <f t="array" aca="1" ref="V224" ca="1">IFERROR(INDEX(INDIRECT($B$3&amp;"."&amp;$B$158&amp;".energy["&amp;This.year&amp;"]"),MATCH($C224&amp;V$5,INDIRECT($B$3&amp;"."&amp;$B$158&amp;".energy[Tech description]")&amp;INDIRECT($B$3&amp;"."&amp;$B$158&amp;".energy[Energy description]"),0)),0)</f>
        <v>0</v>
      </c>
      <c r="W224" s="152">
        <f t="array" aca="1" ref="W224" ca="1">IFERROR(INDEX(INDIRECT($B$3&amp;"."&amp;$B$158&amp;".energy["&amp;This.year&amp;"]"),MATCH($C224&amp;W$5,INDIRECT($B$3&amp;"."&amp;$B$158&amp;".energy[Tech description]")&amp;INDIRECT($B$3&amp;"."&amp;$B$158&amp;".energy[Energy description]"),0)),0)</f>
        <v>0</v>
      </c>
      <c r="X224" s="152">
        <f t="array" aca="1" ref="X224" ca="1">IFERROR(INDEX(INDIRECT($B$3&amp;"."&amp;$B$158&amp;".energy["&amp;This.year&amp;"]"),MATCH($C224&amp;X$5,INDIRECT($B$3&amp;"."&amp;$B$158&amp;".energy[Tech description]")&amp;INDIRECT($B$3&amp;"."&amp;$B$158&amp;".energy[Energy description]"),0)),0)</f>
        <v>0</v>
      </c>
      <c r="Y224" s="152">
        <f t="array" aca="1" ref="Y224" ca="1">IFERROR(INDEX(INDIRECT($B$3&amp;"."&amp;$B$158&amp;".energy["&amp;This.year&amp;"]"),MATCH($C224&amp;Y$5,INDIRECT($B$3&amp;"."&amp;$B$158&amp;".energy[Tech description]")&amp;INDIRECT($B$3&amp;"."&amp;$B$158&amp;".energy[Energy description]"),0)),0)</f>
        <v>0</v>
      </c>
      <c r="Z224" s="152">
        <f t="array" aca="1" ref="Z224" ca="1">IFERROR(INDEX(INDIRECT($B$3&amp;"."&amp;$B$158&amp;".energy["&amp;This.year&amp;"]"),MATCH($C224&amp;Z$5,INDIRECT($B$3&amp;"."&amp;$B$158&amp;".energy[Tech description]")&amp;INDIRECT($B$3&amp;"."&amp;$B$158&amp;".energy[Energy description]"),0)),0)</f>
        <v>0</v>
      </c>
      <c r="AA224" s="152">
        <f t="array" aca="1" ref="AA224" ca="1">IFERROR(INDEX(INDIRECT($B$3&amp;"."&amp;$B$158&amp;".energy["&amp;This.year&amp;"]"),MATCH($C224&amp;AA$5,INDIRECT($B$3&amp;"."&amp;$B$158&amp;".energy[Tech description]")&amp;INDIRECT($B$3&amp;"."&amp;$B$158&amp;".energy[Energy description]"),0)),0)</f>
        <v>0</v>
      </c>
      <c r="AB224" s="152">
        <f t="array" aca="1" ref="AB224" ca="1">IFERROR(INDEX(INDIRECT($B$3&amp;"."&amp;$B$158&amp;".energy["&amp;This.year&amp;"]"),MATCH($C224&amp;AB$5,INDIRECT($B$3&amp;"."&amp;$B$158&amp;".energy[Tech description]")&amp;INDIRECT($B$3&amp;"."&amp;$B$158&amp;".energy[Energy description]"),0)),0)</f>
        <v>0</v>
      </c>
      <c r="AC224" s="152">
        <f t="array" aca="1" ref="AC224" ca="1">IFERROR(INDEX(INDIRECT($B$3&amp;"."&amp;$B$158&amp;".energy["&amp;This.year&amp;"]"),MATCH($C224&amp;AC$5,INDIRECT($B$3&amp;"."&amp;$B$158&amp;".energy[Tech description]")&amp;INDIRECT($B$3&amp;"."&amp;$B$158&amp;".energy[Energy description]"),0)),0)</f>
        <v>0</v>
      </c>
      <c r="AD224" s="152">
        <f t="array" aca="1" ref="AD224" ca="1">IFERROR(INDEX(INDIRECT($B$3&amp;"."&amp;$B$158&amp;".energy["&amp;This.year&amp;"]"),MATCH($C224&amp;AD$5,INDIRECT($B$3&amp;"."&amp;$B$158&amp;".energy[Tech description]")&amp;INDIRECT($B$3&amp;"."&amp;$B$158&amp;".energy[Energy description]"),0)),0)</f>
        <v>0</v>
      </c>
      <c r="AE224" s="152">
        <f t="array" aca="1" ref="AE224" ca="1">IFERROR(INDEX(INDIRECT($B$3&amp;"."&amp;$B$158&amp;".energy["&amp;This.year&amp;"]"),MATCH($C224&amp;AE$5,INDIRECT($B$3&amp;"."&amp;$B$158&amp;".energy[Tech description]")&amp;INDIRECT($B$3&amp;"."&amp;$B$158&amp;".energy[Energy description]"),0)),0)</f>
        <v>0</v>
      </c>
      <c r="AF224" s="152">
        <f t="array" aca="1" ref="AF224" ca="1">IFERROR(INDEX(INDIRECT($B$3&amp;"."&amp;$B$158&amp;".energy["&amp;This.year&amp;"]"),MATCH($C224&amp;AF$5,INDIRECT($B$3&amp;"."&amp;$B$158&amp;".energy[Tech description]")&amp;INDIRECT($B$3&amp;"."&amp;$B$158&amp;".energy[Energy description]"),0)),0)</f>
        <v>0</v>
      </c>
      <c r="AG224" s="152">
        <f t="array" aca="1" ref="AG224" ca="1">IFERROR(INDEX(INDIRECT($B$3&amp;"."&amp;$B$158&amp;".energy["&amp;This.year&amp;"]"),MATCH($C224&amp;AG$5,INDIRECT($B$3&amp;"."&amp;$B$158&amp;".energy[Tech description]")&amp;INDIRECT($B$3&amp;"."&amp;$B$158&amp;".energy[Energy description]"),0)),0)</f>
        <v>0</v>
      </c>
      <c r="AH224" s="152">
        <f t="array" aca="1" ref="AH224" ca="1">IFERROR(INDEX(INDIRECT($B$3&amp;"."&amp;$B$158&amp;".energy["&amp;This.year&amp;"]"),MATCH($C224&amp;AH$5,INDIRECT($B$3&amp;"."&amp;$B$158&amp;".energy[Tech description]")&amp;INDIRECT($B$3&amp;"."&amp;$B$158&amp;".energy[Energy description]"),0)),0)</f>
        <v>0</v>
      </c>
      <c r="AI224" s="152">
        <f t="array" aca="1" ref="AI224" ca="1">IFERROR(INDEX(INDIRECT($B$3&amp;"."&amp;$B$158&amp;".energy["&amp;This.year&amp;"]"),MATCH($C224&amp;AI$5,INDIRECT($B$3&amp;"."&amp;$B$158&amp;".energy[Tech description]")&amp;INDIRECT($B$3&amp;"."&amp;$B$158&amp;".energy[Energy description]"),0)),0)</f>
        <v>0</v>
      </c>
      <c r="AJ224" s="152">
        <f t="array" aca="1" ref="AJ224" ca="1">IFERROR(INDEX(INDIRECT($B$3&amp;"."&amp;$B$158&amp;".energy["&amp;This.year&amp;"]"),MATCH($C224&amp;AJ$5,INDIRECT($B$3&amp;"."&amp;$B$158&amp;".energy[Tech description]")&amp;INDIRECT($B$3&amp;"."&amp;$B$158&amp;".energy[Energy description]"),0)),0)</f>
        <v>0</v>
      </c>
      <c r="AK224" s="152">
        <f t="array" aca="1" ref="AK224" ca="1">IFERROR(INDEX(INDIRECT($B$3&amp;"."&amp;$B$158&amp;".energy["&amp;This.year&amp;"]"),MATCH($C224&amp;AK$5,INDIRECT($B$3&amp;"."&amp;$B$158&amp;".energy[Tech description]")&amp;INDIRECT($B$3&amp;"."&amp;$B$158&amp;".energy[Energy description]"),0)),0)</f>
        <v>0</v>
      </c>
      <c r="AL224" s="152">
        <f t="array" aca="1" ref="AL224" ca="1">IFERROR(INDEX(INDIRECT($B$3&amp;"."&amp;$B$158&amp;".energy["&amp;This.year&amp;"]"),MATCH($C224&amp;AL$5,INDIRECT($B$3&amp;"."&amp;$B$158&amp;".energy[Tech description]")&amp;INDIRECT($B$3&amp;"."&amp;$B$158&amp;".energy[Energy description]"),0)),0)</f>
        <v>-1.9701384317850921</v>
      </c>
      <c r="AM224" s="152">
        <f t="array" aca="1" ref="AM224" ca="1">IFERROR(INDEX(INDIRECT($B$3&amp;"."&amp;$B$158&amp;".energy["&amp;This.year&amp;"]"),MATCH($C224&amp;AM$5,INDIRECT($B$3&amp;"."&amp;$B$158&amp;".energy[Tech description]")&amp;INDIRECT($B$3&amp;"."&amp;$B$158&amp;".energy[Energy description]"),0)),0)</f>
        <v>0</v>
      </c>
      <c r="AN224" s="152">
        <f t="array" aca="1" ref="AN224" ca="1">IFERROR(INDEX(INDIRECT($B$3&amp;"."&amp;$B$158&amp;".energy["&amp;This.year&amp;"]"),MATCH($C224&amp;AN$5,INDIRECT($B$3&amp;"."&amp;$B$158&amp;".energy[Tech description]")&amp;INDIRECT($B$3&amp;"."&amp;$B$158&amp;".energy[Energy description]"),0)),0)</f>
        <v>0</v>
      </c>
      <c r="AO224" s="152">
        <f t="shared" ca="1" si="26"/>
        <v>-1.9701384317850921</v>
      </c>
      <c r="AP224" s="108"/>
      <c r="AQ224" s="21">
        <f t="array" aca="1" ref="AQ224" ca="1">IFERROR(INDEX(INDIRECT($B$3&amp;"."&amp;$B$158&amp;".energy["&amp;This.year&amp;"]"),MATCH($C224&amp;AQ$5,INDIRECT($B$3&amp;"."&amp;$B$158&amp;".energy[Tech description]")&amp;INDIRECT($B$3&amp;"."&amp;$B$158&amp;".energy[Energy description]"),0)),0)</f>
        <v>0</v>
      </c>
      <c r="AR224" s="21">
        <f t="array" aca="1" ref="AR224" ca="1">IFERROR(INDEX(INDIRECT($B$3&amp;"."&amp;$B$158&amp;".energy["&amp;This.year&amp;"]"),MATCH($C224&amp;AR$5,INDIRECT($B$3&amp;"."&amp;$B$158&amp;".energy[Tech description]")&amp;INDIRECT($B$3&amp;"."&amp;$B$158&amp;".energy[Energy description]"),0)),0)</f>
        <v>0</v>
      </c>
      <c r="AS224" s="21">
        <f t="array" aca="1" ref="AS224" ca="1">IFERROR(INDEX(INDIRECT($B$3&amp;"."&amp;$B$158&amp;".energy["&amp;This.year&amp;"]"),MATCH($C224&amp;AS$5,INDIRECT($B$3&amp;"."&amp;$B$158&amp;".energy[Tech description]")&amp;INDIRECT($B$3&amp;"."&amp;$B$158&amp;".energy[Energy description]"),0)),0)</f>
        <v>0</v>
      </c>
      <c r="AT224" s="21">
        <f t="array" aca="1" ref="AT224" ca="1">IFERROR(INDEX(INDIRECT($B$3&amp;"."&amp;$B$158&amp;".energy["&amp;This.year&amp;"]"),MATCH($C224&amp;AT$5,INDIRECT($B$3&amp;"."&amp;$B$158&amp;".energy[Tech description]")&amp;INDIRECT($B$3&amp;"."&amp;$B$158&amp;".energy[Energy description]"),0)),0)</f>
        <v>0</v>
      </c>
      <c r="AU224" s="21">
        <f t="array" aca="1" ref="AU224" ca="1">IFERROR(INDEX(INDIRECT($B$3&amp;"."&amp;$B$158&amp;".energy["&amp;This.year&amp;"]"),MATCH($C224&amp;AU$5,INDIRECT($B$3&amp;"."&amp;$B$158&amp;".energy[Tech description]")&amp;INDIRECT($B$3&amp;"."&amp;$B$158&amp;".energy[Energy description]"),0)),0)</f>
        <v>0</v>
      </c>
      <c r="AV224" s="21">
        <f t="array" aca="1" ref="AV224" ca="1">IFERROR(INDEX(INDIRECT($B$3&amp;"."&amp;$B$158&amp;".energy["&amp;This.year&amp;"]"),MATCH($C224&amp;AV$5,INDIRECT($B$3&amp;"."&amp;$B$158&amp;".energy[Tech description]")&amp;INDIRECT($B$3&amp;"."&amp;$B$158&amp;".energy[Energy description]"),0)),0)</f>
        <v>0</v>
      </c>
      <c r="AW224" s="21">
        <f t="array" aca="1" ref="AW224" ca="1">IFERROR(INDEX(INDIRECT($B$3&amp;"."&amp;$B$158&amp;".energy["&amp;This.year&amp;"]"),MATCH($C224&amp;AW$5,INDIRECT($B$3&amp;"."&amp;$B$158&amp;".energy[Tech description]")&amp;INDIRECT($B$3&amp;"."&amp;$B$158&amp;".energy[Energy description]"),0)),0)</f>
        <v>0</v>
      </c>
      <c r="AX224" s="21">
        <f t="array" aca="1" ref="AX224" ca="1">IFERROR(INDEX(INDIRECT($B$3&amp;"."&amp;$B$158&amp;".energy["&amp;This.year&amp;"]"),MATCH($C224&amp;AX$5,INDIRECT($B$3&amp;"."&amp;$B$158&amp;".energy[Tech description]")&amp;INDIRECT($B$3&amp;"."&amp;$B$158&amp;".energy[Energy description]"),0)),0)</f>
        <v>0</v>
      </c>
      <c r="AY224" s="21">
        <f t="array" aca="1" ref="AY224" ca="1">IFERROR(INDEX(INDIRECT($B$3&amp;"."&amp;$B$158&amp;".energy["&amp;This.year&amp;"]"),MATCH($C224&amp;AY$5,INDIRECT($B$3&amp;"."&amp;$B$158&amp;".energy[Tech description]")&amp;INDIRECT($B$3&amp;"."&amp;$B$158&amp;".energy[Energy description]"),0)),0)</f>
        <v>0</v>
      </c>
      <c r="AZ224" s="21">
        <f t="array" aca="1" ref="AZ224" ca="1">IFERROR(INDEX(INDIRECT($B$3&amp;"."&amp;$B$158&amp;".energy["&amp;This.year&amp;"]"),MATCH($C224&amp;AZ$5,INDIRECT($B$3&amp;"."&amp;$B$158&amp;".energy[Tech description]")&amp;INDIRECT($B$3&amp;"."&amp;$B$158&amp;".energy[Energy description]"),0)),0)</f>
        <v>0</v>
      </c>
      <c r="BA224" s="21">
        <f t="array" aca="1" ref="BA224" ca="1">IFERROR(INDEX(INDIRECT($B$3&amp;"."&amp;$B$158&amp;".energy["&amp;This.year&amp;"]"),MATCH($C224&amp;BA$5,INDIRECT($B$3&amp;"."&amp;$B$158&amp;".energy[Tech description]")&amp;INDIRECT($B$3&amp;"."&amp;$B$158&amp;".energy[Energy description]"),0)),0)</f>
        <v>0</v>
      </c>
      <c r="BB224" s="21">
        <f t="array" aca="1" ref="BB224" ca="1">IFERROR(INDEX(INDIRECT($B$3&amp;"."&amp;$B$158&amp;".energy["&amp;This.year&amp;"]"),MATCH($C224&amp;BB$5,INDIRECT($B$3&amp;"."&amp;$B$158&amp;".energy[Tech description]")&amp;INDIRECT($B$3&amp;"."&amp;$B$158&amp;".energy[Energy description]"),0)),0)</f>
        <v>0</v>
      </c>
      <c r="BC224" s="21">
        <f t="array" aca="1" ref="BC224" ca="1">IFERROR(INDEX(INDIRECT($B$3&amp;"."&amp;$B$158&amp;".energy["&amp;This.year&amp;"]"),MATCH($C224&amp;BC$5,INDIRECT($B$3&amp;"."&amp;$B$158&amp;".energy[Tech description]")&amp;INDIRECT($B$3&amp;"."&amp;$B$158&amp;".energy[Energy description]"),0)),0)</f>
        <v>0</v>
      </c>
      <c r="BD224" s="21">
        <f t="shared" ca="1" si="27"/>
        <v>0</v>
      </c>
      <c r="BE224" s="108"/>
      <c r="BF224" s="49">
        <f t="array" aca="1" ref="BF224" ca="1">IFERROR(INDEX(INDIRECT($B$3&amp;"."&amp;$B$158&amp;".energy["&amp;This.year&amp;"]"),MATCH($C224&amp;BF$5,INDIRECT($B$3&amp;"."&amp;$B$158&amp;".energy[Tech description]")&amp;INDIRECT($B$3&amp;"."&amp;$B$158&amp;".energy[Energy description]"),0)),0)</f>
        <v>0</v>
      </c>
      <c r="BG224" s="49">
        <f t="array" aca="1" ref="BG224" ca="1">IFERROR(INDEX(INDIRECT($B$3&amp;"."&amp;$B$158&amp;".energy["&amp;This.year&amp;"]"),MATCH($C224&amp;BG$5,INDIRECT($B$3&amp;"."&amp;$B$158&amp;".energy[Tech description]")&amp;INDIRECT($B$3&amp;"."&amp;$B$158&amp;".energy[Energy description]"),0)),0)</f>
        <v>0</v>
      </c>
      <c r="BH224" s="49">
        <f t="shared" ca="1" si="28"/>
        <v>0</v>
      </c>
      <c r="BI224" s="219">
        <f t="shared" ca="1" si="9"/>
        <v>0</v>
      </c>
      <c r="BJ224" s="108"/>
    </row>
    <row r="225" spans="1:62" s="54" customFormat="1">
      <c r="A225" s="133"/>
      <c r="B225" s="176"/>
      <c r="C225" s="114"/>
      <c r="E225" s="121"/>
      <c r="F225" s="121"/>
      <c r="G225" s="121"/>
      <c r="H225" s="121"/>
      <c r="I225" s="121"/>
      <c r="J225" s="121"/>
      <c r="K225" s="121"/>
      <c r="L225" s="121"/>
      <c r="M225" s="121"/>
      <c r="N225" s="121"/>
      <c r="O225" s="121"/>
      <c r="P225" s="121"/>
      <c r="Q225" s="121"/>
      <c r="R225" s="121"/>
      <c r="S225" s="121"/>
      <c r="T225" s="121"/>
      <c r="U225" s="109"/>
      <c r="V225" s="152"/>
      <c r="W225" s="152"/>
      <c r="X225" s="152"/>
      <c r="Y225" s="152"/>
      <c r="Z225" s="152"/>
      <c r="AA225" s="152"/>
      <c r="AB225" s="152"/>
      <c r="AC225" s="152"/>
      <c r="AD225" s="152"/>
      <c r="AE225" s="152"/>
      <c r="AF225" s="152"/>
      <c r="AG225" s="152"/>
      <c r="AH225" s="152"/>
      <c r="AI225" s="152"/>
      <c r="AJ225" s="152"/>
      <c r="AK225" s="152"/>
      <c r="AL225" s="152"/>
      <c r="AM225" s="152"/>
      <c r="AN225" s="152"/>
      <c r="AO225" s="152"/>
      <c r="AP225" s="108"/>
      <c r="AQ225" s="21"/>
      <c r="AR225" s="21"/>
      <c r="AS225" s="21"/>
      <c r="AT225" s="21"/>
      <c r="AU225" s="21"/>
      <c r="AV225" s="21"/>
      <c r="AW225" s="21"/>
      <c r="AX225" s="21"/>
      <c r="AY225" s="21"/>
      <c r="AZ225" s="21"/>
      <c r="BA225" s="21"/>
      <c r="BB225" s="21"/>
      <c r="BC225" s="21"/>
      <c r="BD225" s="21"/>
      <c r="BE225" s="108"/>
      <c r="BF225" s="49"/>
      <c r="BG225" s="49"/>
      <c r="BH225" s="49"/>
      <c r="BI225" s="219"/>
      <c r="BJ225" s="108"/>
    </row>
    <row r="226" spans="1:62" s="54" customFormat="1">
      <c r="A226" s="133"/>
      <c r="B226" s="176"/>
      <c r="C226" s="187" t="s">
        <v>2414</v>
      </c>
      <c r="E226" s="121">
        <f ca="1">SUM(E227:E244)</f>
        <v>0</v>
      </c>
      <c r="F226" s="121">
        <f t="shared" ref="F226:T226" ca="1" si="29">SUM(F227:F244)</f>
        <v>0</v>
      </c>
      <c r="G226" s="121">
        <f t="shared" ca="1" si="29"/>
        <v>0</v>
      </c>
      <c r="H226" s="121">
        <f t="shared" ca="1" si="29"/>
        <v>0</v>
      </c>
      <c r="I226" s="121">
        <f t="shared" ca="1" si="29"/>
        <v>0</v>
      </c>
      <c r="J226" s="121">
        <f t="shared" ca="1" si="29"/>
        <v>6.6113659049698867</v>
      </c>
      <c r="K226" s="121">
        <f t="shared" ca="1" si="29"/>
        <v>0</v>
      </c>
      <c r="L226" s="121">
        <f t="shared" ca="1" si="29"/>
        <v>0</v>
      </c>
      <c r="M226" s="121">
        <f t="shared" ca="1" si="29"/>
        <v>0</v>
      </c>
      <c r="N226" s="121">
        <f t="shared" ca="1" si="29"/>
        <v>0</v>
      </c>
      <c r="O226" s="121">
        <f t="shared" ref="O226" ca="1" si="30">SUM(O227:O244)</f>
        <v>0</v>
      </c>
      <c r="P226" s="121">
        <f t="shared" ca="1" si="29"/>
        <v>0</v>
      </c>
      <c r="Q226" s="121">
        <f t="shared" ca="1" si="29"/>
        <v>0</v>
      </c>
      <c r="R226" s="121">
        <f t="shared" ca="1" si="29"/>
        <v>0</v>
      </c>
      <c r="S226" s="121">
        <f t="shared" ca="1" si="29"/>
        <v>0</v>
      </c>
      <c r="T226" s="121">
        <f t="shared" ca="1" si="29"/>
        <v>6.6113659049698867</v>
      </c>
      <c r="U226" s="109"/>
      <c r="V226" s="152">
        <f t="shared" ref="V226:AO226" ca="1" si="31">SUM(V227:V244)</f>
        <v>-1.8526846450948793</v>
      </c>
      <c r="W226" s="152">
        <f t="shared" ca="1" si="31"/>
        <v>0</v>
      </c>
      <c r="X226" s="152">
        <f t="shared" ca="1" si="31"/>
        <v>-1.7854467564492018</v>
      </c>
      <c r="Y226" s="152">
        <f t="shared" ca="1" si="31"/>
        <v>0</v>
      </c>
      <c r="Z226" s="152">
        <f t="shared" ca="1" si="31"/>
        <v>0</v>
      </c>
      <c r="AA226" s="152">
        <f t="shared" ca="1" si="31"/>
        <v>-1.5182610874388811</v>
      </c>
      <c r="AB226" s="152">
        <f t="shared" ca="1" si="31"/>
        <v>-0.40529936521738275</v>
      </c>
      <c r="AC226" s="152">
        <f t="shared" ca="1" si="31"/>
        <v>-1.0496740507695419</v>
      </c>
      <c r="AD226" s="152">
        <f t="shared" ca="1" si="31"/>
        <v>0</v>
      </c>
      <c r="AE226" s="152">
        <f t="shared" ca="1" si="31"/>
        <v>0</v>
      </c>
      <c r="AF226" s="152">
        <f t="shared" ca="1" si="31"/>
        <v>0</v>
      </c>
      <c r="AG226" s="152">
        <f t="shared" ca="1" si="31"/>
        <v>0</v>
      </c>
      <c r="AH226" s="152">
        <f t="shared" ca="1" si="31"/>
        <v>0</v>
      </c>
      <c r="AI226" s="152">
        <f t="shared" ca="1" si="31"/>
        <v>0</v>
      </c>
      <c r="AJ226" s="152">
        <f t="shared" ca="1" si="31"/>
        <v>0</v>
      </c>
      <c r="AK226" s="152">
        <f t="shared" ca="1" si="31"/>
        <v>0</v>
      </c>
      <c r="AL226" s="152">
        <f t="shared" ca="1" si="31"/>
        <v>0</v>
      </c>
      <c r="AM226" s="152">
        <f t="shared" ca="1" si="31"/>
        <v>0</v>
      </c>
      <c r="AN226" s="152">
        <f t="shared" ca="1" si="31"/>
        <v>0</v>
      </c>
      <c r="AO226" s="152">
        <f t="shared" ca="1" si="31"/>
        <v>-6.6113659049698867</v>
      </c>
      <c r="AP226" s="108"/>
      <c r="AQ226" s="21">
        <f t="shared" ref="AQ226:BD226" ca="1" si="32">SUM(AQ227:AQ244)</f>
        <v>0</v>
      </c>
      <c r="AR226" s="21">
        <f t="shared" ca="1" si="32"/>
        <v>0</v>
      </c>
      <c r="AS226" s="21">
        <f t="shared" ca="1" si="32"/>
        <v>0</v>
      </c>
      <c r="AT226" s="21">
        <f t="shared" ca="1" si="32"/>
        <v>0</v>
      </c>
      <c r="AU226" s="21">
        <f t="shared" ca="1" si="32"/>
        <v>0</v>
      </c>
      <c r="AV226" s="21">
        <f t="shared" ca="1" si="32"/>
        <v>0</v>
      </c>
      <c r="AW226" s="21">
        <f t="shared" ca="1" si="32"/>
        <v>0</v>
      </c>
      <c r="AX226" s="21">
        <f t="shared" ca="1" si="32"/>
        <v>0</v>
      </c>
      <c r="AY226" s="21">
        <f t="shared" ca="1" si="32"/>
        <v>0</v>
      </c>
      <c r="AZ226" s="21">
        <f t="shared" ca="1" si="32"/>
        <v>0</v>
      </c>
      <c r="BA226" s="21">
        <f t="shared" ca="1" si="32"/>
        <v>0</v>
      </c>
      <c r="BB226" s="21">
        <f t="shared" ca="1" si="32"/>
        <v>0</v>
      </c>
      <c r="BC226" s="21">
        <f t="shared" ca="1" si="32"/>
        <v>0</v>
      </c>
      <c r="BD226" s="21">
        <f t="shared" ca="1" si="32"/>
        <v>0</v>
      </c>
      <c r="BE226" s="108"/>
      <c r="BF226" s="49">
        <f t="shared" ref="BF226:BH226" ca="1" si="33">SUM(BF227:BF244)</f>
        <v>0</v>
      </c>
      <c r="BG226" s="49">
        <f t="shared" ca="1" si="33"/>
        <v>0</v>
      </c>
      <c r="BH226" s="49">
        <f t="shared" ca="1" si="33"/>
        <v>0</v>
      </c>
      <c r="BI226" s="219">
        <f t="shared" ca="1" si="9"/>
        <v>0</v>
      </c>
      <c r="BJ226" s="108"/>
    </row>
    <row r="227" spans="1:62" s="54" customFormat="1">
      <c r="A227" s="133"/>
      <c r="B227" s="176" t="s">
        <v>1845</v>
      </c>
      <c r="C227" s="114" t="str">
        <f>INDEX(Regional.Technologies[Description],MATCH($B$3&amp;"."&amp;B227,Regional.Technologies[Code],0))</f>
        <v>Global Electricity use in the Pulp &amp; paper: Pulp technology</v>
      </c>
      <c r="E227" s="121">
        <f t="array" aca="1" ref="E227" ca="1">IFERROR(INDEX(INDIRECT($B$3&amp;"."&amp;$B$158&amp;".energy["&amp;This.year&amp;"]"),MATCH($C227&amp;E$5,INDIRECT($B$3&amp;"."&amp;$B$158&amp;".energy[Tech description]")&amp;INDIRECT($B$3&amp;"."&amp;$B$158&amp;".energy[Energy description]"),0)),0)</f>
        <v>0</v>
      </c>
      <c r="F227" s="121">
        <f t="array" aca="1" ref="F227" ca="1">IFERROR(INDEX(INDIRECT($B$3&amp;"."&amp;$B$158&amp;".energy["&amp;This.year&amp;"]"),MATCH($C227&amp;F$5,INDIRECT($B$3&amp;"."&amp;$B$158&amp;".energy[Tech description]")&amp;INDIRECT($B$3&amp;"."&amp;$B$158&amp;".energy[Energy description]"),0)),0)</f>
        <v>0</v>
      </c>
      <c r="G227" s="121">
        <f t="array" aca="1" ref="G227" ca="1">IFERROR(INDEX(INDIRECT($B$3&amp;"."&amp;$B$158&amp;".energy["&amp;This.year&amp;"]"),MATCH($C227&amp;G$5,INDIRECT($B$3&amp;"."&amp;$B$158&amp;".energy[Tech description]")&amp;INDIRECT($B$3&amp;"."&amp;$B$158&amp;".energy[Energy description]"),0)),0)</f>
        <v>0</v>
      </c>
      <c r="H227" s="121">
        <f t="array" aca="1" ref="H227" ca="1">IFERROR(INDEX(INDIRECT($B$3&amp;"."&amp;$B$158&amp;".energy["&amp;This.year&amp;"]"),MATCH($C227&amp;H$5,INDIRECT($B$3&amp;"."&amp;$B$158&amp;".energy[Tech description]")&amp;INDIRECT($B$3&amp;"."&amp;$B$158&amp;".energy[Energy description]"),0)),0)</f>
        <v>0</v>
      </c>
      <c r="I227" s="121">
        <f t="array" aca="1" ref="I227" ca="1">IFERROR(INDEX(INDIRECT($B$3&amp;"."&amp;$B$158&amp;".energy["&amp;This.year&amp;"]"),MATCH($C227&amp;I$5,INDIRECT($B$3&amp;"."&amp;$B$158&amp;".energy[Tech description]")&amp;INDIRECT($B$3&amp;"."&amp;$B$158&amp;".energy[Energy description]"),0)),0)</f>
        <v>0</v>
      </c>
      <c r="J227" s="121">
        <f t="array" aca="1" ref="J227" ca="1">IFERROR(INDEX(INDIRECT($B$3&amp;"."&amp;$B$158&amp;".energy["&amp;This.year&amp;"]"),MATCH($C227&amp;J$5,INDIRECT($B$3&amp;"."&amp;$B$158&amp;".energy[Tech description]")&amp;INDIRECT($B$3&amp;"."&amp;$B$158&amp;".energy[Energy description]"),0)),0)</f>
        <v>0.65799398015612487</v>
      </c>
      <c r="K227" s="121">
        <f t="array" aca="1" ref="K227" ca="1">IFERROR(INDEX(INDIRECT($B$3&amp;"."&amp;$B$158&amp;".energy["&amp;This.year&amp;"]"),MATCH($C227&amp;K$5,INDIRECT($B$3&amp;"."&amp;$B$158&amp;".energy[Tech description]")&amp;INDIRECT($B$3&amp;"."&amp;$B$158&amp;".energy[Energy description]"),0)),0)</f>
        <v>0</v>
      </c>
      <c r="L227" s="121">
        <f t="array" aca="1" ref="L227" ca="1">IFERROR(INDEX(INDIRECT($B$3&amp;"."&amp;$B$158&amp;".energy["&amp;This.year&amp;"]"),MATCH($C227&amp;L$5,INDIRECT($B$3&amp;"."&amp;$B$158&amp;".energy[Tech description]")&amp;INDIRECT($B$3&amp;"."&amp;$B$158&amp;".energy[Energy description]"),0)),0)</f>
        <v>0</v>
      </c>
      <c r="M227" s="121">
        <f t="array" aca="1" ref="M227" ca="1">IFERROR(INDEX(INDIRECT($B$3&amp;"."&amp;$B$158&amp;".energy["&amp;This.year&amp;"]"),MATCH($C227&amp;M$5,INDIRECT($B$3&amp;"."&amp;$B$158&amp;".energy[Tech description]")&amp;INDIRECT($B$3&amp;"."&amp;$B$158&amp;".energy[Energy description]"),0)),0)</f>
        <v>0</v>
      </c>
      <c r="N227" s="121">
        <f t="array" aca="1" ref="N227" ca="1">IFERROR(INDEX(INDIRECT($B$3&amp;"."&amp;$B$158&amp;".energy["&amp;This.year&amp;"]"),MATCH($C227&amp;N$5,INDIRECT($B$3&amp;"."&amp;$B$158&amp;".energy[Tech description]")&amp;INDIRECT($B$3&amp;"."&amp;$B$158&amp;".energy[Energy description]"),0)),0)</f>
        <v>0</v>
      </c>
      <c r="O227" s="121">
        <f t="array" aca="1" ref="O227" ca="1">IFERROR(INDEX(INDIRECT($B$3&amp;"."&amp;$B$158&amp;".energy["&amp;This.year&amp;"]"),MATCH($C227&amp;O$5,INDIRECT($B$3&amp;"."&amp;$B$158&amp;".energy[Tech description]")&amp;INDIRECT($B$3&amp;"."&amp;$B$158&amp;".energy[Energy description]"),0)),0)</f>
        <v>0</v>
      </c>
      <c r="P227" s="121">
        <f t="array" aca="1" ref="P227" ca="1">IFERROR(INDEX(INDIRECT($B$3&amp;"."&amp;$B$158&amp;".energy["&amp;This.year&amp;"]"),MATCH($C227&amp;P$5,INDIRECT($B$3&amp;"."&amp;$B$158&amp;".energy[Tech description]")&amp;INDIRECT($B$3&amp;"."&amp;$B$158&amp;".energy[Energy description]"),0)),0)</f>
        <v>0</v>
      </c>
      <c r="Q227" s="121">
        <f t="array" aca="1" ref="Q227" ca="1">IFERROR(INDEX(INDIRECT($B$3&amp;"."&amp;$B$158&amp;".energy["&amp;This.year&amp;"]"),MATCH($C227&amp;Q$5,INDIRECT($B$3&amp;"."&amp;$B$158&amp;".energy[Tech description]")&amp;INDIRECT($B$3&amp;"."&amp;$B$158&amp;".energy[Energy description]"),0)),0)</f>
        <v>0</v>
      </c>
      <c r="R227" s="121">
        <f t="array" aca="1" ref="R227" ca="1">IFERROR(INDEX(INDIRECT($B$3&amp;"."&amp;$B$158&amp;".energy["&amp;This.year&amp;"]"),MATCH($C227&amp;R$5,INDIRECT($B$3&amp;"."&amp;$B$158&amp;".energy[Tech description]")&amp;INDIRECT($B$3&amp;"."&amp;$B$158&amp;".energy[Energy description]"),0)),0)</f>
        <v>0</v>
      </c>
      <c r="S227" s="121">
        <f t="array" aca="1" ref="S227" ca="1">IFERROR(INDEX(INDIRECT($B$3&amp;"."&amp;$B$158&amp;".energy["&amp;This.year&amp;"]"),MATCH($C227&amp;S$5,INDIRECT($B$3&amp;"."&amp;$B$158&amp;".energy[Tech description]")&amp;INDIRECT($B$3&amp;"."&amp;$B$158&amp;".energy[Energy description]"),0)),0)</f>
        <v>0</v>
      </c>
      <c r="T227" s="121">
        <f t="shared" ref="T227:T244" ca="1" si="34">SUM(E227:S227)</f>
        <v>0.65799398015612487</v>
      </c>
      <c r="U227" s="109"/>
      <c r="V227" s="152">
        <f t="array" aca="1" ref="V227" ca="1">IFERROR(INDEX(INDIRECT($B$3&amp;"."&amp;$B$158&amp;".energy["&amp;This.year&amp;"]"),MATCH($C227&amp;V$5,INDIRECT($B$3&amp;"."&amp;$B$158&amp;".energy[Tech description]")&amp;INDIRECT($B$3&amp;"."&amp;$B$158&amp;".energy[Energy description]"),0)),0)</f>
        <v>-0.65799398015612487</v>
      </c>
      <c r="W227" s="152">
        <f t="array" aca="1" ref="W227" ca="1">IFERROR(INDEX(INDIRECT($B$3&amp;"."&amp;$B$158&amp;".energy["&amp;This.year&amp;"]"),MATCH($C227&amp;W$5,INDIRECT($B$3&amp;"."&amp;$B$158&amp;".energy[Tech description]")&amp;INDIRECT($B$3&amp;"."&amp;$B$158&amp;".energy[Energy description]"),0)),0)</f>
        <v>0</v>
      </c>
      <c r="X227" s="152">
        <f t="array" aca="1" ref="X227" ca="1">IFERROR(INDEX(INDIRECT($B$3&amp;"."&amp;$B$158&amp;".energy["&amp;This.year&amp;"]"),MATCH($C227&amp;X$5,INDIRECT($B$3&amp;"."&amp;$B$158&amp;".energy[Tech description]")&amp;INDIRECT($B$3&amp;"."&amp;$B$158&amp;".energy[Energy description]"),0)),0)</f>
        <v>0</v>
      </c>
      <c r="Y227" s="152">
        <f t="array" aca="1" ref="Y227" ca="1">IFERROR(INDEX(INDIRECT($B$3&amp;"."&amp;$B$158&amp;".energy["&amp;This.year&amp;"]"),MATCH($C227&amp;Y$5,INDIRECT($B$3&amp;"."&amp;$B$158&amp;".energy[Tech description]")&amp;INDIRECT($B$3&amp;"."&amp;$B$158&amp;".energy[Energy description]"),0)),0)</f>
        <v>0</v>
      </c>
      <c r="Z227" s="152">
        <f t="array" aca="1" ref="Z227" ca="1">IFERROR(INDEX(INDIRECT($B$3&amp;"."&amp;$B$158&amp;".energy["&amp;This.year&amp;"]"),MATCH($C227&amp;Z$5,INDIRECT($B$3&amp;"."&amp;$B$158&amp;".energy[Tech description]")&amp;INDIRECT($B$3&amp;"."&amp;$B$158&amp;".energy[Energy description]"),0)),0)</f>
        <v>0</v>
      </c>
      <c r="AA227" s="152">
        <f t="array" aca="1" ref="AA227" ca="1">IFERROR(INDEX(INDIRECT($B$3&amp;"."&amp;$B$158&amp;".energy["&amp;This.year&amp;"]"),MATCH($C227&amp;AA$5,INDIRECT($B$3&amp;"."&amp;$B$158&amp;".energy[Tech description]")&amp;INDIRECT($B$3&amp;"."&amp;$B$158&amp;".energy[Energy description]"),0)),0)</f>
        <v>0</v>
      </c>
      <c r="AB227" s="152">
        <f t="array" aca="1" ref="AB227" ca="1">IFERROR(INDEX(INDIRECT($B$3&amp;"."&amp;$B$158&amp;".energy["&amp;This.year&amp;"]"),MATCH($C227&amp;AB$5,INDIRECT($B$3&amp;"."&amp;$B$158&amp;".energy[Tech description]")&amp;INDIRECT($B$3&amp;"."&amp;$B$158&amp;".energy[Energy description]"),0)),0)</f>
        <v>0</v>
      </c>
      <c r="AC227" s="152">
        <f t="array" aca="1" ref="AC227" ca="1">IFERROR(INDEX(INDIRECT($B$3&amp;"."&amp;$B$158&amp;".energy["&amp;This.year&amp;"]"),MATCH($C227&amp;AC$5,INDIRECT($B$3&amp;"."&amp;$B$158&amp;".energy[Tech description]")&amp;INDIRECT($B$3&amp;"."&amp;$B$158&amp;".energy[Energy description]"),0)),0)</f>
        <v>0</v>
      </c>
      <c r="AD227" s="152">
        <f t="array" aca="1" ref="AD227" ca="1">IFERROR(INDEX(INDIRECT($B$3&amp;"."&amp;$B$158&amp;".energy["&amp;This.year&amp;"]"),MATCH($C227&amp;AD$5,INDIRECT($B$3&amp;"."&amp;$B$158&amp;".energy[Tech description]")&amp;INDIRECT($B$3&amp;"."&amp;$B$158&amp;".energy[Energy description]"),0)),0)</f>
        <v>0</v>
      </c>
      <c r="AE227" s="152">
        <f t="array" aca="1" ref="AE227" ca="1">IFERROR(INDEX(INDIRECT($B$3&amp;"."&amp;$B$158&amp;".energy["&amp;This.year&amp;"]"),MATCH($C227&amp;AE$5,INDIRECT($B$3&amp;"."&amp;$B$158&amp;".energy[Tech description]")&amp;INDIRECT($B$3&amp;"."&amp;$B$158&amp;".energy[Energy description]"),0)),0)</f>
        <v>0</v>
      </c>
      <c r="AF227" s="152">
        <f t="array" aca="1" ref="AF227" ca="1">IFERROR(INDEX(INDIRECT($B$3&amp;"."&amp;$B$158&amp;".energy["&amp;This.year&amp;"]"),MATCH($C227&amp;AF$5,INDIRECT($B$3&amp;"."&amp;$B$158&amp;".energy[Tech description]")&amp;INDIRECT($B$3&amp;"."&amp;$B$158&amp;".energy[Energy description]"),0)),0)</f>
        <v>0</v>
      </c>
      <c r="AG227" s="152">
        <f t="array" aca="1" ref="AG227" ca="1">IFERROR(INDEX(INDIRECT($B$3&amp;"."&amp;$B$158&amp;".energy["&amp;This.year&amp;"]"),MATCH($C227&amp;AG$5,INDIRECT($B$3&amp;"."&amp;$B$158&amp;".energy[Tech description]")&amp;INDIRECT($B$3&amp;"."&amp;$B$158&amp;".energy[Energy description]"),0)),0)</f>
        <v>0</v>
      </c>
      <c r="AH227" s="152">
        <f t="array" aca="1" ref="AH227" ca="1">IFERROR(INDEX(INDIRECT($B$3&amp;"."&amp;$B$158&amp;".energy["&amp;This.year&amp;"]"),MATCH($C227&amp;AH$5,INDIRECT($B$3&amp;"."&amp;$B$158&amp;".energy[Tech description]")&amp;INDIRECT($B$3&amp;"."&amp;$B$158&amp;".energy[Energy description]"),0)),0)</f>
        <v>0</v>
      </c>
      <c r="AI227" s="152">
        <f t="array" aca="1" ref="AI227" ca="1">IFERROR(INDEX(INDIRECT($B$3&amp;"."&amp;$B$158&amp;".energy["&amp;This.year&amp;"]"),MATCH($C227&amp;AI$5,INDIRECT($B$3&amp;"."&amp;$B$158&amp;".energy[Tech description]")&amp;INDIRECT($B$3&amp;"."&amp;$B$158&amp;".energy[Energy description]"),0)),0)</f>
        <v>0</v>
      </c>
      <c r="AJ227" s="152">
        <f t="array" aca="1" ref="AJ227" ca="1">IFERROR(INDEX(INDIRECT($B$3&amp;"."&amp;$B$158&amp;".energy["&amp;This.year&amp;"]"),MATCH($C227&amp;AJ$5,INDIRECT($B$3&amp;"."&amp;$B$158&amp;".energy[Tech description]")&amp;INDIRECT($B$3&amp;"."&amp;$B$158&amp;".energy[Energy description]"),0)),0)</f>
        <v>0</v>
      </c>
      <c r="AK227" s="152">
        <f t="array" aca="1" ref="AK227" ca="1">IFERROR(INDEX(INDIRECT($B$3&amp;"."&amp;$B$158&amp;".energy["&amp;This.year&amp;"]"),MATCH($C227&amp;AK$5,INDIRECT($B$3&amp;"."&amp;$B$158&amp;".energy[Tech description]")&amp;INDIRECT($B$3&amp;"."&amp;$B$158&amp;".energy[Energy description]"),0)),0)</f>
        <v>0</v>
      </c>
      <c r="AL227" s="152">
        <f t="array" aca="1" ref="AL227" ca="1">IFERROR(INDEX(INDIRECT($B$3&amp;"."&amp;$B$158&amp;".energy["&amp;This.year&amp;"]"),MATCH($C227&amp;AL$5,INDIRECT($B$3&amp;"."&amp;$B$158&amp;".energy[Tech description]")&amp;INDIRECT($B$3&amp;"."&amp;$B$158&amp;".energy[Energy description]"),0)),0)</f>
        <v>0</v>
      </c>
      <c r="AM227" s="152">
        <f t="array" aca="1" ref="AM227" ca="1">IFERROR(INDEX(INDIRECT($B$3&amp;"."&amp;$B$158&amp;".energy["&amp;This.year&amp;"]"),MATCH($C227&amp;AM$5,INDIRECT($B$3&amp;"."&amp;$B$158&amp;".energy[Tech description]")&amp;INDIRECT($B$3&amp;"."&amp;$B$158&amp;".energy[Energy description]"),0)),0)</f>
        <v>0</v>
      </c>
      <c r="AN227" s="152">
        <f t="array" aca="1" ref="AN227" ca="1">IFERROR(INDEX(INDIRECT($B$3&amp;"."&amp;$B$158&amp;".energy["&amp;This.year&amp;"]"),MATCH($C227&amp;AN$5,INDIRECT($B$3&amp;"."&amp;$B$158&amp;".energy[Tech description]")&amp;INDIRECT($B$3&amp;"."&amp;$B$158&amp;".energy[Energy description]"),0)),0)</f>
        <v>0</v>
      </c>
      <c r="AO227" s="152">
        <f t="shared" ref="AO227:AO244" ca="1" si="35">SUM(V227:AN227)</f>
        <v>-0.65799398015612487</v>
      </c>
      <c r="AP227" s="108"/>
      <c r="AQ227" s="21">
        <f t="array" aca="1" ref="AQ227" ca="1">IFERROR(INDEX(INDIRECT($B$3&amp;"."&amp;$B$158&amp;".energy["&amp;This.year&amp;"]"),MATCH($C227&amp;AQ$5,INDIRECT($B$3&amp;"."&amp;$B$158&amp;".energy[Tech description]")&amp;INDIRECT($B$3&amp;"."&amp;$B$158&amp;".energy[Energy description]"),0)),0)</f>
        <v>0</v>
      </c>
      <c r="AR227" s="21">
        <f t="array" aca="1" ref="AR227" ca="1">IFERROR(INDEX(INDIRECT($B$3&amp;"."&amp;$B$158&amp;".energy["&amp;This.year&amp;"]"),MATCH($C227&amp;AR$5,INDIRECT($B$3&amp;"."&amp;$B$158&amp;".energy[Tech description]")&amp;INDIRECT($B$3&amp;"."&amp;$B$158&amp;".energy[Energy description]"),0)),0)</f>
        <v>0</v>
      </c>
      <c r="AS227" s="21">
        <f t="array" aca="1" ref="AS227" ca="1">IFERROR(INDEX(INDIRECT($B$3&amp;"."&amp;$B$158&amp;".energy["&amp;This.year&amp;"]"),MATCH($C227&amp;AS$5,INDIRECT($B$3&amp;"."&amp;$B$158&amp;".energy[Tech description]")&amp;INDIRECT($B$3&amp;"."&amp;$B$158&amp;".energy[Energy description]"),0)),0)</f>
        <v>0</v>
      </c>
      <c r="AT227" s="21">
        <f t="array" aca="1" ref="AT227" ca="1">IFERROR(INDEX(INDIRECT($B$3&amp;"."&amp;$B$158&amp;".energy["&amp;This.year&amp;"]"),MATCH($C227&amp;AT$5,INDIRECT($B$3&amp;"."&amp;$B$158&amp;".energy[Tech description]")&amp;INDIRECT($B$3&amp;"."&amp;$B$158&amp;".energy[Energy description]"),0)),0)</f>
        <v>0</v>
      </c>
      <c r="AU227" s="21">
        <f t="array" aca="1" ref="AU227" ca="1">IFERROR(INDEX(INDIRECT($B$3&amp;"."&amp;$B$158&amp;".energy["&amp;This.year&amp;"]"),MATCH($C227&amp;AU$5,INDIRECT($B$3&amp;"."&amp;$B$158&amp;".energy[Tech description]")&amp;INDIRECT($B$3&amp;"."&amp;$B$158&amp;".energy[Energy description]"),0)),0)</f>
        <v>0</v>
      </c>
      <c r="AV227" s="21">
        <f t="array" aca="1" ref="AV227" ca="1">IFERROR(INDEX(INDIRECT($B$3&amp;"."&amp;$B$158&amp;".energy["&amp;This.year&amp;"]"),MATCH($C227&amp;AV$5,INDIRECT($B$3&amp;"."&amp;$B$158&amp;".energy[Tech description]")&amp;INDIRECT($B$3&amp;"."&amp;$B$158&amp;".energy[Energy description]"),0)),0)</f>
        <v>0</v>
      </c>
      <c r="AW227" s="21">
        <f t="array" aca="1" ref="AW227" ca="1">IFERROR(INDEX(INDIRECT($B$3&amp;"."&amp;$B$158&amp;".energy["&amp;This.year&amp;"]"),MATCH($C227&amp;AW$5,INDIRECT($B$3&amp;"."&amp;$B$158&amp;".energy[Tech description]")&amp;INDIRECT($B$3&amp;"."&amp;$B$158&amp;".energy[Energy description]"),0)),0)</f>
        <v>0</v>
      </c>
      <c r="AX227" s="21">
        <f t="array" aca="1" ref="AX227" ca="1">IFERROR(INDEX(INDIRECT($B$3&amp;"."&amp;$B$158&amp;".energy["&amp;This.year&amp;"]"),MATCH($C227&amp;AX$5,INDIRECT($B$3&amp;"."&amp;$B$158&amp;".energy[Tech description]")&amp;INDIRECT($B$3&amp;"."&amp;$B$158&amp;".energy[Energy description]"),0)),0)</f>
        <v>0</v>
      </c>
      <c r="AY227" s="21">
        <f t="array" aca="1" ref="AY227" ca="1">IFERROR(INDEX(INDIRECT($B$3&amp;"."&amp;$B$158&amp;".energy["&amp;This.year&amp;"]"),MATCH($C227&amp;AY$5,INDIRECT($B$3&amp;"."&amp;$B$158&amp;".energy[Tech description]")&amp;INDIRECT($B$3&amp;"."&amp;$B$158&amp;".energy[Energy description]"),0)),0)</f>
        <v>0</v>
      </c>
      <c r="AZ227" s="21">
        <f t="array" aca="1" ref="AZ227" ca="1">IFERROR(INDEX(INDIRECT($B$3&amp;"."&amp;$B$158&amp;".energy["&amp;This.year&amp;"]"),MATCH($C227&amp;AZ$5,INDIRECT($B$3&amp;"."&amp;$B$158&amp;".energy[Tech description]")&amp;INDIRECT($B$3&amp;"."&amp;$B$158&amp;".energy[Energy description]"),0)),0)</f>
        <v>0</v>
      </c>
      <c r="BA227" s="21">
        <f t="array" aca="1" ref="BA227" ca="1">IFERROR(INDEX(INDIRECT($B$3&amp;"."&amp;$B$158&amp;".energy["&amp;This.year&amp;"]"),MATCH($C227&amp;BA$5,INDIRECT($B$3&amp;"."&amp;$B$158&amp;".energy[Tech description]")&amp;INDIRECT($B$3&amp;"."&amp;$B$158&amp;".energy[Energy description]"),0)),0)</f>
        <v>0</v>
      </c>
      <c r="BB227" s="21">
        <f t="array" aca="1" ref="BB227" ca="1">IFERROR(INDEX(INDIRECT($B$3&amp;"."&amp;$B$158&amp;".energy["&amp;This.year&amp;"]"),MATCH($C227&amp;BB$5,INDIRECT($B$3&amp;"."&amp;$B$158&amp;".energy[Tech description]")&amp;INDIRECT($B$3&amp;"."&amp;$B$158&amp;".energy[Energy description]"),0)),0)</f>
        <v>0</v>
      </c>
      <c r="BC227" s="21">
        <f t="array" aca="1" ref="BC227" ca="1">IFERROR(INDEX(INDIRECT($B$3&amp;"."&amp;$B$158&amp;".energy["&amp;This.year&amp;"]"),MATCH($C227&amp;BC$5,INDIRECT($B$3&amp;"."&amp;$B$158&amp;".energy[Tech description]")&amp;INDIRECT($B$3&amp;"."&amp;$B$158&amp;".energy[Energy description]"),0)),0)</f>
        <v>0</v>
      </c>
      <c r="BD227" s="21">
        <f t="shared" ref="BD227:BD244" ca="1" si="36">SUM(AQ227:BC227)</f>
        <v>0</v>
      </c>
      <c r="BE227" s="108"/>
      <c r="BF227" s="49">
        <f t="array" aca="1" ref="BF227" ca="1">IFERROR(INDEX(INDIRECT($B$3&amp;"."&amp;$B$158&amp;".energy["&amp;This.year&amp;"]"),MATCH($C227&amp;BF$5,INDIRECT($B$3&amp;"."&amp;$B$158&amp;".energy[Tech description]")&amp;INDIRECT($B$3&amp;"."&amp;$B$158&amp;".energy[Energy description]"),0)),0)</f>
        <v>0</v>
      </c>
      <c r="BG227" s="49">
        <f t="array" aca="1" ref="BG227" ca="1">IFERROR(INDEX(INDIRECT($B$3&amp;"."&amp;$B$158&amp;".energy["&amp;This.year&amp;"]"),MATCH($C227&amp;BG$5,INDIRECT($B$3&amp;"."&amp;$B$158&amp;".energy[Tech description]")&amp;INDIRECT($B$3&amp;"."&amp;$B$158&amp;".energy[Energy description]"),0)),0)</f>
        <v>0</v>
      </c>
      <c r="BH227" s="49">
        <f t="shared" ref="BH227:BH244" ca="1" si="37">SUM(BF227:BG227)</f>
        <v>0</v>
      </c>
      <c r="BI227" s="219">
        <f t="shared" ca="1" si="9"/>
        <v>0</v>
      </c>
      <c r="BJ227" s="108"/>
    </row>
    <row r="228" spans="1:62" s="54" customFormat="1">
      <c r="A228" s="133"/>
      <c r="B228" s="176" t="s">
        <v>1846</v>
      </c>
      <c r="C228" s="114" t="str">
        <f>INDEX(Regional.Technologies[Description],MATCH($B$3&amp;"."&amp;B228,Regional.Technologies[Code],0))</f>
        <v>Global Coal use in the Pulp &amp; paper: Pulp technology</v>
      </c>
      <c r="E228" s="121">
        <f t="array" aca="1" ref="E228" ca="1">IFERROR(INDEX(INDIRECT($B$3&amp;"."&amp;$B$158&amp;".energy["&amp;This.year&amp;"]"),MATCH($C228&amp;E$5,INDIRECT($B$3&amp;"."&amp;$B$158&amp;".energy[Tech description]")&amp;INDIRECT($B$3&amp;"."&amp;$B$158&amp;".energy[Energy description]"),0)),0)</f>
        <v>0</v>
      </c>
      <c r="F228" s="121">
        <f t="array" aca="1" ref="F228" ca="1">IFERROR(INDEX(INDIRECT($B$3&amp;"."&amp;$B$158&amp;".energy["&amp;This.year&amp;"]"),MATCH($C228&amp;F$5,INDIRECT($B$3&amp;"."&amp;$B$158&amp;".energy[Tech description]")&amp;INDIRECT($B$3&amp;"."&amp;$B$158&amp;".energy[Energy description]"),0)),0)</f>
        <v>0</v>
      </c>
      <c r="G228" s="121">
        <f t="array" aca="1" ref="G228" ca="1">IFERROR(INDEX(INDIRECT($B$3&amp;"."&amp;$B$158&amp;".energy["&amp;This.year&amp;"]"),MATCH($C228&amp;G$5,INDIRECT($B$3&amp;"."&amp;$B$158&amp;".energy[Tech description]")&amp;INDIRECT($B$3&amp;"."&amp;$B$158&amp;".energy[Energy description]"),0)),0)</f>
        <v>0</v>
      </c>
      <c r="H228" s="121">
        <f t="array" aca="1" ref="H228" ca="1">IFERROR(INDEX(INDIRECT($B$3&amp;"."&amp;$B$158&amp;".energy["&amp;This.year&amp;"]"),MATCH($C228&amp;H$5,INDIRECT($B$3&amp;"."&amp;$B$158&amp;".energy[Tech description]")&amp;INDIRECT($B$3&amp;"."&amp;$B$158&amp;".energy[Energy description]"),0)),0)</f>
        <v>0</v>
      </c>
      <c r="I228" s="121">
        <f t="array" aca="1" ref="I228" ca="1">IFERROR(INDEX(INDIRECT($B$3&amp;"."&amp;$B$158&amp;".energy["&amp;This.year&amp;"]"),MATCH($C228&amp;I$5,INDIRECT($B$3&amp;"."&amp;$B$158&amp;".energy[Tech description]")&amp;INDIRECT($B$3&amp;"."&amp;$B$158&amp;".energy[Energy description]"),0)),0)</f>
        <v>0</v>
      </c>
      <c r="J228" s="121">
        <f t="array" aca="1" ref="J228" ca="1">IFERROR(INDEX(INDIRECT($B$3&amp;"."&amp;$B$158&amp;".energy["&amp;This.year&amp;"]"),MATCH($C228&amp;J$5,INDIRECT($B$3&amp;"."&amp;$B$158&amp;".energy[Tech description]")&amp;INDIRECT($B$3&amp;"."&amp;$B$158&amp;".energy[Energy description]"),0)),0)</f>
        <v>0.59772552046925531</v>
      </c>
      <c r="K228" s="121">
        <f t="array" aca="1" ref="K228" ca="1">IFERROR(INDEX(INDIRECT($B$3&amp;"."&amp;$B$158&amp;".energy["&amp;This.year&amp;"]"),MATCH($C228&amp;K$5,INDIRECT($B$3&amp;"."&amp;$B$158&amp;".energy[Tech description]")&amp;INDIRECT($B$3&amp;"."&amp;$B$158&amp;".energy[Energy description]"),0)),0)</f>
        <v>0</v>
      </c>
      <c r="L228" s="121">
        <f t="array" aca="1" ref="L228" ca="1">IFERROR(INDEX(INDIRECT($B$3&amp;"."&amp;$B$158&amp;".energy["&amp;This.year&amp;"]"),MATCH($C228&amp;L$5,INDIRECT($B$3&amp;"."&amp;$B$158&amp;".energy[Tech description]")&amp;INDIRECT($B$3&amp;"."&amp;$B$158&amp;".energy[Energy description]"),0)),0)</f>
        <v>0</v>
      </c>
      <c r="M228" s="121">
        <f t="array" aca="1" ref="M228" ca="1">IFERROR(INDEX(INDIRECT($B$3&amp;"."&amp;$B$158&amp;".energy["&amp;This.year&amp;"]"),MATCH($C228&amp;M$5,INDIRECT($B$3&amp;"."&amp;$B$158&amp;".energy[Tech description]")&amp;INDIRECT($B$3&amp;"."&amp;$B$158&amp;".energy[Energy description]"),0)),0)</f>
        <v>0</v>
      </c>
      <c r="N228" s="121">
        <f t="array" aca="1" ref="N228" ca="1">IFERROR(INDEX(INDIRECT($B$3&amp;"."&amp;$B$158&amp;".energy["&amp;This.year&amp;"]"),MATCH($C228&amp;N$5,INDIRECT($B$3&amp;"."&amp;$B$158&amp;".energy[Tech description]")&amp;INDIRECT($B$3&amp;"."&amp;$B$158&amp;".energy[Energy description]"),0)),0)</f>
        <v>0</v>
      </c>
      <c r="O228" s="121">
        <f t="array" aca="1" ref="O228" ca="1">IFERROR(INDEX(INDIRECT($B$3&amp;"."&amp;$B$158&amp;".energy["&amp;This.year&amp;"]"),MATCH($C228&amp;O$5,INDIRECT($B$3&amp;"."&amp;$B$158&amp;".energy[Tech description]")&amp;INDIRECT($B$3&amp;"."&amp;$B$158&amp;".energy[Energy description]"),0)),0)</f>
        <v>0</v>
      </c>
      <c r="P228" s="121">
        <f t="array" aca="1" ref="P228" ca="1">IFERROR(INDEX(INDIRECT($B$3&amp;"."&amp;$B$158&amp;".energy["&amp;This.year&amp;"]"),MATCH($C228&amp;P$5,INDIRECT($B$3&amp;"."&amp;$B$158&amp;".energy[Tech description]")&amp;INDIRECT($B$3&amp;"."&amp;$B$158&amp;".energy[Energy description]"),0)),0)</f>
        <v>0</v>
      </c>
      <c r="Q228" s="121">
        <f t="array" aca="1" ref="Q228" ca="1">IFERROR(INDEX(INDIRECT($B$3&amp;"."&amp;$B$158&amp;".energy["&amp;This.year&amp;"]"),MATCH($C228&amp;Q$5,INDIRECT($B$3&amp;"."&amp;$B$158&amp;".energy[Tech description]")&amp;INDIRECT($B$3&amp;"."&amp;$B$158&amp;".energy[Energy description]"),0)),0)</f>
        <v>0</v>
      </c>
      <c r="R228" s="121">
        <f t="array" aca="1" ref="R228" ca="1">IFERROR(INDEX(INDIRECT($B$3&amp;"."&amp;$B$158&amp;".energy["&amp;This.year&amp;"]"),MATCH($C228&amp;R$5,INDIRECT($B$3&amp;"."&amp;$B$158&amp;".energy[Tech description]")&amp;INDIRECT($B$3&amp;"."&amp;$B$158&amp;".energy[Energy description]"),0)),0)</f>
        <v>0</v>
      </c>
      <c r="S228" s="121">
        <f t="array" aca="1" ref="S228" ca="1">IFERROR(INDEX(INDIRECT($B$3&amp;"."&amp;$B$158&amp;".energy["&amp;This.year&amp;"]"),MATCH($C228&amp;S$5,INDIRECT($B$3&amp;"."&amp;$B$158&amp;".energy[Tech description]")&amp;INDIRECT($B$3&amp;"."&amp;$B$158&amp;".energy[Energy description]"),0)),0)</f>
        <v>0</v>
      </c>
      <c r="T228" s="121">
        <f t="shared" ca="1" si="34"/>
        <v>0.59772552046925531</v>
      </c>
      <c r="U228" s="109"/>
      <c r="V228" s="152">
        <f t="array" aca="1" ref="V228" ca="1">IFERROR(INDEX(INDIRECT($B$3&amp;"."&amp;$B$158&amp;".energy["&amp;This.year&amp;"]"),MATCH($C228&amp;V$5,INDIRECT($B$3&amp;"."&amp;$B$158&amp;".energy[Tech description]")&amp;INDIRECT($B$3&amp;"."&amp;$B$158&amp;".energy[Energy description]"),0)),0)</f>
        <v>0</v>
      </c>
      <c r="W228" s="152">
        <f t="array" aca="1" ref="W228" ca="1">IFERROR(INDEX(INDIRECT($B$3&amp;"."&amp;$B$158&amp;".energy["&amp;This.year&amp;"]"),MATCH($C228&amp;W$5,INDIRECT($B$3&amp;"."&amp;$B$158&amp;".energy[Tech description]")&amp;INDIRECT($B$3&amp;"."&amp;$B$158&amp;".energy[Energy description]"),0)),0)</f>
        <v>0</v>
      </c>
      <c r="X228" s="152">
        <f t="array" aca="1" ref="X228" ca="1">IFERROR(INDEX(INDIRECT($B$3&amp;"."&amp;$B$158&amp;".energy["&amp;This.year&amp;"]"),MATCH($C228&amp;X$5,INDIRECT($B$3&amp;"."&amp;$B$158&amp;".energy[Tech description]")&amp;INDIRECT($B$3&amp;"."&amp;$B$158&amp;".energy[Energy description]"),0)),0)</f>
        <v>0</v>
      </c>
      <c r="Y228" s="152">
        <f t="array" aca="1" ref="Y228" ca="1">IFERROR(INDEX(INDIRECT($B$3&amp;"."&amp;$B$158&amp;".energy["&amp;This.year&amp;"]"),MATCH($C228&amp;Y$5,INDIRECT($B$3&amp;"."&amp;$B$158&amp;".energy[Tech description]")&amp;INDIRECT($B$3&amp;"."&amp;$B$158&amp;".energy[Energy description]"),0)),0)</f>
        <v>0</v>
      </c>
      <c r="Z228" s="152">
        <f t="array" aca="1" ref="Z228" ca="1">IFERROR(INDEX(INDIRECT($B$3&amp;"."&amp;$B$158&amp;".energy["&amp;This.year&amp;"]"),MATCH($C228&amp;Z$5,INDIRECT($B$3&amp;"."&amp;$B$158&amp;".energy[Tech description]")&amp;INDIRECT($B$3&amp;"."&amp;$B$158&amp;".energy[Energy description]"),0)),0)</f>
        <v>0</v>
      </c>
      <c r="AA228" s="152">
        <f t="array" aca="1" ref="AA228" ca="1">IFERROR(INDEX(INDIRECT($B$3&amp;"."&amp;$B$158&amp;".energy["&amp;This.year&amp;"]"),MATCH($C228&amp;AA$5,INDIRECT($B$3&amp;"."&amp;$B$158&amp;".energy[Tech description]")&amp;INDIRECT($B$3&amp;"."&amp;$B$158&amp;".energy[Energy description]"),0)),0)</f>
        <v>-0.59772552046925531</v>
      </c>
      <c r="AB228" s="152">
        <f t="array" aca="1" ref="AB228" ca="1">IFERROR(INDEX(INDIRECT($B$3&amp;"."&amp;$B$158&amp;".energy["&amp;This.year&amp;"]"),MATCH($C228&amp;AB$5,INDIRECT($B$3&amp;"."&amp;$B$158&amp;".energy[Tech description]")&amp;INDIRECT($B$3&amp;"."&amp;$B$158&amp;".energy[Energy description]"),0)),0)</f>
        <v>0</v>
      </c>
      <c r="AC228" s="152">
        <f t="array" aca="1" ref="AC228" ca="1">IFERROR(INDEX(INDIRECT($B$3&amp;"."&amp;$B$158&amp;".energy["&amp;This.year&amp;"]"),MATCH($C228&amp;AC$5,INDIRECT($B$3&amp;"."&amp;$B$158&amp;".energy[Tech description]")&amp;INDIRECT($B$3&amp;"."&amp;$B$158&amp;".energy[Energy description]"),0)),0)</f>
        <v>0</v>
      </c>
      <c r="AD228" s="152">
        <f t="array" aca="1" ref="AD228" ca="1">IFERROR(INDEX(INDIRECT($B$3&amp;"."&amp;$B$158&amp;".energy["&amp;This.year&amp;"]"),MATCH($C228&amp;AD$5,INDIRECT($B$3&amp;"."&amp;$B$158&amp;".energy[Tech description]")&amp;INDIRECT($B$3&amp;"."&amp;$B$158&amp;".energy[Energy description]"),0)),0)</f>
        <v>0</v>
      </c>
      <c r="AE228" s="152">
        <f t="array" aca="1" ref="AE228" ca="1">IFERROR(INDEX(INDIRECT($B$3&amp;"."&amp;$B$158&amp;".energy["&amp;This.year&amp;"]"),MATCH($C228&amp;AE$5,INDIRECT($B$3&amp;"."&amp;$B$158&amp;".energy[Tech description]")&amp;INDIRECT($B$3&amp;"."&amp;$B$158&amp;".energy[Energy description]"),0)),0)</f>
        <v>0</v>
      </c>
      <c r="AF228" s="152">
        <f t="array" aca="1" ref="AF228" ca="1">IFERROR(INDEX(INDIRECT($B$3&amp;"."&amp;$B$158&amp;".energy["&amp;This.year&amp;"]"),MATCH($C228&amp;AF$5,INDIRECT($B$3&amp;"."&amp;$B$158&amp;".energy[Tech description]")&amp;INDIRECT($B$3&amp;"."&amp;$B$158&amp;".energy[Energy description]"),0)),0)</f>
        <v>0</v>
      </c>
      <c r="AG228" s="152">
        <f t="array" aca="1" ref="AG228" ca="1">IFERROR(INDEX(INDIRECT($B$3&amp;"."&amp;$B$158&amp;".energy["&amp;This.year&amp;"]"),MATCH($C228&amp;AG$5,INDIRECT($B$3&amp;"."&amp;$B$158&amp;".energy[Tech description]")&amp;INDIRECT($B$3&amp;"."&amp;$B$158&amp;".energy[Energy description]"),0)),0)</f>
        <v>0</v>
      </c>
      <c r="AH228" s="152">
        <f t="array" aca="1" ref="AH228" ca="1">IFERROR(INDEX(INDIRECT($B$3&amp;"."&amp;$B$158&amp;".energy["&amp;This.year&amp;"]"),MATCH($C228&amp;AH$5,INDIRECT($B$3&amp;"."&amp;$B$158&amp;".energy[Tech description]")&amp;INDIRECT($B$3&amp;"."&amp;$B$158&amp;".energy[Energy description]"),0)),0)</f>
        <v>0</v>
      </c>
      <c r="AI228" s="152">
        <f t="array" aca="1" ref="AI228" ca="1">IFERROR(INDEX(INDIRECT($B$3&amp;"."&amp;$B$158&amp;".energy["&amp;This.year&amp;"]"),MATCH($C228&amp;AI$5,INDIRECT($B$3&amp;"."&amp;$B$158&amp;".energy[Tech description]")&amp;INDIRECT($B$3&amp;"."&amp;$B$158&amp;".energy[Energy description]"),0)),0)</f>
        <v>0</v>
      </c>
      <c r="AJ228" s="152">
        <f t="array" aca="1" ref="AJ228" ca="1">IFERROR(INDEX(INDIRECT($B$3&amp;"."&amp;$B$158&amp;".energy["&amp;This.year&amp;"]"),MATCH($C228&amp;AJ$5,INDIRECT($B$3&amp;"."&amp;$B$158&amp;".energy[Tech description]")&amp;INDIRECT($B$3&amp;"."&amp;$B$158&amp;".energy[Energy description]"),0)),0)</f>
        <v>0</v>
      </c>
      <c r="AK228" s="152">
        <f t="array" aca="1" ref="AK228" ca="1">IFERROR(INDEX(INDIRECT($B$3&amp;"."&amp;$B$158&amp;".energy["&amp;This.year&amp;"]"),MATCH($C228&amp;AK$5,INDIRECT($B$3&amp;"."&amp;$B$158&amp;".energy[Tech description]")&amp;INDIRECT($B$3&amp;"."&amp;$B$158&amp;".energy[Energy description]"),0)),0)</f>
        <v>0</v>
      </c>
      <c r="AL228" s="152">
        <f t="array" aca="1" ref="AL228" ca="1">IFERROR(INDEX(INDIRECT($B$3&amp;"."&amp;$B$158&amp;".energy["&amp;This.year&amp;"]"),MATCH($C228&amp;AL$5,INDIRECT($B$3&amp;"."&amp;$B$158&amp;".energy[Tech description]")&amp;INDIRECT($B$3&amp;"."&amp;$B$158&amp;".energy[Energy description]"),0)),0)</f>
        <v>0</v>
      </c>
      <c r="AM228" s="152">
        <f t="array" aca="1" ref="AM228" ca="1">IFERROR(INDEX(INDIRECT($B$3&amp;"."&amp;$B$158&amp;".energy["&amp;This.year&amp;"]"),MATCH($C228&amp;AM$5,INDIRECT($B$3&amp;"."&amp;$B$158&amp;".energy[Tech description]")&amp;INDIRECT($B$3&amp;"."&amp;$B$158&amp;".energy[Energy description]"),0)),0)</f>
        <v>0</v>
      </c>
      <c r="AN228" s="152">
        <f t="array" aca="1" ref="AN228" ca="1">IFERROR(INDEX(INDIRECT($B$3&amp;"."&amp;$B$158&amp;".energy["&amp;This.year&amp;"]"),MATCH($C228&amp;AN$5,INDIRECT($B$3&amp;"."&amp;$B$158&amp;".energy[Tech description]")&amp;INDIRECT($B$3&amp;"."&amp;$B$158&amp;".energy[Energy description]"),0)),0)</f>
        <v>0</v>
      </c>
      <c r="AO228" s="152">
        <f t="shared" ca="1" si="35"/>
        <v>-0.59772552046925531</v>
      </c>
      <c r="AP228" s="108"/>
      <c r="AQ228" s="21">
        <f t="array" aca="1" ref="AQ228" ca="1">IFERROR(INDEX(INDIRECT($B$3&amp;"."&amp;$B$158&amp;".energy["&amp;This.year&amp;"]"),MATCH($C228&amp;AQ$5,INDIRECT($B$3&amp;"."&amp;$B$158&amp;".energy[Tech description]")&amp;INDIRECT($B$3&amp;"."&amp;$B$158&amp;".energy[Energy description]"),0)),0)</f>
        <v>0</v>
      </c>
      <c r="AR228" s="21">
        <f t="array" aca="1" ref="AR228" ca="1">IFERROR(INDEX(INDIRECT($B$3&amp;"."&amp;$B$158&amp;".energy["&amp;This.year&amp;"]"),MATCH($C228&amp;AR$5,INDIRECT($B$3&amp;"."&amp;$B$158&amp;".energy[Tech description]")&amp;INDIRECT($B$3&amp;"."&amp;$B$158&amp;".energy[Energy description]"),0)),0)</f>
        <v>0</v>
      </c>
      <c r="AS228" s="21">
        <f t="array" aca="1" ref="AS228" ca="1">IFERROR(INDEX(INDIRECT($B$3&amp;"."&amp;$B$158&amp;".energy["&amp;This.year&amp;"]"),MATCH($C228&amp;AS$5,INDIRECT($B$3&amp;"."&amp;$B$158&amp;".energy[Tech description]")&amp;INDIRECT($B$3&amp;"."&amp;$B$158&amp;".energy[Energy description]"),0)),0)</f>
        <v>0</v>
      </c>
      <c r="AT228" s="21">
        <f t="array" aca="1" ref="AT228" ca="1">IFERROR(INDEX(INDIRECT($B$3&amp;"."&amp;$B$158&amp;".energy["&amp;This.year&amp;"]"),MATCH($C228&amp;AT$5,INDIRECT($B$3&amp;"."&amp;$B$158&amp;".energy[Tech description]")&amp;INDIRECT($B$3&amp;"."&amp;$B$158&amp;".energy[Energy description]"),0)),0)</f>
        <v>0</v>
      </c>
      <c r="AU228" s="21">
        <f t="array" aca="1" ref="AU228" ca="1">IFERROR(INDEX(INDIRECT($B$3&amp;"."&amp;$B$158&amp;".energy["&amp;This.year&amp;"]"),MATCH($C228&amp;AU$5,INDIRECT($B$3&amp;"."&amp;$B$158&amp;".energy[Tech description]")&amp;INDIRECT($B$3&amp;"."&amp;$B$158&amp;".energy[Energy description]"),0)),0)</f>
        <v>0</v>
      </c>
      <c r="AV228" s="21">
        <f t="array" aca="1" ref="AV228" ca="1">IFERROR(INDEX(INDIRECT($B$3&amp;"."&amp;$B$158&amp;".energy["&amp;This.year&amp;"]"),MATCH($C228&amp;AV$5,INDIRECT($B$3&amp;"."&amp;$B$158&amp;".energy[Tech description]")&amp;INDIRECT($B$3&amp;"."&amp;$B$158&amp;".energy[Energy description]"),0)),0)</f>
        <v>0</v>
      </c>
      <c r="AW228" s="21">
        <f t="array" aca="1" ref="AW228" ca="1">IFERROR(INDEX(INDIRECT($B$3&amp;"."&amp;$B$158&amp;".energy["&amp;This.year&amp;"]"),MATCH($C228&amp;AW$5,INDIRECT($B$3&amp;"."&amp;$B$158&amp;".energy[Tech description]")&amp;INDIRECT($B$3&amp;"."&amp;$B$158&amp;".energy[Energy description]"),0)),0)</f>
        <v>0</v>
      </c>
      <c r="AX228" s="21">
        <f t="array" aca="1" ref="AX228" ca="1">IFERROR(INDEX(INDIRECT($B$3&amp;"."&amp;$B$158&amp;".energy["&amp;This.year&amp;"]"),MATCH($C228&amp;AX$5,INDIRECT($B$3&amp;"."&amp;$B$158&amp;".energy[Tech description]")&amp;INDIRECT($B$3&amp;"."&amp;$B$158&amp;".energy[Energy description]"),0)),0)</f>
        <v>0</v>
      </c>
      <c r="AY228" s="21">
        <f t="array" aca="1" ref="AY228" ca="1">IFERROR(INDEX(INDIRECT($B$3&amp;"."&amp;$B$158&amp;".energy["&amp;This.year&amp;"]"),MATCH($C228&amp;AY$5,INDIRECT($B$3&amp;"."&amp;$B$158&amp;".energy[Tech description]")&amp;INDIRECT($B$3&amp;"."&amp;$B$158&amp;".energy[Energy description]"),0)),0)</f>
        <v>0</v>
      </c>
      <c r="AZ228" s="21">
        <f t="array" aca="1" ref="AZ228" ca="1">IFERROR(INDEX(INDIRECT($B$3&amp;"."&amp;$B$158&amp;".energy["&amp;This.year&amp;"]"),MATCH($C228&amp;AZ$5,INDIRECT($B$3&amp;"."&amp;$B$158&amp;".energy[Tech description]")&amp;INDIRECT($B$3&amp;"."&amp;$B$158&amp;".energy[Energy description]"),0)),0)</f>
        <v>0</v>
      </c>
      <c r="BA228" s="21">
        <f t="array" aca="1" ref="BA228" ca="1">IFERROR(INDEX(INDIRECT($B$3&amp;"."&amp;$B$158&amp;".energy["&amp;This.year&amp;"]"),MATCH($C228&amp;BA$5,INDIRECT($B$3&amp;"."&amp;$B$158&amp;".energy[Tech description]")&amp;INDIRECT($B$3&amp;"."&amp;$B$158&amp;".energy[Energy description]"),0)),0)</f>
        <v>0</v>
      </c>
      <c r="BB228" s="21">
        <f t="array" aca="1" ref="BB228" ca="1">IFERROR(INDEX(INDIRECT($B$3&amp;"."&amp;$B$158&amp;".energy["&amp;This.year&amp;"]"),MATCH($C228&amp;BB$5,INDIRECT($B$3&amp;"."&amp;$B$158&amp;".energy[Tech description]")&amp;INDIRECT($B$3&amp;"."&amp;$B$158&amp;".energy[Energy description]"),0)),0)</f>
        <v>0</v>
      </c>
      <c r="BC228" s="21">
        <f t="array" aca="1" ref="BC228" ca="1">IFERROR(INDEX(INDIRECT($B$3&amp;"."&amp;$B$158&amp;".energy["&amp;This.year&amp;"]"),MATCH($C228&amp;BC$5,INDIRECT($B$3&amp;"."&amp;$B$158&amp;".energy[Tech description]")&amp;INDIRECT($B$3&amp;"."&amp;$B$158&amp;".energy[Energy description]"),0)),0)</f>
        <v>0</v>
      </c>
      <c r="BD228" s="21">
        <f t="shared" ca="1" si="36"/>
        <v>0</v>
      </c>
      <c r="BE228" s="108"/>
      <c r="BF228" s="49">
        <f t="array" aca="1" ref="BF228" ca="1">IFERROR(INDEX(INDIRECT($B$3&amp;"."&amp;$B$158&amp;".energy["&amp;This.year&amp;"]"),MATCH($C228&amp;BF$5,INDIRECT($B$3&amp;"."&amp;$B$158&amp;".energy[Tech description]")&amp;INDIRECT($B$3&amp;"."&amp;$B$158&amp;".energy[Energy description]"),0)),0)</f>
        <v>0</v>
      </c>
      <c r="BG228" s="49">
        <f t="array" aca="1" ref="BG228" ca="1">IFERROR(INDEX(INDIRECT($B$3&amp;"."&amp;$B$158&amp;".energy["&amp;This.year&amp;"]"),MATCH($C228&amp;BG$5,INDIRECT($B$3&amp;"."&amp;$B$158&amp;".energy[Tech description]")&amp;INDIRECT($B$3&amp;"."&amp;$B$158&amp;".energy[Energy description]"),0)),0)</f>
        <v>0</v>
      </c>
      <c r="BH228" s="49">
        <f t="shared" ca="1" si="37"/>
        <v>0</v>
      </c>
      <c r="BI228" s="219">
        <f t="shared" ca="1" si="9"/>
        <v>0</v>
      </c>
      <c r="BJ228" s="108"/>
    </row>
    <row r="229" spans="1:62" s="54" customFormat="1">
      <c r="A229" s="133"/>
      <c r="B229" s="176" t="s">
        <v>1847</v>
      </c>
      <c r="C229" s="114" t="str">
        <f>INDEX(Regional.Technologies[Description],MATCH($B$3&amp;"."&amp;B229,Regional.Technologies[Code],0))</f>
        <v>Global Oil use in the Pulp &amp; paper: Pulp technology</v>
      </c>
      <c r="E229" s="121">
        <f t="array" aca="1" ref="E229" ca="1">IFERROR(INDEX(INDIRECT($B$3&amp;"."&amp;$B$158&amp;".energy["&amp;This.year&amp;"]"),MATCH($C229&amp;E$5,INDIRECT($B$3&amp;"."&amp;$B$158&amp;".energy[Tech description]")&amp;INDIRECT($B$3&amp;"."&amp;$B$158&amp;".energy[Energy description]"),0)),0)</f>
        <v>0</v>
      </c>
      <c r="F229" s="121">
        <f t="array" aca="1" ref="F229" ca="1">IFERROR(INDEX(INDIRECT($B$3&amp;"."&amp;$B$158&amp;".energy["&amp;This.year&amp;"]"),MATCH($C229&amp;F$5,INDIRECT($B$3&amp;"."&amp;$B$158&amp;".energy[Tech description]")&amp;INDIRECT($B$3&amp;"."&amp;$B$158&amp;".energy[Energy description]"),0)),0)</f>
        <v>0</v>
      </c>
      <c r="G229" s="121">
        <f t="array" aca="1" ref="G229" ca="1">IFERROR(INDEX(INDIRECT($B$3&amp;"."&amp;$B$158&amp;".energy["&amp;This.year&amp;"]"),MATCH($C229&amp;G$5,INDIRECT($B$3&amp;"."&amp;$B$158&amp;".energy[Tech description]")&amp;INDIRECT($B$3&amp;"."&amp;$B$158&amp;".energy[Energy description]"),0)),0)</f>
        <v>0</v>
      </c>
      <c r="H229" s="121">
        <f t="array" aca="1" ref="H229" ca="1">IFERROR(INDEX(INDIRECT($B$3&amp;"."&amp;$B$158&amp;".energy["&amp;This.year&amp;"]"),MATCH($C229&amp;H$5,INDIRECT($B$3&amp;"."&amp;$B$158&amp;".energy[Tech description]")&amp;INDIRECT($B$3&amp;"."&amp;$B$158&amp;".energy[Energy description]"),0)),0)</f>
        <v>0</v>
      </c>
      <c r="I229" s="121">
        <f t="array" aca="1" ref="I229" ca="1">IFERROR(INDEX(INDIRECT($B$3&amp;"."&amp;$B$158&amp;".energy["&amp;This.year&amp;"]"),MATCH($C229&amp;I$5,INDIRECT($B$3&amp;"."&amp;$B$158&amp;".energy[Tech description]")&amp;INDIRECT($B$3&amp;"."&amp;$B$158&amp;".energy[Energy description]"),0)),0)</f>
        <v>0</v>
      </c>
      <c r="J229" s="121">
        <f t="array" aca="1" ref="J229" ca="1">IFERROR(INDEX(INDIRECT($B$3&amp;"."&amp;$B$158&amp;".energy["&amp;This.year&amp;"]"),MATCH($C229&amp;J$5,INDIRECT($B$3&amp;"."&amp;$B$158&amp;".energy[Tech description]")&amp;INDIRECT($B$3&amp;"."&amp;$B$158&amp;".energy[Energy description]"),0)),0)</f>
        <v>0.18690202814673121</v>
      </c>
      <c r="K229" s="121">
        <f t="array" aca="1" ref="K229" ca="1">IFERROR(INDEX(INDIRECT($B$3&amp;"."&amp;$B$158&amp;".energy["&amp;This.year&amp;"]"),MATCH($C229&amp;K$5,INDIRECT($B$3&amp;"."&amp;$B$158&amp;".energy[Tech description]")&amp;INDIRECT($B$3&amp;"."&amp;$B$158&amp;".energy[Energy description]"),0)),0)</f>
        <v>0</v>
      </c>
      <c r="L229" s="121">
        <f t="array" aca="1" ref="L229" ca="1">IFERROR(INDEX(INDIRECT($B$3&amp;"."&amp;$B$158&amp;".energy["&amp;This.year&amp;"]"),MATCH($C229&amp;L$5,INDIRECT($B$3&amp;"."&amp;$B$158&amp;".energy[Tech description]")&amp;INDIRECT($B$3&amp;"."&amp;$B$158&amp;".energy[Energy description]"),0)),0)</f>
        <v>0</v>
      </c>
      <c r="M229" s="121">
        <f t="array" aca="1" ref="M229" ca="1">IFERROR(INDEX(INDIRECT($B$3&amp;"."&amp;$B$158&amp;".energy["&amp;This.year&amp;"]"),MATCH($C229&amp;M$5,INDIRECT($B$3&amp;"."&amp;$B$158&amp;".energy[Tech description]")&amp;INDIRECT($B$3&amp;"."&amp;$B$158&amp;".energy[Energy description]"),0)),0)</f>
        <v>0</v>
      </c>
      <c r="N229" s="121">
        <f t="array" aca="1" ref="N229" ca="1">IFERROR(INDEX(INDIRECT($B$3&amp;"."&amp;$B$158&amp;".energy["&amp;This.year&amp;"]"),MATCH($C229&amp;N$5,INDIRECT($B$3&amp;"."&amp;$B$158&amp;".energy[Tech description]")&amp;INDIRECT($B$3&amp;"."&amp;$B$158&amp;".energy[Energy description]"),0)),0)</f>
        <v>0</v>
      </c>
      <c r="O229" s="121">
        <f t="array" aca="1" ref="O229" ca="1">IFERROR(INDEX(INDIRECT($B$3&amp;"."&amp;$B$158&amp;".energy["&amp;This.year&amp;"]"),MATCH($C229&amp;O$5,INDIRECT($B$3&amp;"."&amp;$B$158&amp;".energy[Tech description]")&amp;INDIRECT($B$3&amp;"."&amp;$B$158&amp;".energy[Energy description]"),0)),0)</f>
        <v>0</v>
      </c>
      <c r="P229" s="121">
        <f t="array" aca="1" ref="P229" ca="1">IFERROR(INDEX(INDIRECT($B$3&amp;"."&amp;$B$158&amp;".energy["&amp;This.year&amp;"]"),MATCH($C229&amp;P$5,INDIRECT($B$3&amp;"."&amp;$B$158&amp;".energy[Tech description]")&amp;INDIRECT($B$3&amp;"."&amp;$B$158&amp;".energy[Energy description]"),0)),0)</f>
        <v>0</v>
      </c>
      <c r="Q229" s="121">
        <f t="array" aca="1" ref="Q229" ca="1">IFERROR(INDEX(INDIRECT($B$3&amp;"."&amp;$B$158&amp;".energy["&amp;This.year&amp;"]"),MATCH($C229&amp;Q$5,INDIRECT($B$3&amp;"."&amp;$B$158&amp;".energy[Tech description]")&amp;INDIRECT($B$3&amp;"."&amp;$B$158&amp;".energy[Energy description]"),0)),0)</f>
        <v>0</v>
      </c>
      <c r="R229" s="121">
        <f t="array" aca="1" ref="R229" ca="1">IFERROR(INDEX(INDIRECT($B$3&amp;"."&amp;$B$158&amp;".energy["&amp;This.year&amp;"]"),MATCH($C229&amp;R$5,INDIRECT($B$3&amp;"."&amp;$B$158&amp;".energy[Tech description]")&amp;INDIRECT($B$3&amp;"."&amp;$B$158&amp;".energy[Energy description]"),0)),0)</f>
        <v>0</v>
      </c>
      <c r="S229" s="121">
        <f t="array" aca="1" ref="S229" ca="1">IFERROR(INDEX(INDIRECT($B$3&amp;"."&amp;$B$158&amp;".energy["&amp;This.year&amp;"]"),MATCH($C229&amp;S$5,INDIRECT($B$3&amp;"."&amp;$B$158&amp;".energy[Tech description]")&amp;INDIRECT($B$3&amp;"."&amp;$B$158&amp;".energy[Energy description]"),0)),0)</f>
        <v>0</v>
      </c>
      <c r="T229" s="121">
        <f t="shared" ca="1" si="34"/>
        <v>0.18690202814673121</v>
      </c>
      <c r="U229" s="109"/>
      <c r="V229" s="152">
        <f t="array" aca="1" ref="V229" ca="1">IFERROR(INDEX(INDIRECT($B$3&amp;"."&amp;$B$158&amp;".energy["&amp;This.year&amp;"]"),MATCH($C229&amp;V$5,INDIRECT($B$3&amp;"."&amp;$B$158&amp;".energy[Tech description]")&amp;INDIRECT($B$3&amp;"."&amp;$B$158&amp;".energy[Energy description]"),0)),0)</f>
        <v>0</v>
      </c>
      <c r="W229" s="152">
        <f t="array" aca="1" ref="W229" ca="1">IFERROR(INDEX(INDIRECT($B$3&amp;"."&amp;$B$158&amp;".energy["&amp;This.year&amp;"]"),MATCH($C229&amp;W$5,INDIRECT($B$3&amp;"."&amp;$B$158&amp;".energy[Tech description]")&amp;INDIRECT($B$3&amp;"."&amp;$B$158&amp;".energy[Energy description]"),0)),0)</f>
        <v>0</v>
      </c>
      <c r="X229" s="152">
        <f t="array" aca="1" ref="X229" ca="1">IFERROR(INDEX(INDIRECT($B$3&amp;"."&amp;$B$158&amp;".energy["&amp;This.year&amp;"]"),MATCH($C229&amp;X$5,INDIRECT($B$3&amp;"."&amp;$B$158&amp;".energy[Tech description]")&amp;INDIRECT($B$3&amp;"."&amp;$B$158&amp;".energy[Energy description]"),0)),0)</f>
        <v>0</v>
      </c>
      <c r="Y229" s="152">
        <f t="array" aca="1" ref="Y229" ca="1">IFERROR(INDEX(INDIRECT($B$3&amp;"."&amp;$B$158&amp;".energy["&amp;This.year&amp;"]"),MATCH($C229&amp;Y$5,INDIRECT($B$3&amp;"."&amp;$B$158&amp;".energy[Tech description]")&amp;INDIRECT($B$3&amp;"."&amp;$B$158&amp;".energy[Energy description]"),0)),0)</f>
        <v>0</v>
      </c>
      <c r="Z229" s="152">
        <f t="array" aca="1" ref="Z229" ca="1">IFERROR(INDEX(INDIRECT($B$3&amp;"."&amp;$B$158&amp;".energy["&amp;This.year&amp;"]"),MATCH($C229&amp;Z$5,INDIRECT($B$3&amp;"."&amp;$B$158&amp;".energy[Tech description]")&amp;INDIRECT($B$3&amp;"."&amp;$B$158&amp;".energy[Energy description]"),0)),0)</f>
        <v>0</v>
      </c>
      <c r="AA229" s="152">
        <f t="array" aca="1" ref="AA229" ca="1">IFERROR(INDEX(INDIRECT($B$3&amp;"."&amp;$B$158&amp;".energy["&amp;This.year&amp;"]"),MATCH($C229&amp;AA$5,INDIRECT($B$3&amp;"."&amp;$B$158&amp;".energy[Tech description]")&amp;INDIRECT($B$3&amp;"."&amp;$B$158&amp;".energy[Energy description]"),0)),0)</f>
        <v>0</v>
      </c>
      <c r="AB229" s="152">
        <f t="array" aca="1" ref="AB229" ca="1">IFERROR(INDEX(INDIRECT($B$3&amp;"."&amp;$B$158&amp;".energy["&amp;This.year&amp;"]"),MATCH($C229&amp;AB$5,INDIRECT($B$3&amp;"."&amp;$B$158&amp;".energy[Tech description]")&amp;INDIRECT($B$3&amp;"."&amp;$B$158&amp;".energy[Energy description]"),0)),0)</f>
        <v>-0.18690202814673121</v>
      </c>
      <c r="AC229" s="152">
        <f t="array" aca="1" ref="AC229" ca="1">IFERROR(INDEX(INDIRECT($B$3&amp;"."&amp;$B$158&amp;".energy["&amp;This.year&amp;"]"),MATCH($C229&amp;AC$5,INDIRECT($B$3&amp;"."&amp;$B$158&amp;".energy[Tech description]")&amp;INDIRECT($B$3&amp;"."&amp;$B$158&amp;".energy[Energy description]"),0)),0)</f>
        <v>0</v>
      </c>
      <c r="AD229" s="152">
        <f t="array" aca="1" ref="AD229" ca="1">IFERROR(INDEX(INDIRECT($B$3&amp;"."&amp;$B$158&amp;".energy["&amp;This.year&amp;"]"),MATCH($C229&amp;AD$5,INDIRECT($B$3&amp;"."&amp;$B$158&amp;".energy[Tech description]")&amp;INDIRECT($B$3&amp;"."&amp;$B$158&amp;".energy[Energy description]"),0)),0)</f>
        <v>0</v>
      </c>
      <c r="AE229" s="152">
        <f t="array" aca="1" ref="AE229" ca="1">IFERROR(INDEX(INDIRECT($B$3&amp;"."&amp;$B$158&amp;".energy["&amp;This.year&amp;"]"),MATCH($C229&amp;AE$5,INDIRECT($B$3&amp;"."&amp;$B$158&amp;".energy[Tech description]")&amp;INDIRECT($B$3&amp;"."&amp;$B$158&amp;".energy[Energy description]"),0)),0)</f>
        <v>0</v>
      </c>
      <c r="AF229" s="152">
        <f t="array" aca="1" ref="AF229" ca="1">IFERROR(INDEX(INDIRECT($B$3&amp;"."&amp;$B$158&amp;".energy["&amp;This.year&amp;"]"),MATCH($C229&amp;AF$5,INDIRECT($B$3&amp;"."&amp;$B$158&amp;".energy[Tech description]")&amp;INDIRECT($B$3&amp;"."&amp;$B$158&amp;".energy[Energy description]"),0)),0)</f>
        <v>0</v>
      </c>
      <c r="AG229" s="152">
        <f t="array" aca="1" ref="AG229" ca="1">IFERROR(INDEX(INDIRECT($B$3&amp;"."&amp;$B$158&amp;".energy["&amp;This.year&amp;"]"),MATCH($C229&amp;AG$5,INDIRECT($B$3&amp;"."&amp;$B$158&amp;".energy[Tech description]")&amp;INDIRECT($B$3&amp;"."&amp;$B$158&amp;".energy[Energy description]"),0)),0)</f>
        <v>0</v>
      </c>
      <c r="AH229" s="152">
        <f t="array" aca="1" ref="AH229" ca="1">IFERROR(INDEX(INDIRECT($B$3&amp;"."&amp;$B$158&amp;".energy["&amp;This.year&amp;"]"),MATCH($C229&amp;AH$5,INDIRECT($B$3&amp;"."&amp;$B$158&amp;".energy[Tech description]")&amp;INDIRECT($B$3&amp;"."&amp;$B$158&amp;".energy[Energy description]"),0)),0)</f>
        <v>0</v>
      </c>
      <c r="AI229" s="152">
        <f t="array" aca="1" ref="AI229" ca="1">IFERROR(INDEX(INDIRECT($B$3&amp;"."&amp;$B$158&amp;".energy["&amp;This.year&amp;"]"),MATCH($C229&amp;AI$5,INDIRECT($B$3&amp;"."&amp;$B$158&amp;".energy[Tech description]")&amp;INDIRECT($B$3&amp;"."&amp;$B$158&amp;".energy[Energy description]"),0)),0)</f>
        <v>0</v>
      </c>
      <c r="AJ229" s="152">
        <f t="array" aca="1" ref="AJ229" ca="1">IFERROR(INDEX(INDIRECT($B$3&amp;"."&amp;$B$158&amp;".energy["&amp;This.year&amp;"]"),MATCH($C229&amp;AJ$5,INDIRECT($B$3&amp;"."&amp;$B$158&amp;".energy[Tech description]")&amp;INDIRECT($B$3&amp;"."&amp;$B$158&amp;".energy[Energy description]"),0)),0)</f>
        <v>0</v>
      </c>
      <c r="AK229" s="152">
        <f t="array" aca="1" ref="AK229" ca="1">IFERROR(INDEX(INDIRECT($B$3&amp;"."&amp;$B$158&amp;".energy["&amp;This.year&amp;"]"),MATCH($C229&amp;AK$5,INDIRECT($B$3&amp;"."&amp;$B$158&amp;".energy[Tech description]")&amp;INDIRECT($B$3&amp;"."&amp;$B$158&amp;".energy[Energy description]"),0)),0)</f>
        <v>0</v>
      </c>
      <c r="AL229" s="152">
        <f t="array" aca="1" ref="AL229" ca="1">IFERROR(INDEX(INDIRECT($B$3&amp;"."&amp;$B$158&amp;".energy["&amp;This.year&amp;"]"),MATCH($C229&amp;AL$5,INDIRECT($B$3&amp;"."&amp;$B$158&amp;".energy[Tech description]")&amp;INDIRECT($B$3&amp;"."&amp;$B$158&amp;".energy[Energy description]"),0)),0)</f>
        <v>0</v>
      </c>
      <c r="AM229" s="152">
        <f t="array" aca="1" ref="AM229" ca="1">IFERROR(INDEX(INDIRECT($B$3&amp;"."&amp;$B$158&amp;".energy["&amp;This.year&amp;"]"),MATCH($C229&amp;AM$5,INDIRECT($B$3&amp;"."&amp;$B$158&amp;".energy[Tech description]")&amp;INDIRECT($B$3&amp;"."&amp;$B$158&amp;".energy[Energy description]"),0)),0)</f>
        <v>0</v>
      </c>
      <c r="AN229" s="152">
        <f t="array" aca="1" ref="AN229" ca="1">IFERROR(INDEX(INDIRECT($B$3&amp;"."&amp;$B$158&amp;".energy["&amp;This.year&amp;"]"),MATCH($C229&amp;AN$5,INDIRECT($B$3&amp;"."&amp;$B$158&amp;".energy[Tech description]")&amp;INDIRECT($B$3&amp;"."&amp;$B$158&amp;".energy[Energy description]"),0)),0)</f>
        <v>0</v>
      </c>
      <c r="AO229" s="152">
        <f t="shared" ca="1" si="35"/>
        <v>-0.18690202814673121</v>
      </c>
      <c r="AP229" s="108"/>
      <c r="AQ229" s="21">
        <f t="array" aca="1" ref="AQ229" ca="1">IFERROR(INDEX(INDIRECT($B$3&amp;"."&amp;$B$158&amp;".energy["&amp;This.year&amp;"]"),MATCH($C229&amp;AQ$5,INDIRECT($B$3&amp;"."&amp;$B$158&amp;".energy[Tech description]")&amp;INDIRECT($B$3&amp;"."&amp;$B$158&amp;".energy[Energy description]"),0)),0)</f>
        <v>0</v>
      </c>
      <c r="AR229" s="21">
        <f t="array" aca="1" ref="AR229" ca="1">IFERROR(INDEX(INDIRECT($B$3&amp;"."&amp;$B$158&amp;".energy["&amp;This.year&amp;"]"),MATCH($C229&amp;AR$5,INDIRECT($B$3&amp;"."&amp;$B$158&amp;".energy[Tech description]")&amp;INDIRECT($B$3&amp;"."&amp;$B$158&amp;".energy[Energy description]"),0)),0)</f>
        <v>0</v>
      </c>
      <c r="AS229" s="21">
        <f t="array" aca="1" ref="AS229" ca="1">IFERROR(INDEX(INDIRECT($B$3&amp;"."&amp;$B$158&amp;".energy["&amp;This.year&amp;"]"),MATCH($C229&amp;AS$5,INDIRECT($B$3&amp;"."&amp;$B$158&amp;".energy[Tech description]")&amp;INDIRECT($B$3&amp;"."&amp;$B$158&amp;".energy[Energy description]"),0)),0)</f>
        <v>0</v>
      </c>
      <c r="AT229" s="21">
        <f t="array" aca="1" ref="AT229" ca="1">IFERROR(INDEX(INDIRECT($B$3&amp;"."&amp;$B$158&amp;".energy["&amp;This.year&amp;"]"),MATCH($C229&amp;AT$5,INDIRECT($B$3&amp;"."&amp;$B$158&amp;".energy[Tech description]")&amp;INDIRECT($B$3&amp;"."&amp;$B$158&amp;".energy[Energy description]"),0)),0)</f>
        <v>0</v>
      </c>
      <c r="AU229" s="21">
        <f t="array" aca="1" ref="AU229" ca="1">IFERROR(INDEX(INDIRECT($B$3&amp;"."&amp;$B$158&amp;".energy["&amp;This.year&amp;"]"),MATCH($C229&amp;AU$5,INDIRECT($B$3&amp;"."&amp;$B$158&amp;".energy[Tech description]")&amp;INDIRECT($B$3&amp;"."&amp;$B$158&amp;".energy[Energy description]"),0)),0)</f>
        <v>0</v>
      </c>
      <c r="AV229" s="21">
        <f t="array" aca="1" ref="AV229" ca="1">IFERROR(INDEX(INDIRECT($B$3&amp;"."&amp;$B$158&amp;".energy["&amp;This.year&amp;"]"),MATCH($C229&amp;AV$5,INDIRECT($B$3&amp;"."&amp;$B$158&amp;".energy[Tech description]")&amp;INDIRECT($B$3&amp;"."&amp;$B$158&amp;".energy[Energy description]"),0)),0)</f>
        <v>0</v>
      </c>
      <c r="AW229" s="21">
        <f t="array" aca="1" ref="AW229" ca="1">IFERROR(INDEX(INDIRECT($B$3&amp;"."&amp;$B$158&amp;".energy["&amp;This.year&amp;"]"),MATCH($C229&amp;AW$5,INDIRECT($B$3&amp;"."&amp;$B$158&amp;".energy[Tech description]")&amp;INDIRECT($B$3&amp;"."&amp;$B$158&amp;".energy[Energy description]"),0)),0)</f>
        <v>0</v>
      </c>
      <c r="AX229" s="21">
        <f t="array" aca="1" ref="AX229" ca="1">IFERROR(INDEX(INDIRECT($B$3&amp;"."&amp;$B$158&amp;".energy["&amp;This.year&amp;"]"),MATCH($C229&amp;AX$5,INDIRECT($B$3&amp;"."&amp;$B$158&amp;".energy[Tech description]")&amp;INDIRECT($B$3&amp;"."&amp;$B$158&amp;".energy[Energy description]"),0)),0)</f>
        <v>0</v>
      </c>
      <c r="AY229" s="21">
        <f t="array" aca="1" ref="AY229" ca="1">IFERROR(INDEX(INDIRECT($B$3&amp;"."&amp;$B$158&amp;".energy["&amp;This.year&amp;"]"),MATCH($C229&amp;AY$5,INDIRECT($B$3&amp;"."&amp;$B$158&amp;".energy[Tech description]")&amp;INDIRECT($B$3&amp;"."&amp;$B$158&amp;".energy[Energy description]"),0)),0)</f>
        <v>0</v>
      </c>
      <c r="AZ229" s="21">
        <f t="array" aca="1" ref="AZ229" ca="1">IFERROR(INDEX(INDIRECT($B$3&amp;"."&amp;$B$158&amp;".energy["&amp;This.year&amp;"]"),MATCH($C229&amp;AZ$5,INDIRECT($B$3&amp;"."&amp;$B$158&amp;".energy[Tech description]")&amp;INDIRECT($B$3&amp;"."&amp;$B$158&amp;".energy[Energy description]"),0)),0)</f>
        <v>0</v>
      </c>
      <c r="BA229" s="21">
        <f t="array" aca="1" ref="BA229" ca="1">IFERROR(INDEX(INDIRECT($B$3&amp;"."&amp;$B$158&amp;".energy["&amp;This.year&amp;"]"),MATCH($C229&amp;BA$5,INDIRECT($B$3&amp;"."&amp;$B$158&amp;".energy[Tech description]")&amp;INDIRECT($B$3&amp;"."&amp;$B$158&amp;".energy[Energy description]"),0)),0)</f>
        <v>0</v>
      </c>
      <c r="BB229" s="21">
        <f t="array" aca="1" ref="BB229" ca="1">IFERROR(INDEX(INDIRECT($B$3&amp;"."&amp;$B$158&amp;".energy["&amp;This.year&amp;"]"),MATCH($C229&amp;BB$5,INDIRECT($B$3&amp;"."&amp;$B$158&amp;".energy[Tech description]")&amp;INDIRECT($B$3&amp;"."&amp;$B$158&amp;".energy[Energy description]"),0)),0)</f>
        <v>0</v>
      </c>
      <c r="BC229" s="21">
        <f t="array" aca="1" ref="BC229" ca="1">IFERROR(INDEX(INDIRECT($B$3&amp;"."&amp;$B$158&amp;".energy["&amp;This.year&amp;"]"),MATCH($C229&amp;BC$5,INDIRECT($B$3&amp;"."&amp;$B$158&amp;".energy[Tech description]")&amp;INDIRECT($B$3&amp;"."&amp;$B$158&amp;".energy[Energy description]"),0)),0)</f>
        <v>0</v>
      </c>
      <c r="BD229" s="21">
        <f t="shared" ca="1" si="36"/>
        <v>0</v>
      </c>
      <c r="BE229" s="108"/>
      <c r="BF229" s="49">
        <f t="array" aca="1" ref="BF229" ca="1">IFERROR(INDEX(INDIRECT($B$3&amp;"."&amp;$B$158&amp;".energy["&amp;This.year&amp;"]"),MATCH($C229&amp;BF$5,INDIRECT($B$3&amp;"."&amp;$B$158&amp;".energy[Tech description]")&amp;INDIRECT($B$3&amp;"."&amp;$B$158&amp;".energy[Energy description]"),0)),0)</f>
        <v>0</v>
      </c>
      <c r="BG229" s="49">
        <f t="array" aca="1" ref="BG229" ca="1">IFERROR(INDEX(INDIRECT($B$3&amp;"."&amp;$B$158&amp;".energy["&amp;This.year&amp;"]"),MATCH($C229&amp;BG$5,INDIRECT($B$3&amp;"."&amp;$B$158&amp;".energy[Tech description]")&amp;INDIRECT($B$3&amp;"."&amp;$B$158&amp;".energy[Energy description]"),0)),0)</f>
        <v>0</v>
      </c>
      <c r="BH229" s="49">
        <f t="shared" ca="1" si="37"/>
        <v>0</v>
      </c>
      <c r="BI229" s="219">
        <f t="shared" ca="1" si="9"/>
        <v>0</v>
      </c>
      <c r="BJ229" s="108"/>
    </row>
    <row r="230" spans="1:62" s="54" customFormat="1">
      <c r="A230" s="133"/>
      <c r="B230" s="176" t="s">
        <v>1848</v>
      </c>
      <c r="C230" s="114" t="str">
        <f>INDEX(Regional.Technologies[Description],MATCH($B$3&amp;"."&amp;B230,Regional.Technologies[Code],0))</f>
        <v>Global Natural Gas use in the Pulp &amp; paper: Pulp technology</v>
      </c>
      <c r="E230" s="121">
        <f t="array" aca="1" ref="E230" ca="1">IFERROR(INDEX(INDIRECT($B$3&amp;"."&amp;$B$158&amp;".energy["&amp;This.year&amp;"]"),MATCH($C230&amp;E$5,INDIRECT($B$3&amp;"."&amp;$B$158&amp;".energy[Tech description]")&amp;INDIRECT($B$3&amp;"."&amp;$B$158&amp;".energy[Energy description]"),0)),0)</f>
        <v>0</v>
      </c>
      <c r="F230" s="121">
        <f t="array" aca="1" ref="F230" ca="1">IFERROR(INDEX(INDIRECT($B$3&amp;"."&amp;$B$158&amp;".energy["&amp;This.year&amp;"]"),MATCH($C230&amp;F$5,INDIRECT($B$3&amp;"."&amp;$B$158&amp;".energy[Tech description]")&amp;INDIRECT($B$3&amp;"."&amp;$B$158&amp;".energy[Energy description]"),0)),0)</f>
        <v>0</v>
      </c>
      <c r="G230" s="121">
        <f t="array" aca="1" ref="G230" ca="1">IFERROR(INDEX(INDIRECT($B$3&amp;"."&amp;$B$158&amp;".energy["&amp;This.year&amp;"]"),MATCH($C230&amp;G$5,INDIRECT($B$3&amp;"."&amp;$B$158&amp;".energy[Tech description]")&amp;INDIRECT($B$3&amp;"."&amp;$B$158&amp;".energy[Energy description]"),0)),0)</f>
        <v>0</v>
      </c>
      <c r="H230" s="121">
        <f t="array" aca="1" ref="H230" ca="1">IFERROR(INDEX(INDIRECT($B$3&amp;"."&amp;$B$158&amp;".energy["&amp;This.year&amp;"]"),MATCH($C230&amp;H$5,INDIRECT($B$3&amp;"."&amp;$B$158&amp;".energy[Tech description]")&amp;INDIRECT($B$3&amp;"."&amp;$B$158&amp;".energy[Energy description]"),0)),0)</f>
        <v>0</v>
      </c>
      <c r="I230" s="121">
        <f t="array" aca="1" ref="I230" ca="1">IFERROR(INDEX(INDIRECT($B$3&amp;"."&amp;$B$158&amp;".energy["&amp;This.year&amp;"]"),MATCH($C230&amp;I$5,INDIRECT($B$3&amp;"."&amp;$B$158&amp;".energy[Tech description]")&amp;INDIRECT($B$3&amp;"."&amp;$B$158&amp;".energy[Energy description]"),0)),0)</f>
        <v>0</v>
      </c>
      <c r="J230" s="121">
        <f t="array" aca="1" ref="J230" ca="1">IFERROR(INDEX(INDIRECT($B$3&amp;"."&amp;$B$158&amp;".energy["&amp;This.year&amp;"]"),MATCH($C230&amp;J$5,INDIRECT($B$3&amp;"."&amp;$B$158&amp;".energy[Tech description]")&amp;INDIRECT($B$3&amp;"."&amp;$B$158&amp;".energy[Energy description]"),0)),0)</f>
        <v>0.47643652328594177</v>
      </c>
      <c r="K230" s="121">
        <f t="array" aca="1" ref="K230" ca="1">IFERROR(INDEX(INDIRECT($B$3&amp;"."&amp;$B$158&amp;".energy["&amp;This.year&amp;"]"),MATCH($C230&amp;K$5,INDIRECT($B$3&amp;"."&amp;$B$158&amp;".energy[Tech description]")&amp;INDIRECT($B$3&amp;"."&amp;$B$158&amp;".energy[Energy description]"),0)),0)</f>
        <v>0</v>
      </c>
      <c r="L230" s="121">
        <f t="array" aca="1" ref="L230" ca="1">IFERROR(INDEX(INDIRECT($B$3&amp;"."&amp;$B$158&amp;".energy["&amp;This.year&amp;"]"),MATCH($C230&amp;L$5,INDIRECT($B$3&amp;"."&amp;$B$158&amp;".energy[Tech description]")&amp;INDIRECT($B$3&amp;"."&amp;$B$158&amp;".energy[Energy description]"),0)),0)</f>
        <v>0</v>
      </c>
      <c r="M230" s="121">
        <f t="array" aca="1" ref="M230" ca="1">IFERROR(INDEX(INDIRECT($B$3&amp;"."&amp;$B$158&amp;".energy["&amp;This.year&amp;"]"),MATCH($C230&amp;M$5,INDIRECT($B$3&amp;"."&amp;$B$158&amp;".energy[Tech description]")&amp;INDIRECT($B$3&amp;"."&amp;$B$158&amp;".energy[Energy description]"),0)),0)</f>
        <v>0</v>
      </c>
      <c r="N230" s="121">
        <f t="array" aca="1" ref="N230" ca="1">IFERROR(INDEX(INDIRECT($B$3&amp;"."&amp;$B$158&amp;".energy["&amp;This.year&amp;"]"),MATCH($C230&amp;N$5,INDIRECT($B$3&amp;"."&amp;$B$158&amp;".energy[Tech description]")&amp;INDIRECT($B$3&amp;"."&amp;$B$158&amp;".energy[Energy description]"),0)),0)</f>
        <v>0</v>
      </c>
      <c r="O230" s="121">
        <f t="array" aca="1" ref="O230" ca="1">IFERROR(INDEX(INDIRECT($B$3&amp;"."&amp;$B$158&amp;".energy["&amp;This.year&amp;"]"),MATCH($C230&amp;O$5,INDIRECT($B$3&amp;"."&amp;$B$158&amp;".energy[Tech description]")&amp;INDIRECT($B$3&amp;"."&amp;$B$158&amp;".energy[Energy description]"),0)),0)</f>
        <v>0</v>
      </c>
      <c r="P230" s="121">
        <f t="array" aca="1" ref="P230" ca="1">IFERROR(INDEX(INDIRECT($B$3&amp;"."&amp;$B$158&amp;".energy["&amp;This.year&amp;"]"),MATCH($C230&amp;P$5,INDIRECT($B$3&amp;"."&amp;$B$158&amp;".energy[Tech description]")&amp;INDIRECT($B$3&amp;"."&amp;$B$158&amp;".energy[Energy description]"),0)),0)</f>
        <v>0</v>
      </c>
      <c r="Q230" s="121">
        <f t="array" aca="1" ref="Q230" ca="1">IFERROR(INDEX(INDIRECT($B$3&amp;"."&amp;$B$158&amp;".energy["&amp;This.year&amp;"]"),MATCH($C230&amp;Q$5,INDIRECT($B$3&amp;"."&amp;$B$158&amp;".energy[Tech description]")&amp;INDIRECT($B$3&amp;"."&amp;$B$158&amp;".energy[Energy description]"),0)),0)</f>
        <v>0</v>
      </c>
      <c r="R230" s="121">
        <f t="array" aca="1" ref="R230" ca="1">IFERROR(INDEX(INDIRECT($B$3&amp;"."&amp;$B$158&amp;".energy["&amp;This.year&amp;"]"),MATCH($C230&amp;R$5,INDIRECT($B$3&amp;"."&amp;$B$158&amp;".energy[Tech description]")&amp;INDIRECT($B$3&amp;"."&amp;$B$158&amp;".energy[Energy description]"),0)),0)</f>
        <v>0</v>
      </c>
      <c r="S230" s="121">
        <f t="array" aca="1" ref="S230" ca="1">IFERROR(INDEX(INDIRECT($B$3&amp;"."&amp;$B$158&amp;".energy["&amp;This.year&amp;"]"),MATCH($C230&amp;S$5,INDIRECT($B$3&amp;"."&amp;$B$158&amp;".energy[Tech description]")&amp;INDIRECT($B$3&amp;"."&amp;$B$158&amp;".energy[Energy description]"),0)),0)</f>
        <v>0</v>
      </c>
      <c r="T230" s="121">
        <f t="shared" ca="1" si="34"/>
        <v>0.47643652328594177</v>
      </c>
      <c r="U230" s="109"/>
      <c r="V230" s="152">
        <f t="array" aca="1" ref="V230" ca="1">IFERROR(INDEX(INDIRECT($B$3&amp;"."&amp;$B$158&amp;".energy["&amp;This.year&amp;"]"),MATCH($C230&amp;V$5,INDIRECT($B$3&amp;"."&amp;$B$158&amp;".energy[Tech description]")&amp;INDIRECT($B$3&amp;"."&amp;$B$158&amp;".energy[Energy description]"),0)),0)</f>
        <v>0</v>
      </c>
      <c r="W230" s="152">
        <f t="array" aca="1" ref="W230" ca="1">IFERROR(INDEX(INDIRECT($B$3&amp;"."&amp;$B$158&amp;".energy["&amp;This.year&amp;"]"),MATCH($C230&amp;W$5,INDIRECT($B$3&amp;"."&amp;$B$158&amp;".energy[Tech description]")&amp;INDIRECT($B$3&amp;"."&amp;$B$158&amp;".energy[Energy description]"),0)),0)</f>
        <v>0</v>
      </c>
      <c r="X230" s="152">
        <f t="array" aca="1" ref="X230" ca="1">IFERROR(INDEX(INDIRECT($B$3&amp;"."&amp;$B$158&amp;".energy["&amp;This.year&amp;"]"),MATCH($C230&amp;X$5,INDIRECT($B$3&amp;"."&amp;$B$158&amp;".energy[Tech description]")&amp;INDIRECT($B$3&amp;"."&amp;$B$158&amp;".energy[Energy description]"),0)),0)</f>
        <v>0</v>
      </c>
      <c r="Y230" s="152">
        <f t="array" aca="1" ref="Y230" ca="1">IFERROR(INDEX(INDIRECT($B$3&amp;"."&amp;$B$158&amp;".energy["&amp;This.year&amp;"]"),MATCH($C230&amp;Y$5,INDIRECT($B$3&amp;"."&amp;$B$158&amp;".energy[Tech description]")&amp;INDIRECT($B$3&amp;"."&amp;$B$158&amp;".energy[Energy description]"),0)),0)</f>
        <v>0</v>
      </c>
      <c r="Z230" s="152">
        <f t="array" aca="1" ref="Z230" ca="1">IFERROR(INDEX(INDIRECT($B$3&amp;"."&amp;$B$158&amp;".energy["&amp;This.year&amp;"]"),MATCH($C230&amp;Z$5,INDIRECT($B$3&amp;"."&amp;$B$158&amp;".energy[Tech description]")&amp;INDIRECT($B$3&amp;"."&amp;$B$158&amp;".energy[Energy description]"),0)),0)</f>
        <v>0</v>
      </c>
      <c r="AA230" s="152">
        <f t="array" aca="1" ref="AA230" ca="1">IFERROR(INDEX(INDIRECT($B$3&amp;"."&amp;$B$158&amp;".energy["&amp;This.year&amp;"]"),MATCH($C230&amp;AA$5,INDIRECT($B$3&amp;"."&amp;$B$158&amp;".energy[Tech description]")&amp;INDIRECT($B$3&amp;"."&amp;$B$158&amp;".energy[Energy description]"),0)),0)</f>
        <v>0</v>
      </c>
      <c r="AB230" s="152">
        <f t="array" aca="1" ref="AB230" ca="1">IFERROR(INDEX(INDIRECT($B$3&amp;"."&amp;$B$158&amp;".energy["&amp;This.year&amp;"]"),MATCH($C230&amp;AB$5,INDIRECT($B$3&amp;"."&amp;$B$158&amp;".energy[Tech description]")&amp;INDIRECT($B$3&amp;"."&amp;$B$158&amp;".energy[Energy description]"),0)),0)</f>
        <v>0</v>
      </c>
      <c r="AC230" s="152">
        <f t="array" aca="1" ref="AC230" ca="1">IFERROR(INDEX(INDIRECT($B$3&amp;"."&amp;$B$158&amp;".energy["&amp;This.year&amp;"]"),MATCH($C230&amp;AC$5,INDIRECT($B$3&amp;"."&amp;$B$158&amp;".energy[Tech description]")&amp;INDIRECT($B$3&amp;"."&amp;$B$158&amp;".energy[Energy description]"),0)),0)</f>
        <v>-0.47643652328594177</v>
      </c>
      <c r="AD230" s="152">
        <f t="array" aca="1" ref="AD230" ca="1">IFERROR(INDEX(INDIRECT($B$3&amp;"."&amp;$B$158&amp;".energy["&amp;This.year&amp;"]"),MATCH($C230&amp;AD$5,INDIRECT($B$3&amp;"."&amp;$B$158&amp;".energy[Tech description]")&amp;INDIRECT($B$3&amp;"."&amp;$B$158&amp;".energy[Energy description]"),0)),0)</f>
        <v>0</v>
      </c>
      <c r="AE230" s="152">
        <f t="array" aca="1" ref="AE230" ca="1">IFERROR(INDEX(INDIRECT($B$3&amp;"."&amp;$B$158&amp;".energy["&amp;This.year&amp;"]"),MATCH($C230&amp;AE$5,INDIRECT($B$3&amp;"."&amp;$B$158&amp;".energy[Tech description]")&amp;INDIRECT($B$3&amp;"."&amp;$B$158&amp;".energy[Energy description]"),0)),0)</f>
        <v>0</v>
      </c>
      <c r="AF230" s="152">
        <f t="array" aca="1" ref="AF230" ca="1">IFERROR(INDEX(INDIRECT($B$3&amp;"."&amp;$B$158&amp;".energy["&amp;This.year&amp;"]"),MATCH($C230&amp;AF$5,INDIRECT($B$3&amp;"."&amp;$B$158&amp;".energy[Tech description]")&amp;INDIRECT($B$3&amp;"."&amp;$B$158&amp;".energy[Energy description]"),0)),0)</f>
        <v>0</v>
      </c>
      <c r="AG230" s="152">
        <f t="array" aca="1" ref="AG230" ca="1">IFERROR(INDEX(INDIRECT($B$3&amp;"."&amp;$B$158&amp;".energy["&amp;This.year&amp;"]"),MATCH($C230&amp;AG$5,INDIRECT($B$3&amp;"."&amp;$B$158&amp;".energy[Tech description]")&amp;INDIRECT($B$3&amp;"."&amp;$B$158&amp;".energy[Energy description]"),0)),0)</f>
        <v>0</v>
      </c>
      <c r="AH230" s="152">
        <f t="array" aca="1" ref="AH230" ca="1">IFERROR(INDEX(INDIRECT($B$3&amp;"."&amp;$B$158&amp;".energy["&amp;This.year&amp;"]"),MATCH($C230&amp;AH$5,INDIRECT($B$3&amp;"."&amp;$B$158&amp;".energy[Tech description]")&amp;INDIRECT($B$3&amp;"."&amp;$B$158&amp;".energy[Energy description]"),0)),0)</f>
        <v>0</v>
      </c>
      <c r="AI230" s="152">
        <f t="array" aca="1" ref="AI230" ca="1">IFERROR(INDEX(INDIRECT($B$3&amp;"."&amp;$B$158&amp;".energy["&amp;This.year&amp;"]"),MATCH($C230&amp;AI$5,INDIRECT($B$3&amp;"."&amp;$B$158&amp;".energy[Tech description]")&amp;INDIRECT($B$3&amp;"."&amp;$B$158&amp;".energy[Energy description]"),0)),0)</f>
        <v>0</v>
      </c>
      <c r="AJ230" s="152">
        <f t="array" aca="1" ref="AJ230" ca="1">IFERROR(INDEX(INDIRECT($B$3&amp;"."&amp;$B$158&amp;".energy["&amp;This.year&amp;"]"),MATCH($C230&amp;AJ$5,INDIRECT($B$3&amp;"."&amp;$B$158&amp;".energy[Tech description]")&amp;INDIRECT($B$3&amp;"."&amp;$B$158&amp;".energy[Energy description]"),0)),0)</f>
        <v>0</v>
      </c>
      <c r="AK230" s="152">
        <f t="array" aca="1" ref="AK230" ca="1">IFERROR(INDEX(INDIRECT($B$3&amp;"."&amp;$B$158&amp;".energy["&amp;This.year&amp;"]"),MATCH($C230&amp;AK$5,INDIRECT($B$3&amp;"."&amp;$B$158&amp;".energy[Tech description]")&amp;INDIRECT($B$3&amp;"."&amp;$B$158&amp;".energy[Energy description]"),0)),0)</f>
        <v>0</v>
      </c>
      <c r="AL230" s="152">
        <f t="array" aca="1" ref="AL230" ca="1">IFERROR(INDEX(INDIRECT($B$3&amp;"."&amp;$B$158&amp;".energy["&amp;This.year&amp;"]"),MATCH($C230&amp;AL$5,INDIRECT($B$3&amp;"."&amp;$B$158&amp;".energy[Tech description]")&amp;INDIRECT($B$3&amp;"."&amp;$B$158&amp;".energy[Energy description]"),0)),0)</f>
        <v>0</v>
      </c>
      <c r="AM230" s="152">
        <f t="array" aca="1" ref="AM230" ca="1">IFERROR(INDEX(INDIRECT($B$3&amp;"."&amp;$B$158&amp;".energy["&amp;This.year&amp;"]"),MATCH($C230&amp;AM$5,INDIRECT($B$3&amp;"."&amp;$B$158&amp;".energy[Tech description]")&amp;INDIRECT($B$3&amp;"."&amp;$B$158&amp;".energy[Energy description]"),0)),0)</f>
        <v>0</v>
      </c>
      <c r="AN230" s="152">
        <f t="array" aca="1" ref="AN230" ca="1">IFERROR(INDEX(INDIRECT($B$3&amp;"."&amp;$B$158&amp;".energy["&amp;This.year&amp;"]"),MATCH($C230&amp;AN$5,INDIRECT($B$3&amp;"."&amp;$B$158&amp;".energy[Tech description]")&amp;INDIRECT($B$3&amp;"."&amp;$B$158&amp;".energy[Energy description]"),0)),0)</f>
        <v>0</v>
      </c>
      <c r="AO230" s="152">
        <f t="shared" ca="1" si="35"/>
        <v>-0.47643652328594177</v>
      </c>
      <c r="AP230" s="108"/>
      <c r="AQ230" s="21">
        <f t="array" aca="1" ref="AQ230" ca="1">IFERROR(INDEX(INDIRECT($B$3&amp;"."&amp;$B$158&amp;".energy["&amp;This.year&amp;"]"),MATCH($C230&amp;AQ$5,INDIRECT($B$3&amp;"."&amp;$B$158&amp;".energy[Tech description]")&amp;INDIRECT($B$3&amp;"."&amp;$B$158&amp;".energy[Energy description]"),0)),0)</f>
        <v>0</v>
      </c>
      <c r="AR230" s="21">
        <f t="array" aca="1" ref="AR230" ca="1">IFERROR(INDEX(INDIRECT($B$3&amp;"."&amp;$B$158&amp;".energy["&amp;This.year&amp;"]"),MATCH($C230&amp;AR$5,INDIRECT($B$3&amp;"."&amp;$B$158&amp;".energy[Tech description]")&amp;INDIRECT($B$3&amp;"."&amp;$B$158&amp;".energy[Energy description]"),0)),0)</f>
        <v>0</v>
      </c>
      <c r="AS230" s="21">
        <f t="array" aca="1" ref="AS230" ca="1">IFERROR(INDEX(INDIRECT($B$3&amp;"."&amp;$B$158&amp;".energy["&amp;This.year&amp;"]"),MATCH($C230&amp;AS$5,INDIRECT($B$3&amp;"."&amp;$B$158&amp;".energy[Tech description]")&amp;INDIRECT($B$3&amp;"."&amp;$B$158&amp;".energy[Energy description]"),0)),0)</f>
        <v>0</v>
      </c>
      <c r="AT230" s="21">
        <f t="array" aca="1" ref="AT230" ca="1">IFERROR(INDEX(INDIRECT($B$3&amp;"."&amp;$B$158&amp;".energy["&amp;This.year&amp;"]"),MATCH($C230&amp;AT$5,INDIRECT($B$3&amp;"."&amp;$B$158&amp;".energy[Tech description]")&amp;INDIRECT($B$3&amp;"."&amp;$B$158&amp;".energy[Energy description]"),0)),0)</f>
        <v>0</v>
      </c>
      <c r="AU230" s="21">
        <f t="array" aca="1" ref="AU230" ca="1">IFERROR(INDEX(INDIRECT($B$3&amp;"."&amp;$B$158&amp;".energy["&amp;This.year&amp;"]"),MATCH($C230&amp;AU$5,INDIRECT($B$3&amp;"."&amp;$B$158&amp;".energy[Tech description]")&amp;INDIRECT($B$3&amp;"."&amp;$B$158&amp;".energy[Energy description]"),0)),0)</f>
        <v>0</v>
      </c>
      <c r="AV230" s="21">
        <f t="array" aca="1" ref="AV230" ca="1">IFERROR(INDEX(INDIRECT($B$3&amp;"."&amp;$B$158&amp;".energy["&amp;This.year&amp;"]"),MATCH($C230&amp;AV$5,INDIRECT($B$3&amp;"."&amp;$B$158&amp;".energy[Tech description]")&amp;INDIRECT($B$3&amp;"."&amp;$B$158&amp;".energy[Energy description]"),0)),0)</f>
        <v>0</v>
      </c>
      <c r="AW230" s="21">
        <f t="array" aca="1" ref="AW230" ca="1">IFERROR(INDEX(INDIRECT($B$3&amp;"."&amp;$B$158&amp;".energy["&amp;This.year&amp;"]"),MATCH($C230&amp;AW$5,INDIRECT($B$3&amp;"."&amp;$B$158&amp;".energy[Tech description]")&amp;INDIRECT($B$3&amp;"."&amp;$B$158&amp;".energy[Energy description]"),0)),0)</f>
        <v>0</v>
      </c>
      <c r="AX230" s="21">
        <f t="array" aca="1" ref="AX230" ca="1">IFERROR(INDEX(INDIRECT($B$3&amp;"."&amp;$B$158&amp;".energy["&amp;This.year&amp;"]"),MATCH($C230&amp;AX$5,INDIRECT($B$3&amp;"."&amp;$B$158&amp;".energy[Tech description]")&amp;INDIRECT($B$3&amp;"."&amp;$B$158&amp;".energy[Energy description]"),0)),0)</f>
        <v>0</v>
      </c>
      <c r="AY230" s="21">
        <f t="array" aca="1" ref="AY230" ca="1">IFERROR(INDEX(INDIRECT($B$3&amp;"."&amp;$B$158&amp;".energy["&amp;This.year&amp;"]"),MATCH($C230&amp;AY$5,INDIRECT($B$3&amp;"."&amp;$B$158&amp;".energy[Tech description]")&amp;INDIRECT($B$3&amp;"."&amp;$B$158&amp;".energy[Energy description]"),0)),0)</f>
        <v>0</v>
      </c>
      <c r="AZ230" s="21">
        <f t="array" aca="1" ref="AZ230" ca="1">IFERROR(INDEX(INDIRECT($B$3&amp;"."&amp;$B$158&amp;".energy["&amp;This.year&amp;"]"),MATCH($C230&amp;AZ$5,INDIRECT($B$3&amp;"."&amp;$B$158&amp;".energy[Tech description]")&amp;INDIRECT($B$3&amp;"."&amp;$B$158&amp;".energy[Energy description]"),0)),0)</f>
        <v>0</v>
      </c>
      <c r="BA230" s="21">
        <f t="array" aca="1" ref="BA230" ca="1">IFERROR(INDEX(INDIRECT($B$3&amp;"."&amp;$B$158&amp;".energy["&amp;This.year&amp;"]"),MATCH($C230&amp;BA$5,INDIRECT($B$3&amp;"."&amp;$B$158&amp;".energy[Tech description]")&amp;INDIRECT($B$3&amp;"."&amp;$B$158&amp;".energy[Energy description]"),0)),0)</f>
        <v>0</v>
      </c>
      <c r="BB230" s="21">
        <f t="array" aca="1" ref="BB230" ca="1">IFERROR(INDEX(INDIRECT($B$3&amp;"."&amp;$B$158&amp;".energy["&amp;This.year&amp;"]"),MATCH($C230&amp;BB$5,INDIRECT($B$3&amp;"."&amp;$B$158&amp;".energy[Tech description]")&amp;INDIRECT($B$3&amp;"."&amp;$B$158&amp;".energy[Energy description]"),0)),0)</f>
        <v>0</v>
      </c>
      <c r="BC230" s="21">
        <f t="array" aca="1" ref="BC230" ca="1">IFERROR(INDEX(INDIRECT($B$3&amp;"."&amp;$B$158&amp;".energy["&amp;This.year&amp;"]"),MATCH($C230&amp;BC$5,INDIRECT($B$3&amp;"."&amp;$B$158&amp;".energy[Tech description]")&amp;INDIRECT($B$3&amp;"."&amp;$B$158&amp;".energy[Energy description]"),0)),0)</f>
        <v>0</v>
      </c>
      <c r="BD230" s="21">
        <f t="shared" ca="1" si="36"/>
        <v>0</v>
      </c>
      <c r="BE230" s="108"/>
      <c r="BF230" s="49">
        <f t="array" aca="1" ref="BF230" ca="1">IFERROR(INDEX(INDIRECT($B$3&amp;"."&amp;$B$158&amp;".energy["&amp;This.year&amp;"]"),MATCH($C230&amp;BF$5,INDIRECT($B$3&amp;"."&amp;$B$158&amp;".energy[Tech description]")&amp;INDIRECT($B$3&amp;"."&amp;$B$158&amp;".energy[Energy description]"),0)),0)</f>
        <v>0</v>
      </c>
      <c r="BG230" s="49">
        <f t="array" aca="1" ref="BG230" ca="1">IFERROR(INDEX(INDIRECT($B$3&amp;"."&amp;$B$158&amp;".energy["&amp;This.year&amp;"]"),MATCH($C230&amp;BG$5,INDIRECT($B$3&amp;"."&amp;$B$158&amp;".energy[Tech description]")&amp;INDIRECT($B$3&amp;"."&amp;$B$158&amp;".energy[Energy description]"),0)),0)</f>
        <v>0</v>
      </c>
      <c r="BH230" s="49">
        <f t="shared" ca="1" si="37"/>
        <v>0</v>
      </c>
      <c r="BI230" s="219">
        <f t="shared" ca="1" si="9"/>
        <v>0</v>
      </c>
      <c r="BJ230" s="108"/>
    </row>
    <row r="231" spans="1:62" s="54" customFormat="1">
      <c r="A231" s="133"/>
      <c r="B231" s="176" t="s">
        <v>1849</v>
      </c>
      <c r="C231" s="114" t="str">
        <f>INDEX(Regional.Technologies[Description],MATCH($B$3&amp;"."&amp;B231,Regional.Technologies[Code],0))</f>
        <v>Global Solid Hydrocarbons use in the Pulp &amp; paper: Pulp technology</v>
      </c>
      <c r="E231" s="121">
        <f t="array" aca="1" ref="E231" ca="1">IFERROR(INDEX(INDIRECT($B$3&amp;"."&amp;$B$158&amp;".energy["&amp;This.year&amp;"]"),MATCH($C231&amp;E$5,INDIRECT($B$3&amp;"."&amp;$B$158&amp;".energy[Tech description]")&amp;INDIRECT($B$3&amp;"."&amp;$B$158&amp;".energy[Energy description]"),0)),0)</f>
        <v>0</v>
      </c>
      <c r="F231" s="121">
        <f t="array" aca="1" ref="F231" ca="1">IFERROR(INDEX(INDIRECT($B$3&amp;"."&amp;$B$158&amp;".energy["&amp;This.year&amp;"]"),MATCH($C231&amp;F$5,INDIRECT($B$3&amp;"."&amp;$B$158&amp;".energy[Tech description]")&amp;INDIRECT($B$3&amp;"."&amp;$B$158&amp;".energy[Energy description]"),0)),0)</f>
        <v>0</v>
      </c>
      <c r="G231" s="121">
        <f t="array" aca="1" ref="G231" ca="1">IFERROR(INDEX(INDIRECT($B$3&amp;"."&amp;$B$158&amp;".energy["&amp;This.year&amp;"]"),MATCH($C231&amp;G$5,INDIRECT($B$3&amp;"."&amp;$B$158&amp;".energy[Tech description]")&amp;INDIRECT($B$3&amp;"."&amp;$B$158&amp;".energy[Energy description]"),0)),0)</f>
        <v>0</v>
      </c>
      <c r="H231" s="121">
        <f t="array" aca="1" ref="H231" ca="1">IFERROR(INDEX(INDIRECT($B$3&amp;"."&amp;$B$158&amp;".energy["&amp;This.year&amp;"]"),MATCH($C231&amp;H$5,INDIRECT($B$3&amp;"."&amp;$B$158&amp;".energy[Tech description]")&amp;INDIRECT($B$3&amp;"."&amp;$B$158&amp;".energy[Energy description]"),0)),0)</f>
        <v>0</v>
      </c>
      <c r="I231" s="121">
        <f t="array" aca="1" ref="I231" ca="1">IFERROR(INDEX(INDIRECT($B$3&amp;"."&amp;$B$158&amp;".energy["&amp;This.year&amp;"]"),MATCH($C231&amp;I$5,INDIRECT($B$3&amp;"."&amp;$B$158&amp;".energy[Tech description]")&amp;INDIRECT($B$3&amp;"."&amp;$B$158&amp;".energy[Energy description]"),0)),0)</f>
        <v>0</v>
      </c>
      <c r="J231" s="121">
        <f t="array" aca="1" ref="J231" ca="1">IFERROR(INDEX(INDIRECT($B$3&amp;"."&amp;$B$158&amp;".energy["&amp;This.year&amp;"]"),MATCH($C231&amp;J$5,INDIRECT($B$3&amp;"."&amp;$B$158&amp;".energy[Tech description]")&amp;INDIRECT($B$3&amp;"."&amp;$B$158&amp;".energy[Energy description]"),0)),0)</f>
        <v>1.1015070797346034</v>
      </c>
      <c r="K231" s="121">
        <f t="array" aca="1" ref="K231" ca="1">IFERROR(INDEX(INDIRECT($B$3&amp;"."&amp;$B$158&amp;".energy["&amp;This.year&amp;"]"),MATCH($C231&amp;K$5,INDIRECT($B$3&amp;"."&amp;$B$158&amp;".energy[Tech description]")&amp;INDIRECT($B$3&amp;"."&amp;$B$158&amp;".energy[Energy description]"),0)),0)</f>
        <v>0</v>
      </c>
      <c r="L231" s="121">
        <f t="array" aca="1" ref="L231" ca="1">IFERROR(INDEX(INDIRECT($B$3&amp;"."&amp;$B$158&amp;".energy["&amp;This.year&amp;"]"),MATCH($C231&amp;L$5,INDIRECT($B$3&amp;"."&amp;$B$158&amp;".energy[Tech description]")&amp;INDIRECT($B$3&amp;"."&amp;$B$158&amp;".energy[Energy description]"),0)),0)</f>
        <v>0</v>
      </c>
      <c r="M231" s="121">
        <f t="array" aca="1" ref="M231" ca="1">IFERROR(INDEX(INDIRECT($B$3&amp;"."&amp;$B$158&amp;".energy["&amp;This.year&amp;"]"),MATCH($C231&amp;M$5,INDIRECT($B$3&amp;"."&amp;$B$158&amp;".energy[Tech description]")&amp;INDIRECT($B$3&amp;"."&amp;$B$158&amp;".energy[Energy description]"),0)),0)</f>
        <v>0</v>
      </c>
      <c r="N231" s="121">
        <f t="array" aca="1" ref="N231" ca="1">IFERROR(INDEX(INDIRECT($B$3&amp;"."&amp;$B$158&amp;".energy["&amp;This.year&amp;"]"),MATCH($C231&amp;N$5,INDIRECT($B$3&amp;"."&amp;$B$158&amp;".energy[Tech description]")&amp;INDIRECT($B$3&amp;"."&amp;$B$158&amp;".energy[Energy description]"),0)),0)</f>
        <v>0</v>
      </c>
      <c r="O231" s="121">
        <f t="array" aca="1" ref="O231" ca="1">IFERROR(INDEX(INDIRECT($B$3&amp;"."&amp;$B$158&amp;".energy["&amp;This.year&amp;"]"),MATCH($C231&amp;O$5,INDIRECT($B$3&amp;"."&amp;$B$158&amp;".energy[Tech description]")&amp;INDIRECT($B$3&amp;"."&amp;$B$158&amp;".energy[Energy description]"),0)),0)</f>
        <v>0</v>
      </c>
      <c r="P231" s="121">
        <f t="array" aca="1" ref="P231" ca="1">IFERROR(INDEX(INDIRECT($B$3&amp;"."&amp;$B$158&amp;".energy["&amp;This.year&amp;"]"),MATCH($C231&amp;P$5,INDIRECT($B$3&amp;"."&amp;$B$158&amp;".energy[Tech description]")&amp;INDIRECT($B$3&amp;"."&amp;$B$158&amp;".energy[Energy description]"),0)),0)</f>
        <v>0</v>
      </c>
      <c r="Q231" s="121">
        <f t="array" aca="1" ref="Q231" ca="1">IFERROR(INDEX(INDIRECT($B$3&amp;"."&amp;$B$158&amp;".energy["&amp;This.year&amp;"]"),MATCH($C231&amp;Q$5,INDIRECT($B$3&amp;"."&amp;$B$158&amp;".energy[Tech description]")&amp;INDIRECT($B$3&amp;"."&amp;$B$158&amp;".energy[Energy description]"),0)),0)</f>
        <v>0</v>
      </c>
      <c r="R231" s="121">
        <f t="array" aca="1" ref="R231" ca="1">IFERROR(INDEX(INDIRECT($B$3&amp;"."&amp;$B$158&amp;".energy["&amp;This.year&amp;"]"),MATCH($C231&amp;R$5,INDIRECT($B$3&amp;"."&amp;$B$158&amp;".energy[Tech description]")&amp;INDIRECT($B$3&amp;"."&amp;$B$158&amp;".energy[Energy description]"),0)),0)</f>
        <v>0</v>
      </c>
      <c r="S231" s="121">
        <f t="array" aca="1" ref="S231" ca="1">IFERROR(INDEX(INDIRECT($B$3&amp;"."&amp;$B$158&amp;".energy["&amp;This.year&amp;"]"),MATCH($C231&amp;S$5,INDIRECT($B$3&amp;"."&amp;$B$158&amp;".energy[Tech description]")&amp;INDIRECT($B$3&amp;"."&amp;$B$158&amp;".energy[Energy description]"),0)),0)</f>
        <v>0</v>
      </c>
      <c r="T231" s="121">
        <f t="shared" ca="1" si="34"/>
        <v>1.1015070797346034</v>
      </c>
      <c r="U231" s="109"/>
      <c r="V231" s="152">
        <f t="array" aca="1" ref="V231" ca="1">IFERROR(INDEX(INDIRECT($B$3&amp;"."&amp;$B$158&amp;".energy["&amp;This.year&amp;"]"),MATCH($C231&amp;V$5,INDIRECT($B$3&amp;"."&amp;$B$158&amp;".energy[Tech description]")&amp;INDIRECT($B$3&amp;"."&amp;$B$158&amp;".energy[Energy description]"),0)),0)</f>
        <v>0</v>
      </c>
      <c r="W231" s="152">
        <f t="array" aca="1" ref="W231" ca="1">IFERROR(INDEX(INDIRECT($B$3&amp;"."&amp;$B$158&amp;".energy["&amp;This.year&amp;"]"),MATCH($C231&amp;W$5,INDIRECT($B$3&amp;"."&amp;$B$158&amp;".energy[Tech description]")&amp;INDIRECT($B$3&amp;"."&amp;$B$158&amp;".energy[Energy description]"),0)),0)</f>
        <v>0</v>
      </c>
      <c r="X231" s="152">
        <f t="array" aca="1" ref="X231" ca="1">IFERROR(INDEX(INDIRECT($B$3&amp;"."&amp;$B$158&amp;".energy["&amp;This.year&amp;"]"),MATCH($C231&amp;X$5,INDIRECT($B$3&amp;"."&amp;$B$158&amp;".energy[Tech description]")&amp;INDIRECT($B$3&amp;"."&amp;$B$158&amp;".energy[Energy description]"),0)),0)</f>
        <v>-1.1015070797346034</v>
      </c>
      <c r="Y231" s="152">
        <f t="array" aca="1" ref="Y231" ca="1">IFERROR(INDEX(INDIRECT($B$3&amp;"."&amp;$B$158&amp;".energy["&amp;This.year&amp;"]"),MATCH($C231&amp;Y$5,INDIRECT($B$3&amp;"."&amp;$B$158&amp;".energy[Tech description]")&amp;INDIRECT($B$3&amp;"."&amp;$B$158&amp;".energy[Energy description]"),0)),0)</f>
        <v>0</v>
      </c>
      <c r="Z231" s="152">
        <f t="array" aca="1" ref="Z231" ca="1">IFERROR(INDEX(INDIRECT($B$3&amp;"."&amp;$B$158&amp;".energy["&amp;This.year&amp;"]"),MATCH($C231&amp;Z$5,INDIRECT($B$3&amp;"."&amp;$B$158&amp;".energy[Tech description]")&amp;INDIRECT($B$3&amp;"."&amp;$B$158&amp;".energy[Energy description]"),0)),0)</f>
        <v>0</v>
      </c>
      <c r="AA231" s="152">
        <f t="array" aca="1" ref="AA231" ca="1">IFERROR(INDEX(INDIRECT($B$3&amp;"."&amp;$B$158&amp;".energy["&amp;This.year&amp;"]"),MATCH($C231&amp;AA$5,INDIRECT($B$3&amp;"."&amp;$B$158&amp;".energy[Tech description]")&amp;INDIRECT($B$3&amp;"."&amp;$B$158&amp;".energy[Energy description]"),0)),0)</f>
        <v>0</v>
      </c>
      <c r="AB231" s="152">
        <f t="array" aca="1" ref="AB231" ca="1">IFERROR(INDEX(INDIRECT($B$3&amp;"."&amp;$B$158&amp;".energy["&amp;This.year&amp;"]"),MATCH($C231&amp;AB$5,INDIRECT($B$3&amp;"."&amp;$B$158&amp;".energy[Tech description]")&amp;INDIRECT($B$3&amp;"."&amp;$B$158&amp;".energy[Energy description]"),0)),0)</f>
        <v>0</v>
      </c>
      <c r="AC231" s="152">
        <f t="array" aca="1" ref="AC231" ca="1">IFERROR(INDEX(INDIRECT($B$3&amp;"."&amp;$B$158&amp;".energy["&amp;This.year&amp;"]"),MATCH($C231&amp;AC$5,INDIRECT($B$3&amp;"."&amp;$B$158&amp;".energy[Tech description]")&amp;INDIRECT($B$3&amp;"."&amp;$B$158&amp;".energy[Energy description]"),0)),0)</f>
        <v>0</v>
      </c>
      <c r="AD231" s="152">
        <f t="array" aca="1" ref="AD231" ca="1">IFERROR(INDEX(INDIRECT($B$3&amp;"."&amp;$B$158&amp;".energy["&amp;This.year&amp;"]"),MATCH($C231&amp;AD$5,INDIRECT($B$3&amp;"."&amp;$B$158&amp;".energy[Tech description]")&amp;INDIRECT($B$3&amp;"."&amp;$B$158&amp;".energy[Energy description]"),0)),0)</f>
        <v>0</v>
      </c>
      <c r="AE231" s="152">
        <f t="array" aca="1" ref="AE231" ca="1">IFERROR(INDEX(INDIRECT($B$3&amp;"."&amp;$B$158&amp;".energy["&amp;This.year&amp;"]"),MATCH($C231&amp;AE$5,INDIRECT($B$3&amp;"."&amp;$B$158&amp;".energy[Tech description]")&amp;INDIRECT($B$3&amp;"."&amp;$B$158&amp;".energy[Energy description]"),0)),0)</f>
        <v>0</v>
      </c>
      <c r="AF231" s="152">
        <f t="array" aca="1" ref="AF231" ca="1">IFERROR(INDEX(INDIRECT($B$3&amp;"."&amp;$B$158&amp;".energy["&amp;This.year&amp;"]"),MATCH($C231&amp;AF$5,INDIRECT($B$3&amp;"."&amp;$B$158&amp;".energy[Tech description]")&amp;INDIRECT($B$3&amp;"."&amp;$B$158&amp;".energy[Energy description]"),0)),0)</f>
        <v>0</v>
      </c>
      <c r="AG231" s="152">
        <f t="array" aca="1" ref="AG231" ca="1">IFERROR(INDEX(INDIRECT($B$3&amp;"."&amp;$B$158&amp;".energy["&amp;This.year&amp;"]"),MATCH($C231&amp;AG$5,INDIRECT($B$3&amp;"."&amp;$B$158&amp;".energy[Tech description]")&amp;INDIRECT($B$3&amp;"."&amp;$B$158&amp;".energy[Energy description]"),0)),0)</f>
        <v>0</v>
      </c>
      <c r="AH231" s="152">
        <f t="array" aca="1" ref="AH231" ca="1">IFERROR(INDEX(INDIRECT($B$3&amp;"."&amp;$B$158&amp;".energy["&amp;This.year&amp;"]"),MATCH($C231&amp;AH$5,INDIRECT($B$3&amp;"."&amp;$B$158&amp;".energy[Tech description]")&amp;INDIRECT($B$3&amp;"."&amp;$B$158&amp;".energy[Energy description]"),0)),0)</f>
        <v>0</v>
      </c>
      <c r="AI231" s="152">
        <f t="array" aca="1" ref="AI231" ca="1">IFERROR(INDEX(INDIRECT($B$3&amp;"."&amp;$B$158&amp;".energy["&amp;This.year&amp;"]"),MATCH($C231&amp;AI$5,INDIRECT($B$3&amp;"."&amp;$B$158&amp;".energy[Tech description]")&amp;INDIRECT($B$3&amp;"."&amp;$B$158&amp;".energy[Energy description]"),0)),0)</f>
        <v>0</v>
      </c>
      <c r="AJ231" s="152">
        <f t="array" aca="1" ref="AJ231" ca="1">IFERROR(INDEX(INDIRECT($B$3&amp;"."&amp;$B$158&amp;".energy["&amp;This.year&amp;"]"),MATCH($C231&amp;AJ$5,INDIRECT($B$3&amp;"."&amp;$B$158&amp;".energy[Tech description]")&amp;INDIRECT($B$3&amp;"."&amp;$B$158&amp;".energy[Energy description]"),0)),0)</f>
        <v>0</v>
      </c>
      <c r="AK231" s="152">
        <f t="array" aca="1" ref="AK231" ca="1">IFERROR(INDEX(INDIRECT($B$3&amp;"."&amp;$B$158&amp;".energy["&amp;This.year&amp;"]"),MATCH($C231&amp;AK$5,INDIRECT($B$3&amp;"."&amp;$B$158&amp;".energy[Tech description]")&amp;INDIRECT($B$3&amp;"."&amp;$B$158&amp;".energy[Energy description]"),0)),0)</f>
        <v>0</v>
      </c>
      <c r="AL231" s="152">
        <f t="array" aca="1" ref="AL231" ca="1">IFERROR(INDEX(INDIRECT($B$3&amp;"."&amp;$B$158&amp;".energy["&amp;This.year&amp;"]"),MATCH($C231&amp;AL$5,INDIRECT($B$3&amp;"."&amp;$B$158&amp;".energy[Tech description]")&amp;INDIRECT($B$3&amp;"."&amp;$B$158&amp;".energy[Energy description]"),0)),0)</f>
        <v>0</v>
      </c>
      <c r="AM231" s="152">
        <f t="array" aca="1" ref="AM231" ca="1">IFERROR(INDEX(INDIRECT($B$3&amp;"."&amp;$B$158&amp;".energy["&amp;This.year&amp;"]"),MATCH($C231&amp;AM$5,INDIRECT($B$3&amp;"."&amp;$B$158&amp;".energy[Tech description]")&amp;INDIRECT($B$3&amp;"."&amp;$B$158&amp;".energy[Energy description]"),0)),0)</f>
        <v>0</v>
      </c>
      <c r="AN231" s="152">
        <f t="array" aca="1" ref="AN231" ca="1">IFERROR(INDEX(INDIRECT($B$3&amp;"."&amp;$B$158&amp;".energy["&amp;This.year&amp;"]"),MATCH($C231&amp;AN$5,INDIRECT($B$3&amp;"."&amp;$B$158&amp;".energy[Tech description]")&amp;INDIRECT($B$3&amp;"."&amp;$B$158&amp;".energy[Energy description]"),0)),0)</f>
        <v>0</v>
      </c>
      <c r="AO231" s="152">
        <f t="shared" ca="1" si="35"/>
        <v>-1.1015070797346034</v>
      </c>
      <c r="AP231" s="108"/>
      <c r="AQ231" s="21">
        <f t="array" aca="1" ref="AQ231" ca="1">IFERROR(INDEX(INDIRECT($B$3&amp;"."&amp;$B$158&amp;".energy["&amp;This.year&amp;"]"),MATCH($C231&amp;AQ$5,INDIRECT($B$3&amp;"."&amp;$B$158&amp;".energy[Tech description]")&amp;INDIRECT($B$3&amp;"."&amp;$B$158&amp;".energy[Energy description]"),0)),0)</f>
        <v>0</v>
      </c>
      <c r="AR231" s="21">
        <f t="array" aca="1" ref="AR231" ca="1">IFERROR(INDEX(INDIRECT($B$3&amp;"."&amp;$B$158&amp;".energy["&amp;This.year&amp;"]"),MATCH($C231&amp;AR$5,INDIRECT($B$3&amp;"."&amp;$B$158&amp;".energy[Tech description]")&amp;INDIRECT($B$3&amp;"."&amp;$B$158&amp;".energy[Energy description]"),0)),0)</f>
        <v>0</v>
      </c>
      <c r="AS231" s="21">
        <f t="array" aca="1" ref="AS231" ca="1">IFERROR(INDEX(INDIRECT($B$3&amp;"."&amp;$B$158&amp;".energy["&amp;This.year&amp;"]"),MATCH($C231&amp;AS$5,INDIRECT($B$3&amp;"."&amp;$B$158&amp;".energy[Tech description]")&amp;INDIRECT($B$3&amp;"."&amp;$B$158&amp;".energy[Energy description]"),0)),0)</f>
        <v>0</v>
      </c>
      <c r="AT231" s="21">
        <f t="array" aca="1" ref="AT231" ca="1">IFERROR(INDEX(INDIRECT($B$3&amp;"."&amp;$B$158&amp;".energy["&amp;This.year&amp;"]"),MATCH($C231&amp;AT$5,INDIRECT($B$3&amp;"."&amp;$B$158&amp;".energy[Tech description]")&amp;INDIRECT($B$3&amp;"."&amp;$B$158&amp;".energy[Energy description]"),0)),0)</f>
        <v>0</v>
      </c>
      <c r="AU231" s="21">
        <f t="array" aca="1" ref="AU231" ca="1">IFERROR(INDEX(INDIRECT($B$3&amp;"."&amp;$B$158&amp;".energy["&amp;This.year&amp;"]"),MATCH($C231&amp;AU$5,INDIRECT($B$3&amp;"."&amp;$B$158&amp;".energy[Tech description]")&amp;INDIRECT($B$3&amp;"."&amp;$B$158&amp;".energy[Energy description]"),0)),0)</f>
        <v>0</v>
      </c>
      <c r="AV231" s="21">
        <f t="array" aca="1" ref="AV231" ca="1">IFERROR(INDEX(INDIRECT($B$3&amp;"."&amp;$B$158&amp;".energy["&amp;This.year&amp;"]"),MATCH($C231&amp;AV$5,INDIRECT($B$3&amp;"."&amp;$B$158&amp;".energy[Tech description]")&amp;INDIRECT($B$3&amp;"."&amp;$B$158&amp;".energy[Energy description]"),0)),0)</f>
        <v>0</v>
      </c>
      <c r="AW231" s="21">
        <f t="array" aca="1" ref="AW231" ca="1">IFERROR(INDEX(INDIRECT($B$3&amp;"."&amp;$B$158&amp;".energy["&amp;This.year&amp;"]"),MATCH($C231&amp;AW$5,INDIRECT($B$3&amp;"."&amp;$B$158&amp;".energy[Tech description]")&amp;INDIRECT($B$3&amp;"."&amp;$B$158&amp;".energy[Energy description]"),0)),0)</f>
        <v>0</v>
      </c>
      <c r="AX231" s="21">
        <f t="array" aca="1" ref="AX231" ca="1">IFERROR(INDEX(INDIRECT($B$3&amp;"."&amp;$B$158&amp;".energy["&amp;This.year&amp;"]"),MATCH($C231&amp;AX$5,INDIRECT($B$3&amp;"."&amp;$B$158&amp;".energy[Tech description]")&amp;INDIRECT($B$3&amp;"."&amp;$B$158&amp;".energy[Energy description]"),0)),0)</f>
        <v>0</v>
      </c>
      <c r="AY231" s="21">
        <f t="array" aca="1" ref="AY231" ca="1">IFERROR(INDEX(INDIRECT($B$3&amp;"."&amp;$B$158&amp;".energy["&amp;This.year&amp;"]"),MATCH($C231&amp;AY$5,INDIRECT($B$3&amp;"."&amp;$B$158&amp;".energy[Tech description]")&amp;INDIRECT($B$3&amp;"."&amp;$B$158&amp;".energy[Energy description]"),0)),0)</f>
        <v>0</v>
      </c>
      <c r="AZ231" s="21">
        <f t="array" aca="1" ref="AZ231" ca="1">IFERROR(INDEX(INDIRECT($B$3&amp;"."&amp;$B$158&amp;".energy["&amp;This.year&amp;"]"),MATCH($C231&amp;AZ$5,INDIRECT($B$3&amp;"."&amp;$B$158&amp;".energy[Tech description]")&amp;INDIRECT($B$3&amp;"."&amp;$B$158&amp;".energy[Energy description]"),0)),0)</f>
        <v>0</v>
      </c>
      <c r="BA231" s="21">
        <f t="array" aca="1" ref="BA231" ca="1">IFERROR(INDEX(INDIRECT($B$3&amp;"."&amp;$B$158&amp;".energy["&amp;This.year&amp;"]"),MATCH($C231&amp;BA$5,INDIRECT($B$3&amp;"."&amp;$B$158&amp;".energy[Tech description]")&amp;INDIRECT($B$3&amp;"."&amp;$B$158&amp;".energy[Energy description]"),0)),0)</f>
        <v>0</v>
      </c>
      <c r="BB231" s="21">
        <f t="array" aca="1" ref="BB231" ca="1">IFERROR(INDEX(INDIRECT($B$3&amp;"."&amp;$B$158&amp;".energy["&amp;This.year&amp;"]"),MATCH($C231&amp;BB$5,INDIRECT($B$3&amp;"."&amp;$B$158&amp;".energy[Tech description]")&amp;INDIRECT($B$3&amp;"."&amp;$B$158&amp;".energy[Energy description]"),0)),0)</f>
        <v>0</v>
      </c>
      <c r="BC231" s="21">
        <f t="array" aca="1" ref="BC231" ca="1">IFERROR(INDEX(INDIRECT($B$3&amp;"."&amp;$B$158&amp;".energy["&amp;This.year&amp;"]"),MATCH($C231&amp;BC$5,INDIRECT($B$3&amp;"."&amp;$B$158&amp;".energy[Tech description]")&amp;INDIRECT($B$3&amp;"."&amp;$B$158&amp;".energy[Energy description]"),0)),0)</f>
        <v>0</v>
      </c>
      <c r="BD231" s="21">
        <f t="shared" ca="1" si="36"/>
        <v>0</v>
      </c>
      <c r="BE231" s="108"/>
      <c r="BF231" s="49">
        <f t="array" aca="1" ref="BF231" ca="1">IFERROR(INDEX(INDIRECT($B$3&amp;"."&amp;$B$158&amp;".energy["&amp;This.year&amp;"]"),MATCH($C231&amp;BF$5,INDIRECT($B$3&amp;"."&amp;$B$158&amp;".energy[Tech description]")&amp;INDIRECT($B$3&amp;"."&amp;$B$158&amp;".energy[Energy description]"),0)),0)</f>
        <v>0</v>
      </c>
      <c r="BG231" s="49">
        <f t="array" aca="1" ref="BG231" ca="1">IFERROR(INDEX(INDIRECT($B$3&amp;"."&amp;$B$158&amp;".energy["&amp;This.year&amp;"]"),MATCH($C231&amp;BG$5,INDIRECT($B$3&amp;"."&amp;$B$158&amp;".energy[Tech description]")&amp;INDIRECT($B$3&amp;"."&amp;$B$158&amp;".energy[Energy description]"),0)),0)</f>
        <v>0</v>
      </c>
      <c r="BH231" s="49">
        <f t="shared" ca="1" si="37"/>
        <v>0</v>
      </c>
      <c r="BI231" s="219">
        <f t="shared" ref="BI231:BI244" ca="1" si="38">SUM(T231,AO231,BD231,BH231)</f>
        <v>0</v>
      </c>
      <c r="BJ231" s="108"/>
    </row>
    <row r="232" spans="1:62" s="54" customFormat="1">
      <c r="A232" s="133"/>
      <c r="B232" s="176" t="s">
        <v>1850</v>
      </c>
      <c r="C232" s="114" t="str">
        <f>INDEX(Regional.Technologies[Description],MATCH($B$3&amp;"."&amp;B232,Regional.Technologies[Code],0))</f>
        <v>Global Heat use in the Pulp &amp; paper: Pulp technology</v>
      </c>
      <c r="E232" s="121">
        <f t="array" aca="1" ref="E232" ca="1">IFERROR(INDEX(INDIRECT($B$3&amp;"."&amp;$B$158&amp;".energy["&amp;This.year&amp;"]"),MATCH($C232&amp;E$5,INDIRECT($B$3&amp;"."&amp;$B$158&amp;".energy[Tech description]")&amp;INDIRECT($B$3&amp;"."&amp;$B$158&amp;".energy[Energy description]"),0)),0)</f>
        <v>0</v>
      </c>
      <c r="F232" s="121">
        <f t="array" aca="1" ref="F232" ca="1">IFERROR(INDEX(INDIRECT($B$3&amp;"."&amp;$B$158&amp;".energy["&amp;This.year&amp;"]"),MATCH($C232&amp;F$5,INDIRECT($B$3&amp;"."&amp;$B$158&amp;".energy[Tech description]")&amp;INDIRECT($B$3&amp;"."&amp;$B$158&amp;".energy[Energy description]"),0)),0)</f>
        <v>0</v>
      </c>
      <c r="G232" s="121">
        <f t="array" aca="1" ref="G232" ca="1">IFERROR(INDEX(INDIRECT($B$3&amp;"."&amp;$B$158&amp;".energy["&amp;This.year&amp;"]"),MATCH($C232&amp;G$5,INDIRECT($B$3&amp;"."&amp;$B$158&amp;".energy[Tech description]")&amp;INDIRECT($B$3&amp;"."&amp;$B$158&amp;".energy[Energy description]"),0)),0)</f>
        <v>0</v>
      </c>
      <c r="H232" s="121">
        <f t="array" aca="1" ref="H232" ca="1">IFERROR(INDEX(INDIRECT($B$3&amp;"."&amp;$B$158&amp;".energy["&amp;This.year&amp;"]"),MATCH($C232&amp;H$5,INDIRECT($B$3&amp;"."&amp;$B$158&amp;".energy[Tech description]")&amp;INDIRECT($B$3&amp;"."&amp;$B$158&amp;".energy[Energy description]"),0)),0)</f>
        <v>0</v>
      </c>
      <c r="I232" s="121">
        <f t="array" aca="1" ref="I232" ca="1">IFERROR(INDEX(INDIRECT($B$3&amp;"."&amp;$B$158&amp;".energy["&amp;This.year&amp;"]"),MATCH($C232&amp;I$5,INDIRECT($B$3&amp;"."&amp;$B$158&amp;".energy[Tech description]")&amp;INDIRECT($B$3&amp;"."&amp;$B$158&amp;".energy[Energy description]"),0)),0)</f>
        <v>0</v>
      </c>
      <c r="J232" s="121">
        <f t="array" aca="1" ref="J232" ca="1">IFERROR(INDEX(INDIRECT($B$3&amp;"."&amp;$B$158&amp;".energy["&amp;This.year&amp;"]"),MATCH($C232&amp;J$5,INDIRECT($B$3&amp;"."&amp;$B$158&amp;".energy[Tech description]")&amp;INDIRECT($B$3&amp;"."&amp;$B$158&amp;".energy[Energy description]"),0)),0)</f>
        <v>0</v>
      </c>
      <c r="K232" s="121">
        <f t="array" aca="1" ref="K232" ca="1">IFERROR(INDEX(INDIRECT($B$3&amp;"."&amp;$B$158&amp;".energy["&amp;This.year&amp;"]"),MATCH($C232&amp;K$5,INDIRECT($B$3&amp;"."&amp;$B$158&amp;".energy[Tech description]")&amp;INDIRECT($B$3&amp;"."&amp;$B$158&amp;".energy[Energy description]"),0)),0)</f>
        <v>0</v>
      </c>
      <c r="L232" s="121">
        <f t="array" aca="1" ref="L232" ca="1">IFERROR(INDEX(INDIRECT($B$3&amp;"."&amp;$B$158&amp;".energy["&amp;This.year&amp;"]"),MATCH($C232&amp;L$5,INDIRECT($B$3&amp;"."&amp;$B$158&amp;".energy[Tech description]")&amp;INDIRECT($B$3&amp;"."&amp;$B$158&amp;".energy[Energy description]"),0)),0)</f>
        <v>0</v>
      </c>
      <c r="M232" s="121">
        <f t="array" aca="1" ref="M232" ca="1">IFERROR(INDEX(INDIRECT($B$3&amp;"."&amp;$B$158&amp;".energy["&amp;This.year&amp;"]"),MATCH($C232&amp;M$5,INDIRECT($B$3&amp;"."&amp;$B$158&amp;".energy[Tech description]")&amp;INDIRECT($B$3&amp;"."&amp;$B$158&amp;".energy[Energy description]"),0)),0)</f>
        <v>0</v>
      </c>
      <c r="N232" s="121">
        <f t="array" aca="1" ref="N232" ca="1">IFERROR(INDEX(INDIRECT($B$3&amp;"."&amp;$B$158&amp;".energy["&amp;This.year&amp;"]"),MATCH($C232&amp;N$5,INDIRECT($B$3&amp;"."&amp;$B$158&amp;".energy[Tech description]")&amp;INDIRECT($B$3&amp;"."&amp;$B$158&amp;".energy[Energy description]"),0)),0)</f>
        <v>0</v>
      </c>
      <c r="O232" s="121">
        <f t="array" aca="1" ref="O232" ca="1">IFERROR(INDEX(INDIRECT($B$3&amp;"."&amp;$B$158&amp;".energy["&amp;This.year&amp;"]"),MATCH($C232&amp;O$5,INDIRECT($B$3&amp;"."&amp;$B$158&amp;".energy[Tech description]")&amp;INDIRECT($B$3&amp;"."&amp;$B$158&amp;".energy[Energy description]"),0)),0)</f>
        <v>0</v>
      </c>
      <c r="P232" s="121">
        <f t="array" aca="1" ref="P232" ca="1">IFERROR(INDEX(INDIRECT($B$3&amp;"."&amp;$B$158&amp;".energy["&amp;This.year&amp;"]"),MATCH($C232&amp;P$5,INDIRECT($B$3&amp;"."&amp;$B$158&amp;".energy[Tech description]")&amp;INDIRECT($B$3&amp;"."&amp;$B$158&amp;".energy[Energy description]"),0)),0)</f>
        <v>0</v>
      </c>
      <c r="Q232" s="121">
        <f t="array" aca="1" ref="Q232" ca="1">IFERROR(INDEX(INDIRECT($B$3&amp;"."&amp;$B$158&amp;".energy["&amp;This.year&amp;"]"),MATCH($C232&amp;Q$5,INDIRECT($B$3&amp;"."&amp;$B$158&amp;".energy[Tech description]")&amp;INDIRECT($B$3&amp;"."&amp;$B$158&amp;".energy[Energy description]"),0)),0)</f>
        <v>0</v>
      </c>
      <c r="R232" s="121">
        <f t="array" aca="1" ref="R232" ca="1">IFERROR(INDEX(INDIRECT($B$3&amp;"."&amp;$B$158&amp;".energy["&amp;This.year&amp;"]"),MATCH($C232&amp;R$5,INDIRECT($B$3&amp;"."&amp;$B$158&amp;".energy[Tech description]")&amp;INDIRECT($B$3&amp;"."&amp;$B$158&amp;".energy[Energy description]"),0)),0)</f>
        <v>0</v>
      </c>
      <c r="S232" s="121">
        <f t="array" aca="1" ref="S232" ca="1">IFERROR(INDEX(INDIRECT($B$3&amp;"."&amp;$B$158&amp;".energy["&amp;This.year&amp;"]"),MATCH($C232&amp;S$5,INDIRECT($B$3&amp;"."&amp;$B$158&amp;".energy[Tech description]")&amp;INDIRECT($B$3&amp;"."&amp;$B$158&amp;".energy[Energy description]"),0)),0)</f>
        <v>0</v>
      </c>
      <c r="T232" s="121">
        <f t="shared" ca="1" si="34"/>
        <v>0</v>
      </c>
      <c r="U232" s="109"/>
      <c r="V232" s="152">
        <f t="array" aca="1" ref="V232" ca="1">IFERROR(INDEX(INDIRECT($B$3&amp;"."&amp;$B$158&amp;".energy["&amp;This.year&amp;"]"),MATCH($C232&amp;V$5,INDIRECT($B$3&amp;"."&amp;$B$158&amp;".energy[Tech description]")&amp;INDIRECT($B$3&amp;"."&amp;$B$158&amp;".energy[Energy description]"),0)),0)</f>
        <v>0</v>
      </c>
      <c r="W232" s="152">
        <f t="array" aca="1" ref="W232" ca="1">IFERROR(INDEX(INDIRECT($B$3&amp;"."&amp;$B$158&amp;".energy["&amp;This.year&amp;"]"),MATCH($C232&amp;W$5,INDIRECT($B$3&amp;"."&amp;$B$158&amp;".energy[Tech description]")&amp;INDIRECT($B$3&amp;"."&amp;$B$158&amp;".energy[Energy description]"),0)),0)</f>
        <v>0</v>
      </c>
      <c r="X232" s="152">
        <f t="array" aca="1" ref="X232" ca="1">IFERROR(INDEX(INDIRECT($B$3&amp;"."&amp;$B$158&amp;".energy["&amp;This.year&amp;"]"),MATCH($C232&amp;X$5,INDIRECT($B$3&amp;"."&amp;$B$158&amp;".energy[Tech description]")&amp;INDIRECT($B$3&amp;"."&amp;$B$158&amp;".energy[Energy description]"),0)),0)</f>
        <v>0</v>
      </c>
      <c r="Y232" s="152">
        <f t="array" aca="1" ref="Y232" ca="1">IFERROR(INDEX(INDIRECT($B$3&amp;"."&amp;$B$158&amp;".energy["&amp;This.year&amp;"]"),MATCH($C232&amp;Y$5,INDIRECT($B$3&amp;"."&amp;$B$158&amp;".energy[Tech description]")&amp;INDIRECT($B$3&amp;"."&amp;$B$158&amp;".energy[Energy description]"),0)),0)</f>
        <v>0</v>
      </c>
      <c r="Z232" s="152">
        <f t="array" aca="1" ref="Z232" ca="1">IFERROR(INDEX(INDIRECT($B$3&amp;"."&amp;$B$158&amp;".energy["&amp;This.year&amp;"]"),MATCH($C232&amp;Z$5,INDIRECT($B$3&amp;"."&amp;$B$158&amp;".energy[Tech description]")&amp;INDIRECT($B$3&amp;"."&amp;$B$158&amp;".energy[Energy description]"),0)),0)</f>
        <v>0</v>
      </c>
      <c r="AA232" s="152">
        <f t="array" aca="1" ref="AA232" ca="1">IFERROR(INDEX(INDIRECT($B$3&amp;"."&amp;$B$158&amp;".energy["&amp;This.year&amp;"]"),MATCH($C232&amp;AA$5,INDIRECT($B$3&amp;"."&amp;$B$158&amp;".energy[Tech description]")&amp;INDIRECT($B$3&amp;"."&amp;$B$158&amp;".energy[Energy description]"),0)),0)</f>
        <v>0</v>
      </c>
      <c r="AB232" s="152">
        <f t="array" aca="1" ref="AB232" ca="1">IFERROR(INDEX(INDIRECT($B$3&amp;"."&amp;$B$158&amp;".energy["&amp;This.year&amp;"]"),MATCH($C232&amp;AB$5,INDIRECT($B$3&amp;"."&amp;$B$158&amp;".energy[Tech description]")&amp;INDIRECT($B$3&amp;"."&amp;$B$158&amp;".energy[Energy description]"),0)),0)</f>
        <v>0</v>
      </c>
      <c r="AC232" s="152">
        <f t="array" aca="1" ref="AC232" ca="1">IFERROR(INDEX(INDIRECT($B$3&amp;"."&amp;$B$158&amp;".energy["&amp;This.year&amp;"]"),MATCH($C232&amp;AC$5,INDIRECT($B$3&amp;"."&amp;$B$158&amp;".energy[Tech description]")&amp;INDIRECT($B$3&amp;"."&amp;$B$158&amp;".energy[Energy description]"),0)),0)</f>
        <v>0</v>
      </c>
      <c r="AD232" s="152">
        <f t="array" aca="1" ref="AD232" ca="1">IFERROR(INDEX(INDIRECT($B$3&amp;"."&amp;$B$158&amp;".energy["&amp;This.year&amp;"]"),MATCH($C232&amp;AD$5,INDIRECT($B$3&amp;"."&amp;$B$158&amp;".energy[Tech description]")&amp;INDIRECT($B$3&amp;"."&amp;$B$158&amp;".energy[Energy description]"),0)),0)</f>
        <v>0</v>
      </c>
      <c r="AE232" s="152">
        <f t="array" aca="1" ref="AE232" ca="1">IFERROR(INDEX(INDIRECT($B$3&amp;"."&amp;$B$158&amp;".energy["&amp;This.year&amp;"]"),MATCH($C232&amp;AE$5,INDIRECT($B$3&amp;"."&amp;$B$158&amp;".energy[Tech description]")&amp;INDIRECT($B$3&amp;"."&amp;$B$158&amp;".energy[Energy description]"),0)),0)</f>
        <v>0</v>
      </c>
      <c r="AF232" s="152">
        <f t="array" aca="1" ref="AF232" ca="1">IFERROR(INDEX(INDIRECT($B$3&amp;"."&amp;$B$158&amp;".energy["&amp;This.year&amp;"]"),MATCH($C232&amp;AF$5,INDIRECT($B$3&amp;"."&amp;$B$158&amp;".energy[Tech description]")&amp;INDIRECT($B$3&amp;"."&amp;$B$158&amp;".energy[Energy description]"),0)),0)</f>
        <v>0</v>
      </c>
      <c r="AG232" s="152">
        <f t="array" aca="1" ref="AG232" ca="1">IFERROR(INDEX(INDIRECT($B$3&amp;"."&amp;$B$158&amp;".energy["&amp;This.year&amp;"]"),MATCH($C232&amp;AG$5,INDIRECT($B$3&amp;"."&amp;$B$158&amp;".energy[Tech description]")&amp;INDIRECT($B$3&amp;"."&amp;$B$158&amp;".energy[Energy description]"),0)),0)</f>
        <v>0</v>
      </c>
      <c r="AH232" s="152">
        <f t="array" aca="1" ref="AH232" ca="1">IFERROR(INDEX(INDIRECT($B$3&amp;"."&amp;$B$158&amp;".energy["&amp;This.year&amp;"]"),MATCH($C232&amp;AH$5,INDIRECT($B$3&amp;"."&amp;$B$158&amp;".energy[Tech description]")&amp;INDIRECT($B$3&amp;"."&amp;$B$158&amp;".energy[Energy description]"),0)),0)</f>
        <v>0</v>
      </c>
      <c r="AI232" s="152">
        <f t="array" aca="1" ref="AI232" ca="1">IFERROR(INDEX(INDIRECT($B$3&amp;"."&amp;$B$158&amp;".energy["&amp;This.year&amp;"]"),MATCH($C232&amp;AI$5,INDIRECT($B$3&amp;"."&amp;$B$158&amp;".energy[Tech description]")&amp;INDIRECT($B$3&amp;"."&amp;$B$158&amp;".energy[Energy description]"),0)),0)</f>
        <v>0</v>
      </c>
      <c r="AJ232" s="152">
        <f t="array" aca="1" ref="AJ232" ca="1">IFERROR(INDEX(INDIRECT($B$3&amp;"."&amp;$B$158&amp;".energy["&amp;This.year&amp;"]"),MATCH($C232&amp;AJ$5,INDIRECT($B$3&amp;"."&amp;$B$158&amp;".energy[Tech description]")&amp;INDIRECT($B$3&amp;"."&amp;$B$158&amp;".energy[Energy description]"),0)),0)</f>
        <v>0</v>
      </c>
      <c r="AK232" s="152">
        <f t="array" aca="1" ref="AK232" ca="1">IFERROR(INDEX(INDIRECT($B$3&amp;"."&amp;$B$158&amp;".energy["&amp;This.year&amp;"]"),MATCH($C232&amp;AK$5,INDIRECT($B$3&amp;"."&amp;$B$158&amp;".energy[Tech description]")&amp;INDIRECT($B$3&amp;"."&amp;$B$158&amp;".energy[Energy description]"),0)),0)</f>
        <v>0</v>
      </c>
      <c r="AL232" s="152">
        <f t="array" aca="1" ref="AL232" ca="1">IFERROR(INDEX(INDIRECT($B$3&amp;"."&amp;$B$158&amp;".energy["&amp;This.year&amp;"]"),MATCH($C232&amp;AL$5,INDIRECT($B$3&amp;"."&amp;$B$158&amp;".energy[Tech description]")&amp;INDIRECT($B$3&amp;"."&amp;$B$158&amp;".energy[Energy description]"),0)),0)</f>
        <v>0</v>
      </c>
      <c r="AM232" s="152">
        <f t="array" aca="1" ref="AM232" ca="1">IFERROR(INDEX(INDIRECT($B$3&amp;"."&amp;$B$158&amp;".energy["&amp;This.year&amp;"]"),MATCH($C232&amp;AM$5,INDIRECT($B$3&amp;"."&amp;$B$158&amp;".energy[Tech description]")&amp;INDIRECT($B$3&amp;"."&amp;$B$158&amp;".energy[Energy description]"),0)),0)</f>
        <v>0</v>
      </c>
      <c r="AN232" s="152">
        <f t="array" aca="1" ref="AN232" ca="1">IFERROR(INDEX(INDIRECT($B$3&amp;"."&amp;$B$158&amp;".energy["&amp;This.year&amp;"]"),MATCH($C232&amp;AN$5,INDIRECT($B$3&amp;"."&amp;$B$158&amp;".energy[Tech description]")&amp;INDIRECT($B$3&amp;"."&amp;$B$158&amp;".energy[Energy description]"),0)),0)</f>
        <v>0</v>
      </c>
      <c r="AO232" s="152">
        <f t="shared" ca="1" si="35"/>
        <v>0</v>
      </c>
      <c r="AP232" s="108"/>
      <c r="AQ232" s="21">
        <f t="array" aca="1" ref="AQ232" ca="1">IFERROR(INDEX(INDIRECT($B$3&amp;"."&amp;$B$158&amp;".energy["&amp;This.year&amp;"]"),MATCH($C232&amp;AQ$5,INDIRECT($B$3&amp;"."&amp;$B$158&amp;".energy[Tech description]")&amp;INDIRECT($B$3&amp;"."&amp;$B$158&amp;".energy[Energy description]"),0)),0)</f>
        <v>0</v>
      </c>
      <c r="AR232" s="21">
        <f t="array" aca="1" ref="AR232" ca="1">IFERROR(INDEX(INDIRECT($B$3&amp;"."&amp;$B$158&amp;".energy["&amp;This.year&amp;"]"),MATCH($C232&amp;AR$5,INDIRECT($B$3&amp;"."&amp;$B$158&amp;".energy[Tech description]")&amp;INDIRECT($B$3&amp;"."&amp;$B$158&amp;".energy[Energy description]"),0)),0)</f>
        <v>0</v>
      </c>
      <c r="AS232" s="21">
        <f t="array" aca="1" ref="AS232" ca="1">IFERROR(INDEX(INDIRECT($B$3&amp;"."&amp;$B$158&amp;".energy["&amp;This.year&amp;"]"),MATCH($C232&amp;AS$5,INDIRECT($B$3&amp;"."&amp;$B$158&amp;".energy[Tech description]")&amp;INDIRECT($B$3&amp;"."&amp;$B$158&amp;".energy[Energy description]"),0)),0)</f>
        <v>0</v>
      </c>
      <c r="AT232" s="21">
        <f t="array" aca="1" ref="AT232" ca="1">IFERROR(INDEX(INDIRECT($B$3&amp;"."&amp;$B$158&amp;".energy["&amp;This.year&amp;"]"),MATCH($C232&amp;AT$5,INDIRECT($B$3&amp;"."&amp;$B$158&amp;".energy[Tech description]")&amp;INDIRECT($B$3&amp;"."&amp;$B$158&amp;".energy[Energy description]"),0)),0)</f>
        <v>0</v>
      </c>
      <c r="AU232" s="21">
        <f t="array" aca="1" ref="AU232" ca="1">IFERROR(INDEX(INDIRECT($B$3&amp;"."&amp;$B$158&amp;".energy["&amp;This.year&amp;"]"),MATCH($C232&amp;AU$5,INDIRECT($B$3&amp;"."&amp;$B$158&amp;".energy[Tech description]")&amp;INDIRECT($B$3&amp;"."&amp;$B$158&amp;".energy[Energy description]"),0)),0)</f>
        <v>0</v>
      </c>
      <c r="AV232" s="21">
        <f t="array" aca="1" ref="AV232" ca="1">IFERROR(INDEX(INDIRECT($B$3&amp;"."&amp;$B$158&amp;".energy["&amp;This.year&amp;"]"),MATCH($C232&amp;AV$5,INDIRECT($B$3&amp;"."&amp;$B$158&amp;".energy[Tech description]")&amp;INDIRECT($B$3&amp;"."&amp;$B$158&amp;".energy[Energy description]"),0)),0)</f>
        <v>0</v>
      </c>
      <c r="AW232" s="21">
        <f t="array" aca="1" ref="AW232" ca="1">IFERROR(INDEX(INDIRECT($B$3&amp;"."&amp;$B$158&amp;".energy["&amp;This.year&amp;"]"),MATCH($C232&amp;AW$5,INDIRECT($B$3&amp;"."&amp;$B$158&amp;".energy[Tech description]")&amp;INDIRECT($B$3&amp;"."&amp;$B$158&amp;".energy[Energy description]"),0)),0)</f>
        <v>0</v>
      </c>
      <c r="AX232" s="21">
        <f t="array" aca="1" ref="AX232" ca="1">IFERROR(INDEX(INDIRECT($B$3&amp;"."&amp;$B$158&amp;".energy["&amp;This.year&amp;"]"),MATCH($C232&amp;AX$5,INDIRECT($B$3&amp;"."&amp;$B$158&amp;".energy[Tech description]")&amp;INDIRECT($B$3&amp;"."&amp;$B$158&amp;".energy[Energy description]"),0)),0)</f>
        <v>0</v>
      </c>
      <c r="AY232" s="21">
        <f t="array" aca="1" ref="AY232" ca="1">IFERROR(INDEX(INDIRECT($B$3&amp;"."&amp;$B$158&amp;".energy["&amp;This.year&amp;"]"),MATCH($C232&amp;AY$5,INDIRECT($B$3&amp;"."&amp;$B$158&amp;".energy[Tech description]")&amp;INDIRECT($B$3&amp;"."&amp;$B$158&amp;".energy[Energy description]"),0)),0)</f>
        <v>0</v>
      </c>
      <c r="AZ232" s="21">
        <f t="array" aca="1" ref="AZ232" ca="1">IFERROR(INDEX(INDIRECT($B$3&amp;"."&amp;$B$158&amp;".energy["&amp;This.year&amp;"]"),MATCH($C232&amp;AZ$5,INDIRECT($B$3&amp;"."&amp;$B$158&amp;".energy[Tech description]")&amp;INDIRECT($B$3&amp;"."&amp;$B$158&amp;".energy[Energy description]"),0)),0)</f>
        <v>0</v>
      </c>
      <c r="BA232" s="21">
        <f t="array" aca="1" ref="BA232" ca="1">IFERROR(INDEX(INDIRECT($B$3&amp;"."&amp;$B$158&amp;".energy["&amp;This.year&amp;"]"),MATCH($C232&amp;BA$5,INDIRECT($B$3&amp;"."&amp;$B$158&amp;".energy[Tech description]")&amp;INDIRECT($B$3&amp;"."&amp;$B$158&amp;".energy[Energy description]"),0)),0)</f>
        <v>0</v>
      </c>
      <c r="BB232" s="21">
        <f t="array" aca="1" ref="BB232" ca="1">IFERROR(INDEX(INDIRECT($B$3&amp;"."&amp;$B$158&amp;".energy["&amp;This.year&amp;"]"),MATCH($C232&amp;BB$5,INDIRECT($B$3&amp;"."&amp;$B$158&amp;".energy[Tech description]")&amp;INDIRECT($B$3&amp;"."&amp;$B$158&amp;".energy[Energy description]"),0)),0)</f>
        <v>0</v>
      </c>
      <c r="BC232" s="21">
        <f t="array" aca="1" ref="BC232" ca="1">IFERROR(INDEX(INDIRECT($B$3&amp;"."&amp;$B$158&amp;".energy["&amp;This.year&amp;"]"),MATCH($C232&amp;BC$5,INDIRECT($B$3&amp;"."&amp;$B$158&amp;".energy[Tech description]")&amp;INDIRECT($B$3&amp;"."&amp;$B$158&amp;".energy[Energy description]"),0)),0)</f>
        <v>0</v>
      </c>
      <c r="BD232" s="21">
        <f t="shared" ca="1" si="36"/>
        <v>0</v>
      </c>
      <c r="BE232" s="108"/>
      <c r="BF232" s="49">
        <f t="array" aca="1" ref="BF232" ca="1">IFERROR(INDEX(INDIRECT($B$3&amp;"."&amp;$B$158&amp;".energy["&amp;This.year&amp;"]"),MATCH($C232&amp;BF$5,INDIRECT($B$3&amp;"."&amp;$B$158&amp;".energy[Tech description]")&amp;INDIRECT($B$3&amp;"."&amp;$B$158&amp;".energy[Energy description]"),0)),0)</f>
        <v>0</v>
      </c>
      <c r="BG232" s="49">
        <f t="array" aca="1" ref="BG232" ca="1">IFERROR(INDEX(INDIRECT($B$3&amp;"."&amp;$B$158&amp;".energy["&amp;This.year&amp;"]"),MATCH($C232&amp;BG$5,INDIRECT($B$3&amp;"."&amp;$B$158&amp;".energy[Tech description]")&amp;INDIRECT($B$3&amp;"."&amp;$B$158&amp;".energy[Energy description]"),0)),0)</f>
        <v>0</v>
      </c>
      <c r="BH232" s="49">
        <f t="shared" ca="1" si="37"/>
        <v>0</v>
      </c>
      <c r="BI232" s="219">
        <f t="shared" ca="1" si="38"/>
        <v>0</v>
      </c>
      <c r="BJ232" s="108"/>
    </row>
    <row r="233" spans="1:62" s="54" customFormat="1">
      <c r="A233" s="133"/>
      <c r="B233" s="176" t="s">
        <v>1631</v>
      </c>
      <c r="C233" s="114" t="str">
        <f>INDEX(Regional.Technologies[Description],MATCH($B$3&amp;"."&amp;B233,Regional.Technologies[Code],0))</f>
        <v>Global Electricity use in the Pulp &amp; paper: Virgin technology</v>
      </c>
      <c r="E233" s="121">
        <f t="array" aca="1" ref="E233" ca="1">IFERROR(INDEX(INDIRECT($B$3&amp;"."&amp;$B$158&amp;".energy["&amp;This.year&amp;"]"),MATCH($C233&amp;E$5,INDIRECT($B$3&amp;"."&amp;$B$158&amp;".energy[Tech description]")&amp;INDIRECT($B$3&amp;"."&amp;$B$158&amp;".energy[Energy description]"),0)),0)</f>
        <v>0</v>
      </c>
      <c r="F233" s="121">
        <f t="array" aca="1" ref="F233" ca="1">IFERROR(INDEX(INDIRECT($B$3&amp;"."&amp;$B$158&amp;".energy["&amp;This.year&amp;"]"),MATCH($C233&amp;F$5,INDIRECT($B$3&amp;"."&amp;$B$158&amp;".energy[Tech description]")&amp;INDIRECT($B$3&amp;"."&amp;$B$158&amp;".energy[Energy description]"),0)),0)</f>
        <v>0</v>
      </c>
      <c r="G233" s="121">
        <f t="array" aca="1" ref="G233" ca="1">IFERROR(INDEX(INDIRECT($B$3&amp;"."&amp;$B$158&amp;".energy["&amp;This.year&amp;"]"),MATCH($C233&amp;G$5,INDIRECT($B$3&amp;"."&amp;$B$158&amp;".energy[Tech description]")&amp;INDIRECT($B$3&amp;"."&amp;$B$158&amp;".energy[Energy description]"),0)),0)</f>
        <v>0</v>
      </c>
      <c r="H233" s="121">
        <f t="array" aca="1" ref="H233" ca="1">IFERROR(INDEX(INDIRECT($B$3&amp;"."&amp;$B$158&amp;".energy["&amp;This.year&amp;"]"),MATCH($C233&amp;H$5,INDIRECT($B$3&amp;"."&amp;$B$158&amp;".energy[Tech description]")&amp;INDIRECT($B$3&amp;"."&amp;$B$158&amp;".energy[Energy description]"),0)),0)</f>
        <v>0</v>
      </c>
      <c r="I233" s="121">
        <f t="array" aca="1" ref="I233" ca="1">IFERROR(INDEX(INDIRECT($B$3&amp;"."&amp;$B$158&amp;".energy["&amp;This.year&amp;"]"),MATCH($C233&amp;I$5,INDIRECT($B$3&amp;"."&amp;$B$158&amp;".energy[Tech description]")&amp;INDIRECT($B$3&amp;"."&amp;$B$158&amp;".energy[Energy description]"),0)),0)</f>
        <v>0</v>
      </c>
      <c r="J233" s="121">
        <f t="array" aca="1" ref="J233" ca="1">IFERROR(INDEX(INDIRECT($B$3&amp;"."&amp;$B$158&amp;".energy["&amp;This.year&amp;"]"),MATCH($C233&amp;J$5,INDIRECT($B$3&amp;"."&amp;$B$158&amp;".energy[Tech description]")&amp;INDIRECT($B$3&amp;"."&amp;$B$158&amp;".energy[Energy description]"),0)),0)</f>
        <v>0.96830205621334242</v>
      </c>
      <c r="K233" s="121">
        <f t="array" aca="1" ref="K233" ca="1">IFERROR(INDEX(INDIRECT($B$3&amp;"."&amp;$B$158&amp;".energy["&amp;This.year&amp;"]"),MATCH($C233&amp;K$5,INDIRECT($B$3&amp;"."&amp;$B$158&amp;".energy[Tech description]")&amp;INDIRECT($B$3&amp;"."&amp;$B$158&amp;".energy[Energy description]"),0)),0)</f>
        <v>0</v>
      </c>
      <c r="L233" s="121">
        <f t="array" aca="1" ref="L233" ca="1">IFERROR(INDEX(INDIRECT($B$3&amp;"."&amp;$B$158&amp;".energy["&amp;This.year&amp;"]"),MATCH($C233&amp;L$5,INDIRECT($B$3&amp;"."&amp;$B$158&amp;".energy[Tech description]")&amp;INDIRECT($B$3&amp;"."&amp;$B$158&amp;".energy[Energy description]"),0)),0)</f>
        <v>0</v>
      </c>
      <c r="M233" s="121">
        <f t="array" aca="1" ref="M233" ca="1">IFERROR(INDEX(INDIRECT($B$3&amp;"."&amp;$B$158&amp;".energy["&amp;This.year&amp;"]"),MATCH($C233&amp;M$5,INDIRECT($B$3&amp;"."&amp;$B$158&amp;".energy[Tech description]")&amp;INDIRECT($B$3&amp;"."&amp;$B$158&amp;".energy[Energy description]"),0)),0)</f>
        <v>0</v>
      </c>
      <c r="N233" s="121">
        <f t="array" aca="1" ref="N233" ca="1">IFERROR(INDEX(INDIRECT($B$3&amp;"."&amp;$B$158&amp;".energy["&amp;This.year&amp;"]"),MATCH($C233&amp;N$5,INDIRECT($B$3&amp;"."&amp;$B$158&amp;".energy[Tech description]")&amp;INDIRECT($B$3&amp;"."&amp;$B$158&amp;".energy[Energy description]"),0)),0)</f>
        <v>0</v>
      </c>
      <c r="O233" s="121">
        <f t="array" aca="1" ref="O233" ca="1">IFERROR(INDEX(INDIRECT($B$3&amp;"."&amp;$B$158&amp;".energy["&amp;This.year&amp;"]"),MATCH($C233&amp;O$5,INDIRECT($B$3&amp;"."&amp;$B$158&amp;".energy[Tech description]")&amp;INDIRECT($B$3&amp;"."&amp;$B$158&amp;".energy[Energy description]"),0)),0)</f>
        <v>0</v>
      </c>
      <c r="P233" s="121">
        <f t="array" aca="1" ref="P233" ca="1">IFERROR(INDEX(INDIRECT($B$3&amp;"."&amp;$B$158&amp;".energy["&amp;This.year&amp;"]"),MATCH($C233&amp;P$5,INDIRECT($B$3&amp;"."&amp;$B$158&amp;".energy[Tech description]")&amp;INDIRECT($B$3&amp;"."&amp;$B$158&amp;".energy[Energy description]"),0)),0)</f>
        <v>0</v>
      </c>
      <c r="Q233" s="121">
        <f t="array" aca="1" ref="Q233" ca="1">IFERROR(INDEX(INDIRECT($B$3&amp;"."&amp;$B$158&amp;".energy["&amp;This.year&amp;"]"),MATCH($C233&amp;Q$5,INDIRECT($B$3&amp;"."&amp;$B$158&amp;".energy[Tech description]")&amp;INDIRECT($B$3&amp;"."&amp;$B$158&amp;".energy[Energy description]"),0)),0)</f>
        <v>0</v>
      </c>
      <c r="R233" s="121">
        <f t="array" aca="1" ref="R233" ca="1">IFERROR(INDEX(INDIRECT($B$3&amp;"."&amp;$B$158&amp;".energy["&amp;This.year&amp;"]"),MATCH($C233&amp;R$5,INDIRECT($B$3&amp;"."&amp;$B$158&amp;".energy[Tech description]")&amp;INDIRECT($B$3&amp;"."&amp;$B$158&amp;".energy[Energy description]"),0)),0)</f>
        <v>0</v>
      </c>
      <c r="S233" s="121">
        <f t="array" aca="1" ref="S233" ca="1">IFERROR(INDEX(INDIRECT($B$3&amp;"."&amp;$B$158&amp;".energy["&amp;This.year&amp;"]"),MATCH($C233&amp;S$5,INDIRECT($B$3&amp;"."&amp;$B$158&amp;".energy[Tech description]")&amp;INDIRECT($B$3&amp;"."&amp;$B$158&amp;".energy[Energy description]"),0)),0)</f>
        <v>0</v>
      </c>
      <c r="T233" s="121">
        <f t="shared" ca="1" si="34"/>
        <v>0.96830205621334242</v>
      </c>
      <c r="U233" s="109"/>
      <c r="V233" s="152">
        <f t="array" aca="1" ref="V233" ca="1">IFERROR(INDEX(INDIRECT($B$3&amp;"."&amp;$B$158&amp;".energy["&amp;This.year&amp;"]"),MATCH($C233&amp;V$5,INDIRECT($B$3&amp;"."&amp;$B$158&amp;".energy[Tech description]")&amp;INDIRECT($B$3&amp;"."&amp;$B$158&amp;".energy[Energy description]"),0)),0)</f>
        <v>-0.96830205621334242</v>
      </c>
      <c r="W233" s="152">
        <f t="array" aca="1" ref="W233" ca="1">IFERROR(INDEX(INDIRECT($B$3&amp;"."&amp;$B$158&amp;".energy["&amp;This.year&amp;"]"),MATCH($C233&amp;W$5,INDIRECT($B$3&amp;"."&amp;$B$158&amp;".energy[Tech description]")&amp;INDIRECT($B$3&amp;"."&amp;$B$158&amp;".energy[Energy description]"),0)),0)</f>
        <v>0</v>
      </c>
      <c r="X233" s="152">
        <f t="array" aca="1" ref="X233" ca="1">IFERROR(INDEX(INDIRECT($B$3&amp;"."&amp;$B$158&amp;".energy["&amp;This.year&amp;"]"),MATCH($C233&amp;X$5,INDIRECT($B$3&amp;"."&amp;$B$158&amp;".energy[Tech description]")&amp;INDIRECT($B$3&amp;"."&amp;$B$158&amp;".energy[Energy description]"),0)),0)</f>
        <v>0</v>
      </c>
      <c r="Y233" s="152">
        <f t="array" aca="1" ref="Y233" ca="1">IFERROR(INDEX(INDIRECT($B$3&amp;"."&amp;$B$158&amp;".energy["&amp;This.year&amp;"]"),MATCH($C233&amp;Y$5,INDIRECT($B$3&amp;"."&amp;$B$158&amp;".energy[Tech description]")&amp;INDIRECT($B$3&amp;"."&amp;$B$158&amp;".energy[Energy description]"),0)),0)</f>
        <v>0</v>
      </c>
      <c r="Z233" s="152">
        <f t="array" aca="1" ref="Z233" ca="1">IFERROR(INDEX(INDIRECT($B$3&amp;"."&amp;$B$158&amp;".energy["&amp;This.year&amp;"]"),MATCH($C233&amp;Z$5,INDIRECT($B$3&amp;"."&amp;$B$158&amp;".energy[Tech description]")&amp;INDIRECT($B$3&amp;"."&amp;$B$158&amp;".energy[Energy description]"),0)),0)</f>
        <v>0</v>
      </c>
      <c r="AA233" s="152">
        <f t="array" aca="1" ref="AA233" ca="1">IFERROR(INDEX(INDIRECT($B$3&amp;"."&amp;$B$158&amp;".energy["&amp;This.year&amp;"]"),MATCH($C233&amp;AA$5,INDIRECT($B$3&amp;"."&amp;$B$158&amp;".energy[Tech description]")&amp;INDIRECT($B$3&amp;"."&amp;$B$158&amp;".energy[Energy description]"),0)),0)</f>
        <v>0</v>
      </c>
      <c r="AB233" s="152">
        <f t="array" aca="1" ref="AB233" ca="1">IFERROR(INDEX(INDIRECT($B$3&amp;"."&amp;$B$158&amp;".energy["&amp;This.year&amp;"]"),MATCH($C233&amp;AB$5,INDIRECT($B$3&amp;"."&amp;$B$158&amp;".energy[Tech description]")&amp;INDIRECT($B$3&amp;"."&amp;$B$158&amp;".energy[Energy description]"),0)),0)</f>
        <v>0</v>
      </c>
      <c r="AC233" s="152">
        <f t="array" aca="1" ref="AC233" ca="1">IFERROR(INDEX(INDIRECT($B$3&amp;"."&amp;$B$158&amp;".energy["&amp;This.year&amp;"]"),MATCH($C233&amp;AC$5,INDIRECT($B$3&amp;"."&amp;$B$158&amp;".energy[Tech description]")&amp;INDIRECT($B$3&amp;"."&amp;$B$158&amp;".energy[Energy description]"),0)),0)</f>
        <v>0</v>
      </c>
      <c r="AD233" s="152">
        <f t="array" aca="1" ref="AD233" ca="1">IFERROR(INDEX(INDIRECT($B$3&amp;"."&amp;$B$158&amp;".energy["&amp;This.year&amp;"]"),MATCH($C233&amp;AD$5,INDIRECT($B$3&amp;"."&amp;$B$158&amp;".energy[Tech description]")&amp;INDIRECT($B$3&amp;"."&amp;$B$158&amp;".energy[Energy description]"),0)),0)</f>
        <v>0</v>
      </c>
      <c r="AE233" s="152">
        <f t="array" aca="1" ref="AE233" ca="1">IFERROR(INDEX(INDIRECT($B$3&amp;"."&amp;$B$158&amp;".energy["&amp;This.year&amp;"]"),MATCH($C233&amp;AE$5,INDIRECT($B$3&amp;"."&amp;$B$158&amp;".energy[Tech description]")&amp;INDIRECT($B$3&amp;"."&amp;$B$158&amp;".energy[Energy description]"),0)),0)</f>
        <v>0</v>
      </c>
      <c r="AF233" s="152">
        <f t="array" aca="1" ref="AF233" ca="1">IFERROR(INDEX(INDIRECT($B$3&amp;"."&amp;$B$158&amp;".energy["&amp;This.year&amp;"]"),MATCH($C233&amp;AF$5,INDIRECT($B$3&amp;"."&amp;$B$158&amp;".energy[Tech description]")&amp;INDIRECT($B$3&amp;"."&amp;$B$158&amp;".energy[Energy description]"),0)),0)</f>
        <v>0</v>
      </c>
      <c r="AG233" s="152">
        <f t="array" aca="1" ref="AG233" ca="1">IFERROR(INDEX(INDIRECT($B$3&amp;"."&amp;$B$158&amp;".energy["&amp;This.year&amp;"]"),MATCH($C233&amp;AG$5,INDIRECT($B$3&amp;"."&amp;$B$158&amp;".energy[Tech description]")&amp;INDIRECT($B$3&amp;"."&amp;$B$158&amp;".energy[Energy description]"),0)),0)</f>
        <v>0</v>
      </c>
      <c r="AH233" s="152">
        <f t="array" aca="1" ref="AH233" ca="1">IFERROR(INDEX(INDIRECT($B$3&amp;"."&amp;$B$158&amp;".energy["&amp;This.year&amp;"]"),MATCH($C233&amp;AH$5,INDIRECT($B$3&amp;"."&amp;$B$158&amp;".energy[Tech description]")&amp;INDIRECT($B$3&amp;"."&amp;$B$158&amp;".energy[Energy description]"),0)),0)</f>
        <v>0</v>
      </c>
      <c r="AI233" s="152">
        <f t="array" aca="1" ref="AI233" ca="1">IFERROR(INDEX(INDIRECT($B$3&amp;"."&amp;$B$158&amp;".energy["&amp;This.year&amp;"]"),MATCH($C233&amp;AI$5,INDIRECT($B$3&amp;"."&amp;$B$158&amp;".energy[Tech description]")&amp;INDIRECT($B$3&amp;"."&amp;$B$158&amp;".energy[Energy description]"),0)),0)</f>
        <v>0</v>
      </c>
      <c r="AJ233" s="152">
        <f t="array" aca="1" ref="AJ233" ca="1">IFERROR(INDEX(INDIRECT($B$3&amp;"."&amp;$B$158&amp;".energy["&amp;This.year&amp;"]"),MATCH($C233&amp;AJ$5,INDIRECT($B$3&amp;"."&amp;$B$158&amp;".energy[Tech description]")&amp;INDIRECT($B$3&amp;"."&amp;$B$158&amp;".energy[Energy description]"),0)),0)</f>
        <v>0</v>
      </c>
      <c r="AK233" s="152">
        <f t="array" aca="1" ref="AK233" ca="1">IFERROR(INDEX(INDIRECT($B$3&amp;"."&amp;$B$158&amp;".energy["&amp;This.year&amp;"]"),MATCH($C233&amp;AK$5,INDIRECT($B$3&amp;"."&amp;$B$158&amp;".energy[Tech description]")&amp;INDIRECT($B$3&amp;"."&amp;$B$158&amp;".energy[Energy description]"),0)),0)</f>
        <v>0</v>
      </c>
      <c r="AL233" s="152">
        <f t="array" aca="1" ref="AL233" ca="1">IFERROR(INDEX(INDIRECT($B$3&amp;"."&amp;$B$158&amp;".energy["&amp;This.year&amp;"]"),MATCH($C233&amp;AL$5,INDIRECT($B$3&amp;"."&amp;$B$158&amp;".energy[Tech description]")&amp;INDIRECT($B$3&amp;"."&amp;$B$158&amp;".energy[Energy description]"),0)),0)</f>
        <v>0</v>
      </c>
      <c r="AM233" s="152">
        <f t="array" aca="1" ref="AM233" ca="1">IFERROR(INDEX(INDIRECT($B$3&amp;"."&amp;$B$158&amp;".energy["&amp;This.year&amp;"]"),MATCH($C233&amp;AM$5,INDIRECT($B$3&amp;"."&amp;$B$158&amp;".energy[Tech description]")&amp;INDIRECT($B$3&amp;"."&amp;$B$158&amp;".energy[Energy description]"),0)),0)</f>
        <v>0</v>
      </c>
      <c r="AN233" s="152">
        <f t="array" aca="1" ref="AN233" ca="1">IFERROR(INDEX(INDIRECT($B$3&amp;"."&amp;$B$158&amp;".energy["&amp;This.year&amp;"]"),MATCH($C233&amp;AN$5,INDIRECT($B$3&amp;"."&amp;$B$158&amp;".energy[Tech description]")&amp;INDIRECT($B$3&amp;"."&amp;$B$158&amp;".energy[Energy description]"),0)),0)</f>
        <v>0</v>
      </c>
      <c r="AO233" s="152">
        <f t="shared" ca="1" si="35"/>
        <v>-0.96830205621334242</v>
      </c>
      <c r="AP233" s="108"/>
      <c r="AQ233" s="21">
        <f t="array" aca="1" ref="AQ233" ca="1">IFERROR(INDEX(INDIRECT($B$3&amp;"."&amp;$B$158&amp;".energy["&amp;This.year&amp;"]"),MATCH($C233&amp;AQ$5,INDIRECT($B$3&amp;"."&amp;$B$158&amp;".energy[Tech description]")&amp;INDIRECT($B$3&amp;"."&amp;$B$158&amp;".energy[Energy description]"),0)),0)</f>
        <v>0</v>
      </c>
      <c r="AR233" s="21">
        <f t="array" aca="1" ref="AR233" ca="1">IFERROR(INDEX(INDIRECT($B$3&amp;"."&amp;$B$158&amp;".energy["&amp;This.year&amp;"]"),MATCH($C233&amp;AR$5,INDIRECT($B$3&amp;"."&amp;$B$158&amp;".energy[Tech description]")&amp;INDIRECT($B$3&amp;"."&amp;$B$158&amp;".energy[Energy description]"),0)),0)</f>
        <v>0</v>
      </c>
      <c r="AS233" s="21">
        <f t="array" aca="1" ref="AS233" ca="1">IFERROR(INDEX(INDIRECT($B$3&amp;"."&amp;$B$158&amp;".energy["&amp;This.year&amp;"]"),MATCH($C233&amp;AS$5,INDIRECT($B$3&amp;"."&amp;$B$158&amp;".energy[Tech description]")&amp;INDIRECT($B$3&amp;"."&amp;$B$158&amp;".energy[Energy description]"),0)),0)</f>
        <v>0</v>
      </c>
      <c r="AT233" s="21">
        <f t="array" aca="1" ref="AT233" ca="1">IFERROR(INDEX(INDIRECT($B$3&amp;"."&amp;$B$158&amp;".energy["&amp;This.year&amp;"]"),MATCH($C233&amp;AT$5,INDIRECT($B$3&amp;"."&amp;$B$158&amp;".energy[Tech description]")&amp;INDIRECT($B$3&amp;"."&amp;$B$158&amp;".energy[Energy description]"),0)),0)</f>
        <v>0</v>
      </c>
      <c r="AU233" s="21">
        <f t="array" aca="1" ref="AU233" ca="1">IFERROR(INDEX(INDIRECT($B$3&amp;"."&amp;$B$158&amp;".energy["&amp;This.year&amp;"]"),MATCH($C233&amp;AU$5,INDIRECT($B$3&amp;"."&amp;$B$158&amp;".energy[Tech description]")&amp;INDIRECT($B$3&amp;"."&amp;$B$158&amp;".energy[Energy description]"),0)),0)</f>
        <v>0</v>
      </c>
      <c r="AV233" s="21">
        <f t="array" aca="1" ref="AV233" ca="1">IFERROR(INDEX(INDIRECT($B$3&amp;"."&amp;$B$158&amp;".energy["&amp;This.year&amp;"]"),MATCH($C233&amp;AV$5,INDIRECT($B$3&amp;"."&amp;$B$158&amp;".energy[Tech description]")&amp;INDIRECT($B$3&amp;"."&amp;$B$158&amp;".energy[Energy description]"),0)),0)</f>
        <v>0</v>
      </c>
      <c r="AW233" s="21">
        <f t="array" aca="1" ref="AW233" ca="1">IFERROR(INDEX(INDIRECT($B$3&amp;"."&amp;$B$158&amp;".energy["&amp;This.year&amp;"]"),MATCH($C233&amp;AW$5,INDIRECT($B$3&amp;"."&amp;$B$158&amp;".energy[Tech description]")&amp;INDIRECT($B$3&amp;"."&amp;$B$158&amp;".energy[Energy description]"),0)),0)</f>
        <v>0</v>
      </c>
      <c r="AX233" s="21">
        <f t="array" aca="1" ref="AX233" ca="1">IFERROR(INDEX(INDIRECT($B$3&amp;"."&amp;$B$158&amp;".energy["&amp;This.year&amp;"]"),MATCH($C233&amp;AX$5,INDIRECT($B$3&amp;"."&amp;$B$158&amp;".energy[Tech description]")&amp;INDIRECT($B$3&amp;"."&amp;$B$158&amp;".energy[Energy description]"),0)),0)</f>
        <v>0</v>
      </c>
      <c r="AY233" s="21">
        <f t="array" aca="1" ref="AY233" ca="1">IFERROR(INDEX(INDIRECT($B$3&amp;"."&amp;$B$158&amp;".energy["&amp;This.year&amp;"]"),MATCH($C233&amp;AY$5,INDIRECT($B$3&amp;"."&amp;$B$158&amp;".energy[Tech description]")&amp;INDIRECT($B$3&amp;"."&amp;$B$158&amp;".energy[Energy description]"),0)),0)</f>
        <v>0</v>
      </c>
      <c r="AZ233" s="21">
        <f t="array" aca="1" ref="AZ233" ca="1">IFERROR(INDEX(INDIRECT($B$3&amp;"."&amp;$B$158&amp;".energy["&amp;This.year&amp;"]"),MATCH($C233&amp;AZ$5,INDIRECT($B$3&amp;"."&amp;$B$158&amp;".energy[Tech description]")&amp;INDIRECT($B$3&amp;"."&amp;$B$158&amp;".energy[Energy description]"),0)),0)</f>
        <v>0</v>
      </c>
      <c r="BA233" s="21">
        <f t="array" aca="1" ref="BA233" ca="1">IFERROR(INDEX(INDIRECT($B$3&amp;"."&amp;$B$158&amp;".energy["&amp;This.year&amp;"]"),MATCH($C233&amp;BA$5,INDIRECT($B$3&amp;"."&amp;$B$158&amp;".energy[Tech description]")&amp;INDIRECT($B$3&amp;"."&amp;$B$158&amp;".energy[Energy description]"),0)),0)</f>
        <v>0</v>
      </c>
      <c r="BB233" s="21">
        <f t="array" aca="1" ref="BB233" ca="1">IFERROR(INDEX(INDIRECT($B$3&amp;"."&amp;$B$158&amp;".energy["&amp;This.year&amp;"]"),MATCH($C233&amp;BB$5,INDIRECT($B$3&amp;"."&amp;$B$158&amp;".energy[Tech description]")&amp;INDIRECT($B$3&amp;"."&amp;$B$158&amp;".energy[Energy description]"),0)),0)</f>
        <v>0</v>
      </c>
      <c r="BC233" s="21">
        <f t="array" aca="1" ref="BC233" ca="1">IFERROR(INDEX(INDIRECT($B$3&amp;"."&amp;$B$158&amp;".energy["&amp;This.year&amp;"]"),MATCH($C233&amp;BC$5,INDIRECT($B$3&amp;"."&amp;$B$158&amp;".energy[Tech description]")&amp;INDIRECT($B$3&amp;"."&amp;$B$158&amp;".energy[Energy description]"),0)),0)</f>
        <v>0</v>
      </c>
      <c r="BD233" s="21">
        <f t="shared" ca="1" si="36"/>
        <v>0</v>
      </c>
      <c r="BE233" s="108"/>
      <c r="BF233" s="49">
        <f t="array" aca="1" ref="BF233" ca="1">IFERROR(INDEX(INDIRECT($B$3&amp;"."&amp;$B$158&amp;".energy["&amp;This.year&amp;"]"),MATCH($C233&amp;BF$5,INDIRECT($B$3&amp;"."&amp;$B$158&amp;".energy[Tech description]")&amp;INDIRECT($B$3&amp;"."&amp;$B$158&amp;".energy[Energy description]"),0)),0)</f>
        <v>0</v>
      </c>
      <c r="BG233" s="49">
        <f t="array" aca="1" ref="BG233" ca="1">IFERROR(INDEX(INDIRECT($B$3&amp;"."&amp;$B$158&amp;".energy["&amp;This.year&amp;"]"),MATCH($C233&amp;BG$5,INDIRECT($B$3&amp;"."&amp;$B$158&amp;".energy[Tech description]")&amp;INDIRECT($B$3&amp;"."&amp;$B$158&amp;".energy[Energy description]"),0)),0)</f>
        <v>0</v>
      </c>
      <c r="BH233" s="49">
        <f t="shared" ca="1" si="37"/>
        <v>0</v>
      </c>
      <c r="BI233" s="219">
        <f t="shared" ca="1" si="38"/>
        <v>0</v>
      </c>
      <c r="BJ233" s="108"/>
    </row>
    <row r="234" spans="1:62" s="54" customFormat="1">
      <c r="A234" s="133"/>
      <c r="B234" s="176" t="s">
        <v>1851</v>
      </c>
      <c r="C234" s="114" t="str">
        <f>INDEX(Regional.Technologies[Description],MATCH($B$3&amp;"."&amp;B234,Regional.Technologies[Code],0))</f>
        <v>Global Coal use in the Pulp &amp; paper: Virgin technology</v>
      </c>
      <c r="E234" s="121">
        <f t="array" aca="1" ref="E234" ca="1">IFERROR(INDEX(INDIRECT($B$3&amp;"."&amp;$B$158&amp;".energy["&amp;This.year&amp;"]"),MATCH($C234&amp;E$5,INDIRECT($B$3&amp;"."&amp;$B$158&amp;".energy[Tech description]")&amp;INDIRECT($B$3&amp;"."&amp;$B$158&amp;".energy[Energy description]"),0)),0)</f>
        <v>0</v>
      </c>
      <c r="F234" s="121">
        <f t="array" aca="1" ref="F234" ca="1">IFERROR(INDEX(INDIRECT($B$3&amp;"."&amp;$B$158&amp;".energy["&amp;This.year&amp;"]"),MATCH($C234&amp;F$5,INDIRECT($B$3&amp;"."&amp;$B$158&amp;".energy[Tech description]")&amp;INDIRECT($B$3&amp;"."&amp;$B$158&amp;".energy[Energy description]"),0)),0)</f>
        <v>0</v>
      </c>
      <c r="G234" s="121">
        <f t="array" aca="1" ref="G234" ca="1">IFERROR(INDEX(INDIRECT($B$3&amp;"."&amp;$B$158&amp;".energy["&amp;This.year&amp;"]"),MATCH($C234&amp;G$5,INDIRECT($B$3&amp;"."&amp;$B$158&amp;".energy[Tech description]")&amp;INDIRECT($B$3&amp;"."&amp;$B$158&amp;".energy[Energy description]"),0)),0)</f>
        <v>0</v>
      </c>
      <c r="H234" s="121">
        <f t="array" aca="1" ref="H234" ca="1">IFERROR(INDEX(INDIRECT($B$3&amp;"."&amp;$B$158&amp;".energy["&amp;This.year&amp;"]"),MATCH($C234&amp;H$5,INDIRECT($B$3&amp;"."&amp;$B$158&amp;".energy[Tech description]")&amp;INDIRECT($B$3&amp;"."&amp;$B$158&amp;".energy[Energy description]"),0)),0)</f>
        <v>0</v>
      </c>
      <c r="I234" s="121">
        <f t="array" aca="1" ref="I234" ca="1">IFERROR(INDEX(INDIRECT($B$3&amp;"."&amp;$B$158&amp;".energy["&amp;This.year&amp;"]"),MATCH($C234&amp;I$5,INDIRECT($B$3&amp;"."&amp;$B$158&amp;".energy[Tech description]")&amp;INDIRECT($B$3&amp;"."&amp;$B$158&amp;".energy[Energy description]"),0)),0)</f>
        <v>0</v>
      </c>
      <c r="J234" s="121">
        <f t="array" aca="1" ref="J234" ca="1">IFERROR(INDEX(INDIRECT($B$3&amp;"."&amp;$B$158&amp;".energy["&amp;This.year&amp;"]"),MATCH($C234&amp;J$5,INDIRECT($B$3&amp;"."&amp;$B$158&amp;".energy[Tech description]")&amp;INDIRECT($B$3&amp;"."&amp;$B$158&amp;".energy[Energy description]"),0)),0)</f>
        <v>0.77413991162387541</v>
      </c>
      <c r="K234" s="121">
        <f t="array" aca="1" ref="K234" ca="1">IFERROR(INDEX(INDIRECT($B$3&amp;"."&amp;$B$158&amp;".energy["&amp;This.year&amp;"]"),MATCH($C234&amp;K$5,INDIRECT($B$3&amp;"."&amp;$B$158&amp;".energy[Tech description]")&amp;INDIRECT($B$3&amp;"."&amp;$B$158&amp;".energy[Energy description]"),0)),0)</f>
        <v>0</v>
      </c>
      <c r="L234" s="121">
        <f t="array" aca="1" ref="L234" ca="1">IFERROR(INDEX(INDIRECT($B$3&amp;"."&amp;$B$158&amp;".energy["&amp;This.year&amp;"]"),MATCH($C234&amp;L$5,INDIRECT($B$3&amp;"."&amp;$B$158&amp;".energy[Tech description]")&amp;INDIRECT($B$3&amp;"."&amp;$B$158&amp;".energy[Energy description]"),0)),0)</f>
        <v>0</v>
      </c>
      <c r="M234" s="121">
        <f t="array" aca="1" ref="M234" ca="1">IFERROR(INDEX(INDIRECT($B$3&amp;"."&amp;$B$158&amp;".energy["&amp;This.year&amp;"]"),MATCH($C234&amp;M$5,INDIRECT($B$3&amp;"."&amp;$B$158&amp;".energy[Tech description]")&amp;INDIRECT($B$3&amp;"."&amp;$B$158&amp;".energy[Energy description]"),0)),0)</f>
        <v>0</v>
      </c>
      <c r="N234" s="121">
        <f t="array" aca="1" ref="N234" ca="1">IFERROR(INDEX(INDIRECT($B$3&amp;"."&amp;$B$158&amp;".energy["&amp;This.year&amp;"]"),MATCH($C234&amp;N$5,INDIRECT($B$3&amp;"."&amp;$B$158&amp;".energy[Tech description]")&amp;INDIRECT($B$3&amp;"."&amp;$B$158&amp;".energy[Energy description]"),0)),0)</f>
        <v>0</v>
      </c>
      <c r="O234" s="121">
        <f t="array" aca="1" ref="O234" ca="1">IFERROR(INDEX(INDIRECT($B$3&amp;"."&amp;$B$158&amp;".energy["&amp;This.year&amp;"]"),MATCH($C234&amp;O$5,INDIRECT($B$3&amp;"."&amp;$B$158&amp;".energy[Tech description]")&amp;INDIRECT($B$3&amp;"."&amp;$B$158&amp;".energy[Energy description]"),0)),0)</f>
        <v>0</v>
      </c>
      <c r="P234" s="121">
        <f t="array" aca="1" ref="P234" ca="1">IFERROR(INDEX(INDIRECT($B$3&amp;"."&amp;$B$158&amp;".energy["&amp;This.year&amp;"]"),MATCH($C234&amp;P$5,INDIRECT($B$3&amp;"."&amp;$B$158&amp;".energy[Tech description]")&amp;INDIRECT($B$3&amp;"."&amp;$B$158&amp;".energy[Energy description]"),0)),0)</f>
        <v>0</v>
      </c>
      <c r="Q234" s="121">
        <f t="array" aca="1" ref="Q234" ca="1">IFERROR(INDEX(INDIRECT($B$3&amp;"."&amp;$B$158&amp;".energy["&amp;This.year&amp;"]"),MATCH($C234&amp;Q$5,INDIRECT($B$3&amp;"."&amp;$B$158&amp;".energy[Tech description]")&amp;INDIRECT($B$3&amp;"."&amp;$B$158&amp;".energy[Energy description]"),0)),0)</f>
        <v>0</v>
      </c>
      <c r="R234" s="121">
        <f t="array" aca="1" ref="R234" ca="1">IFERROR(INDEX(INDIRECT($B$3&amp;"."&amp;$B$158&amp;".energy["&amp;This.year&amp;"]"),MATCH($C234&amp;R$5,INDIRECT($B$3&amp;"."&amp;$B$158&amp;".energy[Tech description]")&amp;INDIRECT($B$3&amp;"."&amp;$B$158&amp;".energy[Energy description]"),0)),0)</f>
        <v>0</v>
      </c>
      <c r="S234" s="121">
        <f t="array" aca="1" ref="S234" ca="1">IFERROR(INDEX(INDIRECT($B$3&amp;"."&amp;$B$158&amp;".energy["&amp;This.year&amp;"]"),MATCH($C234&amp;S$5,INDIRECT($B$3&amp;"."&amp;$B$158&amp;".energy[Tech description]")&amp;INDIRECT($B$3&amp;"."&amp;$B$158&amp;".energy[Energy description]"),0)),0)</f>
        <v>0</v>
      </c>
      <c r="T234" s="121">
        <f t="shared" ca="1" si="34"/>
        <v>0.77413991162387541</v>
      </c>
      <c r="U234" s="109"/>
      <c r="V234" s="152">
        <f t="array" aca="1" ref="V234" ca="1">IFERROR(INDEX(INDIRECT($B$3&amp;"."&amp;$B$158&amp;".energy["&amp;This.year&amp;"]"),MATCH($C234&amp;V$5,INDIRECT($B$3&amp;"."&amp;$B$158&amp;".energy[Tech description]")&amp;INDIRECT($B$3&amp;"."&amp;$B$158&amp;".energy[Energy description]"),0)),0)</f>
        <v>0</v>
      </c>
      <c r="W234" s="152">
        <f t="array" aca="1" ref="W234" ca="1">IFERROR(INDEX(INDIRECT($B$3&amp;"."&amp;$B$158&amp;".energy["&amp;This.year&amp;"]"),MATCH($C234&amp;W$5,INDIRECT($B$3&amp;"."&amp;$B$158&amp;".energy[Tech description]")&amp;INDIRECT($B$3&amp;"."&amp;$B$158&amp;".energy[Energy description]"),0)),0)</f>
        <v>0</v>
      </c>
      <c r="X234" s="152">
        <f t="array" aca="1" ref="X234" ca="1">IFERROR(INDEX(INDIRECT($B$3&amp;"."&amp;$B$158&amp;".energy["&amp;This.year&amp;"]"),MATCH($C234&amp;X$5,INDIRECT($B$3&amp;"."&amp;$B$158&amp;".energy[Tech description]")&amp;INDIRECT($B$3&amp;"."&amp;$B$158&amp;".energy[Energy description]"),0)),0)</f>
        <v>0</v>
      </c>
      <c r="Y234" s="152">
        <f t="array" aca="1" ref="Y234" ca="1">IFERROR(INDEX(INDIRECT($B$3&amp;"."&amp;$B$158&amp;".energy["&amp;This.year&amp;"]"),MATCH($C234&amp;Y$5,INDIRECT($B$3&amp;"."&amp;$B$158&amp;".energy[Tech description]")&amp;INDIRECT($B$3&amp;"."&amp;$B$158&amp;".energy[Energy description]"),0)),0)</f>
        <v>0</v>
      </c>
      <c r="Z234" s="152">
        <f t="array" aca="1" ref="Z234" ca="1">IFERROR(INDEX(INDIRECT($B$3&amp;"."&amp;$B$158&amp;".energy["&amp;This.year&amp;"]"),MATCH($C234&amp;Z$5,INDIRECT($B$3&amp;"."&amp;$B$158&amp;".energy[Tech description]")&amp;INDIRECT($B$3&amp;"."&amp;$B$158&amp;".energy[Energy description]"),0)),0)</f>
        <v>0</v>
      </c>
      <c r="AA234" s="152">
        <f t="array" aca="1" ref="AA234" ca="1">IFERROR(INDEX(INDIRECT($B$3&amp;"."&amp;$B$158&amp;".energy["&amp;This.year&amp;"]"),MATCH($C234&amp;AA$5,INDIRECT($B$3&amp;"."&amp;$B$158&amp;".energy[Tech description]")&amp;INDIRECT($B$3&amp;"."&amp;$B$158&amp;".energy[Energy description]"),0)),0)</f>
        <v>-0.77413991162387541</v>
      </c>
      <c r="AB234" s="152">
        <f t="array" aca="1" ref="AB234" ca="1">IFERROR(INDEX(INDIRECT($B$3&amp;"."&amp;$B$158&amp;".energy["&amp;This.year&amp;"]"),MATCH($C234&amp;AB$5,INDIRECT($B$3&amp;"."&amp;$B$158&amp;".energy[Tech description]")&amp;INDIRECT($B$3&amp;"."&amp;$B$158&amp;".energy[Energy description]"),0)),0)</f>
        <v>0</v>
      </c>
      <c r="AC234" s="152">
        <f t="array" aca="1" ref="AC234" ca="1">IFERROR(INDEX(INDIRECT($B$3&amp;"."&amp;$B$158&amp;".energy["&amp;This.year&amp;"]"),MATCH($C234&amp;AC$5,INDIRECT($B$3&amp;"."&amp;$B$158&amp;".energy[Tech description]")&amp;INDIRECT($B$3&amp;"."&amp;$B$158&amp;".energy[Energy description]"),0)),0)</f>
        <v>0</v>
      </c>
      <c r="AD234" s="152">
        <f t="array" aca="1" ref="AD234" ca="1">IFERROR(INDEX(INDIRECT($B$3&amp;"."&amp;$B$158&amp;".energy["&amp;This.year&amp;"]"),MATCH($C234&amp;AD$5,INDIRECT($B$3&amp;"."&amp;$B$158&amp;".energy[Tech description]")&amp;INDIRECT($B$3&amp;"."&amp;$B$158&amp;".energy[Energy description]"),0)),0)</f>
        <v>0</v>
      </c>
      <c r="AE234" s="152">
        <f t="array" aca="1" ref="AE234" ca="1">IFERROR(INDEX(INDIRECT($B$3&amp;"."&amp;$B$158&amp;".energy["&amp;This.year&amp;"]"),MATCH($C234&amp;AE$5,INDIRECT($B$3&amp;"."&amp;$B$158&amp;".energy[Tech description]")&amp;INDIRECT($B$3&amp;"."&amp;$B$158&amp;".energy[Energy description]"),0)),0)</f>
        <v>0</v>
      </c>
      <c r="AF234" s="152">
        <f t="array" aca="1" ref="AF234" ca="1">IFERROR(INDEX(INDIRECT($B$3&amp;"."&amp;$B$158&amp;".energy["&amp;This.year&amp;"]"),MATCH($C234&amp;AF$5,INDIRECT($B$3&amp;"."&amp;$B$158&amp;".energy[Tech description]")&amp;INDIRECT($B$3&amp;"."&amp;$B$158&amp;".energy[Energy description]"),0)),0)</f>
        <v>0</v>
      </c>
      <c r="AG234" s="152">
        <f t="array" aca="1" ref="AG234" ca="1">IFERROR(INDEX(INDIRECT($B$3&amp;"."&amp;$B$158&amp;".energy["&amp;This.year&amp;"]"),MATCH($C234&amp;AG$5,INDIRECT($B$3&amp;"."&amp;$B$158&amp;".energy[Tech description]")&amp;INDIRECT($B$3&amp;"."&amp;$B$158&amp;".energy[Energy description]"),0)),0)</f>
        <v>0</v>
      </c>
      <c r="AH234" s="152">
        <f t="array" aca="1" ref="AH234" ca="1">IFERROR(INDEX(INDIRECT($B$3&amp;"."&amp;$B$158&amp;".energy["&amp;This.year&amp;"]"),MATCH($C234&amp;AH$5,INDIRECT($B$3&amp;"."&amp;$B$158&amp;".energy[Tech description]")&amp;INDIRECT($B$3&amp;"."&amp;$B$158&amp;".energy[Energy description]"),0)),0)</f>
        <v>0</v>
      </c>
      <c r="AI234" s="152">
        <f t="array" aca="1" ref="AI234" ca="1">IFERROR(INDEX(INDIRECT($B$3&amp;"."&amp;$B$158&amp;".energy["&amp;This.year&amp;"]"),MATCH($C234&amp;AI$5,INDIRECT($B$3&amp;"."&amp;$B$158&amp;".energy[Tech description]")&amp;INDIRECT($B$3&amp;"."&amp;$B$158&amp;".energy[Energy description]"),0)),0)</f>
        <v>0</v>
      </c>
      <c r="AJ234" s="152">
        <f t="array" aca="1" ref="AJ234" ca="1">IFERROR(INDEX(INDIRECT($B$3&amp;"."&amp;$B$158&amp;".energy["&amp;This.year&amp;"]"),MATCH($C234&amp;AJ$5,INDIRECT($B$3&amp;"."&amp;$B$158&amp;".energy[Tech description]")&amp;INDIRECT($B$3&amp;"."&amp;$B$158&amp;".energy[Energy description]"),0)),0)</f>
        <v>0</v>
      </c>
      <c r="AK234" s="152">
        <f t="array" aca="1" ref="AK234" ca="1">IFERROR(INDEX(INDIRECT($B$3&amp;"."&amp;$B$158&amp;".energy["&amp;This.year&amp;"]"),MATCH($C234&amp;AK$5,INDIRECT($B$3&amp;"."&amp;$B$158&amp;".energy[Tech description]")&amp;INDIRECT($B$3&amp;"."&amp;$B$158&amp;".energy[Energy description]"),0)),0)</f>
        <v>0</v>
      </c>
      <c r="AL234" s="152">
        <f t="array" aca="1" ref="AL234" ca="1">IFERROR(INDEX(INDIRECT($B$3&amp;"."&amp;$B$158&amp;".energy["&amp;This.year&amp;"]"),MATCH($C234&amp;AL$5,INDIRECT($B$3&amp;"."&amp;$B$158&amp;".energy[Tech description]")&amp;INDIRECT($B$3&amp;"."&amp;$B$158&amp;".energy[Energy description]"),0)),0)</f>
        <v>0</v>
      </c>
      <c r="AM234" s="152">
        <f t="array" aca="1" ref="AM234" ca="1">IFERROR(INDEX(INDIRECT($B$3&amp;"."&amp;$B$158&amp;".energy["&amp;This.year&amp;"]"),MATCH($C234&amp;AM$5,INDIRECT($B$3&amp;"."&amp;$B$158&amp;".energy[Tech description]")&amp;INDIRECT($B$3&amp;"."&amp;$B$158&amp;".energy[Energy description]"),0)),0)</f>
        <v>0</v>
      </c>
      <c r="AN234" s="152">
        <f t="array" aca="1" ref="AN234" ca="1">IFERROR(INDEX(INDIRECT($B$3&amp;"."&amp;$B$158&amp;".energy["&amp;This.year&amp;"]"),MATCH($C234&amp;AN$5,INDIRECT($B$3&amp;"."&amp;$B$158&amp;".energy[Tech description]")&amp;INDIRECT($B$3&amp;"."&amp;$B$158&amp;".energy[Energy description]"),0)),0)</f>
        <v>0</v>
      </c>
      <c r="AO234" s="152">
        <f t="shared" ca="1" si="35"/>
        <v>-0.77413991162387541</v>
      </c>
      <c r="AP234" s="108"/>
      <c r="AQ234" s="21">
        <f t="array" aca="1" ref="AQ234" ca="1">IFERROR(INDEX(INDIRECT($B$3&amp;"."&amp;$B$158&amp;".energy["&amp;This.year&amp;"]"),MATCH($C234&amp;AQ$5,INDIRECT($B$3&amp;"."&amp;$B$158&amp;".energy[Tech description]")&amp;INDIRECT($B$3&amp;"."&amp;$B$158&amp;".energy[Energy description]"),0)),0)</f>
        <v>0</v>
      </c>
      <c r="AR234" s="21">
        <f t="array" aca="1" ref="AR234" ca="1">IFERROR(INDEX(INDIRECT($B$3&amp;"."&amp;$B$158&amp;".energy["&amp;This.year&amp;"]"),MATCH($C234&amp;AR$5,INDIRECT($B$3&amp;"."&amp;$B$158&amp;".energy[Tech description]")&amp;INDIRECT($B$3&amp;"."&amp;$B$158&amp;".energy[Energy description]"),0)),0)</f>
        <v>0</v>
      </c>
      <c r="AS234" s="21">
        <f t="array" aca="1" ref="AS234" ca="1">IFERROR(INDEX(INDIRECT($B$3&amp;"."&amp;$B$158&amp;".energy["&amp;This.year&amp;"]"),MATCH($C234&amp;AS$5,INDIRECT($B$3&amp;"."&amp;$B$158&amp;".energy[Tech description]")&amp;INDIRECT($B$3&amp;"."&amp;$B$158&amp;".energy[Energy description]"),0)),0)</f>
        <v>0</v>
      </c>
      <c r="AT234" s="21">
        <f t="array" aca="1" ref="AT234" ca="1">IFERROR(INDEX(INDIRECT($B$3&amp;"."&amp;$B$158&amp;".energy["&amp;This.year&amp;"]"),MATCH($C234&amp;AT$5,INDIRECT($B$3&amp;"."&amp;$B$158&amp;".energy[Tech description]")&amp;INDIRECT($B$3&amp;"."&amp;$B$158&amp;".energy[Energy description]"),0)),0)</f>
        <v>0</v>
      </c>
      <c r="AU234" s="21">
        <f t="array" aca="1" ref="AU234" ca="1">IFERROR(INDEX(INDIRECT($B$3&amp;"."&amp;$B$158&amp;".energy["&amp;This.year&amp;"]"),MATCH($C234&amp;AU$5,INDIRECT($B$3&amp;"."&amp;$B$158&amp;".energy[Tech description]")&amp;INDIRECT($B$3&amp;"."&amp;$B$158&amp;".energy[Energy description]"),0)),0)</f>
        <v>0</v>
      </c>
      <c r="AV234" s="21">
        <f t="array" aca="1" ref="AV234" ca="1">IFERROR(INDEX(INDIRECT($B$3&amp;"."&amp;$B$158&amp;".energy["&amp;This.year&amp;"]"),MATCH($C234&amp;AV$5,INDIRECT($B$3&amp;"."&amp;$B$158&amp;".energy[Tech description]")&amp;INDIRECT($B$3&amp;"."&amp;$B$158&amp;".energy[Energy description]"),0)),0)</f>
        <v>0</v>
      </c>
      <c r="AW234" s="21">
        <f t="array" aca="1" ref="AW234" ca="1">IFERROR(INDEX(INDIRECT($B$3&amp;"."&amp;$B$158&amp;".energy["&amp;This.year&amp;"]"),MATCH($C234&amp;AW$5,INDIRECT($B$3&amp;"."&amp;$B$158&amp;".energy[Tech description]")&amp;INDIRECT($B$3&amp;"."&amp;$B$158&amp;".energy[Energy description]"),0)),0)</f>
        <v>0</v>
      </c>
      <c r="AX234" s="21">
        <f t="array" aca="1" ref="AX234" ca="1">IFERROR(INDEX(INDIRECT($B$3&amp;"."&amp;$B$158&amp;".energy["&amp;This.year&amp;"]"),MATCH($C234&amp;AX$5,INDIRECT($B$3&amp;"."&amp;$B$158&amp;".energy[Tech description]")&amp;INDIRECT($B$3&amp;"."&amp;$B$158&amp;".energy[Energy description]"),0)),0)</f>
        <v>0</v>
      </c>
      <c r="AY234" s="21">
        <f t="array" aca="1" ref="AY234" ca="1">IFERROR(INDEX(INDIRECT($B$3&amp;"."&amp;$B$158&amp;".energy["&amp;This.year&amp;"]"),MATCH($C234&amp;AY$5,INDIRECT($B$3&amp;"."&amp;$B$158&amp;".energy[Tech description]")&amp;INDIRECT($B$3&amp;"."&amp;$B$158&amp;".energy[Energy description]"),0)),0)</f>
        <v>0</v>
      </c>
      <c r="AZ234" s="21">
        <f t="array" aca="1" ref="AZ234" ca="1">IFERROR(INDEX(INDIRECT($B$3&amp;"."&amp;$B$158&amp;".energy["&amp;This.year&amp;"]"),MATCH($C234&amp;AZ$5,INDIRECT($B$3&amp;"."&amp;$B$158&amp;".energy[Tech description]")&amp;INDIRECT($B$3&amp;"."&amp;$B$158&amp;".energy[Energy description]"),0)),0)</f>
        <v>0</v>
      </c>
      <c r="BA234" s="21">
        <f t="array" aca="1" ref="BA234" ca="1">IFERROR(INDEX(INDIRECT($B$3&amp;"."&amp;$B$158&amp;".energy["&amp;This.year&amp;"]"),MATCH($C234&amp;BA$5,INDIRECT($B$3&amp;"."&amp;$B$158&amp;".energy[Tech description]")&amp;INDIRECT($B$3&amp;"."&amp;$B$158&amp;".energy[Energy description]"),0)),0)</f>
        <v>0</v>
      </c>
      <c r="BB234" s="21">
        <f t="array" aca="1" ref="BB234" ca="1">IFERROR(INDEX(INDIRECT($B$3&amp;"."&amp;$B$158&amp;".energy["&amp;This.year&amp;"]"),MATCH($C234&amp;BB$5,INDIRECT($B$3&amp;"."&amp;$B$158&amp;".energy[Tech description]")&amp;INDIRECT($B$3&amp;"."&amp;$B$158&amp;".energy[Energy description]"),0)),0)</f>
        <v>0</v>
      </c>
      <c r="BC234" s="21">
        <f t="array" aca="1" ref="BC234" ca="1">IFERROR(INDEX(INDIRECT($B$3&amp;"."&amp;$B$158&amp;".energy["&amp;This.year&amp;"]"),MATCH($C234&amp;BC$5,INDIRECT($B$3&amp;"."&amp;$B$158&amp;".energy[Tech description]")&amp;INDIRECT($B$3&amp;"."&amp;$B$158&amp;".energy[Energy description]"),0)),0)</f>
        <v>0</v>
      </c>
      <c r="BD234" s="21">
        <f t="shared" ca="1" si="36"/>
        <v>0</v>
      </c>
      <c r="BE234" s="108"/>
      <c r="BF234" s="49">
        <f t="array" aca="1" ref="BF234" ca="1">IFERROR(INDEX(INDIRECT($B$3&amp;"."&amp;$B$158&amp;".energy["&amp;This.year&amp;"]"),MATCH($C234&amp;BF$5,INDIRECT($B$3&amp;"."&amp;$B$158&amp;".energy[Tech description]")&amp;INDIRECT($B$3&amp;"."&amp;$B$158&amp;".energy[Energy description]"),0)),0)</f>
        <v>0</v>
      </c>
      <c r="BG234" s="49">
        <f t="array" aca="1" ref="BG234" ca="1">IFERROR(INDEX(INDIRECT($B$3&amp;"."&amp;$B$158&amp;".energy["&amp;This.year&amp;"]"),MATCH($C234&amp;BG$5,INDIRECT($B$3&amp;"."&amp;$B$158&amp;".energy[Tech description]")&amp;INDIRECT($B$3&amp;"."&amp;$B$158&amp;".energy[Energy description]"),0)),0)</f>
        <v>0</v>
      </c>
      <c r="BH234" s="49">
        <f t="shared" ca="1" si="37"/>
        <v>0</v>
      </c>
      <c r="BI234" s="219">
        <f t="shared" ca="1" si="38"/>
        <v>0</v>
      </c>
      <c r="BJ234" s="108"/>
    </row>
    <row r="235" spans="1:62" s="54" customFormat="1">
      <c r="A235" s="133"/>
      <c r="B235" s="176" t="s">
        <v>1852</v>
      </c>
      <c r="C235" s="114" t="str">
        <f>INDEX(Regional.Technologies[Description],MATCH($B$3&amp;"."&amp;B235,Regional.Technologies[Code],0))</f>
        <v>Global Oil use in the Pulp &amp; paper: Virgin technology</v>
      </c>
      <c r="E235" s="121">
        <f t="array" aca="1" ref="E235" ca="1">IFERROR(INDEX(INDIRECT($B$3&amp;"."&amp;$B$158&amp;".energy["&amp;This.year&amp;"]"),MATCH($C235&amp;E$5,INDIRECT($B$3&amp;"."&amp;$B$158&amp;".energy[Tech description]")&amp;INDIRECT($B$3&amp;"."&amp;$B$158&amp;".energy[Energy description]"),0)),0)</f>
        <v>0</v>
      </c>
      <c r="F235" s="121">
        <f t="array" aca="1" ref="F235" ca="1">IFERROR(INDEX(INDIRECT($B$3&amp;"."&amp;$B$158&amp;".energy["&amp;This.year&amp;"]"),MATCH($C235&amp;F$5,INDIRECT($B$3&amp;"."&amp;$B$158&amp;".energy[Tech description]")&amp;INDIRECT($B$3&amp;"."&amp;$B$158&amp;".energy[Energy description]"),0)),0)</f>
        <v>0</v>
      </c>
      <c r="G235" s="121">
        <f t="array" aca="1" ref="G235" ca="1">IFERROR(INDEX(INDIRECT($B$3&amp;"."&amp;$B$158&amp;".energy["&amp;This.year&amp;"]"),MATCH($C235&amp;G$5,INDIRECT($B$3&amp;"."&amp;$B$158&amp;".energy[Tech description]")&amp;INDIRECT($B$3&amp;"."&amp;$B$158&amp;".energy[Energy description]"),0)),0)</f>
        <v>0</v>
      </c>
      <c r="H235" s="121">
        <f t="array" aca="1" ref="H235" ca="1">IFERROR(INDEX(INDIRECT($B$3&amp;"."&amp;$B$158&amp;".energy["&amp;This.year&amp;"]"),MATCH($C235&amp;H$5,INDIRECT($B$3&amp;"."&amp;$B$158&amp;".energy[Tech description]")&amp;INDIRECT($B$3&amp;"."&amp;$B$158&amp;".energy[Energy description]"),0)),0)</f>
        <v>0</v>
      </c>
      <c r="I235" s="121">
        <f t="array" aca="1" ref="I235" ca="1">IFERROR(INDEX(INDIRECT($B$3&amp;"."&amp;$B$158&amp;".energy["&amp;This.year&amp;"]"),MATCH($C235&amp;I$5,INDIRECT($B$3&amp;"."&amp;$B$158&amp;".energy[Tech description]")&amp;INDIRECT($B$3&amp;"."&amp;$B$158&amp;".energy[Energy description]"),0)),0)</f>
        <v>0</v>
      </c>
      <c r="J235" s="121">
        <f t="array" aca="1" ref="J235" ca="1">IFERROR(INDEX(INDIRECT($B$3&amp;"."&amp;$B$158&amp;".energy["&amp;This.year&amp;"]"),MATCH($C235&amp;J$5,INDIRECT($B$3&amp;"."&amp;$B$158&amp;".energy[Tech description]")&amp;INDIRECT($B$3&amp;"."&amp;$B$158&amp;".energy[Energy description]"),0)),0)</f>
        <v>0.17969717966158166</v>
      </c>
      <c r="K235" s="121">
        <f t="array" aca="1" ref="K235" ca="1">IFERROR(INDEX(INDIRECT($B$3&amp;"."&amp;$B$158&amp;".energy["&amp;This.year&amp;"]"),MATCH($C235&amp;K$5,INDIRECT($B$3&amp;"."&amp;$B$158&amp;".energy[Tech description]")&amp;INDIRECT($B$3&amp;"."&amp;$B$158&amp;".energy[Energy description]"),0)),0)</f>
        <v>0</v>
      </c>
      <c r="L235" s="121">
        <f t="array" aca="1" ref="L235" ca="1">IFERROR(INDEX(INDIRECT($B$3&amp;"."&amp;$B$158&amp;".energy["&amp;This.year&amp;"]"),MATCH($C235&amp;L$5,INDIRECT($B$3&amp;"."&amp;$B$158&amp;".energy[Tech description]")&amp;INDIRECT($B$3&amp;"."&amp;$B$158&amp;".energy[Energy description]"),0)),0)</f>
        <v>0</v>
      </c>
      <c r="M235" s="121">
        <f t="array" aca="1" ref="M235" ca="1">IFERROR(INDEX(INDIRECT($B$3&amp;"."&amp;$B$158&amp;".energy["&amp;This.year&amp;"]"),MATCH($C235&amp;M$5,INDIRECT($B$3&amp;"."&amp;$B$158&amp;".energy[Tech description]")&amp;INDIRECT($B$3&amp;"."&amp;$B$158&amp;".energy[Energy description]"),0)),0)</f>
        <v>0</v>
      </c>
      <c r="N235" s="121">
        <f t="array" aca="1" ref="N235" ca="1">IFERROR(INDEX(INDIRECT($B$3&amp;"."&amp;$B$158&amp;".energy["&amp;This.year&amp;"]"),MATCH($C235&amp;N$5,INDIRECT($B$3&amp;"."&amp;$B$158&amp;".energy[Tech description]")&amp;INDIRECT($B$3&amp;"."&amp;$B$158&amp;".energy[Energy description]"),0)),0)</f>
        <v>0</v>
      </c>
      <c r="O235" s="121">
        <f t="array" aca="1" ref="O235" ca="1">IFERROR(INDEX(INDIRECT($B$3&amp;"."&amp;$B$158&amp;".energy["&amp;This.year&amp;"]"),MATCH($C235&amp;O$5,INDIRECT($B$3&amp;"."&amp;$B$158&amp;".energy[Tech description]")&amp;INDIRECT($B$3&amp;"."&amp;$B$158&amp;".energy[Energy description]"),0)),0)</f>
        <v>0</v>
      </c>
      <c r="P235" s="121">
        <f t="array" aca="1" ref="P235" ca="1">IFERROR(INDEX(INDIRECT($B$3&amp;"."&amp;$B$158&amp;".energy["&amp;This.year&amp;"]"),MATCH($C235&amp;P$5,INDIRECT($B$3&amp;"."&amp;$B$158&amp;".energy[Tech description]")&amp;INDIRECT($B$3&amp;"."&amp;$B$158&amp;".energy[Energy description]"),0)),0)</f>
        <v>0</v>
      </c>
      <c r="Q235" s="121">
        <f t="array" aca="1" ref="Q235" ca="1">IFERROR(INDEX(INDIRECT($B$3&amp;"."&amp;$B$158&amp;".energy["&amp;This.year&amp;"]"),MATCH($C235&amp;Q$5,INDIRECT($B$3&amp;"."&amp;$B$158&amp;".energy[Tech description]")&amp;INDIRECT($B$3&amp;"."&amp;$B$158&amp;".energy[Energy description]"),0)),0)</f>
        <v>0</v>
      </c>
      <c r="R235" s="121">
        <f t="array" aca="1" ref="R235" ca="1">IFERROR(INDEX(INDIRECT($B$3&amp;"."&amp;$B$158&amp;".energy["&amp;This.year&amp;"]"),MATCH($C235&amp;R$5,INDIRECT($B$3&amp;"."&amp;$B$158&amp;".energy[Tech description]")&amp;INDIRECT($B$3&amp;"."&amp;$B$158&amp;".energy[Energy description]"),0)),0)</f>
        <v>0</v>
      </c>
      <c r="S235" s="121">
        <f t="array" aca="1" ref="S235" ca="1">IFERROR(INDEX(INDIRECT($B$3&amp;"."&amp;$B$158&amp;".energy["&amp;This.year&amp;"]"),MATCH($C235&amp;S$5,INDIRECT($B$3&amp;"."&amp;$B$158&amp;".energy[Tech description]")&amp;INDIRECT($B$3&amp;"."&amp;$B$158&amp;".energy[Energy description]"),0)),0)</f>
        <v>0</v>
      </c>
      <c r="T235" s="121">
        <f t="shared" ca="1" si="34"/>
        <v>0.17969717966158166</v>
      </c>
      <c r="U235" s="109"/>
      <c r="V235" s="152">
        <f t="array" aca="1" ref="V235" ca="1">IFERROR(INDEX(INDIRECT($B$3&amp;"."&amp;$B$158&amp;".energy["&amp;This.year&amp;"]"),MATCH($C235&amp;V$5,INDIRECT($B$3&amp;"."&amp;$B$158&amp;".energy[Tech description]")&amp;INDIRECT($B$3&amp;"."&amp;$B$158&amp;".energy[Energy description]"),0)),0)</f>
        <v>0</v>
      </c>
      <c r="W235" s="152">
        <f t="array" aca="1" ref="W235" ca="1">IFERROR(INDEX(INDIRECT($B$3&amp;"."&amp;$B$158&amp;".energy["&amp;This.year&amp;"]"),MATCH($C235&amp;W$5,INDIRECT($B$3&amp;"."&amp;$B$158&amp;".energy[Tech description]")&amp;INDIRECT($B$3&amp;"."&amp;$B$158&amp;".energy[Energy description]"),0)),0)</f>
        <v>0</v>
      </c>
      <c r="X235" s="152">
        <f t="array" aca="1" ref="X235" ca="1">IFERROR(INDEX(INDIRECT($B$3&amp;"."&amp;$B$158&amp;".energy["&amp;This.year&amp;"]"),MATCH($C235&amp;X$5,INDIRECT($B$3&amp;"."&amp;$B$158&amp;".energy[Tech description]")&amp;INDIRECT($B$3&amp;"."&amp;$B$158&amp;".energy[Energy description]"),0)),0)</f>
        <v>0</v>
      </c>
      <c r="Y235" s="152">
        <f t="array" aca="1" ref="Y235" ca="1">IFERROR(INDEX(INDIRECT($B$3&amp;"."&amp;$B$158&amp;".energy["&amp;This.year&amp;"]"),MATCH($C235&amp;Y$5,INDIRECT($B$3&amp;"."&amp;$B$158&amp;".energy[Tech description]")&amp;INDIRECT($B$3&amp;"."&amp;$B$158&amp;".energy[Energy description]"),0)),0)</f>
        <v>0</v>
      </c>
      <c r="Z235" s="152">
        <f t="array" aca="1" ref="Z235" ca="1">IFERROR(INDEX(INDIRECT($B$3&amp;"."&amp;$B$158&amp;".energy["&amp;This.year&amp;"]"),MATCH($C235&amp;Z$5,INDIRECT($B$3&amp;"."&amp;$B$158&amp;".energy[Tech description]")&amp;INDIRECT($B$3&amp;"."&amp;$B$158&amp;".energy[Energy description]"),0)),0)</f>
        <v>0</v>
      </c>
      <c r="AA235" s="152">
        <f t="array" aca="1" ref="AA235" ca="1">IFERROR(INDEX(INDIRECT($B$3&amp;"."&amp;$B$158&amp;".energy["&amp;This.year&amp;"]"),MATCH($C235&amp;AA$5,INDIRECT($B$3&amp;"."&amp;$B$158&amp;".energy[Tech description]")&amp;INDIRECT($B$3&amp;"."&amp;$B$158&amp;".energy[Energy description]"),0)),0)</f>
        <v>0</v>
      </c>
      <c r="AB235" s="152">
        <f t="array" aca="1" ref="AB235" ca="1">IFERROR(INDEX(INDIRECT($B$3&amp;"."&amp;$B$158&amp;".energy["&amp;This.year&amp;"]"),MATCH($C235&amp;AB$5,INDIRECT($B$3&amp;"."&amp;$B$158&amp;".energy[Tech description]")&amp;INDIRECT($B$3&amp;"."&amp;$B$158&amp;".energy[Energy description]"),0)),0)</f>
        <v>-0.17969717966158166</v>
      </c>
      <c r="AC235" s="152">
        <f t="array" aca="1" ref="AC235" ca="1">IFERROR(INDEX(INDIRECT($B$3&amp;"."&amp;$B$158&amp;".energy["&amp;This.year&amp;"]"),MATCH($C235&amp;AC$5,INDIRECT($B$3&amp;"."&amp;$B$158&amp;".energy[Tech description]")&amp;INDIRECT($B$3&amp;"."&amp;$B$158&amp;".energy[Energy description]"),0)),0)</f>
        <v>0</v>
      </c>
      <c r="AD235" s="152">
        <f t="array" aca="1" ref="AD235" ca="1">IFERROR(INDEX(INDIRECT($B$3&amp;"."&amp;$B$158&amp;".energy["&amp;This.year&amp;"]"),MATCH($C235&amp;AD$5,INDIRECT($B$3&amp;"."&amp;$B$158&amp;".energy[Tech description]")&amp;INDIRECT($B$3&amp;"."&amp;$B$158&amp;".energy[Energy description]"),0)),0)</f>
        <v>0</v>
      </c>
      <c r="AE235" s="152">
        <f t="array" aca="1" ref="AE235" ca="1">IFERROR(INDEX(INDIRECT($B$3&amp;"."&amp;$B$158&amp;".energy["&amp;This.year&amp;"]"),MATCH($C235&amp;AE$5,INDIRECT($B$3&amp;"."&amp;$B$158&amp;".energy[Tech description]")&amp;INDIRECT($B$3&amp;"."&amp;$B$158&amp;".energy[Energy description]"),0)),0)</f>
        <v>0</v>
      </c>
      <c r="AF235" s="152">
        <f t="array" aca="1" ref="AF235" ca="1">IFERROR(INDEX(INDIRECT($B$3&amp;"."&amp;$B$158&amp;".energy["&amp;This.year&amp;"]"),MATCH($C235&amp;AF$5,INDIRECT($B$3&amp;"."&amp;$B$158&amp;".energy[Tech description]")&amp;INDIRECT($B$3&amp;"."&amp;$B$158&amp;".energy[Energy description]"),0)),0)</f>
        <v>0</v>
      </c>
      <c r="AG235" s="152">
        <f t="array" aca="1" ref="AG235" ca="1">IFERROR(INDEX(INDIRECT($B$3&amp;"."&amp;$B$158&amp;".energy["&amp;This.year&amp;"]"),MATCH($C235&amp;AG$5,INDIRECT($B$3&amp;"."&amp;$B$158&amp;".energy[Tech description]")&amp;INDIRECT($B$3&amp;"."&amp;$B$158&amp;".energy[Energy description]"),0)),0)</f>
        <v>0</v>
      </c>
      <c r="AH235" s="152">
        <f t="array" aca="1" ref="AH235" ca="1">IFERROR(INDEX(INDIRECT($B$3&amp;"."&amp;$B$158&amp;".energy["&amp;This.year&amp;"]"),MATCH($C235&amp;AH$5,INDIRECT($B$3&amp;"."&amp;$B$158&amp;".energy[Tech description]")&amp;INDIRECT($B$3&amp;"."&amp;$B$158&amp;".energy[Energy description]"),0)),0)</f>
        <v>0</v>
      </c>
      <c r="AI235" s="152">
        <f t="array" aca="1" ref="AI235" ca="1">IFERROR(INDEX(INDIRECT($B$3&amp;"."&amp;$B$158&amp;".energy["&amp;This.year&amp;"]"),MATCH($C235&amp;AI$5,INDIRECT($B$3&amp;"."&amp;$B$158&amp;".energy[Tech description]")&amp;INDIRECT($B$3&amp;"."&amp;$B$158&amp;".energy[Energy description]"),0)),0)</f>
        <v>0</v>
      </c>
      <c r="AJ235" s="152">
        <f t="array" aca="1" ref="AJ235" ca="1">IFERROR(INDEX(INDIRECT($B$3&amp;"."&amp;$B$158&amp;".energy["&amp;This.year&amp;"]"),MATCH($C235&amp;AJ$5,INDIRECT($B$3&amp;"."&amp;$B$158&amp;".energy[Tech description]")&amp;INDIRECT($B$3&amp;"."&amp;$B$158&amp;".energy[Energy description]"),0)),0)</f>
        <v>0</v>
      </c>
      <c r="AK235" s="152">
        <f t="array" aca="1" ref="AK235" ca="1">IFERROR(INDEX(INDIRECT($B$3&amp;"."&amp;$B$158&amp;".energy["&amp;This.year&amp;"]"),MATCH($C235&amp;AK$5,INDIRECT($B$3&amp;"."&amp;$B$158&amp;".energy[Tech description]")&amp;INDIRECT($B$3&amp;"."&amp;$B$158&amp;".energy[Energy description]"),0)),0)</f>
        <v>0</v>
      </c>
      <c r="AL235" s="152">
        <f t="array" aca="1" ref="AL235" ca="1">IFERROR(INDEX(INDIRECT($B$3&amp;"."&amp;$B$158&amp;".energy["&amp;This.year&amp;"]"),MATCH($C235&amp;AL$5,INDIRECT($B$3&amp;"."&amp;$B$158&amp;".energy[Tech description]")&amp;INDIRECT($B$3&amp;"."&amp;$B$158&amp;".energy[Energy description]"),0)),0)</f>
        <v>0</v>
      </c>
      <c r="AM235" s="152">
        <f t="array" aca="1" ref="AM235" ca="1">IFERROR(INDEX(INDIRECT($B$3&amp;"."&amp;$B$158&amp;".energy["&amp;This.year&amp;"]"),MATCH($C235&amp;AM$5,INDIRECT($B$3&amp;"."&amp;$B$158&amp;".energy[Tech description]")&amp;INDIRECT($B$3&amp;"."&amp;$B$158&amp;".energy[Energy description]"),0)),0)</f>
        <v>0</v>
      </c>
      <c r="AN235" s="152">
        <f t="array" aca="1" ref="AN235" ca="1">IFERROR(INDEX(INDIRECT($B$3&amp;"."&amp;$B$158&amp;".energy["&amp;This.year&amp;"]"),MATCH($C235&amp;AN$5,INDIRECT($B$3&amp;"."&amp;$B$158&amp;".energy[Tech description]")&amp;INDIRECT($B$3&amp;"."&amp;$B$158&amp;".energy[Energy description]"),0)),0)</f>
        <v>0</v>
      </c>
      <c r="AO235" s="152">
        <f t="shared" ca="1" si="35"/>
        <v>-0.17969717966158166</v>
      </c>
      <c r="AP235" s="108"/>
      <c r="AQ235" s="21">
        <f t="array" aca="1" ref="AQ235" ca="1">IFERROR(INDEX(INDIRECT($B$3&amp;"."&amp;$B$158&amp;".energy["&amp;This.year&amp;"]"),MATCH($C235&amp;AQ$5,INDIRECT($B$3&amp;"."&amp;$B$158&amp;".energy[Tech description]")&amp;INDIRECT($B$3&amp;"."&amp;$B$158&amp;".energy[Energy description]"),0)),0)</f>
        <v>0</v>
      </c>
      <c r="AR235" s="21">
        <f t="array" aca="1" ref="AR235" ca="1">IFERROR(INDEX(INDIRECT($B$3&amp;"."&amp;$B$158&amp;".energy["&amp;This.year&amp;"]"),MATCH($C235&amp;AR$5,INDIRECT($B$3&amp;"."&amp;$B$158&amp;".energy[Tech description]")&amp;INDIRECT($B$3&amp;"."&amp;$B$158&amp;".energy[Energy description]"),0)),0)</f>
        <v>0</v>
      </c>
      <c r="AS235" s="21">
        <f t="array" aca="1" ref="AS235" ca="1">IFERROR(INDEX(INDIRECT($B$3&amp;"."&amp;$B$158&amp;".energy["&amp;This.year&amp;"]"),MATCH($C235&amp;AS$5,INDIRECT($B$3&amp;"."&amp;$B$158&amp;".energy[Tech description]")&amp;INDIRECT($B$3&amp;"."&amp;$B$158&amp;".energy[Energy description]"),0)),0)</f>
        <v>0</v>
      </c>
      <c r="AT235" s="21">
        <f t="array" aca="1" ref="AT235" ca="1">IFERROR(INDEX(INDIRECT($B$3&amp;"."&amp;$B$158&amp;".energy["&amp;This.year&amp;"]"),MATCH($C235&amp;AT$5,INDIRECT($B$3&amp;"."&amp;$B$158&amp;".energy[Tech description]")&amp;INDIRECT($B$3&amp;"."&amp;$B$158&amp;".energy[Energy description]"),0)),0)</f>
        <v>0</v>
      </c>
      <c r="AU235" s="21">
        <f t="array" aca="1" ref="AU235" ca="1">IFERROR(INDEX(INDIRECT($B$3&amp;"."&amp;$B$158&amp;".energy["&amp;This.year&amp;"]"),MATCH($C235&amp;AU$5,INDIRECT($B$3&amp;"."&amp;$B$158&amp;".energy[Tech description]")&amp;INDIRECT($B$3&amp;"."&amp;$B$158&amp;".energy[Energy description]"),0)),0)</f>
        <v>0</v>
      </c>
      <c r="AV235" s="21">
        <f t="array" aca="1" ref="AV235" ca="1">IFERROR(INDEX(INDIRECT($B$3&amp;"."&amp;$B$158&amp;".energy["&amp;This.year&amp;"]"),MATCH($C235&amp;AV$5,INDIRECT($B$3&amp;"."&amp;$B$158&amp;".energy[Tech description]")&amp;INDIRECT($B$3&amp;"."&amp;$B$158&amp;".energy[Energy description]"),0)),0)</f>
        <v>0</v>
      </c>
      <c r="AW235" s="21">
        <f t="array" aca="1" ref="AW235" ca="1">IFERROR(INDEX(INDIRECT($B$3&amp;"."&amp;$B$158&amp;".energy["&amp;This.year&amp;"]"),MATCH($C235&amp;AW$5,INDIRECT($B$3&amp;"."&amp;$B$158&amp;".energy[Tech description]")&amp;INDIRECT($B$3&amp;"."&amp;$B$158&amp;".energy[Energy description]"),0)),0)</f>
        <v>0</v>
      </c>
      <c r="AX235" s="21">
        <f t="array" aca="1" ref="AX235" ca="1">IFERROR(INDEX(INDIRECT($B$3&amp;"."&amp;$B$158&amp;".energy["&amp;This.year&amp;"]"),MATCH($C235&amp;AX$5,INDIRECT($B$3&amp;"."&amp;$B$158&amp;".energy[Tech description]")&amp;INDIRECT($B$3&amp;"."&amp;$B$158&amp;".energy[Energy description]"),0)),0)</f>
        <v>0</v>
      </c>
      <c r="AY235" s="21">
        <f t="array" aca="1" ref="AY235" ca="1">IFERROR(INDEX(INDIRECT($B$3&amp;"."&amp;$B$158&amp;".energy["&amp;This.year&amp;"]"),MATCH($C235&amp;AY$5,INDIRECT($B$3&amp;"."&amp;$B$158&amp;".energy[Tech description]")&amp;INDIRECT($B$3&amp;"."&amp;$B$158&amp;".energy[Energy description]"),0)),0)</f>
        <v>0</v>
      </c>
      <c r="AZ235" s="21">
        <f t="array" aca="1" ref="AZ235" ca="1">IFERROR(INDEX(INDIRECT($B$3&amp;"."&amp;$B$158&amp;".energy["&amp;This.year&amp;"]"),MATCH($C235&amp;AZ$5,INDIRECT($B$3&amp;"."&amp;$B$158&amp;".energy[Tech description]")&amp;INDIRECT($B$3&amp;"."&amp;$B$158&amp;".energy[Energy description]"),0)),0)</f>
        <v>0</v>
      </c>
      <c r="BA235" s="21">
        <f t="array" aca="1" ref="BA235" ca="1">IFERROR(INDEX(INDIRECT($B$3&amp;"."&amp;$B$158&amp;".energy["&amp;This.year&amp;"]"),MATCH($C235&amp;BA$5,INDIRECT($B$3&amp;"."&amp;$B$158&amp;".energy[Tech description]")&amp;INDIRECT($B$3&amp;"."&amp;$B$158&amp;".energy[Energy description]"),0)),0)</f>
        <v>0</v>
      </c>
      <c r="BB235" s="21">
        <f t="array" aca="1" ref="BB235" ca="1">IFERROR(INDEX(INDIRECT($B$3&amp;"."&amp;$B$158&amp;".energy["&amp;This.year&amp;"]"),MATCH($C235&amp;BB$5,INDIRECT($B$3&amp;"."&amp;$B$158&amp;".energy[Tech description]")&amp;INDIRECT($B$3&amp;"."&amp;$B$158&amp;".energy[Energy description]"),0)),0)</f>
        <v>0</v>
      </c>
      <c r="BC235" s="21">
        <f t="array" aca="1" ref="BC235" ca="1">IFERROR(INDEX(INDIRECT($B$3&amp;"."&amp;$B$158&amp;".energy["&amp;This.year&amp;"]"),MATCH($C235&amp;BC$5,INDIRECT($B$3&amp;"."&amp;$B$158&amp;".energy[Tech description]")&amp;INDIRECT($B$3&amp;"."&amp;$B$158&amp;".energy[Energy description]"),0)),0)</f>
        <v>0</v>
      </c>
      <c r="BD235" s="21">
        <f t="shared" ca="1" si="36"/>
        <v>0</v>
      </c>
      <c r="BE235" s="108"/>
      <c r="BF235" s="49">
        <f t="array" aca="1" ref="BF235" ca="1">IFERROR(INDEX(INDIRECT($B$3&amp;"."&amp;$B$158&amp;".energy["&amp;This.year&amp;"]"),MATCH($C235&amp;BF$5,INDIRECT($B$3&amp;"."&amp;$B$158&amp;".energy[Tech description]")&amp;INDIRECT($B$3&amp;"."&amp;$B$158&amp;".energy[Energy description]"),0)),0)</f>
        <v>0</v>
      </c>
      <c r="BG235" s="49">
        <f t="array" aca="1" ref="BG235" ca="1">IFERROR(INDEX(INDIRECT($B$3&amp;"."&amp;$B$158&amp;".energy["&amp;This.year&amp;"]"),MATCH($C235&amp;BG$5,INDIRECT($B$3&amp;"."&amp;$B$158&amp;".energy[Tech description]")&amp;INDIRECT($B$3&amp;"."&amp;$B$158&amp;".energy[Energy description]"),0)),0)</f>
        <v>0</v>
      </c>
      <c r="BH235" s="49">
        <f t="shared" ca="1" si="37"/>
        <v>0</v>
      </c>
      <c r="BI235" s="219">
        <f t="shared" ca="1" si="38"/>
        <v>0</v>
      </c>
      <c r="BJ235" s="108"/>
    </row>
    <row r="236" spans="1:62" s="54" customFormat="1">
      <c r="A236" s="133"/>
      <c r="B236" s="176" t="s">
        <v>1853</v>
      </c>
      <c r="C236" s="114" t="str">
        <f>INDEX(Regional.Technologies[Description],MATCH($B$3&amp;"."&amp;B236,Regional.Technologies[Code],0))</f>
        <v>Global Natural Gas use in the Pulp &amp; paper: Virgin technology</v>
      </c>
      <c r="E236" s="121">
        <f t="array" aca="1" ref="E236" ca="1">IFERROR(INDEX(INDIRECT($B$3&amp;"."&amp;$B$158&amp;".energy["&amp;This.year&amp;"]"),MATCH($C236&amp;E$5,INDIRECT($B$3&amp;"."&amp;$B$158&amp;".energy[Tech description]")&amp;INDIRECT($B$3&amp;"."&amp;$B$158&amp;".energy[Energy description]"),0)),0)</f>
        <v>0</v>
      </c>
      <c r="F236" s="121">
        <f t="array" aca="1" ref="F236" ca="1">IFERROR(INDEX(INDIRECT($B$3&amp;"."&amp;$B$158&amp;".energy["&amp;This.year&amp;"]"),MATCH($C236&amp;F$5,INDIRECT($B$3&amp;"."&amp;$B$158&amp;".energy[Tech description]")&amp;INDIRECT($B$3&amp;"."&amp;$B$158&amp;".energy[Energy description]"),0)),0)</f>
        <v>0</v>
      </c>
      <c r="G236" s="121">
        <f t="array" aca="1" ref="G236" ca="1">IFERROR(INDEX(INDIRECT($B$3&amp;"."&amp;$B$158&amp;".energy["&amp;This.year&amp;"]"),MATCH($C236&amp;G$5,INDIRECT($B$3&amp;"."&amp;$B$158&amp;".energy[Tech description]")&amp;INDIRECT($B$3&amp;"."&amp;$B$158&amp;".energy[Energy description]"),0)),0)</f>
        <v>0</v>
      </c>
      <c r="H236" s="121">
        <f t="array" aca="1" ref="H236" ca="1">IFERROR(INDEX(INDIRECT($B$3&amp;"."&amp;$B$158&amp;".energy["&amp;This.year&amp;"]"),MATCH($C236&amp;H$5,INDIRECT($B$3&amp;"."&amp;$B$158&amp;".energy[Tech description]")&amp;INDIRECT($B$3&amp;"."&amp;$B$158&amp;".energy[Energy description]"),0)),0)</f>
        <v>0</v>
      </c>
      <c r="I236" s="121">
        <f t="array" aca="1" ref="I236" ca="1">IFERROR(INDEX(INDIRECT($B$3&amp;"."&amp;$B$158&amp;".energy["&amp;This.year&amp;"]"),MATCH($C236&amp;I$5,INDIRECT($B$3&amp;"."&amp;$B$158&amp;".energy[Tech description]")&amp;INDIRECT($B$3&amp;"."&amp;$B$158&amp;".energy[Energy description]"),0)),0)</f>
        <v>0</v>
      </c>
      <c r="J236" s="121">
        <f t="array" aca="1" ref="J236" ca="1">IFERROR(INDEX(INDIRECT($B$3&amp;"."&amp;$B$158&amp;".energy["&amp;This.year&amp;"]"),MATCH($C236&amp;J$5,INDIRECT($B$3&amp;"."&amp;$B$158&amp;".energy[Tech description]")&amp;INDIRECT($B$3&amp;"."&amp;$B$158&amp;".energy[Energy description]"),0)),0)</f>
        <v>0.45387282618987923</v>
      </c>
      <c r="K236" s="121">
        <f t="array" aca="1" ref="K236" ca="1">IFERROR(INDEX(INDIRECT($B$3&amp;"."&amp;$B$158&amp;".energy["&amp;This.year&amp;"]"),MATCH($C236&amp;K$5,INDIRECT($B$3&amp;"."&amp;$B$158&amp;".energy[Tech description]")&amp;INDIRECT($B$3&amp;"."&amp;$B$158&amp;".energy[Energy description]"),0)),0)</f>
        <v>0</v>
      </c>
      <c r="L236" s="121">
        <f t="array" aca="1" ref="L236" ca="1">IFERROR(INDEX(INDIRECT($B$3&amp;"."&amp;$B$158&amp;".energy["&amp;This.year&amp;"]"),MATCH($C236&amp;L$5,INDIRECT($B$3&amp;"."&amp;$B$158&amp;".energy[Tech description]")&amp;INDIRECT($B$3&amp;"."&amp;$B$158&amp;".energy[Energy description]"),0)),0)</f>
        <v>0</v>
      </c>
      <c r="M236" s="121">
        <f t="array" aca="1" ref="M236" ca="1">IFERROR(INDEX(INDIRECT($B$3&amp;"."&amp;$B$158&amp;".energy["&amp;This.year&amp;"]"),MATCH($C236&amp;M$5,INDIRECT($B$3&amp;"."&amp;$B$158&amp;".energy[Tech description]")&amp;INDIRECT($B$3&amp;"."&amp;$B$158&amp;".energy[Energy description]"),0)),0)</f>
        <v>0</v>
      </c>
      <c r="N236" s="121">
        <f t="array" aca="1" ref="N236" ca="1">IFERROR(INDEX(INDIRECT($B$3&amp;"."&amp;$B$158&amp;".energy["&amp;This.year&amp;"]"),MATCH($C236&amp;N$5,INDIRECT($B$3&amp;"."&amp;$B$158&amp;".energy[Tech description]")&amp;INDIRECT($B$3&amp;"."&amp;$B$158&amp;".energy[Energy description]"),0)),0)</f>
        <v>0</v>
      </c>
      <c r="O236" s="121">
        <f t="array" aca="1" ref="O236" ca="1">IFERROR(INDEX(INDIRECT($B$3&amp;"."&amp;$B$158&amp;".energy["&amp;This.year&amp;"]"),MATCH($C236&amp;O$5,INDIRECT($B$3&amp;"."&amp;$B$158&amp;".energy[Tech description]")&amp;INDIRECT($B$3&amp;"."&amp;$B$158&amp;".energy[Energy description]"),0)),0)</f>
        <v>0</v>
      </c>
      <c r="P236" s="121">
        <f t="array" aca="1" ref="P236" ca="1">IFERROR(INDEX(INDIRECT($B$3&amp;"."&amp;$B$158&amp;".energy["&amp;This.year&amp;"]"),MATCH($C236&amp;P$5,INDIRECT($B$3&amp;"."&amp;$B$158&amp;".energy[Tech description]")&amp;INDIRECT($B$3&amp;"."&amp;$B$158&amp;".energy[Energy description]"),0)),0)</f>
        <v>0</v>
      </c>
      <c r="Q236" s="121">
        <f t="array" aca="1" ref="Q236" ca="1">IFERROR(INDEX(INDIRECT($B$3&amp;"."&amp;$B$158&amp;".energy["&amp;This.year&amp;"]"),MATCH($C236&amp;Q$5,INDIRECT($B$3&amp;"."&amp;$B$158&amp;".energy[Tech description]")&amp;INDIRECT($B$3&amp;"."&amp;$B$158&amp;".energy[Energy description]"),0)),0)</f>
        <v>0</v>
      </c>
      <c r="R236" s="121">
        <f t="array" aca="1" ref="R236" ca="1">IFERROR(INDEX(INDIRECT($B$3&amp;"."&amp;$B$158&amp;".energy["&amp;This.year&amp;"]"),MATCH($C236&amp;R$5,INDIRECT($B$3&amp;"."&amp;$B$158&amp;".energy[Tech description]")&amp;INDIRECT($B$3&amp;"."&amp;$B$158&amp;".energy[Energy description]"),0)),0)</f>
        <v>0</v>
      </c>
      <c r="S236" s="121">
        <f t="array" aca="1" ref="S236" ca="1">IFERROR(INDEX(INDIRECT($B$3&amp;"."&amp;$B$158&amp;".energy["&amp;This.year&amp;"]"),MATCH($C236&amp;S$5,INDIRECT($B$3&amp;"."&amp;$B$158&amp;".energy[Tech description]")&amp;INDIRECT($B$3&amp;"."&amp;$B$158&amp;".energy[Energy description]"),0)),0)</f>
        <v>0</v>
      </c>
      <c r="T236" s="121">
        <f t="shared" ca="1" si="34"/>
        <v>0.45387282618987923</v>
      </c>
      <c r="U236" s="109"/>
      <c r="V236" s="152">
        <f t="array" aca="1" ref="V236" ca="1">IFERROR(INDEX(INDIRECT($B$3&amp;"."&amp;$B$158&amp;".energy["&amp;This.year&amp;"]"),MATCH($C236&amp;V$5,INDIRECT($B$3&amp;"."&amp;$B$158&amp;".energy[Tech description]")&amp;INDIRECT($B$3&amp;"."&amp;$B$158&amp;".energy[Energy description]"),0)),0)</f>
        <v>0</v>
      </c>
      <c r="W236" s="152">
        <f t="array" aca="1" ref="W236" ca="1">IFERROR(INDEX(INDIRECT($B$3&amp;"."&amp;$B$158&amp;".energy["&amp;This.year&amp;"]"),MATCH($C236&amp;W$5,INDIRECT($B$3&amp;"."&amp;$B$158&amp;".energy[Tech description]")&amp;INDIRECT($B$3&amp;"."&amp;$B$158&amp;".energy[Energy description]"),0)),0)</f>
        <v>0</v>
      </c>
      <c r="X236" s="152">
        <f t="array" aca="1" ref="X236" ca="1">IFERROR(INDEX(INDIRECT($B$3&amp;"."&amp;$B$158&amp;".energy["&amp;This.year&amp;"]"),MATCH($C236&amp;X$5,INDIRECT($B$3&amp;"."&amp;$B$158&amp;".energy[Tech description]")&amp;INDIRECT($B$3&amp;"."&amp;$B$158&amp;".energy[Energy description]"),0)),0)</f>
        <v>0</v>
      </c>
      <c r="Y236" s="152">
        <f t="array" aca="1" ref="Y236" ca="1">IFERROR(INDEX(INDIRECT($B$3&amp;"."&amp;$B$158&amp;".energy["&amp;This.year&amp;"]"),MATCH($C236&amp;Y$5,INDIRECT($B$3&amp;"."&amp;$B$158&amp;".energy[Tech description]")&amp;INDIRECT($B$3&amp;"."&amp;$B$158&amp;".energy[Energy description]"),0)),0)</f>
        <v>0</v>
      </c>
      <c r="Z236" s="152">
        <f t="array" aca="1" ref="Z236" ca="1">IFERROR(INDEX(INDIRECT($B$3&amp;"."&amp;$B$158&amp;".energy["&amp;This.year&amp;"]"),MATCH($C236&amp;Z$5,INDIRECT($B$3&amp;"."&amp;$B$158&amp;".energy[Tech description]")&amp;INDIRECT($B$3&amp;"."&amp;$B$158&amp;".energy[Energy description]"),0)),0)</f>
        <v>0</v>
      </c>
      <c r="AA236" s="152">
        <f t="array" aca="1" ref="AA236" ca="1">IFERROR(INDEX(INDIRECT($B$3&amp;"."&amp;$B$158&amp;".energy["&amp;This.year&amp;"]"),MATCH($C236&amp;AA$5,INDIRECT($B$3&amp;"."&amp;$B$158&amp;".energy[Tech description]")&amp;INDIRECT($B$3&amp;"."&amp;$B$158&amp;".energy[Energy description]"),0)),0)</f>
        <v>0</v>
      </c>
      <c r="AB236" s="152">
        <f t="array" aca="1" ref="AB236" ca="1">IFERROR(INDEX(INDIRECT($B$3&amp;"."&amp;$B$158&amp;".energy["&amp;This.year&amp;"]"),MATCH($C236&amp;AB$5,INDIRECT($B$3&amp;"."&amp;$B$158&amp;".energy[Tech description]")&amp;INDIRECT($B$3&amp;"."&amp;$B$158&amp;".energy[Energy description]"),0)),0)</f>
        <v>0</v>
      </c>
      <c r="AC236" s="152">
        <f t="array" aca="1" ref="AC236" ca="1">IFERROR(INDEX(INDIRECT($B$3&amp;"."&amp;$B$158&amp;".energy["&amp;This.year&amp;"]"),MATCH($C236&amp;AC$5,INDIRECT($B$3&amp;"."&amp;$B$158&amp;".energy[Tech description]")&amp;INDIRECT($B$3&amp;"."&amp;$B$158&amp;".energy[Energy description]"),0)),0)</f>
        <v>-0.45387282618987923</v>
      </c>
      <c r="AD236" s="152">
        <f t="array" aca="1" ref="AD236" ca="1">IFERROR(INDEX(INDIRECT($B$3&amp;"."&amp;$B$158&amp;".energy["&amp;This.year&amp;"]"),MATCH($C236&amp;AD$5,INDIRECT($B$3&amp;"."&amp;$B$158&amp;".energy[Tech description]")&amp;INDIRECT($B$3&amp;"."&amp;$B$158&amp;".energy[Energy description]"),0)),0)</f>
        <v>0</v>
      </c>
      <c r="AE236" s="152">
        <f t="array" aca="1" ref="AE236" ca="1">IFERROR(INDEX(INDIRECT($B$3&amp;"."&amp;$B$158&amp;".energy["&amp;This.year&amp;"]"),MATCH($C236&amp;AE$5,INDIRECT($B$3&amp;"."&amp;$B$158&amp;".energy[Tech description]")&amp;INDIRECT($B$3&amp;"."&amp;$B$158&amp;".energy[Energy description]"),0)),0)</f>
        <v>0</v>
      </c>
      <c r="AF236" s="152">
        <f t="array" aca="1" ref="AF236" ca="1">IFERROR(INDEX(INDIRECT($B$3&amp;"."&amp;$B$158&amp;".energy["&amp;This.year&amp;"]"),MATCH($C236&amp;AF$5,INDIRECT($B$3&amp;"."&amp;$B$158&amp;".energy[Tech description]")&amp;INDIRECT($B$3&amp;"."&amp;$B$158&amp;".energy[Energy description]"),0)),0)</f>
        <v>0</v>
      </c>
      <c r="AG236" s="152">
        <f t="array" aca="1" ref="AG236" ca="1">IFERROR(INDEX(INDIRECT($B$3&amp;"."&amp;$B$158&amp;".energy["&amp;This.year&amp;"]"),MATCH($C236&amp;AG$5,INDIRECT($B$3&amp;"."&amp;$B$158&amp;".energy[Tech description]")&amp;INDIRECT($B$3&amp;"."&amp;$B$158&amp;".energy[Energy description]"),0)),0)</f>
        <v>0</v>
      </c>
      <c r="AH236" s="152">
        <f t="array" aca="1" ref="AH236" ca="1">IFERROR(INDEX(INDIRECT($B$3&amp;"."&amp;$B$158&amp;".energy["&amp;This.year&amp;"]"),MATCH($C236&amp;AH$5,INDIRECT($B$3&amp;"."&amp;$B$158&amp;".energy[Tech description]")&amp;INDIRECT($B$3&amp;"."&amp;$B$158&amp;".energy[Energy description]"),0)),0)</f>
        <v>0</v>
      </c>
      <c r="AI236" s="152">
        <f t="array" aca="1" ref="AI236" ca="1">IFERROR(INDEX(INDIRECT($B$3&amp;"."&amp;$B$158&amp;".energy["&amp;This.year&amp;"]"),MATCH($C236&amp;AI$5,INDIRECT($B$3&amp;"."&amp;$B$158&amp;".energy[Tech description]")&amp;INDIRECT($B$3&amp;"."&amp;$B$158&amp;".energy[Energy description]"),0)),0)</f>
        <v>0</v>
      </c>
      <c r="AJ236" s="152">
        <f t="array" aca="1" ref="AJ236" ca="1">IFERROR(INDEX(INDIRECT($B$3&amp;"."&amp;$B$158&amp;".energy["&amp;This.year&amp;"]"),MATCH($C236&amp;AJ$5,INDIRECT($B$3&amp;"."&amp;$B$158&amp;".energy[Tech description]")&amp;INDIRECT($B$3&amp;"."&amp;$B$158&amp;".energy[Energy description]"),0)),0)</f>
        <v>0</v>
      </c>
      <c r="AK236" s="152">
        <f t="array" aca="1" ref="AK236" ca="1">IFERROR(INDEX(INDIRECT($B$3&amp;"."&amp;$B$158&amp;".energy["&amp;This.year&amp;"]"),MATCH($C236&amp;AK$5,INDIRECT($B$3&amp;"."&amp;$B$158&amp;".energy[Tech description]")&amp;INDIRECT($B$3&amp;"."&amp;$B$158&amp;".energy[Energy description]"),0)),0)</f>
        <v>0</v>
      </c>
      <c r="AL236" s="152">
        <f t="array" aca="1" ref="AL236" ca="1">IFERROR(INDEX(INDIRECT($B$3&amp;"."&amp;$B$158&amp;".energy["&amp;This.year&amp;"]"),MATCH($C236&amp;AL$5,INDIRECT($B$3&amp;"."&amp;$B$158&amp;".energy[Tech description]")&amp;INDIRECT($B$3&amp;"."&amp;$B$158&amp;".energy[Energy description]"),0)),0)</f>
        <v>0</v>
      </c>
      <c r="AM236" s="152">
        <f t="array" aca="1" ref="AM236" ca="1">IFERROR(INDEX(INDIRECT($B$3&amp;"."&amp;$B$158&amp;".energy["&amp;This.year&amp;"]"),MATCH($C236&amp;AM$5,INDIRECT($B$3&amp;"."&amp;$B$158&amp;".energy[Tech description]")&amp;INDIRECT($B$3&amp;"."&amp;$B$158&amp;".energy[Energy description]"),0)),0)</f>
        <v>0</v>
      </c>
      <c r="AN236" s="152">
        <f t="array" aca="1" ref="AN236" ca="1">IFERROR(INDEX(INDIRECT($B$3&amp;"."&amp;$B$158&amp;".energy["&amp;This.year&amp;"]"),MATCH($C236&amp;AN$5,INDIRECT($B$3&amp;"."&amp;$B$158&amp;".energy[Tech description]")&amp;INDIRECT($B$3&amp;"."&amp;$B$158&amp;".energy[Energy description]"),0)),0)</f>
        <v>0</v>
      </c>
      <c r="AO236" s="152">
        <f t="shared" ca="1" si="35"/>
        <v>-0.45387282618987923</v>
      </c>
      <c r="AP236" s="108"/>
      <c r="AQ236" s="21">
        <f t="array" aca="1" ref="AQ236" ca="1">IFERROR(INDEX(INDIRECT($B$3&amp;"."&amp;$B$158&amp;".energy["&amp;This.year&amp;"]"),MATCH($C236&amp;AQ$5,INDIRECT($B$3&amp;"."&amp;$B$158&amp;".energy[Tech description]")&amp;INDIRECT($B$3&amp;"."&amp;$B$158&amp;".energy[Energy description]"),0)),0)</f>
        <v>0</v>
      </c>
      <c r="AR236" s="21">
        <f t="array" aca="1" ref="AR236" ca="1">IFERROR(INDEX(INDIRECT($B$3&amp;"."&amp;$B$158&amp;".energy["&amp;This.year&amp;"]"),MATCH($C236&amp;AR$5,INDIRECT($B$3&amp;"."&amp;$B$158&amp;".energy[Tech description]")&amp;INDIRECT($B$3&amp;"."&amp;$B$158&amp;".energy[Energy description]"),0)),0)</f>
        <v>0</v>
      </c>
      <c r="AS236" s="21">
        <f t="array" aca="1" ref="AS236" ca="1">IFERROR(INDEX(INDIRECT($B$3&amp;"."&amp;$B$158&amp;".energy["&amp;This.year&amp;"]"),MATCH($C236&amp;AS$5,INDIRECT($B$3&amp;"."&amp;$B$158&amp;".energy[Tech description]")&amp;INDIRECT($B$3&amp;"."&amp;$B$158&amp;".energy[Energy description]"),0)),0)</f>
        <v>0</v>
      </c>
      <c r="AT236" s="21">
        <f t="array" aca="1" ref="AT236" ca="1">IFERROR(INDEX(INDIRECT($B$3&amp;"."&amp;$B$158&amp;".energy["&amp;This.year&amp;"]"),MATCH($C236&amp;AT$5,INDIRECT($B$3&amp;"."&amp;$B$158&amp;".energy[Tech description]")&amp;INDIRECT($B$3&amp;"."&amp;$B$158&amp;".energy[Energy description]"),0)),0)</f>
        <v>0</v>
      </c>
      <c r="AU236" s="21">
        <f t="array" aca="1" ref="AU236" ca="1">IFERROR(INDEX(INDIRECT($B$3&amp;"."&amp;$B$158&amp;".energy["&amp;This.year&amp;"]"),MATCH($C236&amp;AU$5,INDIRECT($B$3&amp;"."&amp;$B$158&amp;".energy[Tech description]")&amp;INDIRECT($B$3&amp;"."&amp;$B$158&amp;".energy[Energy description]"),0)),0)</f>
        <v>0</v>
      </c>
      <c r="AV236" s="21">
        <f t="array" aca="1" ref="AV236" ca="1">IFERROR(INDEX(INDIRECT($B$3&amp;"."&amp;$B$158&amp;".energy["&amp;This.year&amp;"]"),MATCH($C236&amp;AV$5,INDIRECT($B$3&amp;"."&amp;$B$158&amp;".energy[Tech description]")&amp;INDIRECT($B$3&amp;"."&amp;$B$158&amp;".energy[Energy description]"),0)),0)</f>
        <v>0</v>
      </c>
      <c r="AW236" s="21">
        <f t="array" aca="1" ref="AW236" ca="1">IFERROR(INDEX(INDIRECT($B$3&amp;"."&amp;$B$158&amp;".energy["&amp;This.year&amp;"]"),MATCH($C236&amp;AW$5,INDIRECT($B$3&amp;"."&amp;$B$158&amp;".energy[Tech description]")&amp;INDIRECT($B$3&amp;"."&amp;$B$158&amp;".energy[Energy description]"),0)),0)</f>
        <v>0</v>
      </c>
      <c r="AX236" s="21">
        <f t="array" aca="1" ref="AX236" ca="1">IFERROR(INDEX(INDIRECT($B$3&amp;"."&amp;$B$158&amp;".energy["&amp;This.year&amp;"]"),MATCH($C236&amp;AX$5,INDIRECT($B$3&amp;"."&amp;$B$158&amp;".energy[Tech description]")&amp;INDIRECT($B$3&amp;"."&amp;$B$158&amp;".energy[Energy description]"),0)),0)</f>
        <v>0</v>
      </c>
      <c r="AY236" s="21">
        <f t="array" aca="1" ref="AY236" ca="1">IFERROR(INDEX(INDIRECT($B$3&amp;"."&amp;$B$158&amp;".energy["&amp;This.year&amp;"]"),MATCH($C236&amp;AY$5,INDIRECT($B$3&amp;"."&amp;$B$158&amp;".energy[Tech description]")&amp;INDIRECT($B$3&amp;"."&amp;$B$158&amp;".energy[Energy description]"),0)),0)</f>
        <v>0</v>
      </c>
      <c r="AZ236" s="21">
        <f t="array" aca="1" ref="AZ236" ca="1">IFERROR(INDEX(INDIRECT($B$3&amp;"."&amp;$B$158&amp;".energy["&amp;This.year&amp;"]"),MATCH($C236&amp;AZ$5,INDIRECT($B$3&amp;"."&amp;$B$158&amp;".energy[Tech description]")&amp;INDIRECT($B$3&amp;"."&amp;$B$158&amp;".energy[Energy description]"),0)),0)</f>
        <v>0</v>
      </c>
      <c r="BA236" s="21">
        <f t="array" aca="1" ref="BA236" ca="1">IFERROR(INDEX(INDIRECT($B$3&amp;"."&amp;$B$158&amp;".energy["&amp;This.year&amp;"]"),MATCH($C236&amp;BA$5,INDIRECT($B$3&amp;"."&amp;$B$158&amp;".energy[Tech description]")&amp;INDIRECT($B$3&amp;"."&amp;$B$158&amp;".energy[Energy description]"),0)),0)</f>
        <v>0</v>
      </c>
      <c r="BB236" s="21">
        <f t="array" aca="1" ref="BB236" ca="1">IFERROR(INDEX(INDIRECT($B$3&amp;"."&amp;$B$158&amp;".energy["&amp;This.year&amp;"]"),MATCH($C236&amp;BB$5,INDIRECT($B$3&amp;"."&amp;$B$158&amp;".energy[Tech description]")&amp;INDIRECT($B$3&amp;"."&amp;$B$158&amp;".energy[Energy description]"),0)),0)</f>
        <v>0</v>
      </c>
      <c r="BC236" s="21">
        <f t="array" aca="1" ref="BC236" ca="1">IFERROR(INDEX(INDIRECT($B$3&amp;"."&amp;$B$158&amp;".energy["&amp;This.year&amp;"]"),MATCH($C236&amp;BC$5,INDIRECT($B$3&amp;"."&amp;$B$158&amp;".energy[Tech description]")&amp;INDIRECT($B$3&amp;"."&amp;$B$158&amp;".energy[Energy description]"),0)),0)</f>
        <v>0</v>
      </c>
      <c r="BD236" s="21">
        <f t="shared" ca="1" si="36"/>
        <v>0</v>
      </c>
      <c r="BE236" s="108"/>
      <c r="BF236" s="49">
        <f t="array" aca="1" ref="BF236" ca="1">IFERROR(INDEX(INDIRECT($B$3&amp;"."&amp;$B$158&amp;".energy["&amp;This.year&amp;"]"),MATCH($C236&amp;BF$5,INDIRECT($B$3&amp;"."&amp;$B$158&amp;".energy[Tech description]")&amp;INDIRECT($B$3&amp;"."&amp;$B$158&amp;".energy[Energy description]"),0)),0)</f>
        <v>0</v>
      </c>
      <c r="BG236" s="49">
        <f t="array" aca="1" ref="BG236" ca="1">IFERROR(INDEX(INDIRECT($B$3&amp;"."&amp;$B$158&amp;".energy["&amp;This.year&amp;"]"),MATCH($C236&amp;BG$5,INDIRECT($B$3&amp;"."&amp;$B$158&amp;".energy[Tech description]")&amp;INDIRECT($B$3&amp;"."&amp;$B$158&amp;".energy[Energy description]"),0)),0)</f>
        <v>0</v>
      </c>
      <c r="BH236" s="49">
        <f t="shared" ca="1" si="37"/>
        <v>0</v>
      </c>
      <c r="BI236" s="219">
        <f t="shared" ca="1" si="38"/>
        <v>0</v>
      </c>
      <c r="BJ236" s="108"/>
    </row>
    <row r="237" spans="1:62" s="54" customFormat="1">
      <c r="A237" s="133"/>
      <c r="B237" s="176" t="s">
        <v>1854</v>
      </c>
      <c r="C237" s="114" t="str">
        <f>INDEX(Regional.Technologies[Description],MATCH($B$3&amp;"."&amp;B237,Regional.Technologies[Code],0))</f>
        <v>Global Solid Hydrocarbons use in the Pulp &amp; paper: Virgin technology</v>
      </c>
      <c r="E237" s="121">
        <f t="array" aca="1" ref="E237" ca="1">IFERROR(INDEX(INDIRECT($B$3&amp;"."&amp;$B$158&amp;".energy["&amp;This.year&amp;"]"),MATCH($C237&amp;E$5,INDIRECT($B$3&amp;"."&amp;$B$158&amp;".energy[Tech description]")&amp;INDIRECT($B$3&amp;"."&amp;$B$158&amp;".energy[Energy description]"),0)),0)</f>
        <v>0</v>
      </c>
      <c r="F237" s="121">
        <f t="array" aca="1" ref="F237" ca="1">IFERROR(INDEX(INDIRECT($B$3&amp;"."&amp;$B$158&amp;".energy["&amp;This.year&amp;"]"),MATCH($C237&amp;F$5,INDIRECT($B$3&amp;"."&amp;$B$158&amp;".energy[Tech description]")&amp;INDIRECT($B$3&amp;"."&amp;$B$158&amp;".energy[Energy description]"),0)),0)</f>
        <v>0</v>
      </c>
      <c r="G237" s="121">
        <f t="array" aca="1" ref="G237" ca="1">IFERROR(INDEX(INDIRECT($B$3&amp;"."&amp;$B$158&amp;".energy["&amp;This.year&amp;"]"),MATCH($C237&amp;G$5,INDIRECT($B$3&amp;"."&amp;$B$158&amp;".energy[Tech description]")&amp;INDIRECT($B$3&amp;"."&amp;$B$158&amp;".energy[Energy description]"),0)),0)</f>
        <v>0</v>
      </c>
      <c r="H237" s="121">
        <f t="array" aca="1" ref="H237" ca="1">IFERROR(INDEX(INDIRECT($B$3&amp;"."&amp;$B$158&amp;".energy["&amp;This.year&amp;"]"),MATCH($C237&amp;H$5,INDIRECT($B$3&amp;"."&amp;$B$158&amp;".energy[Tech description]")&amp;INDIRECT($B$3&amp;"."&amp;$B$158&amp;".energy[Energy description]"),0)),0)</f>
        <v>0</v>
      </c>
      <c r="I237" s="121">
        <f t="array" aca="1" ref="I237" ca="1">IFERROR(INDEX(INDIRECT($B$3&amp;"."&amp;$B$158&amp;".energy["&amp;This.year&amp;"]"),MATCH($C237&amp;I$5,INDIRECT($B$3&amp;"."&amp;$B$158&amp;".energy[Tech description]")&amp;INDIRECT($B$3&amp;"."&amp;$B$158&amp;".energy[Energy description]"),0)),0)</f>
        <v>0</v>
      </c>
      <c r="J237" s="121">
        <f t="array" aca="1" ref="J237" ca="1">IFERROR(INDEX(INDIRECT($B$3&amp;"."&amp;$B$158&amp;".energy["&amp;This.year&amp;"]"),MATCH($C237&amp;J$5,INDIRECT($B$3&amp;"."&amp;$B$158&amp;".energy[Tech description]")&amp;INDIRECT($B$3&amp;"."&amp;$B$158&amp;".energy[Energy description]"),0)),0)</f>
        <v>0.68393967671459854</v>
      </c>
      <c r="K237" s="121">
        <f t="array" aca="1" ref="K237" ca="1">IFERROR(INDEX(INDIRECT($B$3&amp;"."&amp;$B$158&amp;".energy["&amp;This.year&amp;"]"),MATCH($C237&amp;K$5,INDIRECT($B$3&amp;"."&amp;$B$158&amp;".energy[Tech description]")&amp;INDIRECT($B$3&amp;"."&amp;$B$158&amp;".energy[Energy description]"),0)),0)</f>
        <v>0</v>
      </c>
      <c r="L237" s="121">
        <f t="array" aca="1" ref="L237" ca="1">IFERROR(INDEX(INDIRECT($B$3&amp;"."&amp;$B$158&amp;".energy["&amp;This.year&amp;"]"),MATCH($C237&amp;L$5,INDIRECT($B$3&amp;"."&amp;$B$158&amp;".energy[Tech description]")&amp;INDIRECT($B$3&amp;"."&amp;$B$158&amp;".energy[Energy description]"),0)),0)</f>
        <v>0</v>
      </c>
      <c r="M237" s="121">
        <f t="array" aca="1" ref="M237" ca="1">IFERROR(INDEX(INDIRECT($B$3&amp;"."&amp;$B$158&amp;".energy["&amp;This.year&amp;"]"),MATCH($C237&amp;M$5,INDIRECT($B$3&amp;"."&amp;$B$158&amp;".energy[Tech description]")&amp;INDIRECT($B$3&amp;"."&amp;$B$158&amp;".energy[Energy description]"),0)),0)</f>
        <v>0</v>
      </c>
      <c r="N237" s="121">
        <f t="array" aca="1" ref="N237" ca="1">IFERROR(INDEX(INDIRECT($B$3&amp;"."&amp;$B$158&amp;".energy["&amp;This.year&amp;"]"),MATCH($C237&amp;N$5,INDIRECT($B$3&amp;"."&amp;$B$158&amp;".energy[Tech description]")&amp;INDIRECT($B$3&amp;"."&amp;$B$158&amp;".energy[Energy description]"),0)),0)</f>
        <v>0</v>
      </c>
      <c r="O237" s="121">
        <f t="array" aca="1" ref="O237" ca="1">IFERROR(INDEX(INDIRECT($B$3&amp;"."&amp;$B$158&amp;".energy["&amp;This.year&amp;"]"),MATCH($C237&amp;O$5,INDIRECT($B$3&amp;"."&amp;$B$158&amp;".energy[Tech description]")&amp;INDIRECT($B$3&amp;"."&amp;$B$158&amp;".energy[Energy description]"),0)),0)</f>
        <v>0</v>
      </c>
      <c r="P237" s="121">
        <f t="array" aca="1" ref="P237" ca="1">IFERROR(INDEX(INDIRECT($B$3&amp;"."&amp;$B$158&amp;".energy["&amp;This.year&amp;"]"),MATCH($C237&amp;P$5,INDIRECT($B$3&amp;"."&amp;$B$158&amp;".energy[Tech description]")&amp;INDIRECT($B$3&amp;"."&amp;$B$158&amp;".energy[Energy description]"),0)),0)</f>
        <v>0</v>
      </c>
      <c r="Q237" s="121">
        <f t="array" aca="1" ref="Q237" ca="1">IFERROR(INDEX(INDIRECT($B$3&amp;"."&amp;$B$158&amp;".energy["&amp;This.year&amp;"]"),MATCH($C237&amp;Q$5,INDIRECT($B$3&amp;"."&amp;$B$158&amp;".energy[Tech description]")&amp;INDIRECT($B$3&amp;"."&amp;$B$158&amp;".energy[Energy description]"),0)),0)</f>
        <v>0</v>
      </c>
      <c r="R237" s="121">
        <f t="array" aca="1" ref="R237" ca="1">IFERROR(INDEX(INDIRECT($B$3&amp;"."&amp;$B$158&amp;".energy["&amp;This.year&amp;"]"),MATCH($C237&amp;R$5,INDIRECT($B$3&amp;"."&amp;$B$158&amp;".energy[Tech description]")&amp;INDIRECT($B$3&amp;"."&amp;$B$158&amp;".energy[Energy description]"),0)),0)</f>
        <v>0</v>
      </c>
      <c r="S237" s="121">
        <f t="array" aca="1" ref="S237" ca="1">IFERROR(INDEX(INDIRECT($B$3&amp;"."&amp;$B$158&amp;".energy["&amp;This.year&amp;"]"),MATCH($C237&amp;S$5,INDIRECT($B$3&amp;"."&amp;$B$158&amp;".energy[Tech description]")&amp;INDIRECT($B$3&amp;"."&amp;$B$158&amp;".energy[Energy description]"),0)),0)</f>
        <v>0</v>
      </c>
      <c r="T237" s="121">
        <f t="shared" ca="1" si="34"/>
        <v>0.68393967671459854</v>
      </c>
      <c r="U237" s="109"/>
      <c r="V237" s="152">
        <f t="array" aca="1" ref="V237" ca="1">IFERROR(INDEX(INDIRECT($B$3&amp;"."&amp;$B$158&amp;".energy["&amp;This.year&amp;"]"),MATCH($C237&amp;V$5,INDIRECT($B$3&amp;"."&amp;$B$158&amp;".energy[Tech description]")&amp;INDIRECT($B$3&amp;"."&amp;$B$158&amp;".energy[Energy description]"),0)),0)</f>
        <v>0</v>
      </c>
      <c r="W237" s="152">
        <f t="array" aca="1" ref="W237" ca="1">IFERROR(INDEX(INDIRECT($B$3&amp;"."&amp;$B$158&amp;".energy["&amp;This.year&amp;"]"),MATCH($C237&amp;W$5,INDIRECT($B$3&amp;"."&amp;$B$158&amp;".energy[Tech description]")&amp;INDIRECT($B$3&amp;"."&amp;$B$158&amp;".energy[Energy description]"),0)),0)</f>
        <v>0</v>
      </c>
      <c r="X237" s="152">
        <f t="array" aca="1" ref="X237" ca="1">IFERROR(INDEX(INDIRECT($B$3&amp;"."&amp;$B$158&amp;".energy["&amp;This.year&amp;"]"),MATCH($C237&amp;X$5,INDIRECT($B$3&amp;"."&amp;$B$158&amp;".energy[Tech description]")&amp;INDIRECT($B$3&amp;"."&amp;$B$158&amp;".energy[Energy description]"),0)),0)</f>
        <v>-0.68393967671459854</v>
      </c>
      <c r="Y237" s="152">
        <f t="array" aca="1" ref="Y237" ca="1">IFERROR(INDEX(INDIRECT($B$3&amp;"."&amp;$B$158&amp;".energy["&amp;This.year&amp;"]"),MATCH($C237&amp;Y$5,INDIRECT($B$3&amp;"."&amp;$B$158&amp;".energy[Tech description]")&amp;INDIRECT($B$3&amp;"."&amp;$B$158&amp;".energy[Energy description]"),0)),0)</f>
        <v>0</v>
      </c>
      <c r="Z237" s="152">
        <f t="array" aca="1" ref="Z237" ca="1">IFERROR(INDEX(INDIRECT($B$3&amp;"."&amp;$B$158&amp;".energy["&amp;This.year&amp;"]"),MATCH($C237&amp;Z$5,INDIRECT($B$3&amp;"."&amp;$B$158&amp;".energy[Tech description]")&amp;INDIRECT($B$3&amp;"."&amp;$B$158&amp;".energy[Energy description]"),0)),0)</f>
        <v>0</v>
      </c>
      <c r="AA237" s="152">
        <f t="array" aca="1" ref="AA237" ca="1">IFERROR(INDEX(INDIRECT($B$3&amp;"."&amp;$B$158&amp;".energy["&amp;This.year&amp;"]"),MATCH($C237&amp;AA$5,INDIRECT($B$3&amp;"."&amp;$B$158&amp;".energy[Tech description]")&amp;INDIRECT($B$3&amp;"."&amp;$B$158&amp;".energy[Energy description]"),0)),0)</f>
        <v>0</v>
      </c>
      <c r="AB237" s="152">
        <f t="array" aca="1" ref="AB237" ca="1">IFERROR(INDEX(INDIRECT($B$3&amp;"."&amp;$B$158&amp;".energy["&amp;This.year&amp;"]"),MATCH($C237&amp;AB$5,INDIRECT($B$3&amp;"."&amp;$B$158&amp;".energy[Tech description]")&amp;INDIRECT($B$3&amp;"."&amp;$B$158&amp;".energy[Energy description]"),0)),0)</f>
        <v>0</v>
      </c>
      <c r="AC237" s="152">
        <f t="array" aca="1" ref="AC237" ca="1">IFERROR(INDEX(INDIRECT($B$3&amp;"."&amp;$B$158&amp;".energy["&amp;This.year&amp;"]"),MATCH($C237&amp;AC$5,INDIRECT($B$3&amp;"."&amp;$B$158&amp;".energy[Tech description]")&amp;INDIRECT($B$3&amp;"."&amp;$B$158&amp;".energy[Energy description]"),0)),0)</f>
        <v>0</v>
      </c>
      <c r="AD237" s="152">
        <f t="array" aca="1" ref="AD237" ca="1">IFERROR(INDEX(INDIRECT($B$3&amp;"."&amp;$B$158&amp;".energy["&amp;This.year&amp;"]"),MATCH($C237&amp;AD$5,INDIRECT($B$3&amp;"."&amp;$B$158&amp;".energy[Tech description]")&amp;INDIRECT($B$3&amp;"."&amp;$B$158&amp;".energy[Energy description]"),0)),0)</f>
        <v>0</v>
      </c>
      <c r="AE237" s="152">
        <f t="array" aca="1" ref="AE237" ca="1">IFERROR(INDEX(INDIRECT($B$3&amp;"."&amp;$B$158&amp;".energy["&amp;This.year&amp;"]"),MATCH($C237&amp;AE$5,INDIRECT($B$3&amp;"."&amp;$B$158&amp;".energy[Tech description]")&amp;INDIRECT($B$3&amp;"."&amp;$B$158&amp;".energy[Energy description]"),0)),0)</f>
        <v>0</v>
      </c>
      <c r="AF237" s="152">
        <f t="array" aca="1" ref="AF237" ca="1">IFERROR(INDEX(INDIRECT($B$3&amp;"."&amp;$B$158&amp;".energy["&amp;This.year&amp;"]"),MATCH($C237&amp;AF$5,INDIRECT($B$3&amp;"."&amp;$B$158&amp;".energy[Tech description]")&amp;INDIRECT($B$3&amp;"."&amp;$B$158&amp;".energy[Energy description]"),0)),0)</f>
        <v>0</v>
      </c>
      <c r="AG237" s="152">
        <f t="array" aca="1" ref="AG237" ca="1">IFERROR(INDEX(INDIRECT($B$3&amp;"."&amp;$B$158&amp;".energy["&amp;This.year&amp;"]"),MATCH($C237&amp;AG$5,INDIRECT($B$3&amp;"."&amp;$B$158&amp;".energy[Tech description]")&amp;INDIRECT($B$3&amp;"."&amp;$B$158&amp;".energy[Energy description]"),0)),0)</f>
        <v>0</v>
      </c>
      <c r="AH237" s="152">
        <f t="array" aca="1" ref="AH237" ca="1">IFERROR(INDEX(INDIRECT($B$3&amp;"."&amp;$B$158&amp;".energy["&amp;This.year&amp;"]"),MATCH($C237&amp;AH$5,INDIRECT($B$3&amp;"."&amp;$B$158&amp;".energy[Tech description]")&amp;INDIRECT($B$3&amp;"."&amp;$B$158&amp;".energy[Energy description]"),0)),0)</f>
        <v>0</v>
      </c>
      <c r="AI237" s="152">
        <f t="array" aca="1" ref="AI237" ca="1">IFERROR(INDEX(INDIRECT($B$3&amp;"."&amp;$B$158&amp;".energy["&amp;This.year&amp;"]"),MATCH($C237&amp;AI$5,INDIRECT($B$3&amp;"."&amp;$B$158&amp;".energy[Tech description]")&amp;INDIRECT($B$3&amp;"."&amp;$B$158&amp;".energy[Energy description]"),0)),0)</f>
        <v>0</v>
      </c>
      <c r="AJ237" s="152">
        <f t="array" aca="1" ref="AJ237" ca="1">IFERROR(INDEX(INDIRECT($B$3&amp;"."&amp;$B$158&amp;".energy["&amp;This.year&amp;"]"),MATCH($C237&amp;AJ$5,INDIRECT($B$3&amp;"."&amp;$B$158&amp;".energy[Tech description]")&amp;INDIRECT($B$3&amp;"."&amp;$B$158&amp;".energy[Energy description]"),0)),0)</f>
        <v>0</v>
      </c>
      <c r="AK237" s="152">
        <f t="array" aca="1" ref="AK237" ca="1">IFERROR(INDEX(INDIRECT($B$3&amp;"."&amp;$B$158&amp;".energy["&amp;This.year&amp;"]"),MATCH($C237&amp;AK$5,INDIRECT($B$3&amp;"."&amp;$B$158&amp;".energy[Tech description]")&amp;INDIRECT($B$3&amp;"."&amp;$B$158&amp;".energy[Energy description]"),0)),0)</f>
        <v>0</v>
      </c>
      <c r="AL237" s="152">
        <f t="array" aca="1" ref="AL237" ca="1">IFERROR(INDEX(INDIRECT($B$3&amp;"."&amp;$B$158&amp;".energy["&amp;This.year&amp;"]"),MATCH($C237&amp;AL$5,INDIRECT($B$3&amp;"."&amp;$B$158&amp;".energy[Tech description]")&amp;INDIRECT($B$3&amp;"."&amp;$B$158&amp;".energy[Energy description]"),0)),0)</f>
        <v>0</v>
      </c>
      <c r="AM237" s="152">
        <f t="array" aca="1" ref="AM237" ca="1">IFERROR(INDEX(INDIRECT($B$3&amp;"."&amp;$B$158&amp;".energy["&amp;This.year&amp;"]"),MATCH($C237&amp;AM$5,INDIRECT($B$3&amp;"."&amp;$B$158&amp;".energy[Tech description]")&amp;INDIRECT($B$3&amp;"."&amp;$B$158&amp;".energy[Energy description]"),0)),0)</f>
        <v>0</v>
      </c>
      <c r="AN237" s="152">
        <f t="array" aca="1" ref="AN237" ca="1">IFERROR(INDEX(INDIRECT($B$3&amp;"."&amp;$B$158&amp;".energy["&amp;This.year&amp;"]"),MATCH($C237&amp;AN$5,INDIRECT($B$3&amp;"."&amp;$B$158&amp;".energy[Tech description]")&amp;INDIRECT($B$3&amp;"."&amp;$B$158&amp;".energy[Energy description]"),0)),0)</f>
        <v>0</v>
      </c>
      <c r="AO237" s="152">
        <f t="shared" ca="1" si="35"/>
        <v>-0.68393967671459854</v>
      </c>
      <c r="AP237" s="108"/>
      <c r="AQ237" s="21">
        <f t="array" aca="1" ref="AQ237" ca="1">IFERROR(INDEX(INDIRECT($B$3&amp;"."&amp;$B$158&amp;".energy["&amp;This.year&amp;"]"),MATCH($C237&amp;AQ$5,INDIRECT($B$3&amp;"."&amp;$B$158&amp;".energy[Tech description]")&amp;INDIRECT($B$3&amp;"."&amp;$B$158&amp;".energy[Energy description]"),0)),0)</f>
        <v>0</v>
      </c>
      <c r="AR237" s="21">
        <f t="array" aca="1" ref="AR237" ca="1">IFERROR(INDEX(INDIRECT($B$3&amp;"."&amp;$B$158&amp;".energy["&amp;This.year&amp;"]"),MATCH($C237&amp;AR$5,INDIRECT($B$3&amp;"."&amp;$B$158&amp;".energy[Tech description]")&amp;INDIRECT($B$3&amp;"."&amp;$B$158&amp;".energy[Energy description]"),0)),0)</f>
        <v>0</v>
      </c>
      <c r="AS237" s="21">
        <f t="array" aca="1" ref="AS237" ca="1">IFERROR(INDEX(INDIRECT($B$3&amp;"."&amp;$B$158&amp;".energy["&amp;This.year&amp;"]"),MATCH($C237&amp;AS$5,INDIRECT($B$3&amp;"."&amp;$B$158&amp;".energy[Tech description]")&amp;INDIRECT($B$3&amp;"."&amp;$B$158&amp;".energy[Energy description]"),0)),0)</f>
        <v>0</v>
      </c>
      <c r="AT237" s="21">
        <f t="array" aca="1" ref="AT237" ca="1">IFERROR(INDEX(INDIRECT($B$3&amp;"."&amp;$B$158&amp;".energy["&amp;This.year&amp;"]"),MATCH($C237&amp;AT$5,INDIRECT($B$3&amp;"."&amp;$B$158&amp;".energy[Tech description]")&amp;INDIRECT($B$3&amp;"."&amp;$B$158&amp;".energy[Energy description]"),0)),0)</f>
        <v>0</v>
      </c>
      <c r="AU237" s="21">
        <f t="array" aca="1" ref="AU237" ca="1">IFERROR(INDEX(INDIRECT($B$3&amp;"."&amp;$B$158&amp;".energy["&amp;This.year&amp;"]"),MATCH($C237&amp;AU$5,INDIRECT($B$3&amp;"."&amp;$B$158&amp;".energy[Tech description]")&amp;INDIRECT($B$3&amp;"."&amp;$B$158&amp;".energy[Energy description]"),0)),0)</f>
        <v>0</v>
      </c>
      <c r="AV237" s="21">
        <f t="array" aca="1" ref="AV237" ca="1">IFERROR(INDEX(INDIRECT($B$3&amp;"."&amp;$B$158&amp;".energy["&amp;This.year&amp;"]"),MATCH($C237&amp;AV$5,INDIRECT($B$3&amp;"."&amp;$B$158&amp;".energy[Tech description]")&amp;INDIRECT($B$3&amp;"."&amp;$B$158&amp;".energy[Energy description]"),0)),0)</f>
        <v>0</v>
      </c>
      <c r="AW237" s="21">
        <f t="array" aca="1" ref="AW237" ca="1">IFERROR(INDEX(INDIRECT($B$3&amp;"."&amp;$B$158&amp;".energy["&amp;This.year&amp;"]"),MATCH($C237&amp;AW$5,INDIRECT($B$3&amp;"."&amp;$B$158&amp;".energy[Tech description]")&amp;INDIRECT($B$3&amp;"."&amp;$B$158&amp;".energy[Energy description]"),0)),0)</f>
        <v>0</v>
      </c>
      <c r="AX237" s="21">
        <f t="array" aca="1" ref="AX237" ca="1">IFERROR(INDEX(INDIRECT($B$3&amp;"."&amp;$B$158&amp;".energy["&amp;This.year&amp;"]"),MATCH($C237&amp;AX$5,INDIRECT($B$3&amp;"."&amp;$B$158&amp;".energy[Tech description]")&amp;INDIRECT($B$3&amp;"."&amp;$B$158&amp;".energy[Energy description]"),0)),0)</f>
        <v>0</v>
      </c>
      <c r="AY237" s="21">
        <f t="array" aca="1" ref="AY237" ca="1">IFERROR(INDEX(INDIRECT($B$3&amp;"."&amp;$B$158&amp;".energy["&amp;This.year&amp;"]"),MATCH($C237&amp;AY$5,INDIRECT($B$3&amp;"."&amp;$B$158&amp;".energy[Tech description]")&amp;INDIRECT($B$3&amp;"."&amp;$B$158&amp;".energy[Energy description]"),0)),0)</f>
        <v>0</v>
      </c>
      <c r="AZ237" s="21">
        <f t="array" aca="1" ref="AZ237" ca="1">IFERROR(INDEX(INDIRECT($B$3&amp;"."&amp;$B$158&amp;".energy["&amp;This.year&amp;"]"),MATCH($C237&amp;AZ$5,INDIRECT($B$3&amp;"."&amp;$B$158&amp;".energy[Tech description]")&amp;INDIRECT($B$3&amp;"."&amp;$B$158&amp;".energy[Energy description]"),0)),0)</f>
        <v>0</v>
      </c>
      <c r="BA237" s="21">
        <f t="array" aca="1" ref="BA237" ca="1">IFERROR(INDEX(INDIRECT($B$3&amp;"."&amp;$B$158&amp;".energy["&amp;This.year&amp;"]"),MATCH($C237&amp;BA$5,INDIRECT($B$3&amp;"."&amp;$B$158&amp;".energy[Tech description]")&amp;INDIRECT($B$3&amp;"."&amp;$B$158&amp;".energy[Energy description]"),0)),0)</f>
        <v>0</v>
      </c>
      <c r="BB237" s="21">
        <f t="array" aca="1" ref="BB237" ca="1">IFERROR(INDEX(INDIRECT($B$3&amp;"."&amp;$B$158&amp;".energy["&amp;This.year&amp;"]"),MATCH($C237&amp;BB$5,INDIRECT($B$3&amp;"."&amp;$B$158&amp;".energy[Tech description]")&amp;INDIRECT($B$3&amp;"."&amp;$B$158&amp;".energy[Energy description]"),0)),0)</f>
        <v>0</v>
      </c>
      <c r="BC237" s="21">
        <f t="array" aca="1" ref="BC237" ca="1">IFERROR(INDEX(INDIRECT($B$3&amp;"."&amp;$B$158&amp;".energy["&amp;This.year&amp;"]"),MATCH($C237&amp;BC$5,INDIRECT($B$3&amp;"."&amp;$B$158&amp;".energy[Tech description]")&amp;INDIRECT($B$3&amp;"."&amp;$B$158&amp;".energy[Energy description]"),0)),0)</f>
        <v>0</v>
      </c>
      <c r="BD237" s="21">
        <f t="shared" ca="1" si="36"/>
        <v>0</v>
      </c>
      <c r="BE237" s="108"/>
      <c r="BF237" s="49">
        <f t="array" aca="1" ref="BF237" ca="1">IFERROR(INDEX(INDIRECT($B$3&amp;"."&amp;$B$158&amp;".energy["&amp;This.year&amp;"]"),MATCH($C237&amp;BF$5,INDIRECT($B$3&amp;"."&amp;$B$158&amp;".energy[Tech description]")&amp;INDIRECT($B$3&amp;"."&amp;$B$158&amp;".energy[Energy description]"),0)),0)</f>
        <v>0</v>
      </c>
      <c r="BG237" s="49">
        <f t="array" aca="1" ref="BG237" ca="1">IFERROR(INDEX(INDIRECT($B$3&amp;"."&amp;$B$158&amp;".energy["&amp;This.year&amp;"]"),MATCH($C237&amp;BG$5,INDIRECT($B$3&amp;"."&amp;$B$158&amp;".energy[Tech description]")&amp;INDIRECT($B$3&amp;"."&amp;$B$158&amp;".energy[Energy description]"),0)),0)</f>
        <v>0</v>
      </c>
      <c r="BH237" s="49">
        <f t="shared" ca="1" si="37"/>
        <v>0</v>
      </c>
      <c r="BI237" s="219">
        <f t="shared" ca="1" si="38"/>
        <v>0</v>
      </c>
      <c r="BJ237" s="108"/>
    </row>
    <row r="238" spans="1:62" s="54" customFormat="1">
      <c r="A238" s="133"/>
      <c r="B238" s="176" t="s">
        <v>1855</v>
      </c>
      <c r="C238" s="114" t="str">
        <f>INDEX(Regional.Technologies[Description],MATCH($B$3&amp;"."&amp;B238,Regional.Technologies[Code],0))</f>
        <v>Global Heat use in the Pulp &amp; paper: Virgin technology</v>
      </c>
      <c r="E238" s="121">
        <f t="array" aca="1" ref="E238" ca="1">IFERROR(INDEX(INDIRECT($B$3&amp;"."&amp;$B$158&amp;".energy["&amp;This.year&amp;"]"),MATCH($C238&amp;E$5,INDIRECT($B$3&amp;"."&amp;$B$158&amp;".energy[Tech description]")&amp;INDIRECT($B$3&amp;"."&amp;$B$158&amp;".energy[Energy description]"),0)),0)</f>
        <v>0</v>
      </c>
      <c r="F238" s="121">
        <f t="array" aca="1" ref="F238" ca="1">IFERROR(INDEX(INDIRECT($B$3&amp;"."&amp;$B$158&amp;".energy["&amp;This.year&amp;"]"),MATCH($C238&amp;F$5,INDIRECT($B$3&amp;"."&amp;$B$158&amp;".energy[Tech description]")&amp;INDIRECT($B$3&amp;"."&amp;$B$158&amp;".energy[Energy description]"),0)),0)</f>
        <v>0</v>
      </c>
      <c r="G238" s="121">
        <f t="array" aca="1" ref="G238" ca="1">IFERROR(INDEX(INDIRECT($B$3&amp;"."&amp;$B$158&amp;".energy["&amp;This.year&amp;"]"),MATCH($C238&amp;G$5,INDIRECT($B$3&amp;"."&amp;$B$158&amp;".energy[Tech description]")&amp;INDIRECT($B$3&amp;"."&amp;$B$158&amp;".energy[Energy description]"),0)),0)</f>
        <v>0</v>
      </c>
      <c r="H238" s="121">
        <f t="array" aca="1" ref="H238" ca="1">IFERROR(INDEX(INDIRECT($B$3&amp;"."&amp;$B$158&amp;".energy["&amp;This.year&amp;"]"),MATCH($C238&amp;H$5,INDIRECT($B$3&amp;"."&amp;$B$158&amp;".energy[Tech description]")&amp;INDIRECT($B$3&amp;"."&amp;$B$158&amp;".energy[Energy description]"),0)),0)</f>
        <v>0</v>
      </c>
      <c r="I238" s="121">
        <f t="array" aca="1" ref="I238" ca="1">IFERROR(INDEX(INDIRECT($B$3&amp;"."&amp;$B$158&amp;".energy["&amp;This.year&amp;"]"),MATCH($C238&amp;I$5,INDIRECT($B$3&amp;"."&amp;$B$158&amp;".energy[Tech description]")&amp;INDIRECT($B$3&amp;"."&amp;$B$158&amp;".energy[Energy description]"),0)),0)</f>
        <v>0</v>
      </c>
      <c r="J238" s="121">
        <f t="array" aca="1" ref="J238" ca="1">IFERROR(INDEX(INDIRECT($B$3&amp;"."&amp;$B$158&amp;".energy["&amp;This.year&amp;"]"),MATCH($C238&amp;J$5,INDIRECT($B$3&amp;"."&amp;$B$158&amp;".energy[Tech description]")&amp;INDIRECT($B$3&amp;"."&amp;$B$158&amp;".energy[Energy description]"),0)),0)</f>
        <v>0</v>
      </c>
      <c r="K238" s="121">
        <f t="array" aca="1" ref="K238" ca="1">IFERROR(INDEX(INDIRECT($B$3&amp;"."&amp;$B$158&amp;".energy["&amp;This.year&amp;"]"),MATCH($C238&amp;K$5,INDIRECT($B$3&amp;"."&amp;$B$158&amp;".energy[Tech description]")&amp;INDIRECT($B$3&amp;"."&amp;$B$158&amp;".energy[Energy description]"),0)),0)</f>
        <v>0</v>
      </c>
      <c r="L238" s="121">
        <f t="array" aca="1" ref="L238" ca="1">IFERROR(INDEX(INDIRECT($B$3&amp;"."&amp;$B$158&amp;".energy["&amp;This.year&amp;"]"),MATCH($C238&amp;L$5,INDIRECT($B$3&amp;"."&amp;$B$158&amp;".energy[Tech description]")&amp;INDIRECT($B$3&amp;"."&amp;$B$158&amp;".energy[Energy description]"),0)),0)</f>
        <v>0</v>
      </c>
      <c r="M238" s="121">
        <f t="array" aca="1" ref="M238" ca="1">IFERROR(INDEX(INDIRECT($B$3&amp;"."&amp;$B$158&amp;".energy["&amp;This.year&amp;"]"),MATCH($C238&amp;M$5,INDIRECT($B$3&amp;"."&amp;$B$158&amp;".energy[Tech description]")&amp;INDIRECT($B$3&amp;"."&amp;$B$158&amp;".energy[Energy description]"),0)),0)</f>
        <v>0</v>
      </c>
      <c r="N238" s="121">
        <f t="array" aca="1" ref="N238" ca="1">IFERROR(INDEX(INDIRECT($B$3&amp;"."&amp;$B$158&amp;".energy["&amp;This.year&amp;"]"),MATCH($C238&amp;N$5,INDIRECT($B$3&amp;"."&amp;$B$158&amp;".energy[Tech description]")&amp;INDIRECT($B$3&amp;"."&amp;$B$158&amp;".energy[Energy description]"),0)),0)</f>
        <v>0</v>
      </c>
      <c r="O238" s="121">
        <f t="array" aca="1" ref="O238" ca="1">IFERROR(INDEX(INDIRECT($B$3&amp;"."&amp;$B$158&amp;".energy["&amp;This.year&amp;"]"),MATCH($C238&amp;O$5,INDIRECT($B$3&amp;"."&amp;$B$158&amp;".energy[Tech description]")&amp;INDIRECT($B$3&amp;"."&amp;$B$158&amp;".energy[Energy description]"),0)),0)</f>
        <v>0</v>
      </c>
      <c r="P238" s="121">
        <f t="array" aca="1" ref="P238" ca="1">IFERROR(INDEX(INDIRECT($B$3&amp;"."&amp;$B$158&amp;".energy["&amp;This.year&amp;"]"),MATCH($C238&amp;P$5,INDIRECT($B$3&amp;"."&amp;$B$158&amp;".energy[Tech description]")&amp;INDIRECT($B$3&amp;"."&amp;$B$158&amp;".energy[Energy description]"),0)),0)</f>
        <v>0</v>
      </c>
      <c r="Q238" s="121">
        <f t="array" aca="1" ref="Q238" ca="1">IFERROR(INDEX(INDIRECT($B$3&amp;"."&amp;$B$158&amp;".energy["&amp;This.year&amp;"]"),MATCH($C238&amp;Q$5,INDIRECT($B$3&amp;"."&amp;$B$158&amp;".energy[Tech description]")&amp;INDIRECT($B$3&amp;"."&amp;$B$158&amp;".energy[Energy description]"),0)),0)</f>
        <v>0</v>
      </c>
      <c r="R238" s="121">
        <f t="array" aca="1" ref="R238" ca="1">IFERROR(INDEX(INDIRECT($B$3&amp;"."&amp;$B$158&amp;".energy["&amp;This.year&amp;"]"),MATCH($C238&amp;R$5,INDIRECT($B$3&amp;"."&amp;$B$158&amp;".energy[Tech description]")&amp;INDIRECT($B$3&amp;"."&amp;$B$158&amp;".energy[Energy description]"),0)),0)</f>
        <v>0</v>
      </c>
      <c r="S238" s="121">
        <f t="array" aca="1" ref="S238" ca="1">IFERROR(INDEX(INDIRECT($B$3&amp;"."&amp;$B$158&amp;".energy["&amp;This.year&amp;"]"),MATCH($C238&amp;S$5,INDIRECT($B$3&amp;"."&amp;$B$158&amp;".energy[Tech description]")&amp;INDIRECT($B$3&amp;"."&amp;$B$158&amp;".energy[Energy description]"),0)),0)</f>
        <v>0</v>
      </c>
      <c r="T238" s="121">
        <f t="shared" ca="1" si="34"/>
        <v>0</v>
      </c>
      <c r="U238" s="109"/>
      <c r="V238" s="152">
        <f t="array" aca="1" ref="V238" ca="1">IFERROR(INDEX(INDIRECT($B$3&amp;"."&amp;$B$158&amp;".energy["&amp;This.year&amp;"]"),MATCH($C238&amp;V$5,INDIRECT($B$3&amp;"."&amp;$B$158&amp;".energy[Tech description]")&amp;INDIRECT($B$3&amp;"."&amp;$B$158&amp;".energy[Energy description]"),0)),0)</f>
        <v>0</v>
      </c>
      <c r="W238" s="152">
        <f t="array" aca="1" ref="W238" ca="1">IFERROR(INDEX(INDIRECT($B$3&amp;"."&amp;$B$158&amp;".energy["&amp;This.year&amp;"]"),MATCH($C238&amp;W$5,INDIRECT($B$3&amp;"."&amp;$B$158&amp;".energy[Tech description]")&amp;INDIRECT($B$3&amp;"."&amp;$B$158&amp;".energy[Energy description]"),0)),0)</f>
        <v>0</v>
      </c>
      <c r="X238" s="152">
        <f t="array" aca="1" ref="X238" ca="1">IFERROR(INDEX(INDIRECT($B$3&amp;"."&amp;$B$158&amp;".energy["&amp;This.year&amp;"]"),MATCH($C238&amp;X$5,INDIRECT($B$3&amp;"."&amp;$B$158&amp;".energy[Tech description]")&amp;INDIRECT($B$3&amp;"."&amp;$B$158&amp;".energy[Energy description]"),0)),0)</f>
        <v>0</v>
      </c>
      <c r="Y238" s="152">
        <f t="array" aca="1" ref="Y238" ca="1">IFERROR(INDEX(INDIRECT($B$3&amp;"."&amp;$B$158&amp;".energy["&amp;This.year&amp;"]"),MATCH($C238&amp;Y$5,INDIRECT($B$3&amp;"."&amp;$B$158&amp;".energy[Tech description]")&amp;INDIRECT($B$3&amp;"."&amp;$B$158&amp;".energy[Energy description]"),0)),0)</f>
        <v>0</v>
      </c>
      <c r="Z238" s="152">
        <f t="array" aca="1" ref="Z238" ca="1">IFERROR(INDEX(INDIRECT($B$3&amp;"."&amp;$B$158&amp;".energy["&amp;This.year&amp;"]"),MATCH($C238&amp;Z$5,INDIRECT($B$3&amp;"."&amp;$B$158&amp;".energy[Tech description]")&amp;INDIRECT($B$3&amp;"."&amp;$B$158&amp;".energy[Energy description]"),0)),0)</f>
        <v>0</v>
      </c>
      <c r="AA238" s="152">
        <f t="array" aca="1" ref="AA238" ca="1">IFERROR(INDEX(INDIRECT($B$3&amp;"."&amp;$B$158&amp;".energy["&amp;This.year&amp;"]"),MATCH($C238&amp;AA$5,INDIRECT($B$3&amp;"."&amp;$B$158&amp;".energy[Tech description]")&amp;INDIRECT($B$3&amp;"."&amp;$B$158&amp;".energy[Energy description]"),0)),0)</f>
        <v>0</v>
      </c>
      <c r="AB238" s="152">
        <f t="array" aca="1" ref="AB238" ca="1">IFERROR(INDEX(INDIRECT($B$3&amp;"."&amp;$B$158&amp;".energy["&amp;This.year&amp;"]"),MATCH($C238&amp;AB$5,INDIRECT($B$3&amp;"."&amp;$B$158&amp;".energy[Tech description]")&amp;INDIRECT($B$3&amp;"."&amp;$B$158&amp;".energy[Energy description]"),0)),0)</f>
        <v>0</v>
      </c>
      <c r="AC238" s="152">
        <f t="array" aca="1" ref="AC238" ca="1">IFERROR(INDEX(INDIRECT($B$3&amp;"."&amp;$B$158&amp;".energy["&amp;This.year&amp;"]"),MATCH($C238&amp;AC$5,INDIRECT($B$3&amp;"."&amp;$B$158&amp;".energy[Tech description]")&amp;INDIRECT($B$3&amp;"."&amp;$B$158&amp;".energy[Energy description]"),0)),0)</f>
        <v>0</v>
      </c>
      <c r="AD238" s="152">
        <f t="array" aca="1" ref="AD238" ca="1">IFERROR(INDEX(INDIRECT($B$3&amp;"."&amp;$B$158&amp;".energy["&amp;This.year&amp;"]"),MATCH($C238&amp;AD$5,INDIRECT($B$3&amp;"."&amp;$B$158&amp;".energy[Tech description]")&amp;INDIRECT($B$3&amp;"."&amp;$B$158&amp;".energy[Energy description]"),0)),0)</f>
        <v>0</v>
      </c>
      <c r="AE238" s="152">
        <f t="array" aca="1" ref="AE238" ca="1">IFERROR(INDEX(INDIRECT($B$3&amp;"."&amp;$B$158&amp;".energy["&amp;This.year&amp;"]"),MATCH($C238&amp;AE$5,INDIRECT($B$3&amp;"."&amp;$B$158&amp;".energy[Tech description]")&amp;INDIRECT($B$3&amp;"."&amp;$B$158&amp;".energy[Energy description]"),0)),0)</f>
        <v>0</v>
      </c>
      <c r="AF238" s="152">
        <f t="array" aca="1" ref="AF238" ca="1">IFERROR(INDEX(INDIRECT($B$3&amp;"."&amp;$B$158&amp;".energy["&amp;This.year&amp;"]"),MATCH($C238&amp;AF$5,INDIRECT($B$3&amp;"."&amp;$B$158&amp;".energy[Tech description]")&amp;INDIRECT($B$3&amp;"."&amp;$B$158&amp;".energy[Energy description]"),0)),0)</f>
        <v>0</v>
      </c>
      <c r="AG238" s="152">
        <f t="array" aca="1" ref="AG238" ca="1">IFERROR(INDEX(INDIRECT($B$3&amp;"."&amp;$B$158&amp;".energy["&amp;This.year&amp;"]"),MATCH($C238&amp;AG$5,INDIRECT($B$3&amp;"."&amp;$B$158&amp;".energy[Tech description]")&amp;INDIRECT($B$3&amp;"."&amp;$B$158&amp;".energy[Energy description]"),0)),0)</f>
        <v>0</v>
      </c>
      <c r="AH238" s="152">
        <f t="array" aca="1" ref="AH238" ca="1">IFERROR(INDEX(INDIRECT($B$3&amp;"."&amp;$B$158&amp;".energy["&amp;This.year&amp;"]"),MATCH($C238&amp;AH$5,INDIRECT($B$3&amp;"."&amp;$B$158&amp;".energy[Tech description]")&amp;INDIRECT($B$3&amp;"."&amp;$B$158&amp;".energy[Energy description]"),0)),0)</f>
        <v>0</v>
      </c>
      <c r="AI238" s="152">
        <f t="array" aca="1" ref="AI238" ca="1">IFERROR(INDEX(INDIRECT($B$3&amp;"."&amp;$B$158&amp;".energy["&amp;This.year&amp;"]"),MATCH($C238&amp;AI$5,INDIRECT($B$3&amp;"."&amp;$B$158&amp;".energy[Tech description]")&amp;INDIRECT($B$3&amp;"."&amp;$B$158&amp;".energy[Energy description]"),0)),0)</f>
        <v>0</v>
      </c>
      <c r="AJ238" s="152">
        <f t="array" aca="1" ref="AJ238" ca="1">IFERROR(INDEX(INDIRECT($B$3&amp;"."&amp;$B$158&amp;".energy["&amp;This.year&amp;"]"),MATCH($C238&amp;AJ$5,INDIRECT($B$3&amp;"."&amp;$B$158&amp;".energy[Tech description]")&amp;INDIRECT($B$3&amp;"."&amp;$B$158&amp;".energy[Energy description]"),0)),0)</f>
        <v>0</v>
      </c>
      <c r="AK238" s="152">
        <f t="array" aca="1" ref="AK238" ca="1">IFERROR(INDEX(INDIRECT($B$3&amp;"."&amp;$B$158&amp;".energy["&amp;This.year&amp;"]"),MATCH($C238&amp;AK$5,INDIRECT($B$3&amp;"."&amp;$B$158&amp;".energy[Tech description]")&amp;INDIRECT($B$3&amp;"."&amp;$B$158&amp;".energy[Energy description]"),0)),0)</f>
        <v>0</v>
      </c>
      <c r="AL238" s="152">
        <f t="array" aca="1" ref="AL238" ca="1">IFERROR(INDEX(INDIRECT($B$3&amp;"."&amp;$B$158&amp;".energy["&amp;This.year&amp;"]"),MATCH($C238&amp;AL$5,INDIRECT($B$3&amp;"."&amp;$B$158&amp;".energy[Tech description]")&amp;INDIRECT($B$3&amp;"."&amp;$B$158&amp;".energy[Energy description]"),0)),0)</f>
        <v>0</v>
      </c>
      <c r="AM238" s="152">
        <f t="array" aca="1" ref="AM238" ca="1">IFERROR(INDEX(INDIRECT($B$3&amp;"."&amp;$B$158&amp;".energy["&amp;This.year&amp;"]"),MATCH($C238&amp;AM$5,INDIRECT($B$3&amp;"."&amp;$B$158&amp;".energy[Tech description]")&amp;INDIRECT($B$3&amp;"."&amp;$B$158&amp;".energy[Energy description]"),0)),0)</f>
        <v>0</v>
      </c>
      <c r="AN238" s="152">
        <f t="array" aca="1" ref="AN238" ca="1">IFERROR(INDEX(INDIRECT($B$3&amp;"."&amp;$B$158&amp;".energy["&amp;This.year&amp;"]"),MATCH($C238&amp;AN$5,INDIRECT($B$3&amp;"."&amp;$B$158&amp;".energy[Tech description]")&amp;INDIRECT($B$3&amp;"."&amp;$B$158&amp;".energy[Energy description]"),0)),0)</f>
        <v>0</v>
      </c>
      <c r="AO238" s="152">
        <f t="shared" ca="1" si="35"/>
        <v>0</v>
      </c>
      <c r="AP238" s="108"/>
      <c r="AQ238" s="21">
        <f t="array" aca="1" ref="AQ238" ca="1">IFERROR(INDEX(INDIRECT($B$3&amp;"."&amp;$B$158&amp;".energy["&amp;This.year&amp;"]"),MATCH($C238&amp;AQ$5,INDIRECT($B$3&amp;"."&amp;$B$158&amp;".energy[Tech description]")&amp;INDIRECT($B$3&amp;"."&amp;$B$158&amp;".energy[Energy description]"),0)),0)</f>
        <v>0</v>
      </c>
      <c r="AR238" s="21">
        <f t="array" aca="1" ref="AR238" ca="1">IFERROR(INDEX(INDIRECT($B$3&amp;"."&amp;$B$158&amp;".energy["&amp;This.year&amp;"]"),MATCH($C238&amp;AR$5,INDIRECT($B$3&amp;"."&amp;$B$158&amp;".energy[Tech description]")&amp;INDIRECT($B$3&amp;"."&amp;$B$158&amp;".energy[Energy description]"),0)),0)</f>
        <v>0</v>
      </c>
      <c r="AS238" s="21">
        <f t="array" aca="1" ref="AS238" ca="1">IFERROR(INDEX(INDIRECT($B$3&amp;"."&amp;$B$158&amp;".energy["&amp;This.year&amp;"]"),MATCH($C238&amp;AS$5,INDIRECT($B$3&amp;"."&amp;$B$158&amp;".energy[Tech description]")&amp;INDIRECT($B$3&amp;"."&amp;$B$158&amp;".energy[Energy description]"),0)),0)</f>
        <v>0</v>
      </c>
      <c r="AT238" s="21">
        <f t="array" aca="1" ref="AT238" ca="1">IFERROR(INDEX(INDIRECT($B$3&amp;"."&amp;$B$158&amp;".energy["&amp;This.year&amp;"]"),MATCH($C238&amp;AT$5,INDIRECT($B$3&amp;"."&amp;$B$158&amp;".energy[Tech description]")&amp;INDIRECT($B$3&amp;"."&amp;$B$158&amp;".energy[Energy description]"),0)),0)</f>
        <v>0</v>
      </c>
      <c r="AU238" s="21">
        <f t="array" aca="1" ref="AU238" ca="1">IFERROR(INDEX(INDIRECT($B$3&amp;"."&amp;$B$158&amp;".energy["&amp;This.year&amp;"]"),MATCH($C238&amp;AU$5,INDIRECT($B$3&amp;"."&amp;$B$158&amp;".energy[Tech description]")&amp;INDIRECT($B$3&amp;"."&amp;$B$158&amp;".energy[Energy description]"),0)),0)</f>
        <v>0</v>
      </c>
      <c r="AV238" s="21">
        <f t="array" aca="1" ref="AV238" ca="1">IFERROR(INDEX(INDIRECT($B$3&amp;"."&amp;$B$158&amp;".energy["&amp;This.year&amp;"]"),MATCH($C238&amp;AV$5,INDIRECT($B$3&amp;"."&amp;$B$158&amp;".energy[Tech description]")&amp;INDIRECT($B$3&amp;"."&amp;$B$158&amp;".energy[Energy description]"),0)),0)</f>
        <v>0</v>
      </c>
      <c r="AW238" s="21">
        <f t="array" aca="1" ref="AW238" ca="1">IFERROR(INDEX(INDIRECT($B$3&amp;"."&amp;$B$158&amp;".energy["&amp;This.year&amp;"]"),MATCH($C238&amp;AW$5,INDIRECT($B$3&amp;"."&amp;$B$158&amp;".energy[Tech description]")&amp;INDIRECT($B$3&amp;"."&amp;$B$158&amp;".energy[Energy description]"),0)),0)</f>
        <v>0</v>
      </c>
      <c r="AX238" s="21">
        <f t="array" aca="1" ref="AX238" ca="1">IFERROR(INDEX(INDIRECT($B$3&amp;"."&amp;$B$158&amp;".energy["&amp;This.year&amp;"]"),MATCH($C238&amp;AX$5,INDIRECT($B$3&amp;"."&amp;$B$158&amp;".energy[Tech description]")&amp;INDIRECT($B$3&amp;"."&amp;$B$158&amp;".energy[Energy description]"),0)),0)</f>
        <v>0</v>
      </c>
      <c r="AY238" s="21">
        <f t="array" aca="1" ref="AY238" ca="1">IFERROR(INDEX(INDIRECT($B$3&amp;"."&amp;$B$158&amp;".energy["&amp;This.year&amp;"]"),MATCH($C238&amp;AY$5,INDIRECT($B$3&amp;"."&amp;$B$158&amp;".energy[Tech description]")&amp;INDIRECT($B$3&amp;"."&amp;$B$158&amp;".energy[Energy description]"),0)),0)</f>
        <v>0</v>
      </c>
      <c r="AZ238" s="21">
        <f t="array" aca="1" ref="AZ238" ca="1">IFERROR(INDEX(INDIRECT($B$3&amp;"."&amp;$B$158&amp;".energy["&amp;This.year&amp;"]"),MATCH($C238&amp;AZ$5,INDIRECT($B$3&amp;"."&amp;$B$158&amp;".energy[Tech description]")&amp;INDIRECT($B$3&amp;"."&amp;$B$158&amp;".energy[Energy description]"),0)),0)</f>
        <v>0</v>
      </c>
      <c r="BA238" s="21">
        <f t="array" aca="1" ref="BA238" ca="1">IFERROR(INDEX(INDIRECT($B$3&amp;"."&amp;$B$158&amp;".energy["&amp;This.year&amp;"]"),MATCH($C238&amp;BA$5,INDIRECT($B$3&amp;"."&amp;$B$158&amp;".energy[Tech description]")&amp;INDIRECT($B$3&amp;"."&amp;$B$158&amp;".energy[Energy description]"),0)),0)</f>
        <v>0</v>
      </c>
      <c r="BB238" s="21">
        <f t="array" aca="1" ref="BB238" ca="1">IFERROR(INDEX(INDIRECT($B$3&amp;"."&amp;$B$158&amp;".energy["&amp;This.year&amp;"]"),MATCH($C238&amp;BB$5,INDIRECT($B$3&amp;"."&amp;$B$158&amp;".energy[Tech description]")&amp;INDIRECT($B$3&amp;"."&amp;$B$158&amp;".energy[Energy description]"),0)),0)</f>
        <v>0</v>
      </c>
      <c r="BC238" s="21">
        <f t="array" aca="1" ref="BC238" ca="1">IFERROR(INDEX(INDIRECT($B$3&amp;"."&amp;$B$158&amp;".energy["&amp;This.year&amp;"]"),MATCH($C238&amp;BC$5,INDIRECT($B$3&amp;"."&amp;$B$158&amp;".energy[Tech description]")&amp;INDIRECT($B$3&amp;"."&amp;$B$158&amp;".energy[Energy description]"),0)),0)</f>
        <v>0</v>
      </c>
      <c r="BD238" s="21">
        <f t="shared" ca="1" si="36"/>
        <v>0</v>
      </c>
      <c r="BE238" s="108"/>
      <c r="BF238" s="49">
        <f t="array" aca="1" ref="BF238" ca="1">IFERROR(INDEX(INDIRECT($B$3&amp;"."&amp;$B$158&amp;".energy["&amp;This.year&amp;"]"),MATCH($C238&amp;BF$5,INDIRECT($B$3&amp;"."&amp;$B$158&amp;".energy[Tech description]")&amp;INDIRECT($B$3&amp;"."&amp;$B$158&amp;".energy[Energy description]"),0)),0)</f>
        <v>0</v>
      </c>
      <c r="BG238" s="49">
        <f t="array" aca="1" ref="BG238" ca="1">IFERROR(INDEX(INDIRECT($B$3&amp;"."&amp;$B$158&amp;".energy["&amp;This.year&amp;"]"),MATCH($C238&amp;BG$5,INDIRECT($B$3&amp;"."&amp;$B$158&amp;".energy[Tech description]")&amp;INDIRECT($B$3&amp;"."&amp;$B$158&amp;".energy[Energy description]"),0)),0)</f>
        <v>0</v>
      </c>
      <c r="BH238" s="49">
        <f t="shared" ca="1" si="37"/>
        <v>0</v>
      </c>
      <c r="BI238" s="219">
        <f t="shared" ca="1" si="38"/>
        <v>0</v>
      </c>
      <c r="BJ238" s="108"/>
    </row>
    <row r="239" spans="1:62" s="54" customFormat="1">
      <c r="A239" s="133"/>
      <c r="B239" s="176" t="s">
        <v>1632</v>
      </c>
      <c r="C239" s="114" t="str">
        <f>INDEX(Regional.Technologies[Description],MATCH($B$3&amp;"."&amp;B239,Regional.Technologies[Code],0))</f>
        <v>Global Electricity use in the Pulp &amp; paper: Recycled technology</v>
      </c>
      <c r="E239" s="121">
        <f t="array" aca="1" ref="E239" ca="1">IFERROR(INDEX(INDIRECT($B$3&amp;"."&amp;$B$158&amp;".energy["&amp;This.year&amp;"]"),MATCH($C239&amp;E$5,INDIRECT($B$3&amp;"."&amp;$B$158&amp;".energy[Tech description]")&amp;INDIRECT($B$3&amp;"."&amp;$B$158&amp;".energy[Energy description]"),0)),0)</f>
        <v>0</v>
      </c>
      <c r="F239" s="121">
        <f t="array" aca="1" ref="F239" ca="1">IFERROR(INDEX(INDIRECT($B$3&amp;"."&amp;$B$158&amp;".energy["&amp;This.year&amp;"]"),MATCH($C239&amp;F$5,INDIRECT($B$3&amp;"."&amp;$B$158&amp;".energy[Tech description]")&amp;INDIRECT($B$3&amp;"."&amp;$B$158&amp;".energy[Energy description]"),0)),0)</f>
        <v>0</v>
      </c>
      <c r="G239" s="121">
        <f t="array" aca="1" ref="G239" ca="1">IFERROR(INDEX(INDIRECT($B$3&amp;"."&amp;$B$158&amp;".energy["&amp;This.year&amp;"]"),MATCH($C239&amp;G$5,INDIRECT($B$3&amp;"."&amp;$B$158&amp;".energy[Tech description]")&amp;INDIRECT($B$3&amp;"."&amp;$B$158&amp;".energy[Energy description]"),0)),0)</f>
        <v>0</v>
      </c>
      <c r="H239" s="121">
        <f t="array" aca="1" ref="H239" ca="1">IFERROR(INDEX(INDIRECT($B$3&amp;"."&amp;$B$158&amp;".energy["&amp;This.year&amp;"]"),MATCH($C239&amp;H$5,INDIRECT($B$3&amp;"."&amp;$B$158&amp;".energy[Tech description]")&amp;INDIRECT($B$3&amp;"."&amp;$B$158&amp;".energy[Energy description]"),0)),0)</f>
        <v>0</v>
      </c>
      <c r="I239" s="121">
        <f t="array" aca="1" ref="I239" ca="1">IFERROR(INDEX(INDIRECT($B$3&amp;"."&amp;$B$158&amp;".energy["&amp;This.year&amp;"]"),MATCH($C239&amp;I$5,INDIRECT($B$3&amp;"."&amp;$B$158&amp;".energy[Tech description]")&amp;INDIRECT($B$3&amp;"."&amp;$B$158&amp;".energy[Energy description]"),0)),0)</f>
        <v>0</v>
      </c>
      <c r="J239" s="121">
        <f t="array" aca="1" ref="J239" ca="1">IFERROR(INDEX(INDIRECT($B$3&amp;"."&amp;$B$158&amp;".energy["&amp;This.year&amp;"]"),MATCH($C239&amp;J$5,INDIRECT($B$3&amp;"."&amp;$B$158&amp;".energy[Tech description]")&amp;INDIRECT($B$3&amp;"."&amp;$B$158&amp;".energy[Energy description]"),0)),0)</f>
        <v>0.22638860872541189</v>
      </c>
      <c r="K239" s="121">
        <f t="array" aca="1" ref="K239" ca="1">IFERROR(INDEX(INDIRECT($B$3&amp;"."&amp;$B$158&amp;".energy["&amp;This.year&amp;"]"),MATCH($C239&amp;K$5,INDIRECT($B$3&amp;"."&amp;$B$158&amp;".energy[Tech description]")&amp;INDIRECT($B$3&amp;"."&amp;$B$158&amp;".energy[Energy description]"),0)),0)</f>
        <v>0</v>
      </c>
      <c r="L239" s="121">
        <f t="array" aca="1" ref="L239" ca="1">IFERROR(INDEX(INDIRECT($B$3&amp;"."&amp;$B$158&amp;".energy["&amp;This.year&amp;"]"),MATCH($C239&amp;L$5,INDIRECT($B$3&amp;"."&amp;$B$158&amp;".energy[Tech description]")&amp;INDIRECT($B$3&amp;"."&amp;$B$158&amp;".energy[Energy description]"),0)),0)</f>
        <v>0</v>
      </c>
      <c r="M239" s="121">
        <f t="array" aca="1" ref="M239" ca="1">IFERROR(INDEX(INDIRECT($B$3&amp;"."&amp;$B$158&amp;".energy["&amp;This.year&amp;"]"),MATCH($C239&amp;M$5,INDIRECT($B$3&amp;"."&amp;$B$158&amp;".energy[Tech description]")&amp;INDIRECT($B$3&amp;"."&amp;$B$158&amp;".energy[Energy description]"),0)),0)</f>
        <v>0</v>
      </c>
      <c r="N239" s="121">
        <f t="array" aca="1" ref="N239" ca="1">IFERROR(INDEX(INDIRECT($B$3&amp;"."&amp;$B$158&amp;".energy["&amp;This.year&amp;"]"),MATCH($C239&amp;N$5,INDIRECT($B$3&amp;"."&amp;$B$158&amp;".energy[Tech description]")&amp;INDIRECT($B$3&amp;"."&amp;$B$158&amp;".energy[Energy description]"),0)),0)</f>
        <v>0</v>
      </c>
      <c r="O239" s="121">
        <f t="array" aca="1" ref="O239" ca="1">IFERROR(INDEX(INDIRECT($B$3&amp;"."&amp;$B$158&amp;".energy["&amp;This.year&amp;"]"),MATCH($C239&amp;O$5,INDIRECT($B$3&amp;"."&amp;$B$158&amp;".energy[Tech description]")&amp;INDIRECT($B$3&amp;"."&amp;$B$158&amp;".energy[Energy description]"),0)),0)</f>
        <v>0</v>
      </c>
      <c r="P239" s="121">
        <f t="array" aca="1" ref="P239" ca="1">IFERROR(INDEX(INDIRECT($B$3&amp;"."&amp;$B$158&amp;".energy["&amp;This.year&amp;"]"),MATCH($C239&amp;P$5,INDIRECT($B$3&amp;"."&amp;$B$158&amp;".energy[Tech description]")&amp;INDIRECT($B$3&amp;"."&amp;$B$158&amp;".energy[Energy description]"),0)),0)</f>
        <v>0</v>
      </c>
      <c r="Q239" s="121">
        <f t="array" aca="1" ref="Q239" ca="1">IFERROR(INDEX(INDIRECT($B$3&amp;"."&amp;$B$158&amp;".energy["&amp;This.year&amp;"]"),MATCH($C239&amp;Q$5,INDIRECT($B$3&amp;"."&amp;$B$158&amp;".energy[Tech description]")&amp;INDIRECT($B$3&amp;"."&amp;$B$158&amp;".energy[Energy description]"),0)),0)</f>
        <v>0</v>
      </c>
      <c r="R239" s="121">
        <f t="array" aca="1" ref="R239" ca="1">IFERROR(INDEX(INDIRECT($B$3&amp;"."&amp;$B$158&amp;".energy["&amp;This.year&amp;"]"),MATCH($C239&amp;R$5,INDIRECT($B$3&amp;"."&amp;$B$158&amp;".energy[Tech description]")&amp;INDIRECT($B$3&amp;"."&amp;$B$158&amp;".energy[Energy description]"),0)),0)</f>
        <v>0</v>
      </c>
      <c r="S239" s="121">
        <f t="array" aca="1" ref="S239" ca="1">IFERROR(INDEX(INDIRECT($B$3&amp;"."&amp;$B$158&amp;".energy["&amp;This.year&amp;"]"),MATCH($C239&amp;S$5,INDIRECT($B$3&amp;"."&amp;$B$158&amp;".energy[Tech description]")&amp;INDIRECT($B$3&amp;"."&amp;$B$158&amp;".energy[Energy description]"),0)),0)</f>
        <v>0</v>
      </c>
      <c r="T239" s="121">
        <f t="shared" ca="1" si="34"/>
        <v>0.22638860872541189</v>
      </c>
      <c r="U239" s="109"/>
      <c r="V239" s="152">
        <f t="array" aca="1" ref="V239" ca="1">IFERROR(INDEX(INDIRECT($B$3&amp;"."&amp;$B$158&amp;".energy["&amp;This.year&amp;"]"),MATCH($C239&amp;V$5,INDIRECT($B$3&amp;"."&amp;$B$158&amp;".energy[Tech description]")&amp;INDIRECT($B$3&amp;"."&amp;$B$158&amp;".energy[Energy description]"),0)),0)</f>
        <v>-0.22638860872541189</v>
      </c>
      <c r="W239" s="152">
        <f t="array" aca="1" ref="W239" ca="1">IFERROR(INDEX(INDIRECT($B$3&amp;"."&amp;$B$158&amp;".energy["&amp;This.year&amp;"]"),MATCH($C239&amp;W$5,INDIRECT($B$3&amp;"."&amp;$B$158&amp;".energy[Tech description]")&amp;INDIRECT($B$3&amp;"."&amp;$B$158&amp;".energy[Energy description]"),0)),0)</f>
        <v>0</v>
      </c>
      <c r="X239" s="152">
        <f t="array" aca="1" ref="X239" ca="1">IFERROR(INDEX(INDIRECT($B$3&amp;"."&amp;$B$158&amp;".energy["&amp;This.year&amp;"]"),MATCH($C239&amp;X$5,INDIRECT($B$3&amp;"."&amp;$B$158&amp;".energy[Tech description]")&amp;INDIRECT($B$3&amp;"."&amp;$B$158&amp;".energy[Energy description]"),0)),0)</f>
        <v>0</v>
      </c>
      <c r="Y239" s="152">
        <f t="array" aca="1" ref="Y239" ca="1">IFERROR(INDEX(INDIRECT($B$3&amp;"."&amp;$B$158&amp;".energy["&amp;This.year&amp;"]"),MATCH($C239&amp;Y$5,INDIRECT($B$3&amp;"."&amp;$B$158&amp;".energy[Tech description]")&amp;INDIRECT($B$3&amp;"."&amp;$B$158&amp;".energy[Energy description]"),0)),0)</f>
        <v>0</v>
      </c>
      <c r="Z239" s="152">
        <f t="array" aca="1" ref="Z239" ca="1">IFERROR(INDEX(INDIRECT($B$3&amp;"."&amp;$B$158&amp;".energy["&amp;This.year&amp;"]"),MATCH($C239&amp;Z$5,INDIRECT($B$3&amp;"."&amp;$B$158&amp;".energy[Tech description]")&amp;INDIRECT($B$3&amp;"."&amp;$B$158&amp;".energy[Energy description]"),0)),0)</f>
        <v>0</v>
      </c>
      <c r="AA239" s="152">
        <f t="array" aca="1" ref="AA239" ca="1">IFERROR(INDEX(INDIRECT($B$3&amp;"."&amp;$B$158&amp;".energy["&amp;This.year&amp;"]"),MATCH($C239&amp;AA$5,INDIRECT($B$3&amp;"."&amp;$B$158&amp;".energy[Tech description]")&amp;INDIRECT($B$3&amp;"."&amp;$B$158&amp;".energy[Energy description]"),0)),0)</f>
        <v>0</v>
      </c>
      <c r="AB239" s="152">
        <f t="array" aca="1" ref="AB239" ca="1">IFERROR(INDEX(INDIRECT($B$3&amp;"."&amp;$B$158&amp;".energy["&amp;This.year&amp;"]"),MATCH($C239&amp;AB$5,INDIRECT($B$3&amp;"."&amp;$B$158&amp;".energy[Tech description]")&amp;INDIRECT($B$3&amp;"."&amp;$B$158&amp;".energy[Energy description]"),0)),0)</f>
        <v>0</v>
      </c>
      <c r="AC239" s="152">
        <f t="array" aca="1" ref="AC239" ca="1">IFERROR(INDEX(INDIRECT($B$3&amp;"."&amp;$B$158&amp;".energy["&amp;This.year&amp;"]"),MATCH($C239&amp;AC$5,INDIRECT($B$3&amp;"."&amp;$B$158&amp;".energy[Tech description]")&amp;INDIRECT($B$3&amp;"."&amp;$B$158&amp;".energy[Energy description]"),0)),0)</f>
        <v>0</v>
      </c>
      <c r="AD239" s="152">
        <f t="array" aca="1" ref="AD239" ca="1">IFERROR(INDEX(INDIRECT($B$3&amp;"."&amp;$B$158&amp;".energy["&amp;This.year&amp;"]"),MATCH($C239&amp;AD$5,INDIRECT($B$3&amp;"."&amp;$B$158&amp;".energy[Tech description]")&amp;INDIRECT($B$3&amp;"."&amp;$B$158&amp;".energy[Energy description]"),0)),0)</f>
        <v>0</v>
      </c>
      <c r="AE239" s="152">
        <f t="array" aca="1" ref="AE239" ca="1">IFERROR(INDEX(INDIRECT($B$3&amp;"."&amp;$B$158&amp;".energy["&amp;This.year&amp;"]"),MATCH($C239&amp;AE$5,INDIRECT($B$3&amp;"."&amp;$B$158&amp;".energy[Tech description]")&amp;INDIRECT($B$3&amp;"."&amp;$B$158&amp;".energy[Energy description]"),0)),0)</f>
        <v>0</v>
      </c>
      <c r="AF239" s="152">
        <f t="array" aca="1" ref="AF239" ca="1">IFERROR(INDEX(INDIRECT($B$3&amp;"."&amp;$B$158&amp;".energy["&amp;This.year&amp;"]"),MATCH($C239&amp;AF$5,INDIRECT($B$3&amp;"."&amp;$B$158&amp;".energy[Tech description]")&amp;INDIRECT($B$3&amp;"."&amp;$B$158&amp;".energy[Energy description]"),0)),0)</f>
        <v>0</v>
      </c>
      <c r="AG239" s="152">
        <f t="array" aca="1" ref="AG239" ca="1">IFERROR(INDEX(INDIRECT($B$3&amp;"."&amp;$B$158&amp;".energy["&amp;This.year&amp;"]"),MATCH($C239&amp;AG$5,INDIRECT($B$3&amp;"."&amp;$B$158&amp;".energy[Tech description]")&amp;INDIRECT($B$3&amp;"."&amp;$B$158&amp;".energy[Energy description]"),0)),0)</f>
        <v>0</v>
      </c>
      <c r="AH239" s="152">
        <f t="array" aca="1" ref="AH239" ca="1">IFERROR(INDEX(INDIRECT($B$3&amp;"."&amp;$B$158&amp;".energy["&amp;This.year&amp;"]"),MATCH($C239&amp;AH$5,INDIRECT($B$3&amp;"."&amp;$B$158&amp;".energy[Tech description]")&amp;INDIRECT($B$3&amp;"."&amp;$B$158&amp;".energy[Energy description]"),0)),0)</f>
        <v>0</v>
      </c>
      <c r="AI239" s="152">
        <f t="array" aca="1" ref="AI239" ca="1">IFERROR(INDEX(INDIRECT($B$3&amp;"."&amp;$B$158&amp;".energy["&amp;This.year&amp;"]"),MATCH($C239&amp;AI$5,INDIRECT($B$3&amp;"."&amp;$B$158&amp;".energy[Tech description]")&amp;INDIRECT($B$3&amp;"."&amp;$B$158&amp;".energy[Energy description]"),0)),0)</f>
        <v>0</v>
      </c>
      <c r="AJ239" s="152">
        <f t="array" aca="1" ref="AJ239" ca="1">IFERROR(INDEX(INDIRECT($B$3&amp;"."&amp;$B$158&amp;".energy["&amp;This.year&amp;"]"),MATCH($C239&amp;AJ$5,INDIRECT($B$3&amp;"."&amp;$B$158&amp;".energy[Tech description]")&amp;INDIRECT($B$3&amp;"."&amp;$B$158&amp;".energy[Energy description]"),0)),0)</f>
        <v>0</v>
      </c>
      <c r="AK239" s="152">
        <f t="array" aca="1" ref="AK239" ca="1">IFERROR(INDEX(INDIRECT($B$3&amp;"."&amp;$B$158&amp;".energy["&amp;This.year&amp;"]"),MATCH($C239&amp;AK$5,INDIRECT($B$3&amp;"."&amp;$B$158&amp;".energy[Tech description]")&amp;INDIRECT($B$3&amp;"."&amp;$B$158&amp;".energy[Energy description]"),0)),0)</f>
        <v>0</v>
      </c>
      <c r="AL239" s="152">
        <f t="array" aca="1" ref="AL239" ca="1">IFERROR(INDEX(INDIRECT($B$3&amp;"."&amp;$B$158&amp;".energy["&amp;This.year&amp;"]"),MATCH($C239&amp;AL$5,INDIRECT($B$3&amp;"."&amp;$B$158&amp;".energy[Tech description]")&amp;INDIRECT($B$3&amp;"."&amp;$B$158&amp;".energy[Energy description]"),0)),0)</f>
        <v>0</v>
      </c>
      <c r="AM239" s="152">
        <f t="array" aca="1" ref="AM239" ca="1">IFERROR(INDEX(INDIRECT($B$3&amp;"."&amp;$B$158&amp;".energy["&amp;This.year&amp;"]"),MATCH($C239&amp;AM$5,INDIRECT($B$3&amp;"."&amp;$B$158&amp;".energy[Tech description]")&amp;INDIRECT($B$3&amp;"."&amp;$B$158&amp;".energy[Energy description]"),0)),0)</f>
        <v>0</v>
      </c>
      <c r="AN239" s="152">
        <f t="array" aca="1" ref="AN239" ca="1">IFERROR(INDEX(INDIRECT($B$3&amp;"."&amp;$B$158&amp;".energy["&amp;This.year&amp;"]"),MATCH($C239&amp;AN$5,INDIRECT($B$3&amp;"."&amp;$B$158&amp;".energy[Tech description]")&amp;INDIRECT($B$3&amp;"."&amp;$B$158&amp;".energy[Energy description]"),0)),0)</f>
        <v>0</v>
      </c>
      <c r="AO239" s="152">
        <f t="shared" ca="1" si="35"/>
        <v>-0.22638860872541189</v>
      </c>
      <c r="AP239" s="108"/>
      <c r="AQ239" s="21">
        <f t="array" aca="1" ref="AQ239" ca="1">IFERROR(INDEX(INDIRECT($B$3&amp;"."&amp;$B$158&amp;".energy["&amp;This.year&amp;"]"),MATCH($C239&amp;AQ$5,INDIRECT($B$3&amp;"."&amp;$B$158&amp;".energy[Tech description]")&amp;INDIRECT($B$3&amp;"."&amp;$B$158&amp;".energy[Energy description]"),0)),0)</f>
        <v>0</v>
      </c>
      <c r="AR239" s="21">
        <f t="array" aca="1" ref="AR239" ca="1">IFERROR(INDEX(INDIRECT($B$3&amp;"."&amp;$B$158&amp;".energy["&amp;This.year&amp;"]"),MATCH($C239&amp;AR$5,INDIRECT($B$3&amp;"."&amp;$B$158&amp;".energy[Tech description]")&amp;INDIRECT($B$3&amp;"."&amp;$B$158&amp;".energy[Energy description]"),0)),0)</f>
        <v>0</v>
      </c>
      <c r="AS239" s="21">
        <f t="array" aca="1" ref="AS239" ca="1">IFERROR(INDEX(INDIRECT($B$3&amp;"."&amp;$B$158&amp;".energy["&amp;This.year&amp;"]"),MATCH($C239&amp;AS$5,INDIRECT($B$3&amp;"."&amp;$B$158&amp;".energy[Tech description]")&amp;INDIRECT($B$3&amp;"."&amp;$B$158&amp;".energy[Energy description]"),0)),0)</f>
        <v>0</v>
      </c>
      <c r="AT239" s="21">
        <f t="array" aca="1" ref="AT239" ca="1">IFERROR(INDEX(INDIRECT($B$3&amp;"."&amp;$B$158&amp;".energy["&amp;This.year&amp;"]"),MATCH($C239&amp;AT$5,INDIRECT($B$3&amp;"."&amp;$B$158&amp;".energy[Tech description]")&amp;INDIRECT($B$3&amp;"."&amp;$B$158&amp;".energy[Energy description]"),0)),0)</f>
        <v>0</v>
      </c>
      <c r="AU239" s="21">
        <f t="array" aca="1" ref="AU239" ca="1">IFERROR(INDEX(INDIRECT($B$3&amp;"."&amp;$B$158&amp;".energy["&amp;This.year&amp;"]"),MATCH($C239&amp;AU$5,INDIRECT($B$3&amp;"."&amp;$B$158&amp;".energy[Tech description]")&amp;INDIRECT($B$3&amp;"."&amp;$B$158&amp;".energy[Energy description]"),0)),0)</f>
        <v>0</v>
      </c>
      <c r="AV239" s="21">
        <f t="array" aca="1" ref="AV239" ca="1">IFERROR(INDEX(INDIRECT($B$3&amp;"."&amp;$B$158&amp;".energy["&amp;This.year&amp;"]"),MATCH($C239&amp;AV$5,INDIRECT($B$3&amp;"."&amp;$B$158&amp;".energy[Tech description]")&amp;INDIRECT($B$3&amp;"."&amp;$B$158&amp;".energy[Energy description]"),0)),0)</f>
        <v>0</v>
      </c>
      <c r="AW239" s="21">
        <f t="array" aca="1" ref="AW239" ca="1">IFERROR(INDEX(INDIRECT($B$3&amp;"."&amp;$B$158&amp;".energy["&amp;This.year&amp;"]"),MATCH($C239&amp;AW$5,INDIRECT($B$3&amp;"."&amp;$B$158&amp;".energy[Tech description]")&amp;INDIRECT($B$3&amp;"."&amp;$B$158&amp;".energy[Energy description]"),0)),0)</f>
        <v>0</v>
      </c>
      <c r="AX239" s="21">
        <f t="array" aca="1" ref="AX239" ca="1">IFERROR(INDEX(INDIRECT($B$3&amp;"."&amp;$B$158&amp;".energy["&amp;This.year&amp;"]"),MATCH($C239&amp;AX$5,INDIRECT($B$3&amp;"."&amp;$B$158&amp;".energy[Tech description]")&amp;INDIRECT($B$3&amp;"."&amp;$B$158&amp;".energy[Energy description]"),0)),0)</f>
        <v>0</v>
      </c>
      <c r="AY239" s="21">
        <f t="array" aca="1" ref="AY239" ca="1">IFERROR(INDEX(INDIRECT($B$3&amp;"."&amp;$B$158&amp;".energy["&amp;This.year&amp;"]"),MATCH($C239&amp;AY$5,INDIRECT($B$3&amp;"."&amp;$B$158&amp;".energy[Tech description]")&amp;INDIRECT($B$3&amp;"."&amp;$B$158&amp;".energy[Energy description]"),0)),0)</f>
        <v>0</v>
      </c>
      <c r="AZ239" s="21">
        <f t="array" aca="1" ref="AZ239" ca="1">IFERROR(INDEX(INDIRECT($B$3&amp;"."&amp;$B$158&amp;".energy["&amp;This.year&amp;"]"),MATCH($C239&amp;AZ$5,INDIRECT($B$3&amp;"."&amp;$B$158&amp;".energy[Tech description]")&amp;INDIRECT($B$3&amp;"."&amp;$B$158&amp;".energy[Energy description]"),0)),0)</f>
        <v>0</v>
      </c>
      <c r="BA239" s="21">
        <f t="array" aca="1" ref="BA239" ca="1">IFERROR(INDEX(INDIRECT($B$3&amp;"."&amp;$B$158&amp;".energy["&amp;This.year&amp;"]"),MATCH($C239&amp;BA$5,INDIRECT($B$3&amp;"."&amp;$B$158&amp;".energy[Tech description]")&amp;INDIRECT($B$3&amp;"."&amp;$B$158&amp;".energy[Energy description]"),0)),0)</f>
        <v>0</v>
      </c>
      <c r="BB239" s="21">
        <f t="array" aca="1" ref="BB239" ca="1">IFERROR(INDEX(INDIRECT($B$3&amp;"."&amp;$B$158&amp;".energy["&amp;This.year&amp;"]"),MATCH($C239&amp;BB$5,INDIRECT($B$3&amp;"."&amp;$B$158&amp;".energy[Tech description]")&amp;INDIRECT($B$3&amp;"."&amp;$B$158&amp;".energy[Energy description]"),0)),0)</f>
        <v>0</v>
      </c>
      <c r="BC239" s="21">
        <f t="array" aca="1" ref="BC239" ca="1">IFERROR(INDEX(INDIRECT($B$3&amp;"."&amp;$B$158&amp;".energy["&amp;This.year&amp;"]"),MATCH($C239&amp;BC$5,INDIRECT($B$3&amp;"."&amp;$B$158&amp;".energy[Tech description]")&amp;INDIRECT($B$3&amp;"."&amp;$B$158&amp;".energy[Energy description]"),0)),0)</f>
        <v>0</v>
      </c>
      <c r="BD239" s="21">
        <f t="shared" ca="1" si="36"/>
        <v>0</v>
      </c>
      <c r="BE239" s="108"/>
      <c r="BF239" s="49">
        <f t="array" aca="1" ref="BF239" ca="1">IFERROR(INDEX(INDIRECT($B$3&amp;"."&amp;$B$158&amp;".energy["&amp;This.year&amp;"]"),MATCH($C239&amp;BF$5,INDIRECT($B$3&amp;"."&amp;$B$158&amp;".energy[Tech description]")&amp;INDIRECT($B$3&amp;"."&amp;$B$158&amp;".energy[Energy description]"),0)),0)</f>
        <v>0</v>
      </c>
      <c r="BG239" s="49">
        <f t="array" aca="1" ref="BG239" ca="1">IFERROR(INDEX(INDIRECT($B$3&amp;"."&amp;$B$158&amp;".energy["&amp;This.year&amp;"]"),MATCH($C239&amp;BG$5,INDIRECT($B$3&amp;"."&amp;$B$158&amp;".energy[Tech description]")&amp;INDIRECT($B$3&amp;"."&amp;$B$158&amp;".energy[Energy description]"),0)),0)</f>
        <v>0</v>
      </c>
      <c r="BH239" s="49">
        <f t="shared" ca="1" si="37"/>
        <v>0</v>
      </c>
      <c r="BI239" s="219">
        <f t="shared" ca="1" si="38"/>
        <v>0</v>
      </c>
      <c r="BJ239" s="108"/>
    </row>
    <row r="240" spans="1:62" s="54" customFormat="1">
      <c r="A240" s="133"/>
      <c r="B240" s="176" t="s">
        <v>1856</v>
      </c>
      <c r="C240" s="114" t="str">
        <f>INDEX(Regional.Technologies[Description],MATCH($B$3&amp;"."&amp;B240,Regional.Technologies[Code],0))</f>
        <v>Global Coal use in the Pulp &amp; paper: Recycled technology</v>
      </c>
      <c r="E240" s="121">
        <f t="array" aca="1" ref="E240" ca="1">IFERROR(INDEX(INDIRECT($B$3&amp;"."&amp;$B$158&amp;".energy["&amp;This.year&amp;"]"),MATCH($C240&amp;E$5,INDIRECT($B$3&amp;"."&amp;$B$158&amp;".energy[Tech description]")&amp;INDIRECT($B$3&amp;"."&amp;$B$158&amp;".energy[Energy description]"),0)),0)</f>
        <v>0</v>
      </c>
      <c r="F240" s="121">
        <f t="array" aca="1" ref="F240" ca="1">IFERROR(INDEX(INDIRECT($B$3&amp;"."&amp;$B$158&amp;".energy["&amp;This.year&amp;"]"),MATCH($C240&amp;F$5,INDIRECT($B$3&amp;"."&amp;$B$158&amp;".energy[Tech description]")&amp;INDIRECT($B$3&amp;"."&amp;$B$158&amp;".energy[Energy description]"),0)),0)</f>
        <v>0</v>
      </c>
      <c r="G240" s="121">
        <f t="array" aca="1" ref="G240" ca="1">IFERROR(INDEX(INDIRECT($B$3&amp;"."&amp;$B$158&amp;".energy["&amp;This.year&amp;"]"),MATCH($C240&amp;G$5,INDIRECT($B$3&amp;"."&amp;$B$158&amp;".energy[Tech description]")&amp;INDIRECT($B$3&amp;"."&amp;$B$158&amp;".energy[Energy description]"),0)),0)</f>
        <v>0</v>
      </c>
      <c r="H240" s="121">
        <f t="array" aca="1" ref="H240" ca="1">IFERROR(INDEX(INDIRECT($B$3&amp;"."&amp;$B$158&amp;".energy["&amp;This.year&amp;"]"),MATCH($C240&amp;H$5,INDIRECT($B$3&amp;"."&amp;$B$158&amp;".energy[Tech description]")&amp;INDIRECT($B$3&amp;"."&amp;$B$158&amp;".energy[Energy description]"),0)),0)</f>
        <v>0</v>
      </c>
      <c r="I240" s="121">
        <f t="array" aca="1" ref="I240" ca="1">IFERROR(INDEX(INDIRECT($B$3&amp;"."&amp;$B$158&amp;".energy["&amp;This.year&amp;"]"),MATCH($C240&amp;I$5,INDIRECT($B$3&amp;"."&amp;$B$158&amp;".energy[Tech description]")&amp;INDIRECT($B$3&amp;"."&amp;$B$158&amp;".energy[Energy description]"),0)),0)</f>
        <v>0</v>
      </c>
      <c r="J240" s="121">
        <f t="array" aca="1" ref="J240" ca="1">IFERROR(INDEX(INDIRECT($B$3&amp;"."&amp;$B$158&amp;".energy["&amp;This.year&amp;"]"),MATCH($C240&amp;J$5,INDIRECT($B$3&amp;"."&amp;$B$158&amp;".energy[Tech description]")&amp;INDIRECT($B$3&amp;"."&amp;$B$158&amp;".energy[Energy description]"),0)),0)</f>
        <v>0.14639565534575039</v>
      </c>
      <c r="K240" s="121">
        <f t="array" aca="1" ref="K240" ca="1">IFERROR(INDEX(INDIRECT($B$3&amp;"."&amp;$B$158&amp;".energy["&amp;This.year&amp;"]"),MATCH($C240&amp;K$5,INDIRECT($B$3&amp;"."&amp;$B$158&amp;".energy[Tech description]")&amp;INDIRECT($B$3&amp;"."&amp;$B$158&amp;".energy[Energy description]"),0)),0)</f>
        <v>0</v>
      </c>
      <c r="L240" s="121">
        <f t="array" aca="1" ref="L240" ca="1">IFERROR(INDEX(INDIRECT($B$3&amp;"."&amp;$B$158&amp;".energy["&amp;This.year&amp;"]"),MATCH($C240&amp;L$5,INDIRECT($B$3&amp;"."&amp;$B$158&amp;".energy[Tech description]")&amp;INDIRECT($B$3&amp;"."&amp;$B$158&amp;".energy[Energy description]"),0)),0)</f>
        <v>0</v>
      </c>
      <c r="M240" s="121">
        <f t="array" aca="1" ref="M240" ca="1">IFERROR(INDEX(INDIRECT($B$3&amp;"."&amp;$B$158&amp;".energy["&amp;This.year&amp;"]"),MATCH($C240&amp;M$5,INDIRECT($B$3&amp;"."&amp;$B$158&amp;".energy[Tech description]")&amp;INDIRECT($B$3&amp;"."&amp;$B$158&amp;".energy[Energy description]"),0)),0)</f>
        <v>0</v>
      </c>
      <c r="N240" s="121">
        <f t="array" aca="1" ref="N240" ca="1">IFERROR(INDEX(INDIRECT($B$3&amp;"."&amp;$B$158&amp;".energy["&amp;This.year&amp;"]"),MATCH($C240&amp;N$5,INDIRECT($B$3&amp;"."&amp;$B$158&amp;".energy[Tech description]")&amp;INDIRECT($B$3&amp;"."&amp;$B$158&amp;".energy[Energy description]"),0)),0)</f>
        <v>0</v>
      </c>
      <c r="O240" s="121">
        <f t="array" aca="1" ref="O240" ca="1">IFERROR(INDEX(INDIRECT($B$3&amp;"."&amp;$B$158&amp;".energy["&amp;This.year&amp;"]"),MATCH($C240&amp;O$5,INDIRECT($B$3&amp;"."&amp;$B$158&amp;".energy[Tech description]")&amp;INDIRECT($B$3&amp;"."&amp;$B$158&amp;".energy[Energy description]"),0)),0)</f>
        <v>0</v>
      </c>
      <c r="P240" s="121">
        <f t="array" aca="1" ref="P240" ca="1">IFERROR(INDEX(INDIRECT($B$3&amp;"."&amp;$B$158&amp;".energy["&amp;This.year&amp;"]"),MATCH($C240&amp;P$5,INDIRECT($B$3&amp;"."&amp;$B$158&amp;".energy[Tech description]")&amp;INDIRECT($B$3&amp;"."&amp;$B$158&amp;".energy[Energy description]"),0)),0)</f>
        <v>0</v>
      </c>
      <c r="Q240" s="121">
        <f t="array" aca="1" ref="Q240" ca="1">IFERROR(INDEX(INDIRECT($B$3&amp;"."&amp;$B$158&amp;".energy["&amp;This.year&amp;"]"),MATCH($C240&amp;Q$5,INDIRECT($B$3&amp;"."&amp;$B$158&amp;".energy[Tech description]")&amp;INDIRECT($B$3&amp;"."&amp;$B$158&amp;".energy[Energy description]"),0)),0)</f>
        <v>0</v>
      </c>
      <c r="R240" s="121">
        <f t="array" aca="1" ref="R240" ca="1">IFERROR(INDEX(INDIRECT($B$3&amp;"."&amp;$B$158&amp;".energy["&amp;This.year&amp;"]"),MATCH($C240&amp;R$5,INDIRECT($B$3&amp;"."&amp;$B$158&amp;".energy[Tech description]")&amp;INDIRECT($B$3&amp;"."&amp;$B$158&amp;".energy[Energy description]"),0)),0)</f>
        <v>0</v>
      </c>
      <c r="S240" s="121">
        <f t="array" aca="1" ref="S240" ca="1">IFERROR(INDEX(INDIRECT($B$3&amp;"."&amp;$B$158&amp;".energy["&amp;This.year&amp;"]"),MATCH($C240&amp;S$5,INDIRECT($B$3&amp;"."&amp;$B$158&amp;".energy[Tech description]")&amp;INDIRECT($B$3&amp;"."&amp;$B$158&amp;".energy[Energy description]"),0)),0)</f>
        <v>0</v>
      </c>
      <c r="T240" s="121">
        <f t="shared" ca="1" si="34"/>
        <v>0.14639565534575039</v>
      </c>
      <c r="U240" s="109"/>
      <c r="V240" s="152">
        <f t="array" aca="1" ref="V240" ca="1">IFERROR(INDEX(INDIRECT($B$3&amp;"."&amp;$B$158&amp;".energy["&amp;This.year&amp;"]"),MATCH($C240&amp;V$5,INDIRECT($B$3&amp;"."&amp;$B$158&amp;".energy[Tech description]")&amp;INDIRECT($B$3&amp;"."&amp;$B$158&amp;".energy[Energy description]"),0)),0)</f>
        <v>0</v>
      </c>
      <c r="W240" s="152">
        <f t="array" aca="1" ref="W240" ca="1">IFERROR(INDEX(INDIRECT($B$3&amp;"."&amp;$B$158&amp;".energy["&amp;This.year&amp;"]"),MATCH($C240&amp;W$5,INDIRECT($B$3&amp;"."&amp;$B$158&amp;".energy[Tech description]")&amp;INDIRECT($B$3&amp;"."&amp;$B$158&amp;".energy[Energy description]"),0)),0)</f>
        <v>0</v>
      </c>
      <c r="X240" s="152">
        <f t="array" aca="1" ref="X240" ca="1">IFERROR(INDEX(INDIRECT($B$3&amp;"."&amp;$B$158&amp;".energy["&amp;This.year&amp;"]"),MATCH($C240&amp;X$5,INDIRECT($B$3&amp;"."&amp;$B$158&amp;".energy[Tech description]")&amp;INDIRECT($B$3&amp;"."&amp;$B$158&amp;".energy[Energy description]"),0)),0)</f>
        <v>0</v>
      </c>
      <c r="Y240" s="152">
        <f t="array" aca="1" ref="Y240" ca="1">IFERROR(INDEX(INDIRECT($B$3&amp;"."&amp;$B$158&amp;".energy["&amp;This.year&amp;"]"),MATCH($C240&amp;Y$5,INDIRECT($B$3&amp;"."&amp;$B$158&amp;".energy[Tech description]")&amp;INDIRECT($B$3&amp;"."&amp;$B$158&amp;".energy[Energy description]"),0)),0)</f>
        <v>0</v>
      </c>
      <c r="Z240" s="152">
        <f t="array" aca="1" ref="Z240" ca="1">IFERROR(INDEX(INDIRECT($B$3&amp;"."&amp;$B$158&amp;".energy["&amp;This.year&amp;"]"),MATCH($C240&amp;Z$5,INDIRECT($B$3&amp;"."&amp;$B$158&amp;".energy[Tech description]")&amp;INDIRECT($B$3&amp;"."&amp;$B$158&amp;".energy[Energy description]"),0)),0)</f>
        <v>0</v>
      </c>
      <c r="AA240" s="152">
        <f t="array" aca="1" ref="AA240" ca="1">IFERROR(INDEX(INDIRECT($B$3&amp;"."&amp;$B$158&amp;".energy["&amp;This.year&amp;"]"),MATCH($C240&amp;AA$5,INDIRECT($B$3&amp;"."&amp;$B$158&amp;".energy[Tech description]")&amp;INDIRECT($B$3&amp;"."&amp;$B$158&amp;".energy[Energy description]"),0)),0)</f>
        <v>-0.14639565534575039</v>
      </c>
      <c r="AB240" s="152">
        <f t="array" aca="1" ref="AB240" ca="1">IFERROR(INDEX(INDIRECT($B$3&amp;"."&amp;$B$158&amp;".energy["&amp;This.year&amp;"]"),MATCH($C240&amp;AB$5,INDIRECT($B$3&amp;"."&amp;$B$158&amp;".energy[Tech description]")&amp;INDIRECT($B$3&amp;"."&amp;$B$158&amp;".energy[Energy description]"),0)),0)</f>
        <v>0</v>
      </c>
      <c r="AC240" s="152">
        <f t="array" aca="1" ref="AC240" ca="1">IFERROR(INDEX(INDIRECT($B$3&amp;"."&amp;$B$158&amp;".energy["&amp;This.year&amp;"]"),MATCH($C240&amp;AC$5,INDIRECT($B$3&amp;"."&amp;$B$158&amp;".energy[Tech description]")&amp;INDIRECT($B$3&amp;"."&amp;$B$158&amp;".energy[Energy description]"),0)),0)</f>
        <v>0</v>
      </c>
      <c r="AD240" s="152">
        <f t="array" aca="1" ref="AD240" ca="1">IFERROR(INDEX(INDIRECT($B$3&amp;"."&amp;$B$158&amp;".energy["&amp;This.year&amp;"]"),MATCH($C240&amp;AD$5,INDIRECT($B$3&amp;"."&amp;$B$158&amp;".energy[Tech description]")&amp;INDIRECT($B$3&amp;"."&amp;$B$158&amp;".energy[Energy description]"),0)),0)</f>
        <v>0</v>
      </c>
      <c r="AE240" s="152">
        <f t="array" aca="1" ref="AE240" ca="1">IFERROR(INDEX(INDIRECT($B$3&amp;"."&amp;$B$158&amp;".energy["&amp;This.year&amp;"]"),MATCH($C240&amp;AE$5,INDIRECT($B$3&amp;"."&amp;$B$158&amp;".energy[Tech description]")&amp;INDIRECT($B$3&amp;"."&amp;$B$158&amp;".energy[Energy description]"),0)),0)</f>
        <v>0</v>
      </c>
      <c r="AF240" s="152">
        <f t="array" aca="1" ref="AF240" ca="1">IFERROR(INDEX(INDIRECT($B$3&amp;"."&amp;$B$158&amp;".energy["&amp;This.year&amp;"]"),MATCH($C240&amp;AF$5,INDIRECT($B$3&amp;"."&amp;$B$158&amp;".energy[Tech description]")&amp;INDIRECT($B$3&amp;"."&amp;$B$158&amp;".energy[Energy description]"),0)),0)</f>
        <v>0</v>
      </c>
      <c r="AG240" s="152">
        <f t="array" aca="1" ref="AG240" ca="1">IFERROR(INDEX(INDIRECT($B$3&amp;"."&amp;$B$158&amp;".energy["&amp;This.year&amp;"]"),MATCH($C240&amp;AG$5,INDIRECT($B$3&amp;"."&amp;$B$158&amp;".energy[Tech description]")&amp;INDIRECT($B$3&amp;"."&amp;$B$158&amp;".energy[Energy description]"),0)),0)</f>
        <v>0</v>
      </c>
      <c r="AH240" s="152">
        <f t="array" aca="1" ref="AH240" ca="1">IFERROR(INDEX(INDIRECT($B$3&amp;"."&amp;$B$158&amp;".energy["&amp;This.year&amp;"]"),MATCH($C240&amp;AH$5,INDIRECT($B$3&amp;"."&amp;$B$158&amp;".energy[Tech description]")&amp;INDIRECT($B$3&amp;"."&amp;$B$158&amp;".energy[Energy description]"),0)),0)</f>
        <v>0</v>
      </c>
      <c r="AI240" s="152">
        <f t="array" aca="1" ref="AI240" ca="1">IFERROR(INDEX(INDIRECT($B$3&amp;"."&amp;$B$158&amp;".energy["&amp;This.year&amp;"]"),MATCH($C240&amp;AI$5,INDIRECT($B$3&amp;"."&amp;$B$158&amp;".energy[Tech description]")&amp;INDIRECT($B$3&amp;"."&amp;$B$158&amp;".energy[Energy description]"),0)),0)</f>
        <v>0</v>
      </c>
      <c r="AJ240" s="152">
        <f t="array" aca="1" ref="AJ240" ca="1">IFERROR(INDEX(INDIRECT($B$3&amp;"."&amp;$B$158&amp;".energy["&amp;This.year&amp;"]"),MATCH($C240&amp;AJ$5,INDIRECT($B$3&amp;"."&amp;$B$158&amp;".energy[Tech description]")&amp;INDIRECT($B$3&amp;"."&amp;$B$158&amp;".energy[Energy description]"),0)),0)</f>
        <v>0</v>
      </c>
      <c r="AK240" s="152">
        <f t="array" aca="1" ref="AK240" ca="1">IFERROR(INDEX(INDIRECT($B$3&amp;"."&amp;$B$158&amp;".energy["&amp;This.year&amp;"]"),MATCH($C240&amp;AK$5,INDIRECT($B$3&amp;"."&amp;$B$158&amp;".energy[Tech description]")&amp;INDIRECT($B$3&amp;"."&amp;$B$158&amp;".energy[Energy description]"),0)),0)</f>
        <v>0</v>
      </c>
      <c r="AL240" s="152">
        <f t="array" aca="1" ref="AL240" ca="1">IFERROR(INDEX(INDIRECT($B$3&amp;"."&amp;$B$158&amp;".energy["&amp;This.year&amp;"]"),MATCH($C240&amp;AL$5,INDIRECT($B$3&amp;"."&amp;$B$158&amp;".energy[Tech description]")&amp;INDIRECT($B$3&amp;"."&amp;$B$158&amp;".energy[Energy description]"),0)),0)</f>
        <v>0</v>
      </c>
      <c r="AM240" s="152">
        <f t="array" aca="1" ref="AM240" ca="1">IFERROR(INDEX(INDIRECT($B$3&amp;"."&amp;$B$158&amp;".energy["&amp;This.year&amp;"]"),MATCH($C240&amp;AM$5,INDIRECT($B$3&amp;"."&amp;$B$158&amp;".energy[Tech description]")&amp;INDIRECT($B$3&amp;"."&amp;$B$158&amp;".energy[Energy description]"),0)),0)</f>
        <v>0</v>
      </c>
      <c r="AN240" s="152">
        <f t="array" aca="1" ref="AN240" ca="1">IFERROR(INDEX(INDIRECT($B$3&amp;"."&amp;$B$158&amp;".energy["&amp;This.year&amp;"]"),MATCH($C240&amp;AN$5,INDIRECT($B$3&amp;"."&amp;$B$158&amp;".energy[Tech description]")&amp;INDIRECT($B$3&amp;"."&amp;$B$158&amp;".energy[Energy description]"),0)),0)</f>
        <v>0</v>
      </c>
      <c r="AO240" s="152">
        <f t="shared" ca="1" si="35"/>
        <v>-0.14639565534575039</v>
      </c>
      <c r="AP240" s="108"/>
      <c r="AQ240" s="21">
        <f t="array" aca="1" ref="AQ240" ca="1">IFERROR(INDEX(INDIRECT($B$3&amp;"."&amp;$B$158&amp;".energy["&amp;This.year&amp;"]"),MATCH($C240&amp;AQ$5,INDIRECT($B$3&amp;"."&amp;$B$158&amp;".energy[Tech description]")&amp;INDIRECT($B$3&amp;"."&amp;$B$158&amp;".energy[Energy description]"),0)),0)</f>
        <v>0</v>
      </c>
      <c r="AR240" s="21">
        <f t="array" aca="1" ref="AR240" ca="1">IFERROR(INDEX(INDIRECT($B$3&amp;"."&amp;$B$158&amp;".energy["&amp;This.year&amp;"]"),MATCH($C240&amp;AR$5,INDIRECT($B$3&amp;"."&amp;$B$158&amp;".energy[Tech description]")&amp;INDIRECT($B$3&amp;"."&amp;$B$158&amp;".energy[Energy description]"),0)),0)</f>
        <v>0</v>
      </c>
      <c r="AS240" s="21">
        <f t="array" aca="1" ref="AS240" ca="1">IFERROR(INDEX(INDIRECT($B$3&amp;"."&amp;$B$158&amp;".energy["&amp;This.year&amp;"]"),MATCH($C240&amp;AS$5,INDIRECT($B$3&amp;"."&amp;$B$158&amp;".energy[Tech description]")&amp;INDIRECT($B$3&amp;"."&amp;$B$158&amp;".energy[Energy description]"),0)),0)</f>
        <v>0</v>
      </c>
      <c r="AT240" s="21">
        <f t="array" aca="1" ref="AT240" ca="1">IFERROR(INDEX(INDIRECT($B$3&amp;"."&amp;$B$158&amp;".energy["&amp;This.year&amp;"]"),MATCH($C240&amp;AT$5,INDIRECT($B$3&amp;"."&amp;$B$158&amp;".energy[Tech description]")&amp;INDIRECT($B$3&amp;"."&amp;$B$158&amp;".energy[Energy description]"),0)),0)</f>
        <v>0</v>
      </c>
      <c r="AU240" s="21">
        <f t="array" aca="1" ref="AU240" ca="1">IFERROR(INDEX(INDIRECT($B$3&amp;"."&amp;$B$158&amp;".energy["&amp;This.year&amp;"]"),MATCH($C240&amp;AU$5,INDIRECT($B$3&amp;"."&amp;$B$158&amp;".energy[Tech description]")&amp;INDIRECT($B$3&amp;"."&amp;$B$158&amp;".energy[Energy description]"),0)),0)</f>
        <v>0</v>
      </c>
      <c r="AV240" s="21">
        <f t="array" aca="1" ref="AV240" ca="1">IFERROR(INDEX(INDIRECT($B$3&amp;"."&amp;$B$158&amp;".energy["&amp;This.year&amp;"]"),MATCH($C240&amp;AV$5,INDIRECT($B$3&amp;"."&amp;$B$158&amp;".energy[Tech description]")&amp;INDIRECT($B$3&amp;"."&amp;$B$158&amp;".energy[Energy description]"),0)),0)</f>
        <v>0</v>
      </c>
      <c r="AW240" s="21">
        <f t="array" aca="1" ref="AW240" ca="1">IFERROR(INDEX(INDIRECT($B$3&amp;"."&amp;$B$158&amp;".energy["&amp;This.year&amp;"]"),MATCH($C240&amp;AW$5,INDIRECT($B$3&amp;"."&amp;$B$158&amp;".energy[Tech description]")&amp;INDIRECT($B$3&amp;"."&amp;$B$158&amp;".energy[Energy description]"),0)),0)</f>
        <v>0</v>
      </c>
      <c r="AX240" s="21">
        <f t="array" aca="1" ref="AX240" ca="1">IFERROR(INDEX(INDIRECT($B$3&amp;"."&amp;$B$158&amp;".energy["&amp;This.year&amp;"]"),MATCH($C240&amp;AX$5,INDIRECT($B$3&amp;"."&amp;$B$158&amp;".energy[Tech description]")&amp;INDIRECT($B$3&amp;"."&amp;$B$158&amp;".energy[Energy description]"),0)),0)</f>
        <v>0</v>
      </c>
      <c r="AY240" s="21">
        <f t="array" aca="1" ref="AY240" ca="1">IFERROR(INDEX(INDIRECT($B$3&amp;"."&amp;$B$158&amp;".energy["&amp;This.year&amp;"]"),MATCH($C240&amp;AY$5,INDIRECT($B$3&amp;"."&amp;$B$158&amp;".energy[Tech description]")&amp;INDIRECT($B$3&amp;"."&amp;$B$158&amp;".energy[Energy description]"),0)),0)</f>
        <v>0</v>
      </c>
      <c r="AZ240" s="21">
        <f t="array" aca="1" ref="AZ240" ca="1">IFERROR(INDEX(INDIRECT($B$3&amp;"."&amp;$B$158&amp;".energy["&amp;This.year&amp;"]"),MATCH($C240&amp;AZ$5,INDIRECT($B$3&amp;"."&amp;$B$158&amp;".energy[Tech description]")&amp;INDIRECT($B$3&amp;"."&amp;$B$158&amp;".energy[Energy description]"),0)),0)</f>
        <v>0</v>
      </c>
      <c r="BA240" s="21">
        <f t="array" aca="1" ref="BA240" ca="1">IFERROR(INDEX(INDIRECT($B$3&amp;"."&amp;$B$158&amp;".energy["&amp;This.year&amp;"]"),MATCH($C240&amp;BA$5,INDIRECT($B$3&amp;"."&amp;$B$158&amp;".energy[Tech description]")&amp;INDIRECT($B$3&amp;"."&amp;$B$158&amp;".energy[Energy description]"),0)),0)</f>
        <v>0</v>
      </c>
      <c r="BB240" s="21">
        <f t="array" aca="1" ref="BB240" ca="1">IFERROR(INDEX(INDIRECT($B$3&amp;"."&amp;$B$158&amp;".energy["&amp;This.year&amp;"]"),MATCH($C240&amp;BB$5,INDIRECT($B$3&amp;"."&amp;$B$158&amp;".energy[Tech description]")&amp;INDIRECT($B$3&amp;"."&amp;$B$158&amp;".energy[Energy description]"),0)),0)</f>
        <v>0</v>
      </c>
      <c r="BC240" s="21">
        <f t="array" aca="1" ref="BC240" ca="1">IFERROR(INDEX(INDIRECT($B$3&amp;"."&amp;$B$158&amp;".energy["&amp;This.year&amp;"]"),MATCH($C240&amp;BC$5,INDIRECT($B$3&amp;"."&amp;$B$158&amp;".energy[Tech description]")&amp;INDIRECT($B$3&amp;"."&amp;$B$158&amp;".energy[Energy description]"),0)),0)</f>
        <v>0</v>
      </c>
      <c r="BD240" s="21">
        <f t="shared" ca="1" si="36"/>
        <v>0</v>
      </c>
      <c r="BE240" s="108"/>
      <c r="BF240" s="49">
        <f t="array" aca="1" ref="BF240" ca="1">IFERROR(INDEX(INDIRECT($B$3&amp;"."&amp;$B$158&amp;".energy["&amp;This.year&amp;"]"),MATCH($C240&amp;BF$5,INDIRECT($B$3&amp;"."&amp;$B$158&amp;".energy[Tech description]")&amp;INDIRECT($B$3&amp;"."&amp;$B$158&amp;".energy[Energy description]"),0)),0)</f>
        <v>0</v>
      </c>
      <c r="BG240" s="49">
        <f t="array" aca="1" ref="BG240" ca="1">IFERROR(INDEX(INDIRECT($B$3&amp;"."&amp;$B$158&amp;".energy["&amp;This.year&amp;"]"),MATCH($C240&amp;BG$5,INDIRECT($B$3&amp;"."&amp;$B$158&amp;".energy[Tech description]")&amp;INDIRECT($B$3&amp;"."&amp;$B$158&amp;".energy[Energy description]"),0)),0)</f>
        <v>0</v>
      </c>
      <c r="BH240" s="49">
        <f t="shared" ca="1" si="37"/>
        <v>0</v>
      </c>
      <c r="BI240" s="219">
        <f t="shared" ca="1" si="38"/>
        <v>0</v>
      </c>
      <c r="BJ240" s="108"/>
    </row>
    <row r="241" spans="1:62" s="54" customFormat="1">
      <c r="A241" s="133"/>
      <c r="B241" s="176" t="s">
        <v>1857</v>
      </c>
      <c r="C241" s="114" t="str">
        <f>INDEX(Regional.Technologies[Description],MATCH($B$3&amp;"."&amp;B241,Regional.Technologies[Code],0))</f>
        <v>Global Oil use in the Pulp &amp; paper: Recycled technology</v>
      </c>
      <c r="E241" s="121">
        <f t="array" aca="1" ref="E241" ca="1">IFERROR(INDEX(INDIRECT($B$3&amp;"."&amp;$B$158&amp;".energy["&amp;This.year&amp;"]"),MATCH($C241&amp;E$5,INDIRECT($B$3&amp;"."&amp;$B$158&amp;".energy[Tech description]")&amp;INDIRECT($B$3&amp;"."&amp;$B$158&amp;".energy[Energy description]"),0)),0)</f>
        <v>0</v>
      </c>
      <c r="F241" s="121">
        <f t="array" aca="1" ref="F241" ca="1">IFERROR(INDEX(INDIRECT($B$3&amp;"."&amp;$B$158&amp;".energy["&amp;This.year&amp;"]"),MATCH($C241&amp;F$5,INDIRECT($B$3&amp;"."&amp;$B$158&amp;".energy[Tech description]")&amp;INDIRECT($B$3&amp;"."&amp;$B$158&amp;".energy[Energy description]"),0)),0)</f>
        <v>0</v>
      </c>
      <c r="G241" s="121">
        <f t="array" aca="1" ref="G241" ca="1">IFERROR(INDEX(INDIRECT($B$3&amp;"."&amp;$B$158&amp;".energy["&amp;This.year&amp;"]"),MATCH($C241&amp;G$5,INDIRECT($B$3&amp;"."&amp;$B$158&amp;".energy[Tech description]")&amp;INDIRECT($B$3&amp;"."&amp;$B$158&amp;".energy[Energy description]"),0)),0)</f>
        <v>0</v>
      </c>
      <c r="H241" s="121">
        <f t="array" aca="1" ref="H241" ca="1">IFERROR(INDEX(INDIRECT($B$3&amp;"."&amp;$B$158&amp;".energy["&amp;This.year&amp;"]"),MATCH($C241&amp;H$5,INDIRECT($B$3&amp;"."&amp;$B$158&amp;".energy[Tech description]")&amp;INDIRECT($B$3&amp;"."&amp;$B$158&amp;".energy[Energy description]"),0)),0)</f>
        <v>0</v>
      </c>
      <c r="I241" s="121">
        <f t="array" aca="1" ref="I241" ca="1">IFERROR(INDEX(INDIRECT($B$3&amp;"."&amp;$B$158&amp;".energy["&amp;This.year&amp;"]"),MATCH($C241&amp;I$5,INDIRECT($B$3&amp;"."&amp;$B$158&amp;".energy[Tech description]")&amp;INDIRECT($B$3&amp;"."&amp;$B$158&amp;".energy[Energy description]"),0)),0)</f>
        <v>0</v>
      </c>
      <c r="J241" s="121">
        <f t="array" aca="1" ref="J241" ca="1">IFERROR(INDEX(INDIRECT($B$3&amp;"."&amp;$B$158&amp;".energy["&amp;This.year&amp;"]"),MATCH($C241&amp;J$5,INDIRECT($B$3&amp;"."&amp;$B$158&amp;".energy[Tech description]")&amp;INDIRECT($B$3&amp;"."&amp;$B$158&amp;".energy[Energy description]"),0)),0)</f>
        <v>3.8700157409069846E-2</v>
      </c>
      <c r="K241" s="121">
        <f t="array" aca="1" ref="K241" ca="1">IFERROR(INDEX(INDIRECT($B$3&amp;"."&amp;$B$158&amp;".energy["&amp;This.year&amp;"]"),MATCH($C241&amp;K$5,INDIRECT($B$3&amp;"."&amp;$B$158&amp;".energy[Tech description]")&amp;INDIRECT($B$3&amp;"."&amp;$B$158&amp;".energy[Energy description]"),0)),0)</f>
        <v>0</v>
      </c>
      <c r="L241" s="121">
        <f t="array" aca="1" ref="L241" ca="1">IFERROR(INDEX(INDIRECT($B$3&amp;"."&amp;$B$158&amp;".energy["&amp;This.year&amp;"]"),MATCH($C241&amp;L$5,INDIRECT($B$3&amp;"."&amp;$B$158&amp;".energy[Tech description]")&amp;INDIRECT($B$3&amp;"."&amp;$B$158&amp;".energy[Energy description]"),0)),0)</f>
        <v>0</v>
      </c>
      <c r="M241" s="121">
        <f t="array" aca="1" ref="M241" ca="1">IFERROR(INDEX(INDIRECT($B$3&amp;"."&amp;$B$158&amp;".energy["&amp;This.year&amp;"]"),MATCH($C241&amp;M$5,INDIRECT($B$3&amp;"."&amp;$B$158&amp;".energy[Tech description]")&amp;INDIRECT($B$3&amp;"."&amp;$B$158&amp;".energy[Energy description]"),0)),0)</f>
        <v>0</v>
      </c>
      <c r="N241" s="121">
        <f t="array" aca="1" ref="N241" ca="1">IFERROR(INDEX(INDIRECT($B$3&amp;"."&amp;$B$158&amp;".energy["&amp;This.year&amp;"]"),MATCH($C241&amp;N$5,INDIRECT($B$3&amp;"."&amp;$B$158&amp;".energy[Tech description]")&amp;INDIRECT($B$3&amp;"."&amp;$B$158&amp;".energy[Energy description]"),0)),0)</f>
        <v>0</v>
      </c>
      <c r="O241" s="121">
        <f t="array" aca="1" ref="O241" ca="1">IFERROR(INDEX(INDIRECT($B$3&amp;"."&amp;$B$158&amp;".energy["&amp;This.year&amp;"]"),MATCH($C241&amp;O$5,INDIRECT($B$3&amp;"."&amp;$B$158&amp;".energy[Tech description]")&amp;INDIRECT($B$3&amp;"."&amp;$B$158&amp;".energy[Energy description]"),0)),0)</f>
        <v>0</v>
      </c>
      <c r="P241" s="121">
        <f t="array" aca="1" ref="P241" ca="1">IFERROR(INDEX(INDIRECT($B$3&amp;"."&amp;$B$158&amp;".energy["&amp;This.year&amp;"]"),MATCH($C241&amp;P$5,INDIRECT($B$3&amp;"."&amp;$B$158&amp;".energy[Tech description]")&amp;INDIRECT($B$3&amp;"."&amp;$B$158&amp;".energy[Energy description]"),0)),0)</f>
        <v>0</v>
      </c>
      <c r="Q241" s="121">
        <f t="array" aca="1" ref="Q241" ca="1">IFERROR(INDEX(INDIRECT($B$3&amp;"."&amp;$B$158&amp;".energy["&amp;This.year&amp;"]"),MATCH($C241&amp;Q$5,INDIRECT($B$3&amp;"."&amp;$B$158&amp;".energy[Tech description]")&amp;INDIRECT($B$3&amp;"."&amp;$B$158&amp;".energy[Energy description]"),0)),0)</f>
        <v>0</v>
      </c>
      <c r="R241" s="121">
        <f t="array" aca="1" ref="R241" ca="1">IFERROR(INDEX(INDIRECT($B$3&amp;"."&amp;$B$158&amp;".energy["&amp;This.year&amp;"]"),MATCH($C241&amp;R$5,INDIRECT($B$3&amp;"."&amp;$B$158&amp;".energy[Tech description]")&amp;INDIRECT($B$3&amp;"."&amp;$B$158&amp;".energy[Energy description]"),0)),0)</f>
        <v>0</v>
      </c>
      <c r="S241" s="121">
        <f t="array" aca="1" ref="S241" ca="1">IFERROR(INDEX(INDIRECT($B$3&amp;"."&amp;$B$158&amp;".energy["&amp;This.year&amp;"]"),MATCH($C241&amp;S$5,INDIRECT($B$3&amp;"."&amp;$B$158&amp;".energy[Tech description]")&amp;INDIRECT($B$3&amp;"."&amp;$B$158&amp;".energy[Energy description]"),0)),0)</f>
        <v>0</v>
      </c>
      <c r="T241" s="121">
        <f t="shared" ca="1" si="34"/>
        <v>3.8700157409069846E-2</v>
      </c>
      <c r="U241" s="109"/>
      <c r="V241" s="152">
        <f t="array" aca="1" ref="V241" ca="1">IFERROR(INDEX(INDIRECT($B$3&amp;"."&amp;$B$158&amp;".energy["&amp;This.year&amp;"]"),MATCH($C241&amp;V$5,INDIRECT($B$3&amp;"."&amp;$B$158&amp;".energy[Tech description]")&amp;INDIRECT($B$3&amp;"."&amp;$B$158&amp;".energy[Energy description]"),0)),0)</f>
        <v>0</v>
      </c>
      <c r="W241" s="152">
        <f t="array" aca="1" ref="W241" ca="1">IFERROR(INDEX(INDIRECT($B$3&amp;"."&amp;$B$158&amp;".energy["&amp;This.year&amp;"]"),MATCH($C241&amp;W$5,INDIRECT($B$3&amp;"."&amp;$B$158&amp;".energy[Tech description]")&amp;INDIRECT($B$3&amp;"."&amp;$B$158&amp;".energy[Energy description]"),0)),0)</f>
        <v>0</v>
      </c>
      <c r="X241" s="152">
        <f t="array" aca="1" ref="X241" ca="1">IFERROR(INDEX(INDIRECT($B$3&amp;"."&amp;$B$158&amp;".energy["&amp;This.year&amp;"]"),MATCH($C241&amp;X$5,INDIRECT($B$3&amp;"."&amp;$B$158&amp;".energy[Tech description]")&amp;INDIRECT($B$3&amp;"."&amp;$B$158&amp;".energy[Energy description]"),0)),0)</f>
        <v>0</v>
      </c>
      <c r="Y241" s="152">
        <f t="array" aca="1" ref="Y241" ca="1">IFERROR(INDEX(INDIRECT($B$3&amp;"."&amp;$B$158&amp;".energy["&amp;This.year&amp;"]"),MATCH($C241&amp;Y$5,INDIRECT($B$3&amp;"."&amp;$B$158&amp;".energy[Tech description]")&amp;INDIRECT($B$3&amp;"."&amp;$B$158&amp;".energy[Energy description]"),0)),0)</f>
        <v>0</v>
      </c>
      <c r="Z241" s="152">
        <f t="array" aca="1" ref="Z241" ca="1">IFERROR(INDEX(INDIRECT($B$3&amp;"."&amp;$B$158&amp;".energy["&amp;This.year&amp;"]"),MATCH($C241&amp;Z$5,INDIRECT($B$3&amp;"."&amp;$B$158&amp;".energy[Tech description]")&amp;INDIRECT($B$3&amp;"."&amp;$B$158&amp;".energy[Energy description]"),0)),0)</f>
        <v>0</v>
      </c>
      <c r="AA241" s="152">
        <f t="array" aca="1" ref="AA241" ca="1">IFERROR(INDEX(INDIRECT($B$3&amp;"."&amp;$B$158&amp;".energy["&amp;This.year&amp;"]"),MATCH($C241&amp;AA$5,INDIRECT($B$3&amp;"."&amp;$B$158&amp;".energy[Tech description]")&amp;INDIRECT($B$3&amp;"."&amp;$B$158&amp;".energy[Energy description]"),0)),0)</f>
        <v>0</v>
      </c>
      <c r="AB241" s="152">
        <f t="array" aca="1" ref="AB241" ca="1">IFERROR(INDEX(INDIRECT($B$3&amp;"."&amp;$B$158&amp;".energy["&amp;This.year&amp;"]"),MATCH($C241&amp;AB$5,INDIRECT($B$3&amp;"."&amp;$B$158&amp;".energy[Tech description]")&amp;INDIRECT($B$3&amp;"."&amp;$B$158&amp;".energy[Energy description]"),0)),0)</f>
        <v>-3.8700157409069846E-2</v>
      </c>
      <c r="AC241" s="152">
        <f t="array" aca="1" ref="AC241" ca="1">IFERROR(INDEX(INDIRECT($B$3&amp;"."&amp;$B$158&amp;".energy["&amp;This.year&amp;"]"),MATCH($C241&amp;AC$5,INDIRECT($B$3&amp;"."&amp;$B$158&amp;".energy[Tech description]")&amp;INDIRECT($B$3&amp;"."&amp;$B$158&amp;".energy[Energy description]"),0)),0)</f>
        <v>0</v>
      </c>
      <c r="AD241" s="152">
        <f t="array" aca="1" ref="AD241" ca="1">IFERROR(INDEX(INDIRECT($B$3&amp;"."&amp;$B$158&amp;".energy["&amp;This.year&amp;"]"),MATCH($C241&amp;AD$5,INDIRECT($B$3&amp;"."&amp;$B$158&amp;".energy[Tech description]")&amp;INDIRECT($B$3&amp;"."&amp;$B$158&amp;".energy[Energy description]"),0)),0)</f>
        <v>0</v>
      </c>
      <c r="AE241" s="152">
        <f t="array" aca="1" ref="AE241" ca="1">IFERROR(INDEX(INDIRECT($B$3&amp;"."&amp;$B$158&amp;".energy["&amp;This.year&amp;"]"),MATCH($C241&amp;AE$5,INDIRECT($B$3&amp;"."&amp;$B$158&amp;".energy[Tech description]")&amp;INDIRECT($B$3&amp;"."&amp;$B$158&amp;".energy[Energy description]"),0)),0)</f>
        <v>0</v>
      </c>
      <c r="AF241" s="152">
        <f t="array" aca="1" ref="AF241" ca="1">IFERROR(INDEX(INDIRECT($B$3&amp;"."&amp;$B$158&amp;".energy["&amp;This.year&amp;"]"),MATCH($C241&amp;AF$5,INDIRECT($B$3&amp;"."&amp;$B$158&amp;".energy[Tech description]")&amp;INDIRECT($B$3&amp;"."&amp;$B$158&amp;".energy[Energy description]"),0)),0)</f>
        <v>0</v>
      </c>
      <c r="AG241" s="152">
        <f t="array" aca="1" ref="AG241" ca="1">IFERROR(INDEX(INDIRECT($B$3&amp;"."&amp;$B$158&amp;".energy["&amp;This.year&amp;"]"),MATCH($C241&amp;AG$5,INDIRECT($B$3&amp;"."&amp;$B$158&amp;".energy[Tech description]")&amp;INDIRECT($B$3&amp;"."&amp;$B$158&amp;".energy[Energy description]"),0)),0)</f>
        <v>0</v>
      </c>
      <c r="AH241" s="152">
        <f t="array" aca="1" ref="AH241" ca="1">IFERROR(INDEX(INDIRECT($B$3&amp;"."&amp;$B$158&amp;".energy["&amp;This.year&amp;"]"),MATCH($C241&amp;AH$5,INDIRECT($B$3&amp;"."&amp;$B$158&amp;".energy[Tech description]")&amp;INDIRECT($B$3&amp;"."&amp;$B$158&amp;".energy[Energy description]"),0)),0)</f>
        <v>0</v>
      </c>
      <c r="AI241" s="152">
        <f t="array" aca="1" ref="AI241" ca="1">IFERROR(INDEX(INDIRECT($B$3&amp;"."&amp;$B$158&amp;".energy["&amp;This.year&amp;"]"),MATCH($C241&amp;AI$5,INDIRECT($B$3&amp;"."&amp;$B$158&amp;".energy[Tech description]")&amp;INDIRECT($B$3&amp;"."&amp;$B$158&amp;".energy[Energy description]"),0)),0)</f>
        <v>0</v>
      </c>
      <c r="AJ241" s="152">
        <f t="array" aca="1" ref="AJ241" ca="1">IFERROR(INDEX(INDIRECT($B$3&amp;"."&amp;$B$158&amp;".energy["&amp;This.year&amp;"]"),MATCH($C241&amp;AJ$5,INDIRECT($B$3&amp;"."&amp;$B$158&amp;".energy[Tech description]")&amp;INDIRECT($B$3&amp;"."&amp;$B$158&amp;".energy[Energy description]"),0)),0)</f>
        <v>0</v>
      </c>
      <c r="AK241" s="152">
        <f t="array" aca="1" ref="AK241" ca="1">IFERROR(INDEX(INDIRECT($B$3&amp;"."&amp;$B$158&amp;".energy["&amp;This.year&amp;"]"),MATCH($C241&amp;AK$5,INDIRECT($B$3&amp;"."&amp;$B$158&amp;".energy[Tech description]")&amp;INDIRECT($B$3&amp;"."&amp;$B$158&amp;".energy[Energy description]"),0)),0)</f>
        <v>0</v>
      </c>
      <c r="AL241" s="152">
        <f t="array" aca="1" ref="AL241" ca="1">IFERROR(INDEX(INDIRECT($B$3&amp;"."&amp;$B$158&amp;".energy["&amp;This.year&amp;"]"),MATCH($C241&amp;AL$5,INDIRECT($B$3&amp;"."&amp;$B$158&amp;".energy[Tech description]")&amp;INDIRECT($B$3&amp;"."&amp;$B$158&amp;".energy[Energy description]"),0)),0)</f>
        <v>0</v>
      </c>
      <c r="AM241" s="152">
        <f t="array" aca="1" ref="AM241" ca="1">IFERROR(INDEX(INDIRECT($B$3&amp;"."&amp;$B$158&amp;".energy["&amp;This.year&amp;"]"),MATCH($C241&amp;AM$5,INDIRECT($B$3&amp;"."&amp;$B$158&amp;".energy[Tech description]")&amp;INDIRECT($B$3&amp;"."&amp;$B$158&amp;".energy[Energy description]"),0)),0)</f>
        <v>0</v>
      </c>
      <c r="AN241" s="152">
        <f t="array" aca="1" ref="AN241" ca="1">IFERROR(INDEX(INDIRECT($B$3&amp;"."&amp;$B$158&amp;".energy["&amp;This.year&amp;"]"),MATCH($C241&amp;AN$5,INDIRECT($B$3&amp;"."&amp;$B$158&amp;".energy[Tech description]")&amp;INDIRECT($B$3&amp;"."&amp;$B$158&amp;".energy[Energy description]"),0)),0)</f>
        <v>0</v>
      </c>
      <c r="AO241" s="152">
        <f t="shared" ca="1" si="35"/>
        <v>-3.8700157409069846E-2</v>
      </c>
      <c r="AP241" s="108"/>
      <c r="AQ241" s="21">
        <f t="array" aca="1" ref="AQ241" ca="1">IFERROR(INDEX(INDIRECT($B$3&amp;"."&amp;$B$158&amp;".energy["&amp;This.year&amp;"]"),MATCH($C241&amp;AQ$5,INDIRECT($B$3&amp;"."&amp;$B$158&amp;".energy[Tech description]")&amp;INDIRECT($B$3&amp;"."&amp;$B$158&amp;".energy[Energy description]"),0)),0)</f>
        <v>0</v>
      </c>
      <c r="AR241" s="21">
        <f t="array" aca="1" ref="AR241" ca="1">IFERROR(INDEX(INDIRECT($B$3&amp;"."&amp;$B$158&amp;".energy["&amp;This.year&amp;"]"),MATCH($C241&amp;AR$5,INDIRECT($B$3&amp;"."&amp;$B$158&amp;".energy[Tech description]")&amp;INDIRECT($B$3&amp;"."&amp;$B$158&amp;".energy[Energy description]"),0)),0)</f>
        <v>0</v>
      </c>
      <c r="AS241" s="21">
        <f t="array" aca="1" ref="AS241" ca="1">IFERROR(INDEX(INDIRECT($B$3&amp;"."&amp;$B$158&amp;".energy["&amp;This.year&amp;"]"),MATCH($C241&amp;AS$5,INDIRECT($B$3&amp;"."&amp;$B$158&amp;".energy[Tech description]")&amp;INDIRECT($B$3&amp;"."&amp;$B$158&amp;".energy[Energy description]"),0)),0)</f>
        <v>0</v>
      </c>
      <c r="AT241" s="21">
        <f t="array" aca="1" ref="AT241" ca="1">IFERROR(INDEX(INDIRECT($B$3&amp;"."&amp;$B$158&amp;".energy["&amp;This.year&amp;"]"),MATCH($C241&amp;AT$5,INDIRECT($B$3&amp;"."&amp;$B$158&amp;".energy[Tech description]")&amp;INDIRECT($B$3&amp;"."&amp;$B$158&amp;".energy[Energy description]"),0)),0)</f>
        <v>0</v>
      </c>
      <c r="AU241" s="21">
        <f t="array" aca="1" ref="AU241" ca="1">IFERROR(INDEX(INDIRECT($B$3&amp;"."&amp;$B$158&amp;".energy["&amp;This.year&amp;"]"),MATCH($C241&amp;AU$5,INDIRECT($B$3&amp;"."&amp;$B$158&amp;".energy[Tech description]")&amp;INDIRECT($B$3&amp;"."&amp;$B$158&amp;".energy[Energy description]"),0)),0)</f>
        <v>0</v>
      </c>
      <c r="AV241" s="21">
        <f t="array" aca="1" ref="AV241" ca="1">IFERROR(INDEX(INDIRECT($B$3&amp;"."&amp;$B$158&amp;".energy["&amp;This.year&amp;"]"),MATCH($C241&amp;AV$5,INDIRECT($B$3&amp;"."&amp;$B$158&amp;".energy[Tech description]")&amp;INDIRECT($B$3&amp;"."&amp;$B$158&amp;".energy[Energy description]"),0)),0)</f>
        <v>0</v>
      </c>
      <c r="AW241" s="21">
        <f t="array" aca="1" ref="AW241" ca="1">IFERROR(INDEX(INDIRECT($B$3&amp;"."&amp;$B$158&amp;".energy["&amp;This.year&amp;"]"),MATCH($C241&amp;AW$5,INDIRECT($B$3&amp;"."&amp;$B$158&amp;".energy[Tech description]")&amp;INDIRECT($B$3&amp;"."&amp;$B$158&amp;".energy[Energy description]"),0)),0)</f>
        <v>0</v>
      </c>
      <c r="AX241" s="21">
        <f t="array" aca="1" ref="AX241" ca="1">IFERROR(INDEX(INDIRECT($B$3&amp;"."&amp;$B$158&amp;".energy["&amp;This.year&amp;"]"),MATCH($C241&amp;AX$5,INDIRECT($B$3&amp;"."&amp;$B$158&amp;".energy[Tech description]")&amp;INDIRECT($B$3&amp;"."&amp;$B$158&amp;".energy[Energy description]"),0)),0)</f>
        <v>0</v>
      </c>
      <c r="AY241" s="21">
        <f t="array" aca="1" ref="AY241" ca="1">IFERROR(INDEX(INDIRECT($B$3&amp;"."&amp;$B$158&amp;".energy["&amp;This.year&amp;"]"),MATCH($C241&amp;AY$5,INDIRECT($B$3&amp;"."&amp;$B$158&amp;".energy[Tech description]")&amp;INDIRECT($B$3&amp;"."&amp;$B$158&amp;".energy[Energy description]"),0)),0)</f>
        <v>0</v>
      </c>
      <c r="AZ241" s="21">
        <f t="array" aca="1" ref="AZ241" ca="1">IFERROR(INDEX(INDIRECT($B$3&amp;"."&amp;$B$158&amp;".energy["&amp;This.year&amp;"]"),MATCH($C241&amp;AZ$5,INDIRECT($B$3&amp;"."&amp;$B$158&amp;".energy[Tech description]")&amp;INDIRECT($B$3&amp;"."&amp;$B$158&amp;".energy[Energy description]"),0)),0)</f>
        <v>0</v>
      </c>
      <c r="BA241" s="21">
        <f t="array" aca="1" ref="BA241" ca="1">IFERROR(INDEX(INDIRECT($B$3&amp;"."&amp;$B$158&amp;".energy["&amp;This.year&amp;"]"),MATCH($C241&amp;BA$5,INDIRECT($B$3&amp;"."&amp;$B$158&amp;".energy[Tech description]")&amp;INDIRECT($B$3&amp;"."&amp;$B$158&amp;".energy[Energy description]"),0)),0)</f>
        <v>0</v>
      </c>
      <c r="BB241" s="21">
        <f t="array" aca="1" ref="BB241" ca="1">IFERROR(INDEX(INDIRECT($B$3&amp;"."&amp;$B$158&amp;".energy["&amp;This.year&amp;"]"),MATCH($C241&amp;BB$5,INDIRECT($B$3&amp;"."&amp;$B$158&amp;".energy[Tech description]")&amp;INDIRECT($B$3&amp;"."&amp;$B$158&amp;".energy[Energy description]"),0)),0)</f>
        <v>0</v>
      </c>
      <c r="BC241" s="21">
        <f t="array" aca="1" ref="BC241" ca="1">IFERROR(INDEX(INDIRECT($B$3&amp;"."&amp;$B$158&amp;".energy["&amp;This.year&amp;"]"),MATCH($C241&amp;BC$5,INDIRECT($B$3&amp;"."&amp;$B$158&amp;".energy[Tech description]")&amp;INDIRECT($B$3&amp;"."&amp;$B$158&amp;".energy[Energy description]"),0)),0)</f>
        <v>0</v>
      </c>
      <c r="BD241" s="21">
        <f t="shared" ca="1" si="36"/>
        <v>0</v>
      </c>
      <c r="BE241" s="108"/>
      <c r="BF241" s="49">
        <f t="array" aca="1" ref="BF241" ca="1">IFERROR(INDEX(INDIRECT($B$3&amp;"."&amp;$B$158&amp;".energy["&amp;This.year&amp;"]"),MATCH($C241&amp;BF$5,INDIRECT($B$3&amp;"."&amp;$B$158&amp;".energy[Tech description]")&amp;INDIRECT($B$3&amp;"."&amp;$B$158&amp;".energy[Energy description]"),0)),0)</f>
        <v>0</v>
      </c>
      <c r="BG241" s="49">
        <f t="array" aca="1" ref="BG241" ca="1">IFERROR(INDEX(INDIRECT($B$3&amp;"."&amp;$B$158&amp;".energy["&amp;This.year&amp;"]"),MATCH($C241&amp;BG$5,INDIRECT($B$3&amp;"."&amp;$B$158&amp;".energy[Tech description]")&amp;INDIRECT($B$3&amp;"."&amp;$B$158&amp;".energy[Energy description]"),0)),0)</f>
        <v>0</v>
      </c>
      <c r="BH241" s="49">
        <f t="shared" ca="1" si="37"/>
        <v>0</v>
      </c>
      <c r="BI241" s="219">
        <f t="shared" ca="1" si="38"/>
        <v>0</v>
      </c>
      <c r="BJ241" s="108"/>
    </row>
    <row r="242" spans="1:62" s="54" customFormat="1">
      <c r="A242" s="133"/>
      <c r="B242" s="176" t="s">
        <v>1858</v>
      </c>
      <c r="C242" s="114" t="str">
        <f>INDEX(Regional.Technologies[Description],MATCH($B$3&amp;"."&amp;B242,Regional.Technologies[Code],0))</f>
        <v>Global Natural Gas use in the Pulp &amp; paper: Recycled technology</v>
      </c>
      <c r="E242" s="121">
        <f t="array" aca="1" ref="E242" ca="1">IFERROR(INDEX(INDIRECT($B$3&amp;"."&amp;$B$158&amp;".energy["&amp;This.year&amp;"]"),MATCH($C242&amp;E$5,INDIRECT($B$3&amp;"."&amp;$B$158&amp;".energy[Tech description]")&amp;INDIRECT($B$3&amp;"."&amp;$B$158&amp;".energy[Energy description]"),0)),0)</f>
        <v>0</v>
      </c>
      <c r="F242" s="121">
        <f t="array" aca="1" ref="F242" ca="1">IFERROR(INDEX(INDIRECT($B$3&amp;"."&amp;$B$158&amp;".energy["&amp;This.year&amp;"]"),MATCH($C242&amp;F$5,INDIRECT($B$3&amp;"."&amp;$B$158&amp;".energy[Tech description]")&amp;INDIRECT($B$3&amp;"."&amp;$B$158&amp;".energy[Energy description]"),0)),0)</f>
        <v>0</v>
      </c>
      <c r="G242" s="121">
        <f t="array" aca="1" ref="G242" ca="1">IFERROR(INDEX(INDIRECT($B$3&amp;"."&amp;$B$158&amp;".energy["&amp;This.year&amp;"]"),MATCH($C242&amp;G$5,INDIRECT($B$3&amp;"."&amp;$B$158&amp;".energy[Tech description]")&amp;INDIRECT($B$3&amp;"."&amp;$B$158&amp;".energy[Energy description]"),0)),0)</f>
        <v>0</v>
      </c>
      <c r="H242" s="121">
        <f t="array" aca="1" ref="H242" ca="1">IFERROR(INDEX(INDIRECT($B$3&amp;"."&amp;$B$158&amp;".energy["&amp;This.year&amp;"]"),MATCH($C242&amp;H$5,INDIRECT($B$3&amp;"."&amp;$B$158&amp;".energy[Tech description]")&amp;INDIRECT($B$3&amp;"."&amp;$B$158&amp;".energy[Energy description]"),0)),0)</f>
        <v>0</v>
      </c>
      <c r="I242" s="121">
        <f t="array" aca="1" ref="I242" ca="1">IFERROR(INDEX(INDIRECT($B$3&amp;"."&amp;$B$158&amp;".energy["&amp;This.year&amp;"]"),MATCH($C242&amp;I$5,INDIRECT($B$3&amp;"."&amp;$B$158&amp;".energy[Tech description]")&amp;INDIRECT($B$3&amp;"."&amp;$B$158&amp;".energy[Energy description]"),0)),0)</f>
        <v>0</v>
      </c>
      <c r="J242" s="121">
        <f t="array" aca="1" ref="J242" ca="1">IFERROR(INDEX(INDIRECT($B$3&amp;"."&amp;$B$158&amp;".energy["&amp;This.year&amp;"]"),MATCH($C242&amp;J$5,INDIRECT($B$3&amp;"."&amp;$B$158&amp;".energy[Tech description]")&amp;INDIRECT($B$3&amp;"."&amp;$B$158&amp;".energy[Energy description]"),0)),0)</f>
        <v>0.11936470129372101</v>
      </c>
      <c r="K242" s="121">
        <f t="array" aca="1" ref="K242" ca="1">IFERROR(INDEX(INDIRECT($B$3&amp;"."&amp;$B$158&amp;".energy["&amp;This.year&amp;"]"),MATCH($C242&amp;K$5,INDIRECT($B$3&amp;"."&amp;$B$158&amp;".energy[Tech description]")&amp;INDIRECT($B$3&amp;"."&amp;$B$158&amp;".energy[Energy description]"),0)),0)</f>
        <v>0</v>
      </c>
      <c r="L242" s="121">
        <f t="array" aca="1" ref="L242" ca="1">IFERROR(INDEX(INDIRECT($B$3&amp;"."&amp;$B$158&amp;".energy["&amp;This.year&amp;"]"),MATCH($C242&amp;L$5,INDIRECT($B$3&amp;"."&amp;$B$158&amp;".energy[Tech description]")&amp;INDIRECT($B$3&amp;"."&amp;$B$158&amp;".energy[Energy description]"),0)),0)</f>
        <v>0</v>
      </c>
      <c r="M242" s="121">
        <f t="array" aca="1" ref="M242" ca="1">IFERROR(INDEX(INDIRECT($B$3&amp;"."&amp;$B$158&amp;".energy["&amp;This.year&amp;"]"),MATCH($C242&amp;M$5,INDIRECT($B$3&amp;"."&amp;$B$158&amp;".energy[Tech description]")&amp;INDIRECT($B$3&amp;"."&amp;$B$158&amp;".energy[Energy description]"),0)),0)</f>
        <v>0</v>
      </c>
      <c r="N242" s="121">
        <f t="array" aca="1" ref="N242" ca="1">IFERROR(INDEX(INDIRECT($B$3&amp;"."&amp;$B$158&amp;".energy["&amp;This.year&amp;"]"),MATCH($C242&amp;N$5,INDIRECT($B$3&amp;"."&amp;$B$158&amp;".energy[Tech description]")&amp;INDIRECT($B$3&amp;"."&amp;$B$158&amp;".energy[Energy description]"),0)),0)</f>
        <v>0</v>
      </c>
      <c r="O242" s="121">
        <f t="array" aca="1" ref="O242" ca="1">IFERROR(INDEX(INDIRECT($B$3&amp;"."&amp;$B$158&amp;".energy["&amp;This.year&amp;"]"),MATCH($C242&amp;O$5,INDIRECT($B$3&amp;"."&amp;$B$158&amp;".energy[Tech description]")&amp;INDIRECT($B$3&amp;"."&amp;$B$158&amp;".energy[Energy description]"),0)),0)</f>
        <v>0</v>
      </c>
      <c r="P242" s="121">
        <f t="array" aca="1" ref="P242" ca="1">IFERROR(INDEX(INDIRECT($B$3&amp;"."&amp;$B$158&amp;".energy["&amp;This.year&amp;"]"),MATCH($C242&amp;P$5,INDIRECT($B$3&amp;"."&amp;$B$158&amp;".energy[Tech description]")&amp;INDIRECT($B$3&amp;"."&amp;$B$158&amp;".energy[Energy description]"),0)),0)</f>
        <v>0</v>
      </c>
      <c r="Q242" s="121">
        <f t="array" aca="1" ref="Q242" ca="1">IFERROR(INDEX(INDIRECT($B$3&amp;"."&amp;$B$158&amp;".energy["&amp;This.year&amp;"]"),MATCH($C242&amp;Q$5,INDIRECT($B$3&amp;"."&amp;$B$158&amp;".energy[Tech description]")&amp;INDIRECT($B$3&amp;"."&amp;$B$158&amp;".energy[Energy description]"),0)),0)</f>
        <v>0</v>
      </c>
      <c r="R242" s="121">
        <f t="array" aca="1" ref="R242" ca="1">IFERROR(INDEX(INDIRECT($B$3&amp;"."&amp;$B$158&amp;".energy["&amp;This.year&amp;"]"),MATCH($C242&amp;R$5,INDIRECT($B$3&amp;"."&amp;$B$158&amp;".energy[Tech description]")&amp;INDIRECT($B$3&amp;"."&amp;$B$158&amp;".energy[Energy description]"),0)),0)</f>
        <v>0</v>
      </c>
      <c r="S242" s="121">
        <f t="array" aca="1" ref="S242" ca="1">IFERROR(INDEX(INDIRECT($B$3&amp;"."&amp;$B$158&amp;".energy["&amp;This.year&amp;"]"),MATCH($C242&amp;S$5,INDIRECT($B$3&amp;"."&amp;$B$158&amp;".energy[Tech description]")&amp;INDIRECT($B$3&amp;"."&amp;$B$158&amp;".energy[Energy description]"),0)),0)</f>
        <v>0</v>
      </c>
      <c r="T242" s="121">
        <f t="shared" ca="1" si="34"/>
        <v>0.11936470129372101</v>
      </c>
      <c r="U242" s="109"/>
      <c r="V242" s="152">
        <f t="array" aca="1" ref="V242" ca="1">IFERROR(INDEX(INDIRECT($B$3&amp;"."&amp;$B$158&amp;".energy["&amp;This.year&amp;"]"),MATCH($C242&amp;V$5,INDIRECT($B$3&amp;"."&amp;$B$158&amp;".energy[Tech description]")&amp;INDIRECT($B$3&amp;"."&amp;$B$158&amp;".energy[Energy description]"),0)),0)</f>
        <v>0</v>
      </c>
      <c r="W242" s="152">
        <f t="array" aca="1" ref="W242" ca="1">IFERROR(INDEX(INDIRECT($B$3&amp;"."&amp;$B$158&amp;".energy["&amp;This.year&amp;"]"),MATCH($C242&amp;W$5,INDIRECT($B$3&amp;"."&amp;$B$158&amp;".energy[Tech description]")&amp;INDIRECT($B$3&amp;"."&amp;$B$158&amp;".energy[Energy description]"),0)),0)</f>
        <v>0</v>
      </c>
      <c r="X242" s="152">
        <f t="array" aca="1" ref="X242" ca="1">IFERROR(INDEX(INDIRECT($B$3&amp;"."&amp;$B$158&amp;".energy["&amp;This.year&amp;"]"),MATCH($C242&amp;X$5,INDIRECT($B$3&amp;"."&amp;$B$158&amp;".energy[Tech description]")&amp;INDIRECT($B$3&amp;"."&amp;$B$158&amp;".energy[Energy description]"),0)),0)</f>
        <v>0</v>
      </c>
      <c r="Y242" s="152">
        <f t="array" aca="1" ref="Y242" ca="1">IFERROR(INDEX(INDIRECT($B$3&amp;"."&amp;$B$158&amp;".energy["&amp;This.year&amp;"]"),MATCH($C242&amp;Y$5,INDIRECT($B$3&amp;"."&amp;$B$158&amp;".energy[Tech description]")&amp;INDIRECT($B$3&amp;"."&amp;$B$158&amp;".energy[Energy description]"),0)),0)</f>
        <v>0</v>
      </c>
      <c r="Z242" s="152">
        <f t="array" aca="1" ref="Z242" ca="1">IFERROR(INDEX(INDIRECT($B$3&amp;"."&amp;$B$158&amp;".energy["&amp;This.year&amp;"]"),MATCH($C242&amp;Z$5,INDIRECT($B$3&amp;"."&amp;$B$158&amp;".energy[Tech description]")&amp;INDIRECT($B$3&amp;"."&amp;$B$158&amp;".energy[Energy description]"),0)),0)</f>
        <v>0</v>
      </c>
      <c r="AA242" s="152">
        <f t="array" aca="1" ref="AA242" ca="1">IFERROR(INDEX(INDIRECT($B$3&amp;"."&amp;$B$158&amp;".energy["&amp;This.year&amp;"]"),MATCH($C242&amp;AA$5,INDIRECT($B$3&amp;"."&amp;$B$158&amp;".energy[Tech description]")&amp;INDIRECT($B$3&amp;"."&amp;$B$158&amp;".energy[Energy description]"),0)),0)</f>
        <v>0</v>
      </c>
      <c r="AB242" s="152">
        <f t="array" aca="1" ref="AB242" ca="1">IFERROR(INDEX(INDIRECT($B$3&amp;"."&amp;$B$158&amp;".energy["&amp;This.year&amp;"]"),MATCH($C242&amp;AB$5,INDIRECT($B$3&amp;"."&amp;$B$158&amp;".energy[Tech description]")&amp;INDIRECT($B$3&amp;"."&amp;$B$158&amp;".energy[Energy description]"),0)),0)</f>
        <v>0</v>
      </c>
      <c r="AC242" s="152">
        <f t="array" aca="1" ref="AC242" ca="1">IFERROR(INDEX(INDIRECT($B$3&amp;"."&amp;$B$158&amp;".energy["&amp;This.year&amp;"]"),MATCH($C242&amp;AC$5,INDIRECT($B$3&amp;"."&amp;$B$158&amp;".energy[Tech description]")&amp;INDIRECT($B$3&amp;"."&amp;$B$158&amp;".energy[Energy description]"),0)),0)</f>
        <v>-0.11936470129372101</v>
      </c>
      <c r="AD242" s="152">
        <f t="array" aca="1" ref="AD242" ca="1">IFERROR(INDEX(INDIRECT($B$3&amp;"."&amp;$B$158&amp;".energy["&amp;This.year&amp;"]"),MATCH($C242&amp;AD$5,INDIRECT($B$3&amp;"."&amp;$B$158&amp;".energy[Tech description]")&amp;INDIRECT($B$3&amp;"."&amp;$B$158&amp;".energy[Energy description]"),0)),0)</f>
        <v>0</v>
      </c>
      <c r="AE242" s="152">
        <f t="array" aca="1" ref="AE242" ca="1">IFERROR(INDEX(INDIRECT($B$3&amp;"."&amp;$B$158&amp;".energy["&amp;This.year&amp;"]"),MATCH($C242&amp;AE$5,INDIRECT($B$3&amp;"."&amp;$B$158&amp;".energy[Tech description]")&amp;INDIRECT($B$3&amp;"."&amp;$B$158&amp;".energy[Energy description]"),0)),0)</f>
        <v>0</v>
      </c>
      <c r="AF242" s="152">
        <f t="array" aca="1" ref="AF242" ca="1">IFERROR(INDEX(INDIRECT($B$3&amp;"."&amp;$B$158&amp;".energy["&amp;This.year&amp;"]"),MATCH($C242&amp;AF$5,INDIRECT($B$3&amp;"."&amp;$B$158&amp;".energy[Tech description]")&amp;INDIRECT($B$3&amp;"."&amp;$B$158&amp;".energy[Energy description]"),0)),0)</f>
        <v>0</v>
      </c>
      <c r="AG242" s="152">
        <f t="array" aca="1" ref="AG242" ca="1">IFERROR(INDEX(INDIRECT($B$3&amp;"."&amp;$B$158&amp;".energy["&amp;This.year&amp;"]"),MATCH($C242&amp;AG$5,INDIRECT($B$3&amp;"."&amp;$B$158&amp;".energy[Tech description]")&amp;INDIRECT($B$3&amp;"."&amp;$B$158&amp;".energy[Energy description]"),0)),0)</f>
        <v>0</v>
      </c>
      <c r="AH242" s="152">
        <f t="array" aca="1" ref="AH242" ca="1">IFERROR(INDEX(INDIRECT($B$3&amp;"."&amp;$B$158&amp;".energy["&amp;This.year&amp;"]"),MATCH($C242&amp;AH$5,INDIRECT($B$3&amp;"."&amp;$B$158&amp;".energy[Tech description]")&amp;INDIRECT($B$3&amp;"."&amp;$B$158&amp;".energy[Energy description]"),0)),0)</f>
        <v>0</v>
      </c>
      <c r="AI242" s="152">
        <f t="array" aca="1" ref="AI242" ca="1">IFERROR(INDEX(INDIRECT($B$3&amp;"."&amp;$B$158&amp;".energy["&amp;This.year&amp;"]"),MATCH($C242&amp;AI$5,INDIRECT($B$3&amp;"."&amp;$B$158&amp;".energy[Tech description]")&amp;INDIRECT($B$3&amp;"."&amp;$B$158&amp;".energy[Energy description]"),0)),0)</f>
        <v>0</v>
      </c>
      <c r="AJ242" s="152">
        <f t="array" aca="1" ref="AJ242" ca="1">IFERROR(INDEX(INDIRECT($B$3&amp;"."&amp;$B$158&amp;".energy["&amp;This.year&amp;"]"),MATCH($C242&amp;AJ$5,INDIRECT($B$3&amp;"."&amp;$B$158&amp;".energy[Tech description]")&amp;INDIRECT($B$3&amp;"."&amp;$B$158&amp;".energy[Energy description]"),0)),0)</f>
        <v>0</v>
      </c>
      <c r="AK242" s="152">
        <f t="array" aca="1" ref="AK242" ca="1">IFERROR(INDEX(INDIRECT($B$3&amp;"."&amp;$B$158&amp;".energy["&amp;This.year&amp;"]"),MATCH($C242&amp;AK$5,INDIRECT($B$3&amp;"."&amp;$B$158&amp;".energy[Tech description]")&amp;INDIRECT($B$3&amp;"."&amp;$B$158&amp;".energy[Energy description]"),0)),0)</f>
        <v>0</v>
      </c>
      <c r="AL242" s="152">
        <f t="array" aca="1" ref="AL242" ca="1">IFERROR(INDEX(INDIRECT($B$3&amp;"."&amp;$B$158&amp;".energy["&amp;This.year&amp;"]"),MATCH($C242&amp;AL$5,INDIRECT($B$3&amp;"."&amp;$B$158&amp;".energy[Tech description]")&amp;INDIRECT($B$3&amp;"."&amp;$B$158&amp;".energy[Energy description]"),0)),0)</f>
        <v>0</v>
      </c>
      <c r="AM242" s="152">
        <f t="array" aca="1" ref="AM242" ca="1">IFERROR(INDEX(INDIRECT($B$3&amp;"."&amp;$B$158&amp;".energy["&amp;This.year&amp;"]"),MATCH($C242&amp;AM$5,INDIRECT($B$3&amp;"."&amp;$B$158&amp;".energy[Tech description]")&amp;INDIRECT($B$3&amp;"."&amp;$B$158&amp;".energy[Energy description]"),0)),0)</f>
        <v>0</v>
      </c>
      <c r="AN242" s="152">
        <f t="array" aca="1" ref="AN242" ca="1">IFERROR(INDEX(INDIRECT($B$3&amp;"."&amp;$B$158&amp;".energy["&amp;This.year&amp;"]"),MATCH($C242&amp;AN$5,INDIRECT($B$3&amp;"."&amp;$B$158&amp;".energy[Tech description]")&amp;INDIRECT($B$3&amp;"."&amp;$B$158&amp;".energy[Energy description]"),0)),0)</f>
        <v>0</v>
      </c>
      <c r="AO242" s="152">
        <f t="shared" ca="1" si="35"/>
        <v>-0.11936470129372101</v>
      </c>
      <c r="AP242" s="108"/>
      <c r="AQ242" s="21">
        <f t="array" aca="1" ref="AQ242" ca="1">IFERROR(INDEX(INDIRECT($B$3&amp;"."&amp;$B$158&amp;".energy["&amp;This.year&amp;"]"),MATCH($C242&amp;AQ$5,INDIRECT($B$3&amp;"."&amp;$B$158&amp;".energy[Tech description]")&amp;INDIRECT($B$3&amp;"."&amp;$B$158&amp;".energy[Energy description]"),0)),0)</f>
        <v>0</v>
      </c>
      <c r="AR242" s="21">
        <f t="array" aca="1" ref="AR242" ca="1">IFERROR(INDEX(INDIRECT($B$3&amp;"."&amp;$B$158&amp;".energy["&amp;This.year&amp;"]"),MATCH($C242&amp;AR$5,INDIRECT($B$3&amp;"."&amp;$B$158&amp;".energy[Tech description]")&amp;INDIRECT($B$3&amp;"."&amp;$B$158&amp;".energy[Energy description]"),0)),0)</f>
        <v>0</v>
      </c>
      <c r="AS242" s="21">
        <f t="array" aca="1" ref="AS242" ca="1">IFERROR(INDEX(INDIRECT($B$3&amp;"."&amp;$B$158&amp;".energy["&amp;This.year&amp;"]"),MATCH($C242&amp;AS$5,INDIRECT($B$3&amp;"."&amp;$B$158&amp;".energy[Tech description]")&amp;INDIRECT($B$3&amp;"."&amp;$B$158&amp;".energy[Energy description]"),0)),0)</f>
        <v>0</v>
      </c>
      <c r="AT242" s="21">
        <f t="array" aca="1" ref="AT242" ca="1">IFERROR(INDEX(INDIRECT($B$3&amp;"."&amp;$B$158&amp;".energy["&amp;This.year&amp;"]"),MATCH($C242&amp;AT$5,INDIRECT($B$3&amp;"."&amp;$B$158&amp;".energy[Tech description]")&amp;INDIRECT($B$3&amp;"."&amp;$B$158&amp;".energy[Energy description]"),0)),0)</f>
        <v>0</v>
      </c>
      <c r="AU242" s="21">
        <f t="array" aca="1" ref="AU242" ca="1">IFERROR(INDEX(INDIRECT($B$3&amp;"."&amp;$B$158&amp;".energy["&amp;This.year&amp;"]"),MATCH($C242&amp;AU$5,INDIRECT($B$3&amp;"."&amp;$B$158&amp;".energy[Tech description]")&amp;INDIRECT($B$3&amp;"."&amp;$B$158&amp;".energy[Energy description]"),0)),0)</f>
        <v>0</v>
      </c>
      <c r="AV242" s="21">
        <f t="array" aca="1" ref="AV242" ca="1">IFERROR(INDEX(INDIRECT($B$3&amp;"."&amp;$B$158&amp;".energy["&amp;This.year&amp;"]"),MATCH($C242&amp;AV$5,INDIRECT($B$3&amp;"."&amp;$B$158&amp;".energy[Tech description]")&amp;INDIRECT($B$3&amp;"."&amp;$B$158&amp;".energy[Energy description]"),0)),0)</f>
        <v>0</v>
      </c>
      <c r="AW242" s="21">
        <f t="array" aca="1" ref="AW242" ca="1">IFERROR(INDEX(INDIRECT($B$3&amp;"."&amp;$B$158&amp;".energy["&amp;This.year&amp;"]"),MATCH($C242&amp;AW$5,INDIRECT($B$3&amp;"."&amp;$B$158&amp;".energy[Tech description]")&amp;INDIRECT($B$3&amp;"."&amp;$B$158&amp;".energy[Energy description]"),0)),0)</f>
        <v>0</v>
      </c>
      <c r="AX242" s="21">
        <f t="array" aca="1" ref="AX242" ca="1">IFERROR(INDEX(INDIRECT($B$3&amp;"."&amp;$B$158&amp;".energy["&amp;This.year&amp;"]"),MATCH($C242&amp;AX$5,INDIRECT($B$3&amp;"."&amp;$B$158&amp;".energy[Tech description]")&amp;INDIRECT($B$3&amp;"."&amp;$B$158&amp;".energy[Energy description]"),0)),0)</f>
        <v>0</v>
      </c>
      <c r="AY242" s="21">
        <f t="array" aca="1" ref="AY242" ca="1">IFERROR(INDEX(INDIRECT($B$3&amp;"."&amp;$B$158&amp;".energy["&amp;This.year&amp;"]"),MATCH($C242&amp;AY$5,INDIRECT($B$3&amp;"."&amp;$B$158&amp;".energy[Tech description]")&amp;INDIRECT($B$3&amp;"."&amp;$B$158&amp;".energy[Energy description]"),0)),0)</f>
        <v>0</v>
      </c>
      <c r="AZ242" s="21">
        <f t="array" aca="1" ref="AZ242" ca="1">IFERROR(INDEX(INDIRECT($B$3&amp;"."&amp;$B$158&amp;".energy["&amp;This.year&amp;"]"),MATCH($C242&amp;AZ$5,INDIRECT($B$3&amp;"."&amp;$B$158&amp;".energy[Tech description]")&amp;INDIRECT($B$3&amp;"."&amp;$B$158&amp;".energy[Energy description]"),0)),0)</f>
        <v>0</v>
      </c>
      <c r="BA242" s="21">
        <f t="array" aca="1" ref="BA242" ca="1">IFERROR(INDEX(INDIRECT($B$3&amp;"."&amp;$B$158&amp;".energy["&amp;This.year&amp;"]"),MATCH($C242&amp;BA$5,INDIRECT($B$3&amp;"."&amp;$B$158&amp;".energy[Tech description]")&amp;INDIRECT($B$3&amp;"."&amp;$B$158&amp;".energy[Energy description]"),0)),0)</f>
        <v>0</v>
      </c>
      <c r="BB242" s="21">
        <f t="array" aca="1" ref="BB242" ca="1">IFERROR(INDEX(INDIRECT($B$3&amp;"."&amp;$B$158&amp;".energy["&amp;This.year&amp;"]"),MATCH($C242&amp;BB$5,INDIRECT($B$3&amp;"."&amp;$B$158&amp;".energy[Tech description]")&amp;INDIRECT($B$3&amp;"."&amp;$B$158&amp;".energy[Energy description]"),0)),0)</f>
        <v>0</v>
      </c>
      <c r="BC242" s="21">
        <f t="array" aca="1" ref="BC242" ca="1">IFERROR(INDEX(INDIRECT($B$3&amp;"."&amp;$B$158&amp;".energy["&amp;This.year&amp;"]"),MATCH($C242&amp;BC$5,INDIRECT($B$3&amp;"."&amp;$B$158&amp;".energy[Tech description]")&amp;INDIRECT($B$3&amp;"."&amp;$B$158&amp;".energy[Energy description]"),0)),0)</f>
        <v>0</v>
      </c>
      <c r="BD242" s="21">
        <f t="shared" ca="1" si="36"/>
        <v>0</v>
      </c>
      <c r="BE242" s="108"/>
      <c r="BF242" s="49">
        <f t="array" aca="1" ref="BF242" ca="1">IFERROR(INDEX(INDIRECT($B$3&amp;"."&amp;$B$158&amp;".energy["&amp;This.year&amp;"]"),MATCH($C242&amp;BF$5,INDIRECT($B$3&amp;"."&amp;$B$158&amp;".energy[Tech description]")&amp;INDIRECT($B$3&amp;"."&amp;$B$158&amp;".energy[Energy description]"),0)),0)</f>
        <v>0</v>
      </c>
      <c r="BG242" s="49">
        <f t="array" aca="1" ref="BG242" ca="1">IFERROR(INDEX(INDIRECT($B$3&amp;"."&amp;$B$158&amp;".energy["&amp;This.year&amp;"]"),MATCH($C242&amp;BG$5,INDIRECT($B$3&amp;"."&amp;$B$158&amp;".energy[Tech description]")&amp;INDIRECT($B$3&amp;"."&amp;$B$158&amp;".energy[Energy description]"),0)),0)</f>
        <v>0</v>
      </c>
      <c r="BH242" s="49">
        <f t="shared" ca="1" si="37"/>
        <v>0</v>
      </c>
      <c r="BI242" s="219">
        <f t="shared" ca="1" si="38"/>
        <v>0</v>
      </c>
      <c r="BJ242" s="108"/>
    </row>
    <row r="243" spans="1:62" s="54" customFormat="1">
      <c r="A243" s="133"/>
      <c r="B243" s="176" t="s">
        <v>1859</v>
      </c>
      <c r="C243" s="114" t="str">
        <f>INDEX(Regional.Technologies[Description],MATCH($B$3&amp;"."&amp;B243,Regional.Technologies[Code],0))</f>
        <v>Global Solid Hydrocarbons use in the Pulp &amp; paper: Recycled technology</v>
      </c>
      <c r="E243" s="121">
        <f t="array" aca="1" ref="E243" ca="1">IFERROR(INDEX(INDIRECT($B$3&amp;"."&amp;$B$158&amp;".energy["&amp;This.year&amp;"]"),MATCH($C243&amp;E$5,INDIRECT($B$3&amp;"."&amp;$B$158&amp;".energy[Tech description]")&amp;INDIRECT($B$3&amp;"."&amp;$B$158&amp;".energy[Energy description]"),0)),0)</f>
        <v>0</v>
      </c>
      <c r="F243" s="121">
        <f t="array" aca="1" ref="F243" ca="1">IFERROR(INDEX(INDIRECT($B$3&amp;"."&amp;$B$158&amp;".energy["&amp;This.year&amp;"]"),MATCH($C243&amp;F$5,INDIRECT($B$3&amp;"."&amp;$B$158&amp;".energy[Tech description]")&amp;INDIRECT($B$3&amp;"."&amp;$B$158&amp;".energy[Energy description]"),0)),0)</f>
        <v>0</v>
      </c>
      <c r="G243" s="121">
        <f t="array" aca="1" ref="G243" ca="1">IFERROR(INDEX(INDIRECT($B$3&amp;"."&amp;$B$158&amp;".energy["&amp;This.year&amp;"]"),MATCH($C243&amp;G$5,INDIRECT($B$3&amp;"."&amp;$B$158&amp;".energy[Tech description]")&amp;INDIRECT($B$3&amp;"."&amp;$B$158&amp;".energy[Energy description]"),0)),0)</f>
        <v>0</v>
      </c>
      <c r="H243" s="121">
        <f t="array" aca="1" ref="H243" ca="1">IFERROR(INDEX(INDIRECT($B$3&amp;"."&amp;$B$158&amp;".energy["&amp;This.year&amp;"]"),MATCH($C243&amp;H$5,INDIRECT($B$3&amp;"."&amp;$B$158&amp;".energy[Tech description]")&amp;INDIRECT($B$3&amp;"."&amp;$B$158&amp;".energy[Energy description]"),0)),0)</f>
        <v>0</v>
      </c>
      <c r="I243" s="121">
        <f t="array" aca="1" ref="I243" ca="1">IFERROR(INDEX(INDIRECT($B$3&amp;"."&amp;$B$158&amp;".energy["&amp;This.year&amp;"]"),MATCH($C243&amp;I$5,INDIRECT($B$3&amp;"."&amp;$B$158&amp;".energy[Tech description]")&amp;INDIRECT($B$3&amp;"."&amp;$B$158&amp;".energy[Energy description]"),0)),0)</f>
        <v>0</v>
      </c>
      <c r="J243" s="121">
        <f t="array" aca="1" ref="J243" ca="1">IFERROR(INDEX(INDIRECT($B$3&amp;"."&amp;$B$158&amp;".energy["&amp;This.year&amp;"]"),MATCH($C243&amp;J$5,INDIRECT($B$3&amp;"."&amp;$B$158&amp;".energy[Tech description]")&amp;INDIRECT($B$3&amp;"."&amp;$B$158&amp;".energy[Energy description]"),0)),0)</f>
        <v>0</v>
      </c>
      <c r="K243" s="121">
        <f t="array" aca="1" ref="K243" ca="1">IFERROR(INDEX(INDIRECT($B$3&amp;"."&amp;$B$158&amp;".energy["&amp;This.year&amp;"]"),MATCH($C243&amp;K$5,INDIRECT($B$3&amp;"."&amp;$B$158&amp;".energy[Tech description]")&amp;INDIRECT($B$3&amp;"."&amp;$B$158&amp;".energy[Energy description]"),0)),0)</f>
        <v>0</v>
      </c>
      <c r="L243" s="121">
        <f t="array" aca="1" ref="L243" ca="1">IFERROR(INDEX(INDIRECT($B$3&amp;"."&amp;$B$158&amp;".energy["&amp;This.year&amp;"]"),MATCH($C243&amp;L$5,INDIRECT($B$3&amp;"."&amp;$B$158&amp;".energy[Tech description]")&amp;INDIRECT($B$3&amp;"."&amp;$B$158&amp;".energy[Energy description]"),0)),0)</f>
        <v>0</v>
      </c>
      <c r="M243" s="121">
        <f t="array" aca="1" ref="M243" ca="1">IFERROR(INDEX(INDIRECT($B$3&amp;"."&amp;$B$158&amp;".energy["&amp;This.year&amp;"]"),MATCH($C243&amp;M$5,INDIRECT($B$3&amp;"."&amp;$B$158&amp;".energy[Tech description]")&amp;INDIRECT($B$3&amp;"."&amp;$B$158&amp;".energy[Energy description]"),0)),0)</f>
        <v>0</v>
      </c>
      <c r="N243" s="121">
        <f t="array" aca="1" ref="N243" ca="1">IFERROR(INDEX(INDIRECT($B$3&amp;"."&amp;$B$158&amp;".energy["&amp;This.year&amp;"]"),MATCH($C243&amp;N$5,INDIRECT($B$3&amp;"."&amp;$B$158&amp;".energy[Tech description]")&amp;INDIRECT($B$3&amp;"."&amp;$B$158&amp;".energy[Energy description]"),0)),0)</f>
        <v>0</v>
      </c>
      <c r="O243" s="121">
        <f t="array" aca="1" ref="O243" ca="1">IFERROR(INDEX(INDIRECT($B$3&amp;"."&amp;$B$158&amp;".energy["&amp;This.year&amp;"]"),MATCH($C243&amp;O$5,INDIRECT($B$3&amp;"."&amp;$B$158&amp;".energy[Tech description]")&amp;INDIRECT($B$3&amp;"."&amp;$B$158&amp;".energy[Energy description]"),0)),0)</f>
        <v>0</v>
      </c>
      <c r="P243" s="121">
        <f t="array" aca="1" ref="P243" ca="1">IFERROR(INDEX(INDIRECT($B$3&amp;"."&amp;$B$158&amp;".energy["&amp;This.year&amp;"]"),MATCH($C243&amp;P$5,INDIRECT($B$3&amp;"."&amp;$B$158&amp;".energy[Tech description]")&amp;INDIRECT($B$3&amp;"."&amp;$B$158&amp;".energy[Energy description]"),0)),0)</f>
        <v>0</v>
      </c>
      <c r="Q243" s="121">
        <f t="array" aca="1" ref="Q243" ca="1">IFERROR(INDEX(INDIRECT($B$3&amp;"."&amp;$B$158&amp;".energy["&amp;This.year&amp;"]"),MATCH($C243&amp;Q$5,INDIRECT($B$3&amp;"."&amp;$B$158&amp;".energy[Tech description]")&amp;INDIRECT($B$3&amp;"."&amp;$B$158&amp;".energy[Energy description]"),0)),0)</f>
        <v>0</v>
      </c>
      <c r="R243" s="121">
        <f t="array" aca="1" ref="R243" ca="1">IFERROR(INDEX(INDIRECT($B$3&amp;"."&amp;$B$158&amp;".energy["&amp;This.year&amp;"]"),MATCH($C243&amp;R$5,INDIRECT($B$3&amp;"."&amp;$B$158&amp;".energy[Tech description]")&amp;INDIRECT($B$3&amp;"."&amp;$B$158&amp;".energy[Energy description]"),0)),0)</f>
        <v>0</v>
      </c>
      <c r="S243" s="121">
        <f t="array" aca="1" ref="S243" ca="1">IFERROR(INDEX(INDIRECT($B$3&amp;"."&amp;$B$158&amp;".energy["&amp;This.year&amp;"]"),MATCH($C243&amp;S$5,INDIRECT($B$3&amp;"."&amp;$B$158&amp;".energy[Tech description]")&amp;INDIRECT($B$3&amp;"."&amp;$B$158&amp;".energy[Energy description]"),0)),0)</f>
        <v>0</v>
      </c>
      <c r="T243" s="121">
        <f t="shared" ca="1" si="34"/>
        <v>0</v>
      </c>
      <c r="U243" s="109"/>
      <c r="V243" s="152">
        <f t="array" aca="1" ref="V243" ca="1">IFERROR(INDEX(INDIRECT($B$3&amp;"."&amp;$B$158&amp;".energy["&amp;This.year&amp;"]"),MATCH($C243&amp;V$5,INDIRECT($B$3&amp;"."&amp;$B$158&amp;".energy[Tech description]")&amp;INDIRECT($B$3&amp;"."&amp;$B$158&amp;".energy[Energy description]"),0)),0)</f>
        <v>0</v>
      </c>
      <c r="W243" s="152">
        <f t="array" aca="1" ref="W243" ca="1">IFERROR(INDEX(INDIRECT($B$3&amp;"."&amp;$B$158&amp;".energy["&amp;This.year&amp;"]"),MATCH($C243&amp;W$5,INDIRECT($B$3&amp;"."&amp;$B$158&amp;".energy[Tech description]")&amp;INDIRECT($B$3&amp;"."&amp;$B$158&amp;".energy[Energy description]"),0)),0)</f>
        <v>0</v>
      </c>
      <c r="X243" s="152">
        <f t="array" aca="1" ref="X243" ca="1">IFERROR(INDEX(INDIRECT($B$3&amp;"."&amp;$B$158&amp;".energy["&amp;This.year&amp;"]"),MATCH($C243&amp;X$5,INDIRECT($B$3&amp;"."&amp;$B$158&amp;".energy[Tech description]")&amp;INDIRECT($B$3&amp;"."&amp;$B$158&amp;".energy[Energy description]"),0)),0)</f>
        <v>0</v>
      </c>
      <c r="Y243" s="152">
        <f t="array" aca="1" ref="Y243" ca="1">IFERROR(INDEX(INDIRECT($B$3&amp;"."&amp;$B$158&amp;".energy["&amp;This.year&amp;"]"),MATCH($C243&amp;Y$5,INDIRECT($B$3&amp;"."&amp;$B$158&amp;".energy[Tech description]")&amp;INDIRECT($B$3&amp;"."&amp;$B$158&amp;".energy[Energy description]"),0)),0)</f>
        <v>0</v>
      </c>
      <c r="Z243" s="152">
        <f t="array" aca="1" ref="Z243" ca="1">IFERROR(INDEX(INDIRECT($B$3&amp;"."&amp;$B$158&amp;".energy["&amp;This.year&amp;"]"),MATCH($C243&amp;Z$5,INDIRECT($B$3&amp;"."&amp;$B$158&amp;".energy[Tech description]")&amp;INDIRECT($B$3&amp;"."&amp;$B$158&amp;".energy[Energy description]"),0)),0)</f>
        <v>0</v>
      </c>
      <c r="AA243" s="152">
        <f t="array" aca="1" ref="AA243" ca="1">IFERROR(INDEX(INDIRECT($B$3&amp;"."&amp;$B$158&amp;".energy["&amp;This.year&amp;"]"),MATCH($C243&amp;AA$5,INDIRECT($B$3&amp;"."&amp;$B$158&amp;".energy[Tech description]")&amp;INDIRECT($B$3&amp;"."&amp;$B$158&amp;".energy[Energy description]"),0)),0)</f>
        <v>0</v>
      </c>
      <c r="AB243" s="152">
        <f t="array" aca="1" ref="AB243" ca="1">IFERROR(INDEX(INDIRECT($B$3&amp;"."&amp;$B$158&amp;".energy["&amp;This.year&amp;"]"),MATCH($C243&amp;AB$5,INDIRECT($B$3&amp;"."&amp;$B$158&amp;".energy[Tech description]")&amp;INDIRECT($B$3&amp;"."&amp;$B$158&amp;".energy[Energy description]"),0)),0)</f>
        <v>0</v>
      </c>
      <c r="AC243" s="152">
        <f t="array" aca="1" ref="AC243" ca="1">IFERROR(INDEX(INDIRECT($B$3&amp;"."&amp;$B$158&amp;".energy["&amp;This.year&amp;"]"),MATCH($C243&amp;AC$5,INDIRECT($B$3&amp;"."&amp;$B$158&amp;".energy[Tech description]")&amp;INDIRECT($B$3&amp;"."&amp;$B$158&amp;".energy[Energy description]"),0)),0)</f>
        <v>0</v>
      </c>
      <c r="AD243" s="152">
        <f t="array" aca="1" ref="AD243" ca="1">IFERROR(INDEX(INDIRECT($B$3&amp;"."&amp;$B$158&amp;".energy["&amp;This.year&amp;"]"),MATCH($C243&amp;AD$5,INDIRECT($B$3&amp;"."&amp;$B$158&amp;".energy[Tech description]")&amp;INDIRECT($B$3&amp;"."&amp;$B$158&amp;".energy[Energy description]"),0)),0)</f>
        <v>0</v>
      </c>
      <c r="AE243" s="152">
        <f t="array" aca="1" ref="AE243" ca="1">IFERROR(INDEX(INDIRECT($B$3&amp;"."&amp;$B$158&amp;".energy["&amp;This.year&amp;"]"),MATCH($C243&amp;AE$5,INDIRECT($B$3&amp;"."&amp;$B$158&amp;".energy[Tech description]")&amp;INDIRECT($B$3&amp;"."&amp;$B$158&amp;".energy[Energy description]"),0)),0)</f>
        <v>0</v>
      </c>
      <c r="AF243" s="152">
        <f t="array" aca="1" ref="AF243" ca="1">IFERROR(INDEX(INDIRECT($B$3&amp;"."&amp;$B$158&amp;".energy["&amp;This.year&amp;"]"),MATCH($C243&amp;AF$5,INDIRECT($B$3&amp;"."&amp;$B$158&amp;".energy[Tech description]")&amp;INDIRECT($B$3&amp;"."&amp;$B$158&amp;".energy[Energy description]"),0)),0)</f>
        <v>0</v>
      </c>
      <c r="AG243" s="152">
        <f t="array" aca="1" ref="AG243" ca="1">IFERROR(INDEX(INDIRECT($B$3&amp;"."&amp;$B$158&amp;".energy["&amp;This.year&amp;"]"),MATCH($C243&amp;AG$5,INDIRECT($B$3&amp;"."&amp;$B$158&amp;".energy[Tech description]")&amp;INDIRECT($B$3&amp;"."&amp;$B$158&amp;".energy[Energy description]"),0)),0)</f>
        <v>0</v>
      </c>
      <c r="AH243" s="152">
        <f t="array" aca="1" ref="AH243" ca="1">IFERROR(INDEX(INDIRECT($B$3&amp;"."&amp;$B$158&amp;".energy["&amp;This.year&amp;"]"),MATCH($C243&amp;AH$5,INDIRECT($B$3&amp;"."&amp;$B$158&amp;".energy[Tech description]")&amp;INDIRECT($B$3&amp;"."&amp;$B$158&amp;".energy[Energy description]"),0)),0)</f>
        <v>0</v>
      </c>
      <c r="AI243" s="152">
        <f t="array" aca="1" ref="AI243" ca="1">IFERROR(INDEX(INDIRECT($B$3&amp;"."&amp;$B$158&amp;".energy["&amp;This.year&amp;"]"),MATCH($C243&amp;AI$5,INDIRECT($B$3&amp;"."&amp;$B$158&amp;".energy[Tech description]")&amp;INDIRECT($B$3&amp;"."&amp;$B$158&amp;".energy[Energy description]"),0)),0)</f>
        <v>0</v>
      </c>
      <c r="AJ243" s="152">
        <f t="array" aca="1" ref="AJ243" ca="1">IFERROR(INDEX(INDIRECT($B$3&amp;"."&amp;$B$158&amp;".energy["&amp;This.year&amp;"]"),MATCH($C243&amp;AJ$5,INDIRECT($B$3&amp;"."&amp;$B$158&amp;".energy[Tech description]")&amp;INDIRECT($B$3&amp;"."&amp;$B$158&amp;".energy[Energy description]"),0)),0)</f>
        <v>0</v>
      </c>
      <c r="AK243" s="152">
        <f t="array" aca="1" ref="AK243" ca="1">IFERROR(INDEX(INDIRECT($B$3&amp;"."&amp;$B$158&amp;".energy["&amp;This.year&amp;"]"),MATCH($C243&amp;AK$5,INDIRECT($B$3&amp;"."&amp;$B$158&amp;".energy[Tech description]")&amp;INDIRECT($B$3&amp;"."&amp;$B$158&amp;".energy[Energy description]"),0)),0)</f>
        <v>0</v>
      </c>
      <c r="AL243" s="152">
        <f t="array" aca="1" ref="AL243" ca="1">IFERROR(INDEX(INDIRECT($B$3&amp;"."&amp;$B$158&amp;".energy["&amp;This.year&amp;"]"),MATCH($C243&amp;AL$5,INDIRECT($B$3&amp;"."&amp;$B$158&amp;".energy[Tech description]")&amp;INDIRECT($B$3&amp;"."&amp;$B$158&amp;".energy[Energy description]"),0)),0)</f>
        <v>0</v>
      </c>
      <c r="AM243" s="152">
        <f t="array" aca="1" ref="AM243" ca="1">IFERROR(INDEX(INDIRECT($B$3&amp;"."&amp;$B$158&amp;".energy["&amp;This.year&amp;"]"),MATCH($C243&amp;AM$5,INDIRECT($B$3&amp;"."&amp;$B$158&amp;".energy[Tech description]")&amp;INDIRECT($B$3&amp;"."&amp;$B$158&amp;".energy[Energy description]"),0)),0)</f>
        <v>0</v>
      </c>
      <c r="AN243" s="152">
        <f t="array" aca="1" ref="AN243" ca="1">IFERROR(INDEX(INDIRECT($B$3&amp;"."&amp;$B$158&amp;".energy["&amp;This.year&amp;"]"),MATCH($C243&amp;AN$5,INDIRECT($B$3&amp;"."&amp;$B$158&amp;".energy[Tech description]")&amp;INDIRECT($B$3&amp;"."&amp;$B$158&amp;".energy[Energy description]"),0)),0)</f>
        <v>0</v>
      </c>
      <c r="AO243" s="152">
        <f t="shared" ca="1" si="35"/>
        <v>0</v>
      </c>
      <c r="AP243" s="108"/>
      <c r="AQ243" s="21">
        <f t="array" aca="1" ref="AQ243" ca="1">IFERROR(INDEX(INDIRECT($B$3&amp;"."&amp;$B$158&amp;".energy["&amp;This.year&amp;"]"),MATCH($C243&amp;AQ$5,INDIRECT($B$3&amp;"."&amp;$B$158&amp;".energy[Tech description]")&amp;INDIRECT($B$3&amp;"."&amp;$B$158&amp;".energy[Energy description]"),0)),0)</f>
        <v>0</v>
      </c>
      <c r="AR243" s="21">
        <f t="array" aca="1" ref="AR243" ca="1">IFERROR(INDEX(INDIRECT($B$3&amp;"."&amp;$B$158&amp;".energy["&amp;This.year&amp;"]"),MATCH($C243&amp;AR$5,INDIRECT($B$3&amp;"."&amp;$B$158&amp;".energy[Tech description]")&amp;INDIRECT($B$3&amp;"."&amp;$B$158&amp;".energy[Energy description]"),0)),0)</f>
        <v>0</v>
      </c>
      <c r="AS243" s="21">
        <f t="array" aca="1" ref="AS243" ca="1">IFERROR(INDEX(INDIRECT($B$3&amp;"."&amp;$B$158&amp;".energy["&amp;This.year&amp;"]"),MATCH($C243&amp;AS$5,INDIRECT($B$3&amp;"."&amp;$B$158&amp;".energy[Tech description]")&amp;INDIRECT($B$3&amp;"."&amp;$B$158&amp;".energy[Energy description]"),0)),0)</f>
        <v>0</v>
      </c>
      <c r="AT243" s="21">
        <f t="array" aca="1" ref="AT243" ca="1">IFERROR(INDEX(INDIRECT($B$3&amp;"."&amp;$B$158&amp;".energy["&amp;This.year&amp;"]"),MATCH($C243&amp;AT$5,INDIRECT($B$3&amp;"."&amp;$B$158&amp;".energy[Tech description]")&amp;INDIRECT($B$3&amp;"."&amp;$B$158&amp;".energy[Energy description]"),0)),0)</f>
        <v>0</v>
      </c>
      <c r="AU243" s="21">
        <f t="array" aca="1" ref="AU243" ca="1">IFERROR(INDEX(INDIRECT($B$3&amp;"."&amp;$B$158&amp;".energy["&amp;This.year&amp;"]"),MATCH($C243&amp;AU$5,INDIRECT($B$3&amp;"."&amp;$B$158&amp;".energy[Tech description]")&amp;INDIRECT($B$3&amp;"."&amp;$B$158&amp;".energy[Energy description]"),0)),0)</f>
        <v>0</v>
      </c>
      <c r="AV243" s="21">
        <f t="array" aca="1" ref="AV243" ca="1">IFERROR(INDEX(INDIRECT($B$3&amp;"."&amp;$B$158&amp;".energy["&amp;This.year&amp;"]"),MATCH($C243&amp;AV$5,INDIRECT($B$3&amp;"."&amp;$B$158&amp;".energy[Tech description]")&amp;INDIRECT($B$3&amp;"."&amp;$B$158&amp;".energy[Energy description]"),0)),0)</f>
        <v>0</v>
      </c>
      <c r="AW243" s="21">
        <f t="array" aca="1" ref="AW243" ca="1">IFERROR(INDEX(INDIRECT($B$3&amp;"."&amp;$B$158&amp;".energy["&amp;This.year&amp;"]"),MATCH($C243&amp;AW$5,INDIRECT($B$3&amp;"."&amp;$B$158&amp;".energy[Tech description]")&amp;INDIRECT($B$3&amp;"."&amp;$B$158&amp;".energy[Energy description]"),0)),0)</f>
        <v>0</v>
      </c>
      <c r="AX243" s="21">
        <f t="array" aca="1" ref="AX243" ca="1">IFERROR(INDEX(INDIRECT($B$3&amp;"."&amp;$B$158&amp;".energy["&amp;This.year&amp;"]"),MATCH($C243&amp;AX$5,INDIRECT($B$3&amp;"."&amp;$B$158&amp;".energy[Tech description]")&amp;INDIRECT($B$3&amp;"."&amp;$B$158&amp;".energy[Energy description]"),0)),0)</f>
        <v>0</v>
      </c>
      <c r="AY243" s="21">
        <f t="array" aca="1" ref="AY243" ca="1">IFERROR(INDEX(INDIRECT($B$3&amp;"."&amp;$B$158&amp;".energy["&amp;This.year&amp;"]"),MATCH($C243&amp;AY$5,INDIRECT($B$3&amp;"."&amp;$B$158&amp;".energy[Tech description]")&amp;INDIRECT($B$3&amp;"."&amp;$B$158&amp;".energy[Energy description]"),0)),0)</f>
        <v>0</v>
      </c>
      <c r="AZ243" s="21">
        <f t="array" aca="1" ref="AZ243" ca="1">IFERROR(INDEX(INDIRECT($B$3&amp;"."&amp;$B$158&amp;".energy["&amp;This.year&amp;"]"),MATCH($C243&amp;AZ$5,INDIRECT($B$3&amp;"."&amp;$B$158&amp;".energy[Tech description]")&amp;INDIRECT($B$3&amp;"."&amp;$B$158&amp;".energy[Energy description]"),0)),0)</f>
        <v>0</v>
      </c>
      <c r="BA243" s="21">
        <f t="array" aca="1" ref="BA243" ca="1">IFERROR(INDEX(INDIRECT($B$3&amp;"."&amp;$B$158&amp;".energy["&amp;This.year&amp;"]"),MATCH($C243&amp;BA$5,INDIRECT($B$3&amp;"."&amp;$B$158&amp;".energy[Tech description]")&amp;INDIRECT($B$3&amp;"."&amp;$B$158&amp;".energy[Energy description]"),0)),0)</f>
        <v>0</v>
      </c>
      <c r="BB243" s="21">
        <f t="array" aca="1" ref="BB243" ca="1">IFERROR(INDEX(INDIRECT($B$3&amp;"."&amp;$B$158&amp;".energy["&amp;This.year&amp;"]"),MATCH($C243&amp;BB$5,INDIRECT($B$3&amp;"."&amp;$B$158&amp;".energy[Tech description]")&amp;INDIRECT($B$3&amp;"."&amp;$B$158&amp;".energy[Energy description]"),0)),0)</f>
        <v>0</v>
      </c>
      <c r="BC243" s="21">
        <f t="array" aca="1" ref="BC243" ca="1">IFERROR(INDEX(INDIRECT($B$3&amp;"."&amp;$B$158&amp;".energy["&amp;This.year&amp;"]"),MATCH($C243&amp;BC$5,INDIRECT($B$3&amp;"."&amp;$B$158&amp;".energy[Tech description]")&amp;INDIRECT($B$3&amp;"."&amp;$B$158&amp;".energy[Energy description]"),0)),0)</f>
        <v>0</v>
      </c>
      <c r="BD243" s="21">
        <f t="shared" ca="1" si="36"/>
        <v>0</v>
      </c>
      <c r="BE243" s="108"/>
      <c r="BF243" s="49">
        <f t="array" aca="1" ref="BF243" ca="1">IFERROR(INDEX(INDIRECT($B$3&amp;"."&amp;$B$158&amp;".energy["&amp;This.year&amp;"]"),MATCH($C243&amp;BF$5,INDIRECT($B$3&amp;"."&amp;$B$158&amp;".energy[Tech description]")&amp;INDIRECT($B$3&amp;"."&amp;$B$158&amp;".energy[Energy description]"),0)),0)</f>
        <v>0</v>
      </c>
      <c r="BG243" s="49">
        <f t="array" aca="1" ref="BG243" ca="1">IFERROR(INDEX(INDIRECT($B$3&amp;"."&amp;$B$158&amp;".energy["&amp;This.year&amp;"]"),MATCH($C243&amp;BG$5,INDIRECT($B$3&amp;"."&amp;$B$158&amp;".energy[Tech description]")&amp;INDIRECT($B$3&amp;"."&amp;$B$158&amp;".energy[Energy description]"),0)),0)</f>
        <v>0</v>
      </c>
      <c r="BH243" s="49">
        <f t="shared" ca="1" si="37"/>
        <v>0</v>
      </c>
      <c r="BI243" s="219">
        <f t="shared" ca="1" si="38"/>
        <v>0</v>
      </c>
      <c r="BJ243" s="108"/>
    </row>
    <row r="244" spans="1:62" s="54" customFormat="1">
      <c r="A244" s="133"/>
      <c r="B244" s="176" t="s">
        <v>1860</v>
      </c>
      <c r="C244" s="114" t="str">
        <f>INDEX(Regional.Technologies[Description],MATCH($B$3&amp;"."&amp;B244,Regional.Technologies[Code],0))</f>
        <v>Global Heat use in the Pulp &amp; paper: Recycled technology</v>
      </c>
      <c r="E244" s="121">
        <f t="array" aca="1" ref="E244" ca="1">IFERROR(INDEX(INDIRECT($B$3&amp;"."&amp;$B$158&amp;".energy["&amp;This.year&amp;"]"),MATCH($C244&amp;E$5,INDIRECT($B$3&amp;"."&amp;$B$158&amp;".energy[Tech description]")&amp;INDIRECT($B$3&amp;"."&amp;$B$158&amp;".energy[Energy description]"),0)),0)</f>
        <v>0</v>
      </c>
      <c r="F244" s="121">
        <f t="array" aca="1" ref="F244" ca="1">IFERROR(INDEX(INDIRECT($B$3&amp;"."&amp;$B$158&amp;".energy["&amp;This.year&amp;"]"),MATCH($C244&amp;F$5,INDIRECT($B$3&amp;"."&amp;$B$158&amp;".energy[Tech description]")&amp;INDIRECT($B$3&amp;"."&amp;$B$158&amp;".energy[Energy description]"),0)),0)</f>
        <v>0</v>
      </c>
      <c r="G244" s="121">
        <f t="array" aca="1" ref="G244" ca="1">IFERROR(INDEX(INDIRECT($B$3&amp;"."&amp;$B$158&amp;".energy["&amp;This.year&amp;"]"),MATCH($C244&amp;G$5,INDIRECT($B$3&amp;"."&amp;$B$158&amp;".energy[Tech description]")&amp;INDIRECT($B$3&amp;"."&amp;$B$158&amp;".energy[Energy description]"),0)),0)</f>
        <v>0</v>
      </c>
      <c r="H244" s="121">
        <f t="array" aca="1" ref="H244" ca="1">IFERROR(INDEX(INDIRECT($B$3&amp;"."&amp;$B$158&amp;".energy["&amp;This.year&amp;"]"),MATCH($C244&amp;H$5,INDIRECT($B$3&amp;"."&amp;$B$158&amp;".energy[Tech description]")&amp;INDIRECT($B$3&amp;"."&amp;$B$158&amp;".energy[Energy description]"),0)),0)</f>
        <v>0</v>
      </c>
      <c r="I244" s="121">
        <f t="array" aca="1" ref="I244" ca="1">IFERROR(INDEX(INDIRECT($B$3&amp;"."&amp;$B$158&amp;".energy["&amp;This.year&amp;"]"),MATCH($C244&amp;I$5,INDIRECT($B$3&amp;"."&amp;$B$158&amp;".energy[Tech description]")&amp;INDIRECT($B$3&amp;"."&amp;$B$158&amp;".energy[Energy description]"),0)),0)</f>
        <v>0</v>
      </c>
      <c r="J244" s="121">
        <f t="array" aca="1" ref="J244" ca="1">IFERROR(INDEX(INDIRECT($B$3&amp;"."&amp;$B$158&amp;".energy["&amp;This.year&amp;"]"),MATCH($C244&amp;J$5,INDIRECT($B$3&amp;"."&amp;$B$158&amp;".energy[Tech description]")&amp;INDIRECT($B$3&amp;"."&amp;$B$158&amp;".energy[Energy description]"),0)),0)</f>
        <v>0</v>
      </c>
      <c r="K244" s="121">
        <f t="array" aca="1" ref="K244" ca="1">IFERROR(INDEX(INDIRECT($B$3&amp;"."&amp;$B$158&amp;".energy["&amp;This.year&amp;"]"),MATCH($C244&amp;K$5,INDIRECT($B$3&amp;"."&amp;$B$158&amp;".energy[Tech description]")&amp;INDIRECT($B$3&amp;"."&amp;$B$158&amp;".energy[Energy description]"),0)),0)</f>
        <v>0</v>
      </c>
      <c r="L244" s="121">
        <f t="array" aca="1" ref="L244" ca="1">IFERROR(INDEX(INDIRECT($B$3&amp;"."&amp;$B$158&amp;".energy["&amp;This.year&amp;"]"),MATCH($C244&amp;L$5,INDIRECT($B$3&amp;"."&amp;$B$158&amp;".energy[Tech description]")&amp;INDIRECT($B$3&amp;"."&amp;$B$158&amp;".energy[Energy description]"),0)),0)</f>
        <v>0</v>
      </c>
      <c r="M244" s="121">
        <f t="array" aca="1" ref="M244" ca="1">IFERROR(INDEX(INDIRECT($B$3&amp;"."&amp;$B$158&amp;".energy["&amp;This.year&amp;"]"),MATCH($C244&amp;M$5,INDIRECT($B$3&amp;"."&amp;$B$158&amp;".energy[Tech description]")&amp;INDIRECT($B$3&amp;"."&amp;$B$158&amp;".energy[Energy description]"),0)),0)</f>
        <v>0</v>
      </c>
      <c r="N244" s="121">
        <f t="array" aca="1" ref="N244" ca="1">IFERROR(INDEX(INDIRECT($B$3&amp;"."&amp;$B$158&amp;".energy["&amp;This.year&amp;"]"),MATCH($C244&amp;N$5,INDIRECT($B$3&amp;"."&amp;$B$158&amp;".energy[Tech description]")&amp;INDIRECT($B$3&amp;"."&amp;$B$158&amp;".energy[Energy description]"),0)),0)</f>
        <v>0</v>
      </c>
      <c r="O244" s="121">
        <f t="array" aca="1" ref="O244" ca="1">IFERROR(INDEX(INDIRECT($B$3&amp;"."&amp;$B$158&amp;".energy["&amp;This.year&amp;"]"),MATCH($C244&amp;O$5,INDIRECT($B$3&amp;"."&amp;$B$158&amp;".energy[Tech description]")&amp;INDIRECT($B$3&amp;"."&amp;$B$158&amp;".energy[Energy description]"),0)),0)</f>
        <v>0</v>
      </c>
      <c r="P244" s="121">
        <f t="array" aca="1" ref="P244" ca="1">IFERROR(INDEX(INDIRECT($B$3&amp;"."&amp;$B$158&amp;".energy["&amp;This.year&amp;"]"),MATCH($C244&amp;P$5,INDIRECT($B$3&amp;"."&amp;$B$158&amp;".energy[Tech description]")&amp;INDIRECT($B$3&amp;"."&amp;$B$158&amp;".energy[Energy description]"),0)),0)</f>
        <v>0</v>
      </c>
      <c r="Q244" s="121">
        <f t="array" aca="1" ref="Q244" ca="1">IFERROR(INDEX(INDIRECT($B$3&amp;"."&amp;$B$158&amp;".energy["&amp;This.year&amp;"]"),MATCH($C244&amp;Q$5,INDIRECT($B$3&amp;"."&amp;$B$158&amp;".energy[Tech description]")&amp;INDIRECT($B$3&amp;"."&amp;$B$158&amp;".energy[Energy description]"),0)),0)</f>
        <v>0</v>
      </c>
      <c r="R244" s="121">
        <f t="array" aca="1" ref="R244" ca="1">IFERROR(INDEX(INDIRECT($B$3&amp;"."&amp;$B$158&amp;".energy["&amp;This.year&amp;"]"),MATCH($C244&amp;R$5,INDIRECT($B$3&amp;"."&amp;$B$158&amp;".energy[Tech description]")&amp;INDIRECT($B$3&amp;"."&amp;$B$158&amp;".energy[Energy description]"),0)),0)</f>
        <v>0</v>
      </c>
      <c r="S244" s="121">
        <f t="array" aca="1" ref="S244" ca="1">IFERROR(INDEX(INDIRECT($B$3&amp;"."&amp;$B$158&amp;".energy["&amp;This.year&amp;"]"),MATCH($C244&amp;S$5,INDIRECT($B$3&amp;"."&amp;$B$158&amp;".energy[Tech description]")&amp;INDIRECT($B$3&amp;"."&amp;$B$158&amp;".energy[Energy description]"),0)),0)</f>
        <v>0</v>
      </c>
      <c r="T244" s="121">
        <f t="shared" ca="1" si="34"/>
        <v>0</v>
      </c>
      <c r="U244" s="109"/>
      <c r="V244" s="152">
        <f t="array" aca="1" ref="V244" ca="1">IFERROR(INDEX(INDIRECT($B$3&amp;"."&amp;$B$158&amp;".energy["&amp;This.year&amp;"]"),MATCH($C244&amp;V$5,INDIRECT($B$3&amp;"."&amp;$B$158&amp;".energy[Tech description]")&amp;INDIRECT($B$3&amp;"."&amp;$B$158&amp;".energy[Energy description]"),0)),0)</f>
        <v>0</v>
      </c>
      <c r="W244" s="152">
        <f t="array" aca="1" ref="W244" ca="1">IFERROR(INDEX(INDIRECT($B$3&amp;"."&amp;$B$158&amp;".energy["&amp;This.year&amp;"]"),MATCH($C244&amp;W$5,INDIRECT($B$3&amp;"."&amp;$B$158&amp;".energy[Tech description]")&amp;INDIRECT($B$3&amp;"."&amp;$B$158&amp;".energy[Energy description]"),0)),0)</f>
        <v>0</v>
      </c>
      <c r="X244" s="152">
        <f t="array" aca="1" ref="X244" ca="1">IFERROR(INDEX(INDIRECT($B$3&amp;"."&amp;$B$158&amp;".energy["&amp;This.year&amp;"]"),MATCH($C244&amp;X$5,INDIRECT($B$3&amp;"."&amp;$B$158&amp;".energy[Tech description]")&amp;INDIRECT($B$3&amp;"."&amp;$B$158&amp;".energy[Energy description]"),0)),0)</f>
        <v>0</v>
      </c>
      <c r="Y244" s="152">
        <f t="array" aca="1" ref="Y244" ca="1">IFERROR(INDEX(INDIRECT($B$3&amp;"."&amp;$B$158&amp;".energy["&amp;This.year&amp;"]"),MATCH($C244&amp;Y$5,INDIRECT($B$3&amp;"."&amp;$B$158&amp;".energy[Tech description]")&amp;INDIRECT($B$3&amp;"."&amp;$B$158&amp;".energy[Energy description]"),0)),0)</f>
        <v>0</v>
      </c>
      <c r="Z244" s="152">
        <f t="array" aca="1" ref="Z244" ca="1">IFERROR(INDEX(INDIRECT($B$3&amp;"."&amp;$B$158&amp;".energy["&amp;This.year&amp;"]"),MATCH($C244&amp;Z$5,INDIRECT($B$3&amp;"."&amp;$B$158&amp;".energy[Tech description]")&amp;INDIRECT($B$3&amp;"."&amp;$B$158&amp;".energy[Energy description]"),0)),0)</f>
        <v>0</v>
      </c>
      <c r="AA244" s="152">
        <f t="array" aca="1" ref="AA244" ca="1">IFERROR(INDEX(INDIRECT($B$3&amp;"."&amp;$B$158&amp;".energy["&amp;This.year&amp;"]"),MATCH($C244&amp;AA$5,INDIRECT($B$3&amp;"."&amp;$B$158&amp;".energy[Tech description]")&amp;INDIRECT($B$3&amp;"."&amp;$B$158&amp;".energy[Energy description]"),0)),0)</f>
        <v>0</v>
      </c>
      <c r="AB244" s="152">
        <f t="array" aca="1" ref="AB244" ca="1">IFERROR(INDEX(INDIRECT($B$3&amp;"."&amp;$B$158&amp;".energy["&amp;This.year&amp;"]"),MATCH($C244&amp;AB$5,INDIRECT($B$3&amp;"."&amp;$B$158&amp;".energy[Tech description]")&amp;INDIRECT($B$3&amp;"."&amp;$B$158&amp;".energy[Energy description]"),0)),0)</f>
        <v>0</v>
      </c>
      <c r="AC244" s="152">
        <f t="array" aca="1" ref="AC244" ca="1">IFERROR(INDEX(INDIRECT($B$3&amp;"."&amp;$B$158&amp;".energy["&amp;This.year&amp;"]"),MATCH($C244&amp;AC$5,INDIRECT($B$3&amp;"."&amp;$B$158&amp;".energy[Tech description]")&amp;INDIRECT($B$3&amp;"."&amp;$B$158&amp;".energy[Energy description]"),0)),0)</f>
        <v>0</v>
      </c>
      <c r="AD244" s="152">
        <f t="array" aca="1" ref="AD244" ca="1">IFERROR(INDEX(INDIRECT($B$3&amp;"."&amp;$B$158&amp;".energy["&amp;This.year&amp;"]"),MATCH($C244&amp;AD$5,INDIRECT($B$3&amp;"."&amp;$B$158&amp;".energy[Tech description]")&amp;INDIRECT($B$3&amp;"."&amp;$B$158&amp;".energy[Energy description]"),0)),0)</f>
        <v>0</v>
      </c>
      <c r="AE244" s="152">
        <f t="array" aca="1" ref="AE244" ca="1">IFERROR(INDEX(INDIRECT($B$3&amp;"."&amp;$B$158&amp;".energy["&amp;This.year&amp;"]"),MATCH($C244&amp;AE$5,INDIRECT($B$3&amp;"."&amp;$B$158&amp;".energy[Tech description]")&amp;INDIRECT($B$3&amp;"."&amp;$B$158&amp;".energy[Energy description]"),0)),0)</f>
        <v>0</v>
      </c>
      <c r="AF244" s="152">
        <f t="array" aca="1" ref="AF244" ca="1">IFERROR(INDEX(INDIRECT($B$3&amp;"."&amp;$B$158&amp;".energy["&amp;This.year&amp;"]"),MATCH($C244&amp;AF$5,INDIRECT($B$3&amp;"."&amp;$B$158&amp;".energy[Tech description]")&amp;INDIRECT($B$3&amp;"."&amp;$B$158&amp;".energy[Energy description]"),0)),0)</f>
        <v>0</v>
      </c>
      <c r="AG244" s="152">
        <f t="array" aca="1" ref="AG244" ca="1">IFERROR(INDEX(INDIRECT($B$3&amp;"."&amp;$B$158&amp;".energy["&amp;This.year&amp;"]"),MATCH($C244&amp;AG$5,INDIRECT($B$3&amp;"."&amp;$B$158&amp;".energy[Tech description]")&amp;INDIRECT($B$3&amp;"."&amp;$B$158&amp;".energy[Energy description]"),0)),0)</f>
        <v>0</v>
      </c>
      <c r="AH244" s="152">
        <f t="array" aca="1" ref="AH244" ca="1">IFERROR(INDEX(INDIRECT($B$3&amp;"."&amp;$B$158&amp;".energy["&amp;This.year&amp;"]"),MATCH($C244&amp;AH$5,INDIRECT($B$3&amp;"."&amp;$B$158&amp;".energy[Tech description]")&amp;INDIRECT($B$3&amp;"."&amp;$B$158&amp;".energy[Energy description]"),0)),0)</f>
        <v>0</v>
      </c>
      <c r="AI244" s="152">
        <f t="array" aca="1" ref="AI244" ca="1">IFERROR(INDEX(INDIRECT($B$3&amp;"."&amp;$B$158&amp;".energy["&amp;This.year&amp;"]"),MATCH($C244&amp;AI$5,INDIRECT($B$3&amp;"."&amp;$B$158&amp;".energy[Tech description]")&amp;INDIRECT($B$3&amp;"."&amp;$B$158&amp;".energy[Energy description]"),0)),0)</f>
        <v>0</v>
      </c>
      <c r="AJ244" s="152">
        <f t="array" aca="1" ref="AJ244" ca="1">IFERROR(INDEX(INDIRECT($B$3&amp;"."&amp;$B$158&amp;".energy["&amp;This.year&amp;"]"),MATCH($C244&amp;AJ$5,INDIRECT($B$3&amp;"."&amp;$B$158&amp;".energy[Tech description]")&amp;INDIRECT($B$3&amp;"."&amp;$B$158&amp;".energy[Energy description]"),0)),0)</f>
        <v>0</v>
      </c>
      <c r="AK244" s="152">
        <f t="array" aca="1" ref="AK244" ca="1">IFERROR(INDEX(INDIRECT($B$3&amp;"."&amp;$B$158&amp;".energy["&amp;This.year&amp;"]"),MATCH($C244&amp;AK$5,INDIRECT($B$3&amp;"."&amp;$B$158&amp;".energy[Tech description]")&amp;INDIRECT($B$3&amp;"."&amp;$B$158&amp;".energy[Energy description]"),0)),0)</f>
        <v>0</v>
      </c>
      <c r="AL244" s="152">
        <f t="array" aca="1" ref="AL244" ca="1">IFERROR(INDEX(INDIRECT($B$3&amp;"."&amp;$B$158&amp;".energy["&amp;This.year&amp;"]"),MATCH($C244&amp;AL$5,INDIRECT($B$3&amp;"."&amp;$B$158&amp;".energy[Tech description]")&amp;INDIRECT($B$3&amp;"."&amp;$B$158&amp;".energy[Energy description]"),0)),0)</f>
        <v>0</v>
      </c>
      <c r="AM244" s="152">
        <f t="array" aca="1" ref="AM244" ca="1">IFERROR(INDEX(INDIRECT($B$3&amp;"."&amp;$B$158&amp;".energy["&amp;This.year&amp;"]"),MATCH($C244&amp;AM$5,INDIRECT($B$3&amp;"."&amp;$B$158&amp;".energy[Tech description]")&amp;INDIRECT($B$3&amp;"."&amp;$B$158&amp;".energy[Energy description]"),0)),0)</f>
        <v>0</v>
      </c>
      <c r="AN244" s="152">
        <f t="array" aca="1" ref="AN244" ca="1">IFERROR(INDEX(INDIRECT($B$3&amp;"."&amp;$B$158&amp;".energy["&amp;This.year&amp;"]"),MATCH($C244&amp;AN$5,INDIRECT($B$3&amp;"."&amp;$B$158&amp;".energy[Tech description]")&amp;INDIRECT($B$3&amp;"."&amp;$B$158&amp;".energy[Energy description]"),0)),0)</f>
        <v>0</v>
      </c>
      <c r="AO244" s="152">
        <f t="shared" ca="1" si="35"/>
        <v>0</v>
      </c>
      <c r="AP244" s="108"/>
      <c r="AQ244" s="21">
        <f t="array" aca="1" ref="AQ244" ca="1">IFERROR(INDEX(INDIRECT($B$3&amp;"."&amp;$B$158&amp;".energy["&amp;This.year&amp;"]"),MATCH($C244&amp;AQ$5,INDIRECT($B$3&amp;"."&amp;$B$158&amp;".energy[Tech description]")&amp;INDIRECT($B$3&amp;"."&amp;$B$158&amp;".energy[Energy description]"),0)),0)</f>
        <v>0</v>
      </c>
      <c r="AR244" s="21">
        <f t="array" aca="1" ref="AR244" ca="1">IFERROR(INDEX(INDIRECT($B$3&amp;"."&amp;$B$158&amp;".energy["&amp;This.year&amp;"]"),MATCH($C244&amp;AR$5,INDIRECT($B$3&amp;"."&amp;$B$158&amp;".energy[Tech description]")&amp;INDIRECT($B$3&amp;"."&amp;$B$158&amp;".energy[Energy description]"),0)),0)</f>
        <v>0</v>
      </c>
      <c r="AS244" s="21">
        <f t="array" aca="1" ref="AS244" ca="1">IFERROR(INDEX(INDIRECT($B$3&amp;"."&amp;$B$158&amp;".energy["&amp;This.year&amp;"]"),MATCH($C244&amp;AS$5,INDIRECT($B$3&amp;"."&amp;$B$158&amp;".energy[Tech description]")&amp;INDIRECT($B$3&amp;"."&amp;$B$158&amp;".energy[Energy description]"),0)),0)</f>
        <v>0</v>
      </c>
      <c r="AT244" s="21">
        <f t="array" aca="1" ref="AT244" ca="1">IFERROR(INDEX(INDIRECT($B$3&amp;"."&amp;$B$158&amp;".energy["&amp;This.year&amp;"]"),MATCH($C244&amp;AT$5,INDIRECT($B$3&amp;"."&amp;$B$158&amp;".energy[Tech description]")&amp;INDIRECT($B$3&amp;"."&amp;$B$158&amp;".energy[Energy description]"),0)),0)</f>
        <v>0</v>
      </c>
      <c r="AU244" s="21">
        <f t="array" aca="1" ref="AU244" ca="1">IFERROR(INDEX(INDIRECT($B$3&amp;"."&amp;$B$158&amp;".energy["&amp;This.year&amp;"]"),MATCH($C244&amp;AU$5,INDIRECT($B$3&amp;"."&amp;$B$158&amp;".energy[Tech description]")&amp;INDIRECT($B$3&amp;"."&amp;$B$158&amp;".energy[Energy description]"),0)),0)</f>
        <v>0</v>
      </c>
      <c r="AV244" s="21">
        <f t="array" aca="1" ref="AV244" ca="1">IFERROR(INDEX(INDIRECT($B$3&amp;"."&amp;$B$158&amp;".energy["&amp;This.year&amp;"]"),MATCH($C244&amp;AV$5,INDIRECT($B$3&amp;"."&amp;$B$158&amp;".energy[Tech description]")&amp;INDIRECT($B$3&amp;"."&amp;$B$158&amp;".energy[Energy description]"),0)),0)</f>
        <v>0</v>
      </c>
      <c r="AW244" s="21">
        <f t="array" aca="1" ref="AW244" ca="1">IFERROR(INDEX(INDIRECT($B$3&amp;"."&amp;$B$158&amp;".energy["&amp;This.year&amp;"]"),MATCH($C244&amp;AW$5,INDIRECT($B$3&amp;"."&amp;$B$158&amp;".energy[Tech description]")&amp;INDIRECT($B$3&amp;"."&amp;$B$158&amp;".energy[Energy description]"),0)),0)</f>
        <v>0</v>
      </c>
      <c r="AX244" s="21">
        <f t="array" aca="1" ref="AX244" ca="1">IFERROR(INDEX(INDIRECT($B$3&amp;"."&amp;$B$158&amp;".energy["&amp;This.year&amp;"]"),MATCH($C244&amp;AX$5,INDIRECT($B$3&amp;"."&amp;$B$158&amp;".energy[Tech description]")&amp;INDIRECT($B$3&amp;"."&amp;$B$158&amp;".energy[Energy description]"),0)),0)</f>
        <v>0</v>
      </c>
      <c r="AY244" s="21">
        <f t="array" aca="1" ref="AY244" ca="1">IFERROR(INDEX(INDIRECT($B$3&amp;"."&amp;$B$158&amp;".energy["&amp;This.year&amp;"]"),MATCH($C244&amp;AY$5,INDIRECT($B$3&amp;"."&amp;$B$158&amp;".energy[Tech description]")&amp;INDIRECT($B$3&amp;"."&amp;$B$158&amp;".energy[Energy description]"),0)),0)</f>
        <v>0</v>
      </c>
      <c r="AZ244" s="21">
        <f t="array" aca="1" ref="AZ244" ca="1">IFERROR(INDEX(INDIRECT($B$3&amp;"."&amp;$B$158&amp;".energy["&amp;This.year&amp;"]"),MATCH($C244&amp;AZ$5,INDIRECT($B$3&amp;"."&amp;$B$158&amp;".energy[Tech description]")&amp;INDIRECT($B$3&amp;"."&amp;$B$158&amp;".energy[Energy description]"),0)),0)</f>
        <v>0</v>
      </c>
      <c r="BA244" s="21">
        <f t="array" aca="1" ref="BA244" ca="1">IFERROR(INDEX(INDIRECT($B$3&amp;"."&amp;$B$158&amp;".energy["&amp;This.year&amp;"]"),MATCH($C244&amp;BA$5,INDIRECT($B$3&amp;"."&amp;$B$158&amp;".energy[Tech description]")&amp;INDIRECT($B$3&amp;"."&amp;$B$158&amp;".energy[Energy description]"),0)),0)</f>
        <v>0</v>
      </c>
      <c r="BB244" s="21">
        <f t="array" aca="1" ref="BB244" ca="1">IFERROR(INDEX(INDIRECT($B$3&amp;"."&amp;$B$158&amp;".energy["&amp;This.year&amp;"]"),MATCH($C244&amp;BB$5,INDIRECT($B$3&amp;"."&amp;$B$158&amp;".energy[Tech description]")&amp;INDIRECT($B$3&amp;"."&amp;$B$158&amp;".energy[Energy description]"),0)),0)</f>
        <v>0</v>
      </c>
      <c r="BC244" s="21">
        <f t="array" aca="1" ref="BC244" ca="1">IFERROR(INDEX(INDIRECT($B$3&amp;"."&amp;$B$158&amp;".energy["&amp;This.year&amp;"]"),MATCH($C244&amp;BC$5,INDIRECT($B$3&amp;"."&amp;$B$158&amp;".energy[Tech description]")&amp;INDIRECT($B$3&amp;"."&amp;$B$158&amp;".energy[Energy description]"),0)),0)</f>
        <v>0</v>
      </c>
      <c r="BD244" s="21">
        <f t="shared" ca="1" si="36"/>
        <v>0</v>
      </c>
      <c r="BE244" s="108"/>
      <c r="BF244" s="49">
        <f t="array" aca="1" ref="BF244" ca="1">IFERROR(INDEX(INDIRECT($B$3&amp;"."&amp;$B$158&amp;".energy["&amp;This.year&amp;"]"),MATCH($C244&amp;BF$5,INDIRECT($B$3&amp;"."&amp;$B$158&amp;".energy[Tech description]")&amp;INDIRECT($B$3&amp;"."&amp;$B$158&amp;".energy[Energy description]"),0)),0)</f>
        <v>0</v>
      </c>
      <c r="BG244" s="49">
        <f t="array" aca="1" ref="BG244" ca="1">IFERROR(INDEX(INDIRECT($B$3&amp;"."&amp;$B$158&amp;".energy["&amp;This.year&amp;"]"),MATCH($C244&amp;BG$5,INDIRECT($B$3&amp;"."&amp;$B$158&amp;".energy[Tech description]")&amp;INDIRECT($B$3&amp;"."&amp;$B$158&amp;".energy[Energy description]"),0)),0)</f>
        <v>0</v>
      </c>
      <c r="BH244" s="49">
        <f t="shared" ca="1" si="37"/>
        <v>0</v>
      </c>
      <c r="BI244" s="219">
        <f t="shared" ca="1" si="38"/>
        <v>0</v>
      </c>
      <c r="BJ244" s="108"/>
    </row>
    <row r="245" spans="1:62" s="54" customFormat="1">
      <c r="A245" s="133"/>
      <c r="B245" s="176"/>
      <c r="C245" s="114"/>
      <c r="E245" s="121"/>
      <c r="F245" s="121"/>
      <c r="G245" s="121"/>
      <c r="H245" s="121"/>
      <c r="I245" s="121"/>
      <c r="J245" s="121"/>
      <c r="K245" s="121"/>
      <c r="L245" s="121"/>
      <c r="M245" s="121"/>
      <c r="N245" s="121"/>
      <c r="O245" s="121"/>
      <c r="P245" s="121"/>
      <c r="Q245" s="121"/>
      <c r="R245" s="121"/>
      <c r="S245" s="121"/>
      <c r="T245" s="121"/>
      <c r="U245" s="109"/>
      <c r="V245" s="152"/>
      <c r="W245" s="152"/>
      <c r="X245" s="152"/>
      <c r="Y245" s="152"/>
      <c r="Z245" s="152"/>
      <c r="AA245" s="152"/>
      <c r="AB245" s="152"/>
      <c r="AC245" s="152"/>
      <c r="AD245" s="152"/>
      <c r="AE245" s="152"/>
      <c r="AF245" s="152"/>
      <c r="AG245" s="152"/>
      <c r="AH245" s="152"/>
      <c r="AI245" s="152"/>
      <c r="AJ245" s="152"/>
      <c r="AK245" s="152"/>
      <c r="AL245" s="152"/>
      <c r="AM245" s="152"/>
      <c r="AN245" s="152"/>
      <c r="AO245" s="152"/>
      <c r="AP245" s="108"/>
      <c r="AQ245" s="21"/>
      <c r="AR245" s="21"/>
      <c r="AS245" s="21"/>
      <c r="AT245" s="21"/>
      <c r="AU245" s="21"/>
      <c r="AV245" s="21"/>
      <c r="AW245" s="21"/>
      <c r="AX245" s="21"/>
      <c r="AY245" s="21"/>
      <c r="AZ245" s="21"/>
      <c r="BA245" s="21"/>
      <c r="BB245" s="21"/>
      <c r="BC245" s="21"/>
      <c r="BD245" s="21"/>
      <c r="BE245" s="108"/>
      <c r="BF245" s="49"/>
      <c r="BG245" s="49"/>
      <c r="BH245" s="49"/>
      <c r="BI245" s="219"/>
      <c r="BJ245" s="108"/>
    </row>
    <row r="246" spans="1:62" s="54" customFormat="1">
      <c r="A246" s="133"/>
      <c r="B246" s="176"/>
      <c r="C246" s="187" t="s">
        <v>1426</v>
      </c>
      <c r="E246" s="121">
        <f ca="1">SUM(E247:E252)</f>
        <v>0</v>
      </c>
      <c r="F246" s="121">
        <f t="shared" ref="F246:BH246" ca="1" si="39">SUM(F247:F252)</f>
        <v>0</v>
      </c>
      <c r="G246" s="121">
        <f t="shared" ca="1" si="39"/>
        <v>0</v>
      </c>
      <c r="H246" s="121">
        <f t="shared" ca="1" si="39"/>
        <v>0</v>
      </c>
      <c r="I246" s="121">
        <f t="shared" ca="1" si="39"/>
        <v>0</v>
      </c>
      <c r="J246" s="121">
        <f t="shared" ca="1" si="39"/>
        <v>10.577723297346331</v>
      </c>
      <c r="K246" s="121">
        <f t="shared" ca="1" si="39"/>
        <v>0</v>
      </c>
      <c r="L246" s="121">
        <f t="shared" ca="1" si="39"/>
        <v>0</v>
      </c>
      <c r="M246" s="121">
        <f t="shared" ca="1" si="39"/>
        <v>0</v>
      </c>
      <c r="N246" s="121">
        <f t="shared" ca="1" si="39"/>
        <v>0</v>
      </c>
      <c r="O246" s="121">
        <f t="shared" ref="O246" ca="1" si="40">SUM(O247:O252)</f>
        <v>0</v>
      </c>
      <c r="P246" s="121">
        <f t="shared" ca="1" si="39"/>
        <v>0</v>
      </c>
      <c r="Q246" s="121">
        <f t="shared" ca="1" si="39"/>
        <v>0</v>
      </c>
      <c r="R246" s="121">
        <f t="shared" ca="1" si="39"/>
        <v>0</v>
      </c>
      <c r="S246" s="121">
        <f t="shared" ca="1" si="39"/>
        <v>0</v>
      </c>
      <c r="T246" s="121">
        <f t="shared" ca="1" si="39"/>
        <v>10.577723297346331</v>
      </c>
      <c r="U246" s="109"/>
      <c r="V246" s="152">
        <f t="shared" ca="1" si="39"/>
        <v>-1.2878995795200781</v>
      </c>
      <c r="W246" s="152">
        <f t="shared" ca="1" si="39"/>
        <v>0</v>
      </c>
      <c r="X246" s="152">
        <f t="shared" ca="1" si="39"/>
        <v>-0.49199351442122363</v>
      </c>
      <c r="Y246" s="152">
        <f t="shared" ca="1" si="39"/>
        <v>0</v>
      </c>
      <c r="Z246" s="152">
        <f t="shared" ca="1" si="39"/>
        <v>0</v>
      </c>
      <c r="AA246" s="152">
        <f t="shared" ca="1" si="39"/>
        <v>-6.8409905230434269</v>
      </c>
      <c r="AB246" s="152">
        <f t="shared" ca="1" si="39"/>
        <v>-1.1283944201925584</v>
      </c>
      <c r="AC246" s="152">
        <f t="shared" ca="1" si="39"/>
        <v>-0.82844526016904574</v>
      </c>
      <c r="AD246" s="152">
        <f t="shared" ca="1" si="39"/>
        <v>0</v>
      </c>
      <c r="AE246" s="152">
        <f t="shared" ca="1" si="39"/>
        <v>0</v>
      </c>
      <c r="AF246" s="152">
        <f t="shared" ca="1" si="39"/>
        <v>0</v>
      </c>
      <c r="AG246" s="152">
        <f t="shared" ca="1" si="39"/>
        <v>0</v>
      </c>
      <c r="AH246" s="152">
        <f t="shared" ca="1" si="39"/>
        <v>0</v>
      </c>
      <c r="AI246" s="152">
        <f t="shared" ca="1" si="39"/>
        <v>0</v>
      </c>
      <c r="AJ246" s="152">
        <f t="shared" ca="1" si="39"/>
        <v>0</v>
      </c>
      <c r="AK246" s="152">
        <f t="shared" ca="1" si="39"/>
        <v>0</v>
      </c>
      <c r="AL246" s="152">
        <f t="shared" ca="1" si="39"/>
        <v>0</v>
      </c>
      <c r="AM246" s="152">
        <f t="shared" ca="1" si="39"/>
        <v>0</v>
      </c>
      <c r="AN246" s="152">
        <f t="shared" ca="1" si="39"/>
        <v>0</v>
      </c>
      <c r="AO246" s="152">
        <f t="shared" ca="1" si="39"/>
        <v>-10.577723297346331</v>
      </c>
      <c r="AP246" s="108"/>
      <c r="AQ246" s="21">
        <f t="shared" ca="1" si="39"/>
        <v>0</v>
      </c>
      <c r="AR246" s="21">
        <f t="shared" ca="1" si="39"/>
        <v>0</v>
      </c>
      <c r="AS246" s="21">
        <f t="shared" ca="1" si="39"/>
        <v>0</v>
      </c>
      <c r="AT246" s="21">
        <f t="shared" ca="1" si="39"/>
        <v>0</v>
      </c>
      <c r="AU246" s="21">
        <f t="shared" ca="1" si="39"/>
        <v>0</v>
      </c>
      <c r="AV246" s="21">
        <f t="shared" ca="1" si="39"/>
        <v>0</v>
      </c>
      <c r="AW246" s="21">
        <f t="shared" ca="1" si="39"/>
        <v>0</v>
      </c>
      <c r="AX246" s="21">
        <f t="shared" ca="1" si="39"/>
        <v>0</v>
      </c>
      <c r="AY246" s="21">
        <f t="shared" ca="1" si="39"/>
        <v>0</v>
      </c>
      <c r="AZ246" s="21">
        <f t="shared" ca="1" si="39"/>
        <v>0</v>
      </c>
      <c r="BA246" s="21">
        <f t="shared" ca="1" si="39"/>
        <v>0</v>
      </c>
      <c r="BB246" s="21">
        <f t="shared" ca="1" si="39"/>
        <v>0</v>
      </c>
      <c r="BC246" s="21">
        <f t="shared" ca="1" si="39"/>
        <v>0</v>
      </c>
      <c r="BD246" s="21">
        <f t="shared" ca="1" si="39"/>
        <v>0</v>
      </c>
      <c r="BE246" s="108"/>
      <c r="BF246" s="49">
        <f t="shared" ca="1" si="39"/>
        <v>0</v>
      </c>
      <c r="BG246" s="49">
        <f t="shared" ca="1" si="39"/>
        <v>0</v>
      </c>
      <c r="BH246" s="49">
        <f t="shared" ca="1" si="39"/>
        <v>0</v>
      </c>
      <c r="BI246" s="219">
        <f t="shared" ref="BI246:BI252" ca="1" si="41">SUM(T246,AO246,BD246,BH246)</f>
        <v>0</v>
      </c>
      <c r="BJ246" s="108"/>
    </row>
    <row r="247" spans="1:62" s="54" customFormat="1">
      <c r="A247" s="133"/>
      <c r="B247" s="176" t="s">
        <v>1633</v>
      </c>
      <c r="C247" s="114" t="str">
        <f>INDEX(Regional.Technologies[Description],MATCH($B$3&amp;"."&amp;B247,Regional.Technologies[Code],0))</f>
        <v>Global Electricity use in the Cement technology</v>
      </c>
      <c r="E247" s="121">
        <f t="array" aca="1" ref="E247" ca="1">IFERROR(INDEX(INDIRECT($B$3&amp;"."&amp;$B$158&amp;".energy["&amp;This.year&amp;"]"),MATCH($C247&amp;E$5,INDIRECT($B$3&amp;"."&amp;$B$158&amp;".energy[Tech description]")&amp;INDIRECT($B$3&amp;"."&amp;$B$158&amp;".energy[Energy description]"),0)),0)</f>
        <v>0</v>
      </c>
      <c r="F247" s="121">
        <f t="array" aca="1" ref="F247" ca="1">IFERROR(INDEX(INDIRECT($B$3&amp;"."&amp;$B$158&amp;".energy["&amp;This.year&amp;"]"),MATCH($C247&amp;F$5,INDIRECT($B$3&amp;"."&amp;$B$158&amp;".energy[Tech description]")&amp;INDIRECT($B$3&amp;"."&amp;$B$158&amp;".energy[Energy description]"),0)),0)</f>
        <v>0</v>
      </c>
      <c r="G247" s="121">
        <f t="array" aca="1" ref="G247" ca="1">IFERROR(INDEX(INDIRECT($B$3&amp;"."&amp;$B$158&amp;".energy["&amp;This.year&amp;"]"),MATCH($C247&amp;G$5,INDIRECT($B$3&amp;"."&amp;$B$158&amp;".energy[Tech description]")&amp;INDIRECT($B$3&amp;"."&amp;$B$158&amp;".energy[Energy description]"),0)),0)</f>
        <v>0</v>
      </c>
      <c r="H247" s="121">
        <f t="array" aca="1" ref="H247" ca="1">IFERROR(INDEX(INDIRECT($B$3&amp;"."&amp;$B$158&amp;".energy["&amp;This.year&amp;"]"),MATCH($C247&amp;H$5,INDIRECT($B$3&amp;"."&amp;$B$158&amp;".energy[Tech description]")&amp;INDIRECT($B$3&amp;"."&amp;$B$158&amp;".energy[Energy description]"),0)),0)</f>
        <v>0</v>
      </c>
      <c r="I247" s="121">
        <f t="array" aca="1" ref="I247" ca="1">IFERROR(INDEX(INDIRECT($B$3&amp;"."&amp;$B$158&amp;".energy["&amp;This.year&amp;"]"),MATCH($C247&amp;I$5,INDIRECT($B$3&amp;"."&amp;$B$158&amp;".energy[Tech description]")&amp;INDIRECT($B$3&amp;"."&amp;$B$158&amp;".energy[Energy description]"),0)),0)</f>
        <v>0</v>
      </c>
      <c r="J247" s="121">
        <f t="array" aca="1" ref="J247" ca="1">IFERROR(INDEX(INDIRECT($B$3&amp;"."&amp;$B$158&amp;".energy["&amp;This.year&amp;"]"),MATCH($C247&amp;J$5,INDIRECT($B$3&amp;"."&amp;$B$158&amp;".energy[Tech description]")&amp;INDIRECT($B$3&amp;"."&amp;$B$158&amp;".energy[Energy description]"),0)),0)</f>
        <v>1.2878995795200781</v>
      </c>
      <c r="K247" s="121">
        <f t="array" aca="1" ref="K247" ca="1">IFERROR(INDEX(INDIRECT($B$3&amp;"."&amp;$B$158&amp;".energy["&amp;This.year&amp;"]"),MATCH($C247&amp;K$5,INDIRECT($B$3&amp;"."&amp;$B$158&amp;".energy[Tech description]")&amp;INDIRECT($B$3&amp;"."&amp;$B$158&amp;".energy[Energy description]"),0)),0)</f>
        <v>0</v>
      </c>
      <c r="L247" s="121">
        <f t="array" aca="1" ref="L247" ca="1">IFERROR(INDEX(INDIRECT($B$3&amp;"."&amp;$B$158&amp;".energy["&amp;This.year&amp;"]"),MATCH($C247&amp;L$5,INDIRECT($B$3&amp;"."&amp;$B$158&amp;".energy[Tech description]")&amp;INDIRECT($B$3&amp;"."&amp;$B$158&amp;".energy[Energy description]"),0)),0)</f>
        <v>0</v>
      </c>
      <c r="M247" s="121">
        <f t="array" aca="1" ref="M247" ca="1">IFERROR(INDEX(INDIRECT($B$3&amp;"."&amp;$B$158&amp;".energy["&amp;This.year&amp;"]"),MATCH($C247&amp;M$5,INDIRECT($B$3&amp;"."&amp;$B$158&amp;".energy[Tech description]")&amp;INDIRECT($B$3&amp;"."&amp;$B$158&amp;".energy[Energy description]"),0)),0)</f>
        <v>0</v>
      </c>
      <c r="N247" s="121">
        <f t="array" aca="1" ref="N247" ca="1">IFERROR(INDEX(INDIRECT($B$3&amp;"."&amp;$B$158&amp;".energy["&amp;This.year&amp;"]"),MATCH($C247&amp;N$5,INDIRECT($B$3&amp;"."&amp;$B$158&amp;".energy[Tech description]")&amp;INDIRECT($B$3&amp;"."&amp;$B$158&amp;".energy[Energy description]"),0)),0)</f>
        <v>0</v>
      </c>
      <c r="O247" s="121">
        <f t="array" aca="1" ref="O247" ca="1">IFERROR(INDEX(INDIRECT($B$3&amp;"."&amp;$B$158&amp;".energy["&amp;This.year&amp;"]"),MATCH($C247&amp;O$5,INDIRECT($B$3&amp;"."&amp;$B$158&amp;".energy[Tech description]")&amp;INDIRECT($B$3&amp;"."&amp;$B$158&amp;".energy[Energy description]"),0)),0)</f>
        <v>0</v>
      </c>
      <c r="P247" s="121">
        <f t="array" aca="1" ref="P247" ca="1">IFERROR(INDEX(INDIRECT($B$3&amp;"."&amp;$B$158&amp;".energy["&amp;This.year&amp;"]"),MATCH($C247&amp;P$5,INDIRECT($B$3&amp;"."&amp;$B$158&amp;".energy[Tech description]")&amp;INDIRECT($B$3&amp;"."&amp;$B$158&amp;".energy[Energy description]"),0)),0)</f>
        <v>0</v>
      </c>
      <c r="Q247" s="121">
        <f t="array" aca="1" ref="Q247" ca="1">IFERROR(INDEX(INDIRECT($B$3&amp;"."&amp;$B$158&amp;".energy["&amp;This.year&amp;"]"),MATCH($C247&amp;Q$5,INDIRECT($B$3&amp;"."&amp;$B$158&amp;".energy[Tech description]")&amp;INDIRECT($B$3&amp;"."&amp;$B$158&amp;".energy[Energy description]"),0)),0)</f>
        <v>0</v>
      </c>
      <c r="R247" s="121">
        <f t="array" aca="1" ref="R247" ca="1">IFERROR(INDEX(INDIRECT($B$3&amp;"."&amp;$B$158&amp;".energy["&amp;This.year&amp;"]"),MATCH($C247&amp;R$5,INDIRECT($B$3&amp;"."&amp;$B$158&amp;".energy[Tech description]")&amp;INDIRECT($B$3&amp;"."&amp;$B$158&amp;".energy[Energy description]"),0)),0)</f>
        <v>0</v>
      </c>
      <c r="S247" s="121">
        <f t="array" aca="1" ref="S247" ca="1">IFERROR(INDEX(INDIRECT($B$3&amp;"."&amp;$B$158&amp;".energy["&amp;This.year&amp;"]"),MATCH($C247&amp;S$5,INDIRECT($B$3&amp;"."&amp;$B$158&amp;".energy[Tech description]")&amp;INDIRECT($B$3&amp;"."&amp;$B$158&amp;".energy[Energy description]"),0)),0)</f>
        <v>0</v>
      </c>
      <c r="T247" s="121">
        <f t="shared" ref="T247:T252" ca="1" si="42">SUM(E247:S247)</f>
        <v>1.2878995795200781</v>
      </c>
      <c r="U247" s="109"/>
      <c r="V247" s="152">
        <f t="array" aca="1" ref="V247" ca="1">IFERROR(INDEX(INDIRECT($B$3&amp;"."&amp;$B$158&amp;".energy["&amp;This.year&amp;"]"),MATCH($C247&amp;V$5,INDIRECT($B$3&amp;"."&amp;$B$158&amp;".energy[Tech description]")&amp;INDIRECT($B$3&amp;"."&amp;$B$158&amp;".energy[Energy description]"),0)),0)</f>
        <v>-1.2878995795200781</v>
      </c>
      <c r="W247" s="152">
        <f t="array" aca="1" ref="W247" ca="1">IFERROR(INDEX(INDIRECT($B$3&amp;"."&amp;$B$158&amp;".energy["&amp;This.year&amp;"]"),MATCH($C247&amp;W$5,INDIRECT($B$3&amp;"."&amp;$B$158&amp;".energy[Tech description]")&amp;INDIRECT($B$3&amp;"."&amp;$B$158&amp;".energy[Energy description]"),0)),0)</f>
        <v>0</v>
      </c>
      <c r="X247" s="152">
        <f t="array" aca="1" ref="X247" ca="1">IFERROR(INDEX(INDIRECT($B$3&amp;"."&amp;$B$158&amp;".energy["&amp;This.year&amp;"]"),MATCH($C247&amp;X$5,INDIRECT($B$3&amp;"."&amp;$B$158&amp;".energy[Tech description]")&amp;INDIRECT($B$3&amp;"."&amp;$B$158&amp;".energy[Energy description]"),0)),0)</f>
        <v>0</v>
      </c>
      <c r="Y247" s="152">
        <f t="array" aca="1" ref="Y247" ca="1">IFERROR(INDEX(INDIRECT($B$3&amp;"."&amp;$B$158&amp;".energy["&amp;This.year&amp;"]"),MATCH($C247&amp;Y$5,INDIRECT($B$3&amp;"."&amp;$B$158&amp;".energy[Tech description]")&amp;INDIRECT($B$3&amp;"."&amp;$B$158&amp;".energy[Energy description]"),0)),0)</f>
        <v>0</v>
      </c>
      <c r="Z247" s="152">
        <f t="array" aca="1" ref="Z247" ca="1">IFERROR(INDEX(INDIRECT($B$3&amp;"."&amp;$B$158&amp;".energy["&amp;This.year&amp;"]"),MATCH($C247&amp;Z$5,INDIRECT($B$3&amp;"."&amp;$B$158&amp;".energy[Tech description]")&amp;INDIRECT($B$3&amp;"."&amp;$B$158&amp;".energy[Energy description]"),0)),0)</f>
        <v>0</v>
      </c>
      <c r="AA247" s="152">
        <f t="array" aca="1" ref="AA247" ca="1">IFERROR(INDEX(INDIRECT($B$3&amp;"."&amp;$B$158&amp;".energy["&amp;This.year&amp;"]"),MATCH($C247&amp;AA$5,INDIRECT($B$3&amp;"."&amp;$B$158&amp;".energy[Tech description]")&amp;INDIRECT($B$3&amp;"."&amp;$B$158&amp;".energy[Energy description]"),0)),0)</f>
        <v>0</v>
      </c>
      <c r="AB247" s="152">
        <f t="array" aca="1" ref="AB247" ca="1">IFERROR(INDEX(INDIRECT($B$3&amp;"."&amp;$B$158&amp;".energy["&amp;This.year&amp;"]"),MATCH($C247&amp;AB$5,INDIRECT($B$3&amp;"."&amp;$B$158&amp;".energy[Tech description]")&amp;INDIRECT($B$3&amp;"."&amp;$B$158&amp;".energy[Energy description]"),0)),0)</f>
        <v>0</v>
      </c>
      <c r="AC247" s="152">
        <f t="array" aca="1" ref="AC247" ca="1">IFERROR(INDEX(INDIRECT($B$3&amp;"."&amp;$B$158&amp;".energy["&amp;This.year&amp;"]"),MATCH($C247&amp;AC$5,INDIRECT($B$3&amp;"."&amp;$B$158&amp;".energy[Tech description]")&amp;INDIRECT($B$3&amp;"."&amp;$B$158&amp;".energy[Energy description]"),0)),0)</f>
        <v>0</v>
      </c>
      <c r="AD247" s="152">
        <f t="array" aca="1" ref="AD247" ca="1">IFERROR(INDEX(INDIRECT($B$3&amp;"."&amp;$B$158&amp;".energy["&amp;This.year&amp;"]"),MATCH($C247&amp;AD$5,INDIRECT($B$3&amp;"."&amp;$B$158&amp;".energy[Tech description]")&amp;INDIRECT($B$3&amp;"."&amp;$B$158&amp;".energy[Energy description]"),0)),0)</f>
        <v>0</v>
      </c>
      <c r="AE247" s="152">
        <f t="array" aca="1" ref="AE247" ca="1">IFERROR(INDEX(INDIRECT($B$3&amp;"."&amp;$B$158&amp;".energy["&amp;This.year&amp;"]"),MATCH($C247&amp;AE$5,INDIRECT($B$3&amp;"."&amp;$B$158&amp;".energy[Tech description]")&amp;INDIRECT($B$3&amp;"."&amp;$B$158&amp;".energy[Energy description]"),0)),0)</f>
        <v>0</v>
      </c>
      <c r="AF247" s="152">
        <f t="array" aca="1" ref="AF247" ca="1">IFERROR(INDEX(INDIRECT($B$3&amp;"."&amp;$B$158&amp;".energy["&amp;This.year&amp;"]"),MATCH($C247&amp;AF$5,INDIRECT($B$3&amp;"."&amp;$B$158&amp;".energy[Tech description]")&amp;INDIRECT($B$3&amp;"."&amp;$B$158&amp;".energy[Energy description]"),0)),0)</f>
        <v>0</v>
      </c>
      <c r="AG247" s="152">
        <f t="array" aca="1" ref="AG247" ca="1">IFERROR(INDEX(INDIRECT($B$3&amp;"."&amp;$B$158&amp;".energy["&amp;This.year&amp;"]"),MATCH($C247&amp;AG$5,INDIRECT($B$3&amp;"."&amp;$B$158&amp;".energy[Tech description]")&amp;INDIRECT($B$3&amp;"."&amp;$B$158&amp;".energy[Energy description]"),0)),0)</f>
        <v>0</v>
      </c>
      <c r="AH247" s="152">
        <f t="array" aca="1" ref="AH247" ca="1">IFERROR(INDEX(INDIRECT($B$3&amp;"."&amp;$B$158&amp;".energy["&amp;This.year&amp;"]"),MATCH($C247&amp;AH$5,INDIRECT($B$3&amp;"."&amp;$B$158&amp;".energy[Tech description]")&amp;INDIRECT($B$3&amp;"."&amp;$B$158&amp;".energy[Energy description]"),0)),0)</f>
        <v>0</v>
      </c>
      <c r="AI247" s="152">
        <f t="array" aca="1" ref="AI247" ca="1">IFERROR(INDEX(INDIRECT($B$3&amp;"."&amp;$B$158&amp;".energy["&amp;This.year&amp;"]"),MATCH($C247&amp;AI$5,INDIRECT($B$3&amp;"."&amp;$B$158&amp;".energy[Tech description]")&amp;INDIRECT($B$3&amp;"."&amp;$B$158&amp;".energy[Energy description]"),0)),0)</f>
        <v>0</v>
      </c>
      <c r="AJ247" s="152">
        <f t="array" aca="1" ref="AJ247" ca="1">IFERROR(INDEX(INDIRECT($B$3&amp;"."&amp;$B$158&amp;".energy["&amp;This.year&amp;"]"),MATCH($C247&amp;AJ$5,INDIRECT($B$3&amp;"."&amp;$B$158&amp;".energy[Tech description]")&amp;INDIRECT($B$3&amp;"."&amp;$B$158&amp;".energy[Energy description]"),0)),0)</f>
        <v>0</v>
      </c>
      <c r="AK247" s="152">
        <f t="array" aca="1" ref="AK247" ca="1">IFERROR(INDEX(INDIRECT($B$3&amp;"."&amp;$B$158&amp;".energy["&amp;This.year&amp;"]"),MATCH($C247&amp;AK$5,INDIRECT($B$3&amp;"."&amp;$B$158&amp;".energy[Tech description]")&amp;INDIRECT($B$3&amp;"."&amp;$B$158&amp;".energy[Energy description]"),0)),0)</f>
        <v>0</v>
      </c>
      <c r="AL247" s="152">
        <f t="array" aca="1" ref="AL247" ca="1">IFERROR(INDEX(INDIRECT($B$3&amp;"."&amp;$B$158&amp;".energy["&amp;This.year&amp;"]"),MATCH($C247&amp;AL$5,INDIRECT($B$3&amp;"."&amp;$B$158&amp;".energy[Tech description]")&amp;INDIRECT($B$3&amp;"."&amp;$B$158&amp;".energy[Energy description]"),0)),0)</f>
        <v>0</v>
      </c>
      <c r="AM247" s="152">
        <f t="array" aca="1" ref="AM247" ca="1">IFERROR(INDEX(INDIRECT($B$3&amp;"."&amp;$B$158&amp;".energy["&amp;This.year&amp;"]"),MATCH($C247&amp;AM$5,INDIRECT($B$3&amp;"."&amp;$B$158&amp;".energy[Tech description]")&amp;INDIRECT($B$3&amp;"."&amp;$B$158&amp;".energy[Energy description]"),0)),0)</f>
        <v>0</v>
      </c>
      <c r="AN247" s="152">
        <f t="array" aca="1" ref="AN247" ca="1">IFERROR(INDEX(INDIRECT($B$3&amp;"."&amp;$B$158&amp;".energy["&amp;This.year&amp;"]"),MATCH($C247&amp;AN$5,INDIRECT($B$3&amp;"."&amp;$B$158&amp;".energy[Tech description]")&amp;INDIRECT($B$3&amp;"."&amp;$B$158&amp;".energy[Energy description]"),0)),0)</f>
        <v>0</v>
      </c>
      <c r="AO247" s="152">
        <f t="shared" ref="AO247:AO252" ca="1" si="43">SUM(V247:AN247)</f>
        <v>-1.2878995795200781</v>
      </c>
      <c r="AP247" s="108"/>
      <c r="AQ247" s="21">
        <f t="array" aca="1" ref="AQ247" ca="1">IFERROR(INDEX(INDIRECT($B$3&amp;"."&amp;$B$158&amp;".energy["&amp;This.year&amp;"]"),MATCH($C247&amp;AQ$5,INDIRECT($B$3&amp;"."&amp;$B$158&amp;".energy[Tech description]")&amp;INDIRECT($B$3&amp;"."&amp;$B$158&amp;".energy[Energy description]"),0)),0)</f>
        <v>0</v>
      </c>
      <c r="AR247" s="21">
        <f t="array" aca="1" ref="AR247" ca="1">IFERROR(INDEX(INDIRECT($B$3&amp;"."&amp;$B$158&amp;".energy["&amp;This.year&amp;"]"),MATCH($C247&amp;AR$5,INDIRECT($B$3&amp;"."&amp;$B$158&amp;".energy[Tech description]")&amp;INDIRECT($B$3&amp;"."&amp;$B$158&amp;".energy[Energy description]"),0)),0)</f>
        <v>0</v>
      </c>
      <c r="AS247" s="21">
        <f t="array" aca="1" ref="AS247" ca="1">IFERROR(INDEX(INDIRECT($B$3&amp;"."&amp;$B$158&amp;".energy["&amp;This.year&amp;"]"),MATCH($C247&amp;AS$5,INDIRECT($B$3&amp;"."&amp;$B$158&amp;".energy[Tech description]")&amp;INDIRECT($B$3&amp;"."&amp;$B$158&amp;".energy[Energy description]"),0)),0)</f>
        <v>0</v>
      </c>
      <c r="AT247" s="21">
        <f t="array" aca="1" ref="AT247" ca="1">IFERROR(INDEX(INDIRECT($B$3&amp;"."&amp;$B$158&amp;".energy["&amp;This.year&amp;"]"),MATCH($C247&amp;AT$5,INDIRECT($B$3&amp;"."&amp;$B$158&amp;".energy[Tech description]")&amp;INDIRECT($B$3&amp;"."&amp;$B$158&amp;".energy[Energy description]"),0)),0)</f>
        <v>0</v>
      </c>
      <c r="AU247" s="21">
        <f t="array" aca="1" ref="AU247" ca="1">IFERROR(INDEX(INDIRECT($B$3&amp;"."&amp;$B$158&amp;".energy["&amp;This.year&amp;"]"),MATCH($C247&amp;AU$5,INDIRECT($B$3&amp;"."&amp;$B$158&amp;".energy[Tech description]")&amp;INDIRECT($B$3&amp;"."&amp;$B$158&amp;".energy[Energy description]"),0)),0)</f>
        <v>0</v>
      </c>
      <c r="AV247" s="21">
        <f t="array" aca="1" ref="AV247" ca="1">IFERROR(INDEX(INDIRECT($B$3&amp;"."&amp;$B$158&amp;".energy["&amp;This.year&amp;"]"),MATCH($C247&amp;AV$5,INDIRECT($B$3&amp;"."&amp;$B$158&amp;".energy[Tech description]")&amp;INDIRECT($B$3&amp;"."&amp;$B$158&amp;".energy[Energy description]"),0)),0)</f>
        <v>0</v>
      </c>
      <c r="AW247" s="21">
        <f t="array" aca="1" ref="AW247" ca="1">IFERROR(INDEX(INDIRECT($B$3&amp;"."&amp;$B$158&amp;".energy["&amp;This.year&amp;"]"),MATCH($C247&amp;AW$5,INDIRECT($B$3&amp;"."&amp;$B$158&amp;".energy[Tech description]")&amp;INDIRECT($B$3&amp;"."&amp;$B$158&amp;".energy[Energy description]"),0)),0)</f>
        <v>0</v>
      </c>
      <c r="AX247" s="21">
        <f t="array" aca="1" ref="AX247" ca="1">IFERROR(INDEX(INDIRECT($B$3&amp;"."&amp;$B$158&amp;".energy["&amp;This.year&amp;"]"),MATCH($C247&amp;AX$5,INDIRECT($B$3&amp;"."&amp;$B$158&amp;".energy[Tech description]")&amp;INDIRECT($B$3&amp;"."&amp;$B$158&amp;".energy[Energy description]"),0)),0)</f>
        <v>0</v>
      </c>
      <c r="AY247" s="21">
        <f t="array" aca="1" ref="AY247" ca="1">IFERROR(INDEX(INDIRECT($B$3&amp;"."&amp;$B$158&amp;".energy["&amp;This.year&amp;"]"),MATCH($C247&amp;AY$5,INDIRECT($B$3&amp;"."&amp;$B$158&amp;".energy[Tech description]")&amp;INDIRECT($B$3&amp;"."&amp;$B$158&amp;".energy[Energy description]"),0)),0)</f>
        <v>0</v>
      </c>
      <c r="AZ247" s="21">
        <f t="array" aca="1" ref="AZ247" ca="1">IFERROR(INDEX(INDIRECT($B$3&amp;"."&amp;$B$158&amp;".energy["&amp;This.year&amp;"]"),MATCH($C247&amp;AZ$5,INDIRECT($B$3&amp;"."&amp;$B$158&amp;".energy[Tech description]")&amp;INDIRECT($B$3&amp;"."&amp;$B$158&amp;".energy[Energy description]"),0)),0)</f>
        <v>0</v>
      </c>
      <c r="BA247" s="21">
        <f t="array" aca="1" ref="BA247" ca="1">IFERROR(INDEX(INDIRECT($B$3&amp;"."&amp;$B$158&amp;".energy["&amp;This.year&amp;"]"),MATCH($C247&amp;BA$5,INDIRECT($B$3&amp;"."&amp;$B$158&amp;".energy[Tech description]")&amp;INDIRECT($B$3&amp;"."&amp;$B$158&amp;".energy[Energy description]"),0)),0)</f>
        <v>0</v>
      </c>
      <c r="BB247" s="21">
        <f t="array" aca="1" ref="BB247" ca="1">IFERROR(INDEX(INDIRECT($B$3&amp;"."&amp;$B$158&amp;".energy["&amp;This.year&amp;"]"),MATCH($C247&amp;BB$5,INDIRECT($B$3&amp;"."&amp;$B$158&amp;".energy[Tech description]")&amp;INDIRECT($B$3&amp;"."&amp;$B$158&amp;".energy[Energy description]"),0)),0)</f>
        <v>0</v>
      </c>
      <c r="BC247" s="21">
        <f t="array" aca="1" ref="BC247" ca="1">IFERROR(INDEX(INDIRECT($B$3&amp;"."&amp;$B$158&amp;".energy["&amp;This.year&amp;"]"),MATCH($C247&amp;BC$5,INDIRECT($B$3&amp;"."&amp;$B$158&amp;".energy[Tech description]")&amp;INDIRECT($B$3&amp;"."&amp;$B$158&amp;".energy[Energy description]"),0)),0)</f>
        <v>0</v>
      </c>
      <c r="BD247" s="21">
        <f t="shared" ref="BD247:BD252" ca="1" si="44">SUM(AQ247:BC247)</f>
        <v>0</v>
      </c>
      <c r="BE247" s="108"/>
      <c r="BF247" s="49">
        <f t="array" aca="1" ref="BF247" ca="1">IFERROR(INDEX(INDIRECT($B$3&amp;"."&amp;$B$158&amp;".energy["&amp;This.year&amp;"]"),MATCH($C247&amp;BF$5,INDIRECT($B$3&amp;"."&amp;$B$158&amp;".energy[Tech description]")&amp;INDIRECT($B$3&amp;"."&amp;$B$158&amp;".energy[Energy description]"),0)),0)</f>
        <v>0</v>
      </c>
      <c r="BG247" s="49">
        <f t="array" aca="1" ref="BG247" ca="1">IFERROR(INDEX(INDIRECT($B$3&amp;"."&amp;$B$158&amp;".energy["&amp;This.year&amp;"]"),MATCH($C247&amp;BG$5,INDIRECT($B$3&amp;"."&amp;$B$158&amp;".energy[Tech description]")&amp;INDIRECT($B$3&amp;"."&amp;$B$158&amp;".energy[Energy description]"),0)),0)</f>
        <v>0</v>
      </c>
      <c r="BH247" s="49">
        <f t="shared" ref="BH247:BH252" ca="1" si="45">SUM(BF247:BG247)</f>
        <v>0</v>
      </c>
      <c r="BI247" s="219">
        <f t="shared" ca="1" si="41"/>
        <v>0</v>
      </c>
      <c r="BJ247" s="108"/>
    </row>
    <row r="248" spans="1:62" s="54" customFormat="1">
      <c r="A248" s="133"/>
      <c r="B248" s="176" t="s">
        <v>1861</v>
      </c>
      <c r="C248" s="114" t="str">
        <f>INDEX(Regional.Technologies[Description],MATCH($B$3&amp;"."&amp;B248,Regional.Technologies[Code],0))</f>
        <v>Global Coal use in the Cement technology</v>
      </c>
      <c r="E248" s="121">
        <f t="array" aca="1" ref="E248" ca="1">IFERROR(INDEX(INDIRECT($B$3&amp;"."&amp;$B$158&amp;".energy["&amp;This.year&amp;"]"),MATCH($C248&amp;E$5,INDIRECT($B$3&amp;"."&amp;$B$158&amp;".energy[Tech description]")&amp;INDIRECT($B$3&amp;"."&amp;$B$158&amp;".energy[Energy description]"),0)),0)</f>
        <v>0</v>
      </c>
      <c r="F248" s="121">
        <f t="array" aca="1" ref="F248" ca="1">IFERROR(INDEX(INDIRECT($B$3&amp;"."&amp;$B$158&amp;".energy["&amp;This.year&amp;"]"),MATCH($C248&amp;F$5,INDIRECT($B$3&amp;"."&amp;$B$158&amp;".energy[Tech description]")&amp;INDIRECT($B$3&amp;"."&amp;$B$158&amp;".energy[Energy description]"),0)),0)</f>
        <v>0</v>
      </c>
      <c r="G248" s="121">
        <f t="array" aca="1" ref="G248" ca="1">IFERROR(INDEX(INDIRECT($B$3&amp;"."&amp;$B$158&amp;".energy["&amp;This.year&amp;"]"),MATCH($C248&amp;G$5,INDIRECT($B$3&amp;"."&amp;$B$158&amp;".energy[Tech description]")&amp;INDIRECT($B$3&amp;"."&amp;$B$158&amp;".energy[Energy description]"),0)),0)</f>
        <v>0</v>
      </c>
      <c r="H248" s="121">
        <f t="array" aca="1" ref="H248" ca="1">IFERROR(INDEX(INDIRECT($B$3&amp;"."&amp;$B$158&amp;".energy["&amp;This.year&amp;"]"),MATCH($C248&amp;H$5,INDIRECT($B$3&amp;"."&amp;$B$158&amp;".energy[Tech description]")&amp;INDIRECT($B$3&amp;"."&amp;$B$158&amp;".energy[Energy description]"),0)),0)</f>
        <v>0</v>
      </c>
      <c r="I248" s="121">
        <f t="array" aca="1" ref="I248" ca="1">IFERROR(INDEX(INDIRECT($B$3&amp;"."&amp;$B$158&amp;".energy["&amp;This.year&amp;"]"),MATCH($C248&amp;I$5,INDIRECT($B$3&amp;"."&amp;$B$158&amp;".energy[Tech description]")&amp;INDIRECT($B$3&amp;"."&amp;$B$158&amp;".energy[Energy description]"),0)),0)</f>
        <v>0</v>
      </c>
      <c r="J248" s="121">
        <f t="array" aca="1" ref="J248" ca="1">IFERROR(INDEX(INDIRECT($B$3&amp;"."&amp;$B$158&amp;".energy["&amp;This.year&amp;"]"),MATCH($C248&amp;J$5,INDIRECT($B$3&amp;"."&amp;$B$158&amp;".energy[Tech description]")&amp;INDIRECT($B$3&amp;"."&amp;$B$158&amp;".energy[Energy description]"),0)),0)</f>
        <v>6.8409905230434269</v>
      </c>
      <c r="K248" s="121">
        <f t="array" aca="1" ref="K248" ca="1">IFERROR(INDEX(INDIRECT($B$3&amp;"."&amp;$B$158&amp;".energy["&amp;This.year&amp;"]"),MATCH($C248&amp;K$5,INDIRECT($B$3&amp;"."&amp;$B$158&amp;".energy[Tech description]")&amp;INDIRECT($B$3&amp;"."&amp;$B$158&amp;".energy[Energy description]"),0)),0)</f>
        <v>0</v>
      </c>
      <c r="L248" s="121">
        <f t="array" aca="1" ref="L248" ca="1">IFERROR(INDEX(INDIRECT($B$3&amp;"."&amp;$B$158&amp;".energy["&amp;This.year&amp;"]"),MATCH($C248&amp;L$5,INDIRECT($B$3&amp;"."&amp;$B$158&amp;".energy[Tech description]")&amp;INDIRECT($B$3&amp;"."&amp;$B$158&amp;".energy[Energy description]"),0)),0)</f>
        <v>0</v>
      </c>
      <c r="M248" s="121">
        <f t="array" aca="1" ref="M248" ca="1">IFERROR(INDEX(INDIRECT($B$3&amp;"."&amp;$B$158&amp;".energy["&amp;This.year&amp;"]"),MATCH($C248&amp;M$5,INDIRECT($B$3&amp;"."&amp;$B$158&amp;".energy[Tech description]")&amp;INDIRECT($B$3&amp;"."&amp;$B$158&amp;".energy[Energy description]"),0)),0)</f>
        <v>0</v>
      </c>
      <c r="N248" s="121">
        <f t="array" aca="1" ref="N248" ca="1">IFERROR(INDEX(INDIRECT($B$3&amp;"."&amp;$B$158&amp;".energy["&amp;This.year&amp;"]"),MATCH($C248&amp;N$5,INDIRECT($B$3&amp;"."&amp;$B$158&amp;".energy[Tech description]")&amp;INDIRECT($B$3&amp;"."&amp;$B$158&amp;".energy[Energy description]"),0)),0)</f>
        <v>0</v>
      </c>
      <c r="O248" s="121">
        <f t="array" aca="1" ref="O248" ca="1">IFERROR(INDEX(INDIRECT($B$3&amp;"."&amp;$B$158&amp;".energy["&amp;This.year&amp;"]"),MATCH($C248&amp;O$5,INDIRECT($B$3&amp;"."&amp;$B$158&amp;".energy[Tech description]")&amp;INDIRECT($B$3&amp;"."&amp;$B$158&amp;".energy[Energy description]"),0)),0)</f>
        <v>0</v>
      </c>
      <c r="P248" s="121">
        <f t="array" aca="1" ref="P248" ca="1">IFERROR(INDEX(INDIRECT($B$3&amp;"."&amp;$B$158&amp;".energy["&amp;This.year&amp;"]"),MATCH($C248&amp;P$5,INDIRECT($B$3&amp;"."&amp;$B$158&amp;".energy[Tech description]")&amp;INDIRECT($B$3&amp;"."&amp;$B$158&amp;".energy[Energy description]"),0)),0)</f>
        <v>0</v>
      </c>
      <c r="Q248" s="121">
        <f t="array" aca="1" ref="Q248" ca="1">IFERROR(INDEX(INDIRECT($B$3&amp;"."&amp;$B$158&amp;".energy["&amp;This.year&amp;"]"),MATCH($C248&amp;Q$5,INDIRECT($B$3&amp;"."&amp;$B$158&amp;".energy[Tech description]")&amp;INDIRECT($B$3&amp;"."&amp;$B$158&amp;".energy[Energy description]"),0)),0)</f>
        <v>0</v>
      </c>
      <c r="R248" s="121">
        <f t="array" aca="1" ref="R248" ca="1">IFERROR(INDEX(INDIRECT($B$3&amp;"."&amp;$B$158&amp;".energy["&amp;This.year&amp;"]"),MATCH($C248&amp;R$5,INDIRECT($B$3&amp;"."&amp;$B$158&amp;".energy[Tech description]")&amp;INDIRECT($B$3&amp;"."&amp;$B$158&amp;".energy[Energy description]"),0)),0)</f>
        <v>0</v>
      </c>
      <c r="S248" s="121">
        <f t="array" aca="1" ref="S248" ca="1">IFERROR(INDEX(INDIRECT($B$3&amp;"."&amp;$B$158&amp;".energy["&amp;This.year&amp;"]"),MATCH($C248&amp;S$5,INDIRECT($B$3&amp;"."&amp;$B$158&amp;".energy[Tech description]")&amp;INDIRECT($B$3&amp;"."&amp;$B$158&amp;".energy[Energy description]"),0)),0)</f>
        <v>0</v>
      </c>
      <c r="T248" s="121">
        <f t="shared" ca="1" si="42"/>
        <v>6.8409905230434269</v>
      </c>
      <c r="U248" s="109"/>
      <c r="V248" s="152">
        <f t="array" aca="1" ref="V248" ca="1">IFERROR(INDEX(INDIRECT($B$3&amp;"."&amp;$B$158&amp;".energy["&amp;This.year&amp;"]"),MATCH($C248&amp;V$5,INDIRECT($B$3&amp;"."&amp;$B$158&amp;".energy[Tech description]")&amp;INDIRECT($B$3&amp;"."&amp;$B$158&amp;".energy[Energy description]"),0)),0)</f>
        <v>0</v>
      </c>
      <c r="W248" s="152">
        <f t="array" aca="1" ref="W248" ca="1">IFERROR(INDEX(INDIRECT($B$3&amp;"."&amp;$B$158&amp;".energy["&amp;This.year&amp;"]"),MATCH($C248&amp;W$5,INDIRECT($B$3&amp;"."&amp;$B$158&amp;".energy[Tech description]")&amp;INDIRECT($B$3&amp;"."&amp;$B$158&amp;".energy[Energy description]"),0)),0)</f>
        <v>0</v>
      </c>
      <c r="X248" s="152">
        <f t="array" aca="1" ref="X248" ca="1">IFERROR(INDEX(INDIRECT($B$3&amp;"."&amp;$B$158&amp;".energy["&amp;This.year&amp;"]"),MATCH($C248&amp;X$5,INDIRECT($B$3&amp;"."&amp;$B$158&amp;".energy[Tech description]")&amp;INDIRECT($B$3&amp;"."&amp;$B$158&amp;".energy[Energy description]"),0)),0)</f>
        <v>0</v>
      </c>
      <c r="Y248" s="152">
        <f t="array" aca="1" ref="Y248" ca="1">IFERROR(INDEX(INDIRECT($B$3&amp;"."&amp;$B$158&amp;".energy["&amp;This.year&amp;"]"),MATCH($C248&amp;Y$5,INDIRECT($B$3&amp;"."&amp;$B$158&amp;".energy[Tech description]")&amp;INDIRECT($B$3&amp;"."&amp;$B$158&amp;".energy[Energy description]"),0)),0)</f>
        <v>0</v>
      </c>
      <c r="Z248" s="152">
        <f t="array" aca="1" ref="Z248" ca="1">IFERROR(INDEX(INDIRECT($B$3&amp;"."&amp;$B$158&amp;".energy["&amp;This.year&amp;"]"),MATCH($C248&amp;Z$5,INDIRECT($B$3&amp;"."&amp;$B$158&amp;".energy[Tech description]")&amp;INDIRECT($B$3&amp;"."&amp;$B$158&amp;".energy[Energy description]"),0)),0)</f>
        <v>0</v>
      </c>
      <c r="AA248" s="152">
        <f t="array" aca="1" ref="AA248" ca="1">IFERROR(INDEX(INDIRECT($B$3&amp;"."&amp;$B$158&amp;".energy["&amp;This.year&amp;"]"),MATCH($C248&amp;AA$5,INDIRECT($B$3&amp;"."&amp;$B$158&amp;".energy[Tech description]")&amp;INDIRECT($B$3&amp;"."&amp;$B$158&amp;".energy[Energy description]"),0)),0)</f>
        <v>-6.8409905230434269</v>
      </c>
      <c r="AB248" s="152">
        <f t="array" aca="1" ref="AB248" ca="1">IFERROR(INDEX(INDIRECT($B$3&amp;"."&amp;$B$158&amp;".energy["&amp;This.year&amp;"]"),MATCH($C248&amp;AB$5,INDIRECT($B$3&amp;"."&amp;$B$158&amp;".energy[Tech description]")&amp;INDIRECT($B$3&amp;"."&amp;$B$158&amp;".energy[Energy description]"),0)),0)</f>
        <v>0</v>
      </c>
      <c r="AC248" s="152">
        <f t="array" aca="1" ref="AC248" ca="1">IFERROR(INDEX(INDIRECT($B$3&amp;"."&amp;$B$158&amp;".energy["&amp;This.year&amp;"]"),MATCH($C248&amp;AC$5,INDIRECT($B$3&amp;"."&amp;$B$158&amp;".energy[Tech description]")&amp;INDIRECT($B$3&amp;"."&amp;$B$158&amp;".energy[Energy description]"),0)),0)</f>
        <v>0</v>
      </c>
      <c r="AD248" s="152">
        <f t="array" aca="1" ref="AD248" ca="1">IFERROR(INDEX(INDIRECT($B$3&amp;"."&amp;$B$158&amp;".energy["&amp;This.year&amp;"]"),MATCH($C248&amp;AD$5,INDIRECT($B$3&amp;"."&amp;$B$158&amp;".energy[Tech description]")&amp;INDIRECT($B$3&amp;"."&amp;$B$158&amp;".energy[Energy description]"),0)),0)</f>
        <v>0</v>
      </c>
      <c r="AE248" s="152">
        <f t="array" aca="1" ref="AE248" ca="1">IFERROR(INDEX(INDIRECT($B$3&amp;"."&amp;$B$158&amp;".energy["&amp;This.year&amp;"]"),MATCH($C248&amp;AE$5,INDIRECT($B$3&amp;"."&amp;$B$158&amp;".energy[Tech description]")&amp;INDIRECT($B$3&amp;"."&amp;$B$158&amp;".energy[Energy description]"),0)),0)</f>
        <v>0</v>
      </c>
      <c r="AF248" s="152">
        <f t="array" aca="1" ref="AF248" ca="1">IFERROR(INDEX(INDIRECT($B$3&amp;"."&amp;$B$158&amp;".energy["&amp;This.year&amp;"]"),MATCH($C248&amp;AF$5,INDIRECT($B$3&amp;"."&amp;$B$158&amp;".energy[Tech description]")&amp;INDIRECT($B$3&amp;"."&amp;$B$158&amp;".energy[Energy description]"),0)),0)</f>
        <v>0</v>
      </c>
      <c r="AG248" s="152">
        <f t="array" aca="1" ref="AG248" ca="1">IFERROR(INDEX(INDIRECT($B$3&amp;"."&amp;$B$158&amp;".energy["&amp;This.year&amp;"]"),MATCH($C248&amp;AG$5,INDIRECT($B$3&amp;"."&amp;$B$158&amp;".energy[Tech description]")&amp;INDIRECT($B$3&amp;"."&amp;$B$158&amp;".energy[Energy description]"),0)),0)</f>
        <v>0</v>
      </c>
      <c r="AH248" s="152">
        <f t="array" aca="1" ref="AH248" ca="1">IFERROR(INDEX(INDIRECT($B$3&amp;"."&amp;$B$158&amp;".energy["&amp;This.year&amp;"]"),MATCH($C248&amp;AH$5,INDIRECT($B$3&amp;"."&amp;$B$158&amp;".energy[Tech description]")&amp;INDIRECT($B$3&amp;"."&amp;$B$158&amp;".energy[Energy description]"),0)),0)</f>
        <v>0</v>
      </c>
      <c r="AI248" s="152">
        <f t="array" aca="1" ref="AI248" ca="1">IFERROR(INDEX(INDIRECT($B$3&amp;"."&amp;$B$158&amp;".energy["&amp;This.year&amp;"]"),MATCH($C248&amp;AI$5,INDIRECT($B$3&amp;"."&amp;$B$158&amp;".energy[Tech description]")&amp;INDIRECT($B$3&amp;"."&amp;$B$158&amp;".energy[Energy description]"),0)),0)</f>
        <v>0</v>
      </c>
      <c r="AJ248" s="152">
        <f t="array" aca="1" ref="AJ248" ca="1">IFERROR(INDEX(INDIRECT($B$3&amp;"."&amp;$B$158&amp;".energy["&amp;This.year&amp;"]"),MATCH($C248&amp;AJ$5,INDIRECT($B$3&amp;"."&amp;$B$158&amp;".energy[Tech description]")&amp;INDIRECT($B$3&amp;"."&amp;$B$158&amp;".energy[Energy description]"),0)),0)</f>
        <v>0</v>
      </c>
      <c r="AK248" s="152">
        <f t="array" aca="1" ref="AK248" ca="1">IFERROR(INDEX(INDIRECT($B$3&amp;"."&amp;$B$158&amp;".energy["&amp;This.year&amp;"]"),MATCH($C248&amp;AK$5,INDIRECT($B$3&amp;"."&amp;$B$158&amp;".energy[Tech description]")&amp;INDIRECT($B$3&amp;"."&amp;$B$158&amp;".energy[Energy description]"),0)),0)</f>
        <v>0</v>
      </c>
      <c r="AL248" s="152">
        <f t="array" aca="1" ref="AL248" ca="1">IFERROR(INDEX(INDIRECT($B$3&amp;"."&amp;$B$158&amp;".energy["&amp;This.year&amp;"]"),MATCH($C248&amp;AL$5,INDIRECT($B$3&amp;"."&amp;$B$158&amp;".energy[Tech description]")&amp;INDIRECT($B$3&amp;"."&amp;$B$158&amp;".energy[Energy description]"),0)),0)</f>
        <v>0</v>
      </c>
      <c r="AM248" s="152">
        <f t="array" aca="1" ref="AM248" ca="1">IFERROR(INDEX(INDIRECT($B$3&amp;"."&amp;$B$158&amp;".energy["&amp;This.year&amp;"]"),MATCH($C248&amp;AM$5,INDIRECT($B$3&amp;"."&amp;$B$158&amp;".energy[Tech description]")&amp;INDIRECT($B$3&amp;"."&amp;$B$158&amp;".energy[Energy description]"),0)),0)</f>
        <v>0</v>
      </c>
      <c r="AN248" s="152">
        <f t="array" aca="1" ref="AN248" ca="1">IFERROR(INDEX(INDIRECT($B$3&amp;"."&amp;$B$158&amp;".energy["&amp;This.year&amp;"]"),MATCH($C248&amp;AN$5,INDIRECT($B$3&amp;"."&amp;$B$158&amp;".energy[Tech description]")&amp;INDIRECT($B$3&amp;"."&amp;$B$158&amp;".energy[Energy description]"),0)),0)</f>
        <v>0</v>
      </c>
      <c r="AO248" s="152">
        <f t="shared" ca="1" si="43"/>
        <v>-6.8409905230434269</v>
      </c>
      <c r="AP248" s="108"/>
      <c r="AQ248" s="21">
        <f t="array" aca="1" ref="AQ248" ca="1">IFERROR(INDEX(INDIRECT($B$3&amp;"."&amp;$B$158&amp;".energy["&amp;This.year&amp;"]"),MATCH($C248&amp;AQ$5,INDIRECT($B$3&amp;"."&amp;$B$158&amp;".energy[Tech description]")&amp;INDIRECT($B$3&amp;"."&amp;$B$158&amp;".energy[Energy description]"),0)),0)</f>
        <v>0</v>
      </c>
      <c r="AR248" s="21">
        <f t="array" aca="1" ref="AR248" ca="1">IFERROR(INDEX(INDIRECT($B$3&amp;"."&amp;$B$158&amp;".energy["&amp;This.year&amp;"]"),MATCH($C248&amp;AR$5,INDIRECT($B$3&amp;"."&amp;$B$158&amp;".energy[Tech description]")&amp;INDIRECT($B$3&amp;"."&amp;$B$158&amp;".energy[Energy description]"),0)),0)</f>
        <v>0</v>
      </c>
      <c r="AS248" s="21">
        <f t="array" aca="1" ref="AS248" ca="1">IFERROR(INDEX(INDIRECT($B$3&amp;"."&amp;$B$158&amp;".energy["&amp;This.year&amp;"]"),MATCH($C248&amp;AS$5,INDIRECT($B$3&amp;"."&amp;$B$158&amp;".energy[Tech description]")&amp;INDIRECT($B$3&amp;"."&amp;$B$158&amp;".energy[Energy description]"),0)),0)</f>
        <v>0</v>
      </c>
      <c r="AT248" s="21">
        <f t="array" aca="1" ref="AT248" ca="1">IFERROR(INDEX(INDIRECT($B$3&amp;"."&amp;$B$158&amp;".energy["&amp;This.year&amp;"]"),MATCH($C248&amp;AT$5,INDIRECT($B$3&amp;"."&amp;$B$158&amp;".energy[Tech description]")&amp;INDIRECT($B$3&amp;"."&amp;$B$158&amp;".energy[Energy description]"),0)),0)</f>
        <v>0</v>
      </c>
      <c r="AU248" s="21">
        <f t="array" aca="1" ref="AU248" ca="1">IFERROR(INDEX(INDIRECT($B$3&amp;"."&amp;$B$158&amp;".energy["&amp;This.year&amp;"]"),MATCH($C248&amp;AU$5,INDIRECT($B$3&amp;"."&amp;$B$158&amp;".energy[Tech description]")&amp;INDIRECT($B$3&amp;"."&amp;$B$158&amp;".energy[Energy description]"),0)),0)</f>
        <v>0</v>
      </c>
      <c r="AV248" s="21">
        <f t="array" aca="1" ref="AV248" ca="1">IFERROR(INDEX(INDIRECT($B$3&amp;"."&amp;$B$158&amp;".energy["&amp;This.year&amp;"]"),MATCH($C248&amp;AV$5,INDIRECT($B$3&amp;"."&amp;$B$158&amp;".energy[Tech description]")&amp;INDIRECT($B$3&amp;"."&amp;$B$158&amp;".energy[Energy description]"),0)),0)</f>
        <v>0</v>
      </c>
      <c r="AW248" s="21">
        <f t="array" aca="1" ref="AW248" ca="1">IFERROR(INDEX(INDIRECT($B$3&amp;"."&amp;$B$158&amp;".energy["&amp;This.year&amp;"]"),MATCH($C248&amp;AW$5,INDIRECT($B$3&amp;"."&amp;$B$158&amp;".energy[Tech description]")&amp;INDIRECT($B$3&amp;"."&amp;$B$158&amp;".energy[Energy description]"),0)),0)</f>
        <v>0</v>
      </c>
      <c r="AX248" s="21">
        <f t="array" aca="1" ref="AX248" ca="1">IFERROR(INDEX(INDIRECT($B$3&amp;"."&amp;$B$158&amp;".energy["&amp;This.year&amp;"]"),MATCH($C248&amp;AX$5,INDIRECT($B$3&amp;"."&amp;$B$158&amp;".energy[Tech description]")&amp;INDIRECT($B$3&amp;"."&amp;$B$158&amp;".energy[Energy description]"),0)),0)</f>
        <v>0</v>
      </c>
      <c r="AY248" s="21">
        <f t="array" aca="1" ref="AY248" ca="1">IFERROR(INDEX(INDIRECT($B$3&amp;"."&amp;$B$158&amp;".energy["&amp;This.year&amp;"]"),MATCH($C248&amp;AY$5,INDIRECT($B$3&amp;"."&amp;$B$158&amp;".energy[Tech description]")&amp;INDIRECT($B$3&amp;"."&amp;$B$158&amp;".energy[Energy description]"),0)),0)</f>
        <v>0</v>
      </c>
      <c r="AZ248" s="21">
        <f t="array" aca="1" ref="AZ248" ca="1">IFERROR(INDEX(INDIRECT($B$3&amp;"."&amp;$B$158&amp;".energy["&amp;This.year&amp;"]"),MATCH($C248&amp;AZ$5,INDIRECT($B$3&amp;"."&amp;$B$158&amp;".energy[Tech description]")&amp;INDIRECT($B$3&amp;"."&amp;$B$158&amp;".energy[Energy description]"),0)),0)</f>
        <v>0</v>
      </c>
      <c r="BA248" s="21">
        <f t="array" aca="1" ref="BA248" ca="1">IFERROR(INDEX(INDIRECT($B$3&amp;"."&amp;$B$158&amp;".energy["&amp;This.year&amp;"]"),MATCH($C248&amp;BA$5,INDIRECT($B$3&amp;"."&amp;$B$158&amp;".energy[Tech description]")&amp;INDIRECT($B$3&amp;"."&amp;$B$158&amp;".energy[Energy description]"),0)),0)</f>
        <v>0</v>
      </c>
      <c r="BB248" s="21">
        <f t="array" aca="1" ref="BB248" ca="1">IFERROR(INDEX(INDIRECT($B$3&amp;"."&amp;$B$158&amp;".energy["&amp;This.year&amp;"]"),MATCH($C248&amp;BB$5,INDIRECT($B$3&amp;"."&amp;$B$158&amp;".energy[Tech description]")&amp;INDIRECT($B$3&amp;"."&amp;$B$158&amp;".energy[Energy description]"),0)),0)</f>
        <v>0</v>
      </c>
      <c r="BC248" s="21">
        <f t="array" aca="1" ref="BC248" ca="1">IFERROR(INDEX(INDIRECT($B$3&amp;"."&amp;$B$158&amp;".energy["&amp;This.year&amp;"]"),MATCH($C248&amp;BC$5,INDIRECT($B$3&amp;"."&amp;$B$158&amp;".energy[Tech description]")&amp;INDIRECT($B$3&amp;"."&amp;$B$158&amp;".energy[Energy description]"),0)),0)</f>
        <v>0</v>
      </c>
      <c r="BD248" s="21">
        <f t="shared" ca="1" si="44"/>
        <v>0</v>
      </c>
      <c r="BE248" s="108"/>
      <c r="BF248" s="49">
        <f t="array" aca="1" ref="BF248" ca="1">IFERROR(INDEX(INDIRECT($B$3&amp;"."&amp;$B$158&amp;".energy["&amp;This.year&amp;"]"),MATCH($C248&amp;BF$5,INDIRECT($B$3&amp;"."&amp;$B$158&amp;".energy[Tech description]")&amp;INDIRECT($B$3&amp;"."&amp;$B$158&amp;".energy[Energy description]"),0)),0)</f>
        <v>0</v>
      </c>
      <c r="BG248" s="49">
        <f t="array" aca="1" ref="BG248" ca="1">IFERROR(INDEX(INDIRECT($B$3&amp;"."&amp;$B$158&amp;".energy["&amp;This.year&amp;"]"),MATCH($C248&amp;BG$5,INDIRECT($B$3&amp;"."&amp;$B$158&amp;".energy[Tech description]")&amp;INDIRECT($B$3&amp;"."&amp;$B$158&amp;".energy[Energy description]"),0)),0)</f>
        <v>0</v>
      </c>
      <c r="BH248" s="49">
        <f t="shared" ca="1" si="45"/>
        <v>0</v>
      </c>
      <c r="BI248" s="219">
        <f t="shared" ca="1" si="41"/>
        <v>0</v>
      </c>
      <c r="BJ248" s="108"/>
    </row>
    <row r="249" spans="1:62" s="54" customFormat="1">
      <c r="A249" s="133"/>
      <c r="B249" s="176" t="s">
        <v>1862</v>
      </c>
      <c r="C249" s="114" t="str">
        <f>INDEX(Regional.Technologies[Description],MATCH($B$3&amp;"."&amp;B249,Regional.Technologies[Code],0))</f>
        <v>Global Oil use in the Cement technology</v>
      </c>
      <c r="E249" s="121">
        <f t="array" aca="1" ref="E249" ca="1">IFERROR(INDEX(INDIRECT($B$3&amp;"."&amp;$B$158&amp;".energy["&amp;This.year&amp;"]"),MATCH($C249&amp;E$5,INDIRECT($B$3&amp;"."&amp;$B$158&amp;".energy[Tech description]")&amp;INDIRECT($B$3&amp;"."&amp;$B$158&amp;".energy[Energy description]"),0)),0)</f>
        <v>0</v>
      </c>
      <c r="F249" s="121">
        <f t="array" aca="1" ref="F249" ca="1">IFERROR(INDEX(INDIRECT($B$3&amp;"."&amp;$B$158&amp;".energy["&amp;This.year&amp;"]"),MATCH($C249&amp;F$5,INDIRECT($B$3&amp;"."&amp;$B$158&amp;".energy[Tech description]")&amp;INDIRECT($B$3&amp;"."&amp;$B$158&amp;".energy[Energy description]"),0)),0)</f>
        <v>0</v>
      </c>
      <c r="G249" s="121">
        <f t="array" aca="1" ref="G249" ca="1">IFERROR(INDEX(INDIRECT($B$3&amp;"."&amp;$B$158&amp;".energy["&amp;This.year&amp;"]"),MATCH($C249&amp;G$5,INDIRECT($B$3&amp;"."&amp;$B$158&amp;".energy[Tech description]")&amp;INDIRECT($B$3&amp;"."&amp;$B$158&amp;".energy[Energy description]"),0)),0)</f>
        <v>0</v>
      </c>
      <c r="H249" s="121">
        <f t="array" aca="1" ref="H249" ca="1">IFERROR(INDEX(INDIRECT($B$3&amp;"."&amp;$B$158&amp;".energy["&amp;This.year&amp;"]"),MATCH($C249&amp;H$5,INDIRECT($B$3&amp;"."&amp;$B$158&amp;".energy[Tech description]")&amp;INDIRECT($B$3&amp;"."&amp;$B$158&amp;".energy[Energy description]"),0)),0)</f>
        <v>0</v>
      </c>
      <c r="I249" s="121">
        <f t="array" aca="1" ref="I249" ca="1">IFERROR(INDEX(INDIRECT($B$3&amp;"."&amp;$B$158&amp;".energy["&amp;This.year&amp;"]"),MATCH($C249&amp;I$5,INDIRECT($B$3&amp;"."&amp;$B$158&amp;".energy[Tech description]")&amp;INDIRECT($B$3&amp;"."&amp;$B$158&amp;".energy[Energy description]"),0)),0)</f>
        <v>0</v>
      </c>
      <c r="J249" s="121">
        <f t="array" aca="1" ref="J249" ca="1">IFERROR(INDEX(INDIRECT($B$3&amp;"."&amp;$B$158&amp;".energy["&amp;This.year&amp;"]"),MATCH($C249&amp;J$5,INDIRECT($B$3&amp;"."&amp;$B$158&amp;".energy[Tech description]")&amp;INDIRECT($B$3&amp;"."&amp;$B$158&amp;".energy[Energy description]"),0)),0)</f>
        <v>1.1283944201925584</v>
      </c>
      <c r="K249" s="121">
        <f t="array" aca="1" ref="K249" ca="1">IFERROR(INDEX(INDIRECT($B$3&amp;"."&amp;$B$158&amp;".energy["&amp;This.year&amp;"]"),MATCH($C249&amp;K$5,INDIRECT($B$3&amp;"."&amp;$B$158&amp;".energy[Tech description]")&amp;INDIRECT($B$3&amp;"."&amp;$B$158&amp;".energy[Energy description]"),0)),0)</f>
        <v>0</v>
      </c>
      <c r="L249" s="121">
        <f t="array" aca="1" ref="L249" ca="1">IFERROR(INDEX(INDIRECT($B$3&amp;"."&amp;$B$158&amp;".energy["&amp;This.year&amp;"]"),MATCH($C249&amp;L$5,INDIRECT($B$3&amp;"."&amp;$B$158&amp;".energy[Tech description]")&amp;INDIRECT($B$3&amp;"."&amp;$B$158&amp;".energy[Energy description]"),0)),0)</f>
        <v>0</v>
      </c>
      <c r="M249" s="121">
        <f t="array" aca="1" ref="M249" ca="1">IFERROR(INDEX(INDIRECT($B$3&amp;"."&amp;$B$158&amp;".energy["&amp;This.year&amp;"]"),MATCH($C249&amp;M$5,INDIRECT($B$3&amp;"."&amp;$B$158&amp;".energy[Tech description]")&amp;INDIRECT($B$3&amp;"."&amp;$B$158&amp;".energy[Energy description]"),0)),0)</f>
        <v>0</v>
      </c>
      <c r="N249" s="121">
        <f t="array" aca="1" ref="N249" ca="1">IFERROR(INDEX(INDIRECT($B$3&amp;"."&amp;$B$158&amp;".energy["&amp;This.year&amp;"]"),MATCH($C249&amp;N$5,INDIRECT($B$3&amp;"."&amp;$B$158&amp;".energy[Tech description]")&amp;INDIRECT($B$3&amp;"."&amp;$B$158&amp;".energy[Energy description]"),0)),0)</f>
        <v>0</v>
      </c>
      <c r="O249" s="121">
        <f t="array" aca="1" ref="O249" ca="1">IFERROR(INDEX(INDIRECT($B$3&amp;"."&amp;$B$158&amp;".energy["&amp;This.year&amp;"]"),MATCH($C249&amp;O$5,INDIRECT($B$3&amp;"."&amp;$B$158&amp;".energy[Tech description]")&amp;INDIRECT($B$3&amp;"."&amp;$B$158&amp;".energy[Energy description]"),0)),0)</f>
        <v>0</v>
      </c>
      <c r="P249" s="121">
        <f t="array" aca="1" ref="P249" ca="1">IFERROR(INDEX(INDIRECT($B$3&amp;"."&amp;$B$158&amp;".energy["&amp;This.year&amp;"]"),MATCH($C249&amp;P$5,INDIRECT($B$3&amp;"."&amp;$B$158&amp;".energy[Tech description]")&amp;INDIRECT($B$3&amp;"."&amp;$B$158&amp;".energy[Energy description]"),0)),0)</f>
        <v>0</v>
      </c>
      <c r="Q249" s="121">
        <f t="array" aca="1" ref="Q249" ca="1">IFERROR(INDEX(INDIRECT($B$3&amp;"."&amp;$B$158&amp;".energy["&amp;This.year&amp;"]"),MATCH($C249&amp;Q$5,INDIRECT($B$3&amp;"."&amp;$B$158&amp;".energy[Tech description]")&amp;INDIRECT($B$3&amp;"."&amp;$B$158&amp;".energy[Energy description]"),0)),0)</f>
        <v>0</v>
      </c>
      <c r="R249" s="121">
        <f t="array" aca="1" ref="R249" ca="1">IFERROR(INDEX(INDIRECT($B$3&amp;"."&amp;$B$158&amp;".energy["&amp;This.year&amp;"]"),MATCH($C249&amp;R$5,INDIRECT($B$3&amp;"."&amp;$B$158&amp;".energy[Tech description]")&amp;INDIRECT($B$3&amp;"."&amp;$B$158&amp;".energy[Energy description]"),0)),0)</f>
        <v>0</v>
      </c>
      <c r="S249" s="121">
        <f t="array" aca="1" ref="S249" ca="1">IFERROR(INDEX(INDIRECT($B$3&amp;"."&amp;$B$158&amp;".energy["&amp;This.year&amp;"]"),MATCH($C249&amp;S$5,INDIRECT($B$3&amp;"."&amp;$B$158&amp;".energy[Tech description]")&amp;INDIRECT($B$3&amp;"."&amp;$B$158&amp;".energy[Energy description]"),0)),0)</f>
        <v>0</v>
      </c>
      <c r="T249" s="121">
        <f t="shared" ca="1" si="42"/>
        <v>1.1283944201925584</v>
      </c>
      <c r="U249" s="109"/>
      <c r="V249" s="152">
        <f t="array" aca="1" ref="V249" ca="1">IFERROR(INDEX(INDIRECT($B$3&amp;"."&amp;$B$158&amp;".energy["&amp;This.year&amp;"]"),MATCH($C249&amp;V$5,INDIRECT($B$3&amp;"."&amp;$B$158&amp;".energy[Tech description]")&amp;INDIRECT($B$3&amp;"."&amp;$B$158&amp;".energy[Energy description]"),0)),0)</f>
        <v>0</v>
      </c>
      <c r="W249" s="152">
        <f t="array" aca="1" ref="W249" ca="1">IFERROR(INDEX(INDIRECT($B$3&amp;"."&amp;$B$158&amp;".energy["&amp;This.year&amp;"]"),MATCH($C249&amp;W$5,INDIRECT($B$3&amp;"."&amp;$B$158&amp;".energy[Tech description]")&amp;INDIRECT($B$3&amp;"."&amp;$B$158&amp;".energy[Energy description]"),0)),0)</f>
        <v>0</v>
      </c>
      <c r="X249" s="152">
        <f t="array" aca="1" ref="X249" ca="1">IFERROR(INDEX(INDIRECT($B$3&amp;"."&amp;$B$158&amp;".energy["&amp;This.year&amp;"]"),MATCH($C249&amp;X$5,INDIRECT($B$3&amp;"."&amp;$B$158&amp;".energy[Tech description]")&amp;INDIRECT($B$3&amp;"."&amp;$B$158&amp;".energy[Energy description]"),0)),0)</f>
        <v>0</v>
      </c>
      <c r="Y249" s="152">
        <f t="array" aca="1" ref="Y249" ca="1">IFERROR(INDEX(INDIRECT($B$3&amp;"."&amp;$B$158&amp;".energy["&amp;This.year&amp;"]"),MATCH($C249&amp;Y$5,INDIRECT($B$3&amp;"."&amp;$B$158&amp;".energy[Tech description]")&amp;INDIRECT($B$3&amp;"."&amp;$B$158&amp;".energy[Energy description]"),0)),0)</f>
        <v>0</v>
      </c>
      <c r="Z249" s="152">
        <f t="array" aca="1" ref="Z249" ca="1">IFERROR(INDEX(INDIRECT($B$3&amp;"."&amp;$B$158&amp;".energy["&amp;This.year&amp;"]"),MATCH($C249&amp;Z$5,INDIRECT($B$3&amp;"."&amp;$B$158&amp;".energy[Tech description]")&amp;INDIRECT($B$3&amp;"."&amp;$B$158&amp;".energy[Energy description]"),0)),0)</f>
        <v>0</v>
      </c>
      <c r="AA249" s="152">
        <f t="array" aca="1" ref="AA249" ca="1">IFERROR(INDEX(INDIRECT($B$3&amp;"."&amp;$B$158&amp;".energy["&amp;This.year&amp;"]"),MATCH($C249&amp;AA$5,INDIRECT($B$3&amp;"."&amp;$B$158&amp;".energy[Tech description]")&amp;INDIRECT($B$3&amp;"."&amp;$B$158&amp;".energy[Energy description]"),0)),0)</f>
        <v>0</v>
      </c>
      <c r="AB249" s="152">
        <f t="array" aca="1" ref="AB249" ca="1">IFERROR(INDEX(INDIRECT($B$3&amp;"."&amp;$B$158&amp;".energy["&amp;This.year&amp;"]"),MATCH($C249&amp;AB$5,INDIRECT($B$3&amp;"."&amp;$B$158&amp;".energy[Tech description]")&amp;INDIRECT($B$3&amp;"."&amp;$B$158&amp;".energy[Energy description]"),0)),0)</f>
        <v>-1.1283944201925584</v>
      </c>
      <c r="AC249" s="152">
        <f t="array" aca="1" ref="AC249" ca="1">IFERROR(INDEX(INDIRECT($B$3&amp;"."&amp;$B$158&amp;".energy["&amp;This.year&amp;"]"),MATCH($C249&amp;AC$5,INDIRECT($B$3&amp;"."&amp;$B$158&amp;".energy[Tech description]")&amp;INDIRECT($B$3&amp;"."&amp;$B$158&amp;".energy[Energy description]"),0)),0)</f>
        <v>0</v>
      </c>
      <c r="AD249" s="152">
        <f t="array" aca="1" ref="AD249" ca="1">IFERROR(INDEX(INDIRECT($B$3&amp;"."&amp;$B$158&amp;".energy["&amp;This.year&amp;"]"),MATCH($C249&amp;AD$5,INDIRECT($B$3&amp;"."&amp;$B$158&amp;".energy[Tech description]")&amp;INDIRECT($B$3&amp;"."&amp;$B$158&amp;".energy[Energy description]"),0)),0)</f>
        <v>0</v>
      </c>
      <c r="AE249" s="152">
        <f t="array" aca="1" ref="AE249" ca="1">IFERROR(INDEX(INDIRECT($B$3&amp;"."&amp;$B$158&amp;".energy["&amp;This.year&amp;"]"),MATCH($C249&amp;AE$5,INDIRECT($B$3&amp;"."&amp;$B$158&amp;".energy[Tech description]")&amp;INDIRECT($B$3&amp;"."&amp;$B$158&amp;".energy[Energy description]"),0)),0)</f>
        <v>0</v>
      </c>
      <c r="AF249" s="152">
        <f t="array" aca="1" ref="AF249" ca="1">IFERROR(INDEX(INDIRECT($B$3&amp;"."&amp;$B$158&amp;".energy["&amp;This.year&amp;"]"),MATCH($C249&amp;AF$5,INDIRECT($B$3&amp;"."&amp;$B$158&amp;".energy[Tech description]")&amp;INDIRECT($B$3&amp;"."&amp;$B$158&amp;".energy[Energy description]"),0)),0)</f>
        <v>0</v>
      </c>
      <c r="AG249" s="152">
        <f t="array" aca="1" ref="AG249" ca="1">IFERROR(INDEX(INDIRECT($B$3&amp;"."&amp;$B$158&amp;".energy["&amp;This.year&amp;"]"),MATCH($C249&amp;AG$5,INDIRECT($B$3&amp;"."&amp;$B$158&amp;".energy[Tech description]")&amp;INDIRECT($B$3&amp;"."&amp;$B$158&amp;".energy[Energy description]"),0)),0)</f>
        <v>0</v>
      </c>
      <c r="AH249" s="152">
        <f t="array" aca="1" ref="AH249" ca="1">IFERROR(INDEX(INDIRECT($B$3&amp;"."&amp;$B$158&amp;".energy["&amp;This.year&amp;"]"),MATCH($C249&amp;AH$5,INDIRECT($B$3&amp;"."&amp;$B$158&amp;".energy[Tech description]")&amp;INDIRECT($B$3&amp;"."&amp;$B$158&amp;".energy[Energy description]"),0)),0)</f>
        <v>0</v>
      </c>
      <c r="AI249" s="152">
        <f t="array" aca="1" ref="AI249" ca="1">IFERROR(INDEX(INDIRECT($B$3&amp;"."&amp;$B$158&amp;".energy["&amp;This.year&amp;"]"),MATCH($C249&amp;AI$5,INDIRECT($B$3&amp;"."&amp;$B$158&amp;".energy[Tech description]")&amp;INDIRECT($B$3&amp;"."&amp;$B$158&amp;".energy[Energy description]"),0)),0)</f>
        <v>0</v>
      </c>
      <c r="AJ249" s="152">
        <f t="array" aca="1" ref="AJ249" ca="1">IFERROR(INDEX(INDIRECT($B$3&amp;"."&amp;$B$158&amp;".energy["&amp;This.year&amp;"]"),MATCH($C249&amp;AJ$5,INDIRECT($B$3&amp;"."&amp;$B$158&amp;".energy[Tech description]")&amp;INDIRECT($B$3&amp;"."&amp;$B$158&amp;".energy[Energy description]"),0)),0)</f>
        <v>0</v>
      </c>
      <c r="AK249" s="152">
        <f t="array" aca="1" ref="AK249" ca="1">IFERROR(INDEX(INDIRECT($B$3&amp;"."&amp;$B$158&amp;".energy["&amp;This.year&amp;"]"),MATCH($C249&amp;AK$5,INDIRECT($B$3&amp;"."&amp;$B$158&amp;".energy[Tech description]")&amp;INDIRECT($B$3&amp;"."&amp;$B$158&amp;".energy[Energy description]"),0)),0)</f>
        <v>0</v>
      </c>
      <c r="AL249" s="152">
        <f t="array" aca="1" ref="AL249" ca="1">IFERROR(INDEX(INDIRECT($B$3&amp;"."&amp;$B$158&amp;".energy["&amp;This.year&amp;"]"),MATCH($C249&amp;AL$5,INDIRECT($B$3&amp;"."&amp;$B$158&amp;".energy[Tech description]")&amp;INDIRECT($B$3&amp;"."&amp;$B$158&amp;".energy[Energy description]"),0)),0)</f>
        <v>0</v>
      </c>
      <c r="AM249" s="152">
        <f t="array" aca="1" ref="AM249" ca="1">IFERROR(INDEX(INDIRECT($B$3&amp;"."&amp;$B$158&amp;".energy["&amp;This.year&amp;"]"),MATCH($C249&amp;AM$5,INDIRECT($B$3&amp;"."&amp;$B$158&amp;".energy[Tech description]")&amp;INDIRECT($B$3&amp;"."&amp;$B$158&amp;".energy[Energy description]"),0)),0)</f>
        <v>0</v>
      </c>
      <c r="AN249" s="152">
        <f t="array" aca="1" ref="AN249" ca="1">IFERROR(INDEX(INDIRECT($B$3&amp;"."&amp;$B$158&amp;".energy["&amp;This.year&amp;"]"),MATCH($C249&amp;AN$5,INDIRECT($B$3&amp;"."&amp;$B$158&amp;".energy[Tech description]")&amp;INDIRECT($B$3&amp;"."&amp;$B$158&amp;".energy[Energy description]"),0)),0)</f>
        <v>0</v>
      </c>
      <c r="AO249" s="152">
        <f t="shared" ca="1" si="43"/>
        <v>-1.1283944201925584</v>
      </c>
      <c r="AP249" s="108"/>
      <c r="AQ249" s="21">
        <f t="array" aca="1" ref="AQ249" ca="1">IFERROR(INDEX(INDIRECT($B$3&amp;"."&amp;$B$158&amp;".energy["&amp;This.year&amp;"]"),MATCH($C249&amp;AQ$5,INDIRECT($B$3&amp;"."&amp;$B$158&amp;".energy[Tech description]")&amp;INDIRECT($B$3&amp;"."&amp;$B$158&amp;".energy[Energy description]"),0)),0)</f>
        <v>0</v>
      </c>
      <c r="AR249" s="21">
        <f t="array" aca="1" ref="AR249" ca="1">IFERROR(INDEX(INDIRECT($B$3&amp;"."&amp;$B$158&amp;".energy["&amp;This.year&amp;"]"),MATCH($C249&amp;AR$5,INDIRECT($B$3&amp;"."&amp;$B$158&amp;".energy[Tech description]")&amp;INDIRECT($B$3&amp;"."&amp;$B$158&amp;".energy[Energy description]"),0)),0)</f>
        <v>0</v>
      </c>
      <c r="AS249" s="21">
        <f t="array" aca="1" ref="AS249" ca="1">IFERROR(INDEX(INDIRECT($B$3&amp;"."&amp;$B$158&amp;".energy["&amp;This.year&amp;"]"),MATCH($C249&amp;AS$5,INDIRECT($B$3&amp;"."&amp;$B$158&amp;".energy[Tech description]")&amp;INDIRECT($B$3&amp;"."&amp;$B$158&amp;".energy[Energy description]"),0)),0)</f>
        <v>0</v>
      </c>
      <c r="AT249" s="21">
        <f t="array" aca="1" ref="AT249" ca="1">IFERROR(INDEX(INDIRECT($B$3&amp;"."&amp;$B$158&amp;".energy["&amp;This.year&amp;"]"),MATCH($C249&amp;AT$5,INDIRECT($B$3&amp;"."&amp;$B$158&amp;".energy[Tech description]")&amp;INDIRECT($B$3&amp;"."&amp;$B$158&amp;".energy[Energy description]"),0)),0)</f>
        <v>0</v>
      </c>
      <c r="AU249" s="21">
        <f t="array" aca="1" ref="AU249" ca="1">IFERROR(INDEX(INDIRECT($B$3&amp;"."&amp;$B$158&amp;".energy["&amp;This.year&amp;"]"),MATCH($C249&amp;AU$5,INDIRECT($B$3&amp;"."&amp;$B$158&amp;".energy[Tech description]")&amp;INDIRECT($B$3&amp;"."&amp;$B$158&amp;".energy[Energy description]"),0)),0)</f>
        <v>0</v>
      </c>
      <c r="AV249" s="21">
        <f t="array" aca="1" ref="AV249" ca="1">IFERROR(INDEX(INDIRECT($B$3&amp;"."&amp;$B$158&amp;".energy["&amp;This.year&amp;"]"),MATCH($C249&amp;AV$5,INDIRECT($B$3&amp;"."&amp;$B$158&amp;".energy[Tech description]")&amp;INDIRECT($B$3&amp;"."&amp;$B$158&amp;".energy[Energy description]"),0)),0)</f>
        <v>0</v>
      </c>
      <c r="AW249" s="21">
        <f t="array" aca="1" ref="AW249" ca="1">IFERROR(INDEX(INDIRECT($B$3&amp;"."&amp;$B$158&amp;".energy["&amp;This.year&amp;"]"),MATCH($C249&amp;AW$5,INDIRECT($B$3&amp;"."&amp;$B$158&amp;".energy[Tech description]")&amp;INDIRECT($B$3&amp;"."&amp;$B$158&amp;".energy[Energy description]"),0)),0)</f>
        <v>0</v>
      </c>
      <c r="AX249" s="21">
        <f t="array" aca="1" ref="AX249" ca="1">IFERROR(INDEX(INDIRECT($B$3&amp;"."&amp;$B$158&amp;".energy["&amp;This.year&amp;"]"),MATCH($C249&amp;AX$5,INDIRECT($B$3&amp;"."&amp;$B$158&amp;".energy[Tech description]")&amp;INDIRECT($B$3&amp;"."&amp;$B$158&amp;".energy[Energy description]"),0)),0)</f>
        <v>0</v>
      </c>
      <c r="AY249" s="21">
        <f t="array" aca="1" ref="AY249" ca="1">IFERROR(INDEX(INDIRECT($B$3&amp;"."&amp;$B$158&amp;".energy["&amp;This.year&amp;"]"),MATCH($C249&amp;AY$5,INDIRECT($B$3&amp;"."&amp;$B$158&amp;".energy[Tech description]")&amp;INDIRECT($B$3&amp;"."&amp;$B$158&amp;".energy[Energy description]"),0)),0)</f>
        <v>0</v>
      </c>
      <c r="AZ249" s="21">
        <f t="array" aca="1" ref="AZ249" ca="1">IFERROR(INDEX(INDIRECT($B$3&amp;"."&amp;$B$158&amp;".energy["&amp;This.year&amp;"]"),MATCH($C249&amp;AZ$5,INDIRECT($B$3&amp;"."&amp;$B$158&amp;".energy[Tech description]")&amp;INDIRECT($B$3&amp;"."&amp;$B$158&amp;".energy[Energy description]"),0)),0)</f>
        <v>0</v>
      </c>
      <c r="BA249" s="21">
        <f t="array" aca="1" ref="BA249" ca="1">IFERROR(INDEX(INDIRECT($B$3&amp;"."&amp;$B$158&amp;".energy["&amp;This.year&amp;"]"),MATCH($C249&amp;BA$5,INDIRECT($B$3&amp;"."&amp;$B$158&amp;".energy[Tech description]")&amp;INDIRECT($B$3&amp;"."&amp;$B$158&amp;".energy[Energy description]"),0)),0)</f>
        <v>0</v>
      </c>
      <c r="BB249" s="21">
        <f t="array" aca="1" ref="BB249" ca="1">IFERROR(INDEX(INDIRECT($B$3&amp;"."&amp;$B$158&amp;".energy["&amp;This.year&amp;"]"),MATCH($C249&amp;BB$5,INDIRECT($B$3&amp;"."&amp;$B$158&amp;".energy[Tech description]")&amp;INDIRECT($B$3&amp;"."&amp;$B$158&amp;".energy[Energy description]"),0)),0)</f>
        <v>0</v>
      </c>
      <c r="BC249" s="21">
        <f t="array" aca="1" ref="BC249" ca="1">IFERROR(INDEX(INDIRECT($B$3&amp;"."&amp;$B$158&amp;".energy["&amp;This.year&amp;"]"),MATCH($C249&amp;BC$5,INDIRECT($B$3&amp;"."&amp;$B$158&amp;".energy[Tech description]")&amp;INDIRECT($B$3&amp;"."&amp;$B$158&amp;".energy[Energy description]"),0)),0)</f>
        <v>0</v>
      </c>
      <c r="BD249" s="21">
        <f t="shared" ca="1" si="44"/>
        <v>0</v>
      </c>
      <c r="BE249" s="108"/>
      <c r="BF249" s="49">
        <f t="array" aca="1" ref="BF249" ca="1">IFERROR(INDEX(INDIRECT($B$3&amp;"."&amp;$B$158&amp;".energy["&amp;This.year&amp;"]"),MATCH($C249&amp;BF$5,INDIRECT($B$3&amp;"."&amp;$B$158&amp;".energy[Tech description]")&amp;INDIRECT($B$3&amp;"."&amp;$B$158&amp;".energy[Energy description]"),0)),0)</f>
        <v>0</v>
      </c>
      <c r="BG249" s="49">
        <f t="array" aca="1" ref="BG249" ca="1">IFERROR(INDEX(INDIRECT($B$3&amp;"."&amp;$B$158&amp;".energy["&amp;This.year&amp;"]"),MATCH($C249&amp;BG$5,INDIRECT($B$3&amp;"."&amp;$B$158&amp;".energy[Tech description]")&amp;INDIRECT($B$3&amp;"."&amp;$B$158&amp;".energy[Energy description]"),0)),0)</f>
        <v>0</v>
      </c>
      <c r="BH249" s="49">
        <f t="shared" ca="1" si="45"/>
        <v>0</v>
      </c>
      <c r="BI249" s="219">
        <f t="shared" ca="1" si="41"/>
        <v>0</v>
      </c>
      <c r="BJ249" s="108"/>
    </row>
    <row r="250" spans="1:62" s="54" customFormat="1">
      <c r="A250" s="133"/>
      <c r="B250" s="176" t="s">
        <v>1863</v>
      </c>
      <c r="C250" s="114" t="str">
        <f>INDEX(Regional.Technologies[Description],MATCH($B$3&amp;"."&amp;B250,Regional.Technologies[Code],0))</f>
        <v>Global Natural Gas use in the Cement technology</v>
      </c>
      <c r="E250" s="121">
        <f t="array" aca="1" ref="E250" ca="1">IFERROR(INDEX(INDIRECT($B$3&amp;"."&amp;$B$158&amp;".energy["&amp;This.year&amp;"]"),MATCH($C250&amp;E$5,INDIRECT($B$3&amp;"."&amp;$B$158&amp;".energy[Tech description]")&amp;INDIRECT($B$3&amp;"."&amp;$B$158&amp;".energy[Energy description]"),0)),0)</f>
        <v>0</v>
      </c>
      <c r="F250" s="121">
        <f t="array" aca="1" ref="F250" ca="1">IFERROR(INDEX(INDIRECT($B$3&amp;"."&amp;$B$158&amp;".energy["&amp;This.year&amp;"]"),MATCH($C250&amp;F$5,INDIRECT($B$3&amp;"."&amp;$B$158&amp;".energy[Tech description]")&amp;INDIRECT($B$3&amp;"."&amp;$B$158&amp;".energy[Energy description]"),0)),0)</f>
        <v>0</v>
      </c>
      <c r="G250" s="121">
        <f t="array" aca="1" ref="G250" ca="1">IFERROR(INDEX(INDIRECT($B$3&amp;"."&amp;$B$158&amp;".energy["&amp;This.year&amp;"]"),MATCH($C250&amp;G$5,INDIRECT($B$3&amp;"."&amp;$B$158&amp;".energy[Tech description]")&amp;INDIRECT($B$3&amp;"."&amp;$B$158&amp;".energy[Energy description]"),0)),0)</f>
        <v>0</v>
      </c>
      <c r="H250" s="121">
        <f t="array" aca="1" ref="H250" ca="1">IFERROR(INDEX(INDIRECT($B$3&amp;"."&amp;$B$158&amp;".energy["&amp;This.year&amp;"]"),MATCH($C250&amp;H$5,INDIRECT($B$3&amp;"."&amp;$B$158&amp;".energy[Tech description]")&amp;INDIRECT($B$3&amp;"."&amp;$B$158&amp;".energy[Energy description]"),0)),0)</f>
        <v>0</v>
      </c>
      <c r="I250" s="121">
        <f t="array" aca="1" ref="I250" ca="1">IFERROR(INDEX(INDIRECT($B$3&amp;"."&amp;$B$158&amp;".energy["&amp;This.year&amp;"]"),MATCH($C250&amp;I$5,INDIRECT($B$3&amp;"."&amp;$B$158&amp;".energy[Tech description]")&amp;INDIRECT($B$3&amp;"."&amp;$B$158&amp;".energy[Energy description]"),0)),0)</f>
        <v>0</v>
      </c>
      <c r="J250" s="121">
        <f t="array" aca="1" ref="J250" ca="1">IFERROR(INDEX(INDIRECT($B$3&amp;"."&amp;$B$158&amp;".energy["&amp;This.year&amp;"]"),MATCH($C250&amp;J$5,INDIRECT($B$3&amp;"."&amp;$B$158&amp;".energy[Tech description]")&amp;INDIRECT($B$3&amp;"."&amp;$B$158&amp;".energy[Energy description]"),0)),0)</f>
        <v>0.82844526016904574</v>
      </c>
      <c r="K250" s="121">
        <f t="array" aca="1" ref="K250" ca="1">IFERROR(INDEX(INDIRECT($B$3&amp;"."&amp;$B$158&amp;".energy["&amp;This.year&amp;"]"),MATCH($C250&amp;K$5,INDIRECT($B$3&amp;"."&amp;$B$158&amp;".energy[Tech description]")&amp;INDIRECT($B$3&amp;"."&amp;$B$158&amp;".energy[Energy description]"),0)),0)</f>
        <v>0</v>
      </c>
      <c r="L250" s="121">
        <f t="array" aca="1" ref="L250" ca="1">IFERROR(INDEX(INDIRECT($B$3&amp;"."&amp;$B$158&amp;".energy["&amp;This.year&amp;"]"),MATCH($C250&amp;L$5,INDIRECT($B$3&amp;"."&amp;$B$158&amp;".energy[Tech description]")&amp;INDIRECT($B$3&amp;"."&amp;$B$158&amp;".energy[Energy description]"),0)),0)</f>
        <v>0</v>
      </c>
      <c r="M250" s="121">
        <f t="array" aca="1" ref="M250" ca="1">IFERROR(INDEX(INDIRECT($B$3&amp;"."&amp;$B$158&amp;".energy["&amp;This.year&amp;"]"),MATCH($C250&amp;M$5,INDIRECT($B$3&amp;"."&amp;$B$158&amp;".energy[Tech description]")&amp;INDIRECT($B$3&amp;"."&amp;$B$158&amp;".energy[Energy description]"),0)),0)</f>
        <v>0</v>
      </c>
      <c r="N250" s="121">
        <f t="array" aca="1" ref="N250" ca="1">IFERROR(INDEX(INDIRECT($B$3&amp;"."&amp;$B$158&amp;".energy["&amp;This.year&amp;"]"),MATCH($C250&amp;N$5,INDIRECT($B$3&amp;"."&amp;$B$158&amp;".energy[Tech description]")&amp;INDIRECT($B$3&amp;"."&amp;$B$158&amp;".energy[Energy description]"),0)),0)</f>
        <v>0</v>
      </c>
      <c r="O250" s="121">
        <f t="array" aca="1" ref="O250" ca="1">IFERROR(INDEX(INDIRECT($B$3&amp;"."&amp;$B$158&amp;".energy["&amp;This.year&amp;"]"),MATCH($C250&amp;O$5,INDIRECT($B$3&amp;"."&amp;$B$158&amp;".energy[Tech description]")&amp;INDIRECT($B$3&amp;"."&amp;$B$158&amp;".energy[Energy description]"),0)),0)</f>
        <v>0</v>
      </c>
      <c r="P250" s="121">
        <f t="array" aca="1" ref="P250" ca="1">IFERROR(INDEX(INDIRECT($B$3&amp;"."&amp;$B$158&amp;".energy["&amp;This.year&amp;"]"),MATCH($C250&amp;P$5,INDIRECT($B$3&amp;"."&amp;$B$158&amp;".energy[Tech description]")&amp;INDIRECT($B$3&amp;"."&amp;$B$158&amp;".energy[Energy description]"),0)),0)</f>
        <v>0</v>
      </c>
      <c r="Q250" s="121">
        <f t="array" aca="1" ref="Q250" ca="1">IFERROR(INDEX(INDIRECT($B$3&amp;"."&amp;$B$158&amp;".energy["&amp;This.year&amp;"]"),MATCH($C250&amp;Q$5,INDIRECT($B$3&amp;"."&amp;$B$158&amp;".energy[Tech description]")&amp;INDIRECT($B$3&amp;"."&amp;$B$158&amp;".energy[Energy description]"),0)),0)</f>
        <v>0</v>
      </c>
      <c r="R250" s="121">
        <f t="array" aca="1" ref="R250" ca="1">IFERROR(INDEX(INDIRECT($B$3&amp;"."&amp;$B$158&amp;".energy["&amp;This.year&amp;"]"),MATCH($C250&amp;R$5,INDIRECT($B$3&amp;"."&amp;$B$158&amp;".energy[Tech description]")&amp;INDIRECT($B$3&amp;"."&amp;$B$158&amp;".energy[Energy description]"),0)),0)</f>
        <v>0</v>
      </c>
      <c r="S250" s="121">
        <f t="array" aca="1" ref="S250" ca="1">IFERROR(INDEX(INDIRECT($B$3&amp;"."&amp;$B$158&amp;".energy["&amp;This.year&amp;"]"),MATCH($C250&amp;S$5,INDIRECT($B$3&amp;"."&amp;$B$158&amp;".energy[Tech description]")&amp;INDIRECT($B$3&amp;"."&amp;$B$158&amp;".energy[Energy description]"),0)),0)</f>
        <v>0</v>
      </c>
      <c r="T250" s="121">
        <f t="shared" ca="1" si="42"/>
        <v>0.82844526016904574</v>
      </c>
      <c r="U250" s="109"/>
      <c r="V250" s="152">
        <f t="array" aca="1" ref="V250" ca="1">IFERROR(INDEX(INDIRECT($B$3&amp;"."&amp;$B$158&amp;".energy["&amp;This.year&amp;"]"),MATCH($C250&amp;V$5,INDIRECT($B$3&amp;"."&amp;$B$158&amp;".energy[Tech description]")&amp;INDIRECT($B$3&amp;"."&amp;$B$158&amp;".energy[Energy description]"),0)),0)</f>
        <v>0</v>
      </c>
      <c r="W250" s="152">
        <f t="array" aca="1" ref="W250" ca="1">IFERROR(INDEX(INDIRECT($B$3&amp;"."&amp;$B$158&amp;".energy["&amp;This.year&amp;"]"),MATCH($C250&amp;W$5,INDIRECT($B$3&amp;"."&amp;$B$158&amp;".energy[Tech description]")&amp;INDIRECT($B$3&amp;"."&amp;$B$158&amp;".energy[Energy description]"),0)),0)</f>
        <v>0</v>
      </c>
      <c r="X250" s="152">
        <f t="array" aca="1" ref="X250" ca="1">IFERROR(INDEX(INDIRECT($B$3&amp;"."&amp;$B$158&amp;".energy["&amp;This.year&amp;"]"),MATCH($C250&amp;X$5,INDIRECT($B$3&amp;"."&amp;$B$158&amp;".energy[Tech description]")&amp;INDIRECT($B$3&amp;"."&amp;$B$158&amp;".energy[Energy description]"),0)),0)</f>
        <v>0</v>
      </c>
      <c r="Y250" s="152">
        <f t="array" aca="1" ref="Y250" ca="1">IFERROR(INDEX(INDIRECT($B$3&amp;"."&amp;$B$158&amp;".energy["&amp;This.year&amp;"]"),MATCH($C250&amp;Y$5,INDIRECT($B$3&amp;"."&amp;$B$158&amp;".energy[Tech description]")&amp;INDIRECT($B$3&amp;"."&amp;$B$158&amp;".energy[Energy description]"),0)),0)</f>
        <v>0</v>
      </c>
      <c r="Z250" s="152">
        <f t="array" aca="1" ref="Z250" ca="1">IFERROR(INDEX(INDIRECT($B$3&amp;"."&amp;$B$158&amp;".energy["&amp;This.year&amp;"]"),MATCH($C250&amp;Z$5,INDIRECT($B$3&amp;"."&amp;$B$158&amp;".energy[Tech description]")&amp;INDIRECT($B$3&amp;"."&amp;$B$158&amp;".energy[Energy description]"),0)),0)</f>
        <v>0</v>
      </c>
      <c r="AA250" s="152">
        <f t="array" aca="1" ref="AA250" ca="1">IFERROR(INDEX(INDIRECT($B$3&amp;"."&amp;$B$158&amp;".energy["&amp;This.year&amp;"]"),MATCH($C250&amp;AA$5,INDIRECT($B$3&amp;"."&amp;$B$158&amp;".energy[Tech description]")&amp;INDIRECT($B$3&amp;"."&amp;$B$158&amp;".energy[Energy description]"),0)),0)</f>
        <v>0</v>
      </c>
      <c r="AB250" s="152">
        <f t="array" aca="1" ref="AB250" ca="1">IFERROR(INDEX(INDIRECT($B$3&amp;"."&amp;$B$158&amp;".energy["&amp;This.year&amp;"]"),MATCH($C250&amp;AB$5,INDIRECT($B$3&amp;"."&amp;$B$158&amp;".energy[Tech description]")&amp;INDIRECT($B$3&amp;"."&amp;$B$158&amp;".energy[Energy description]"),0)),0)</f>
        <v>0</v>
      </c>
      <c r="AC250" s="152">
        <f t="array" aca="1" ref="AC250" ca="1">IFERROR(INDEX(INDIRECT($B$3&amp;"."&amp;$B$158&amp;".energy["&amp;This.year&amp;"]"),MATCH($C250&amp;AC$5,INDIRECT($B$3&amp;"."&amp;$B$158&amp;".energy[Tech description]")&amp;INDIRECT($B$3&amp;"."&amp;$B$158&amp;".energy[Energy description]"),0)),0)</f>
        <v>-0.82844526016904574</v>
      </c>
      <c r="AD250" s="152">
        <f t="array" aca="1" ref="AD250" ca="1">IFERROR(INDEX(INDIRECT($B$3&amp;"."&amp;$B$158&amp;".energy["&amp;This.year&amp;"]"),MATCH($C250&amp;AD$5,INDIRECT($B$3&amp;"."&amp;$B$158&amp;".energy[Tech description]")&amp;INDIRECT($B$3&amp;"."&amp;$B$158&amp;".energy[Energy description]"),0)),0)</f>
        <v>0</v>
      </c>
      <c r="AE250" s="152">
        <f t="array" aca="1" ref="AE250" ca="1">IFERROR(INDEX(INDIRECT($B$3&amp;"."&amp;$B$158&amp;".energy["&amp;This.year&amp;"]"),MATCH($C250&amp;AE$5,INDIRECT($B$3&amp;"."&amp;$B$158&amp;".energy[Tech description]")&amp;INDIRECT($B$3&amp;"."&amp;$B$158&amp;".energy[Energy description]"),0)),0)</f>
        <v>0</v>
      </c>
      <c r="AF250" s="152">
        <f t="array" aca="1" ref="AF250" ca="1">IFERROR(INDEX(INDIRECT($B$3&amp;"."&amp;$B$158&amp;".energy["&amp;This.year&amp;"]"),MATCH($C250&amp;AF$5,INDIRECT($B$3&amp;"."&amp;$B$158&amp;".energy[Tech description]")&amp;INDIRECT($B$3&amp;"."&amp;$B$158&amp;".energy[Energy description]"),0)),0)</f>
        <v>0</v>
      </c>
      <c r="AG250" s="152">
        <f t="array" aca="1" ref="AG250" ca="1">IFERROR(INDEX(INDIRECT($B$3&amp;"."&amp;$B$158&amp;".energy["&amp;This.year&amp;"]"),MATCH($C250&amp;AG$5,INDIRECT($B$3&amp;"."&amp;$B$158&amp;".energy[Tech description]")&amp;INDIRECT($B$3&amp;"."&amp;$B$158&amp;".energy[Energy description]"),0)),0)</f>
        <v>0</v>
      </c>
      <c r="AH250" s="152">
        <f t="array" aca="1" ref="AH250" ca="1">IFERROR(INDEX(INDIRECT($B$3&amp;"."&amp;$B$158&amp;".energy["&amp;This.year&amp;"]"),MATCH($C250&amp;AH$5,INDIRECT($B$3&amp;"."&amp;$B$158&amp;".energy[Tech description]")&amp;INDIRECT($B$3&amp;"."&amp;$B$158&amp;".energy[Energy description]"),0)),0)</f>
        <v>0</v>
      </c>
      <c r="AI250" s="152">
        <f t="array" aca="1" ref="AI250" ca="1">IFERROR(INDEX(INDIRECT($B$3&amp;"."&amp;$B$158&amp;".energy["&amp;This.year&amp;"]"),MATCH($C250&amp;AI$5,INDIRECT($B$3&amp;"."&amp;$B$158&amp;".energy[Tech description]")&amp;INDIRECT($B$3&amp;"."&amp;$B$158&amp;".energy[Energy description]"),0)),0)</f>
        <v>0</v>
      </c>
      <c r="AJ250" s="152">
        <f t="array" aca="1" ref="AJ250" ca="1">IFERROR(INDEX(INDIRECT($B$3&amp;"."&amp;$B$158&amp;".energy["&amp;This.year&amp;"]"),MATCH($C250&amp;AJ$5,INDIRECT($B$3&amp;"."&amp;$B$158&amp;".energy[Tech description]")&amp;INDIRECT($B$3&amp;"."&amp;$B$158&amp;".energy[Energy description]"),0)),0)</f>
        <v>0</v>
      </c>
      <c r="AK250" s="152">
        <f t="array" aca="1" ref="AK250" ca="1">IFERROR(INDEX(INDIRECT($B$3&amp;"."&amp;$B$158&amp;".energy["&amp;This.year&amp;"]"),MATCH($C250&amp;AK$5,INDIRECT($B$3&amp;"."&amp;$B$158&amp;".energy[Tech description]")&amp;INDIRECT($B$3&amp;"."&amp;$B$158&amp;".energy[Energy description]"),0)),0)</f>
        <v>0</v>
      </c>
      <c r="AL250" s="152">
        <f t="array" aca="1" ref="AL250" ca="1">IFERROR(INDEX(INDIRECT($B$3&amp;"."&amp;$B$158&amp;".energy["&amp;This.year&amp;"]"),MATCH($C250&amp;AL$5,INDIRECT($B$3&amp;"."&amp;$B$158&amp;".energy[Tech description]")&amp;INDIRECT($B$3&amp;"."&amp;$B$158&amp;".energy[Energy description]"),0)),0)</f>
        <v>0</v>
      </c>
      <c r="AM250" s="152">
        <f t="array" aca="1" ref="AM250" ca="1">IFERROR(INDEX(INDIRECT($B$3&amp;"."&amp;$B$158&amp;".energy["&amp;This.year&amp;"]"),MATCH($C250&amp;AM$5,INDIRECT($B$3&amp;"."&amp;$B$158&amp;".energy[Tech description]")&amp;INDIRECT($B$3&amp;"."&amp;$B$158&amp;".energy[Energy description]"),0)),0)</f>
        <v>0</v>
      </c>
      <c r="AN250" s="152">
        <f t="array" aca="1" ref="AN250" ca="1">IFERROR(INDEX(INDIRECT($B$3&amp;"."&amp;$B$158&amp;".energy["&amp;This.year&amp;"]"),MATCH($C250&amp;AN$5,INDIRECT($B$3&amp;"."&amp;$B$158&amp;".energy[Tech description]")&amp;INDIRECT($B$3&amp;"."&amp;$B$158&amp;".energy[Energy description]"),0)),0)</f>
        <v>0</v>
      </c>
      <c r="AO250" s="152">
        <f t="shared" ca="1" si="43"/>
        <v>-0.82844526016904574</v>
      </c>
      <c r="AP250" s="108"/>
      <c r="AQ250" s="21">
        <f t="array" aca="1" ref="AQ250" ca="1">IFERROR(INDEX(INDIRECT($B$3&amp;"."&amp;$B$158&amp;".energy["&amp;This.year&amp;"]"),MATCH($C250&amp;AQ$5,INDIRECT($B$3&amp;"."&amp;$B$158&amp;".energy[Tech description]")&amp;INDIRECT($B$3&amp;"."&amp;$B$158&amp;".energy[Energy description]"),0)),0)</f>
        <v>0</v>
      </c>
      <c r="AR250" s="21">
        <f t="array" aca="1" ref="AR250" ca="1">IFERROR(INDEX(INDIRECT($B$3&amp;"."&amp;$B$158&amp;".energy["&amp;This.year&amp;"]"),MATCH($C250&amp;AR$5,INDIRECT($B$3&amp;"."&amp;$B$158&amp;".energy[Tech description]")&amp;INDIRECT($B$3&amp;"."&amp;$B$158&amp;".energy[Energy description]"),0)),0)</f>
        <v>0</v>
      </c>
      <c r="AS250" s="21">
        <f t="array" aca="1" ref="AS250" ca="1">IFERROR(INDEX(INDIRECT($B$3&amp;"."&amp;$B$158&amp;".energy["&amp;This.year&amp;"]"),MATCH($C250&amp;AS$5,INDIRECT($B$3&amp;"."&amp;$B$158&amp;".energy[Tech description]")&amp;INDIRECT($B$3&amp;"."&amp;$B$158&amp;".energy[Energy description]"),0)),0)</f>
        <v>0</v>
      </c>
      <c r="AT250" s="21">
        <f t="array" aca="1" ref="AT250" ca="1">IFERROR(INDEX(INDIRECT($B$3&amp;"."&amp;$B$158&amp;".energy["&amp;This.year&amp;"]"),MATCH($C250&amp;AT$5,INDIRECT($B$3&amp;"."&amp;$B$158&amp;".energy[Tech description]")&amp;INDIRECT($B$3&amp;"."&amp;$B$158&amp;".energy[Energy description]"),0)),0)</f>
        <v>0</v>
      </c>
      <c r="AU250" s="21">
        <f t="array" aca="1" ref="AU250" ca="1">IFERROR(INDEX(INDIRECT($B$3&amp;"."&amp;$B$158&amp;".energy["&amp;This.year&amp;"]"),MATCH($C250&amp;AU$5,INDIRECT($B$3&amp;"."&amp;$B$158&amp;".energy[Tech description]")&amp;INDIRECT($B$3&amp;"."&amp;$B$158&amp;".energy[Energy description]"),0)),0)</f>
        <v>0</v>
      </c>
      <c r="AV250" s="21">
        <f t="array" aca="1" ref="AV250" ca="1">IFERROR(INDEX(INDIRECT($B$3&amp;"."&amp;$B$158&amp;".energy["&amp;This.year&amp;"]"),MATCH($C250&amp;AV$5,INDIRECT($B$3&amp;"."&amp;$B$158&amp;".energy[Tech description]")&amp;INDIRECT($B$3&amp;"."&amp;$B$158&amp;".energy[Energy description]"),0)),0)</f>
        <v>0</v>
      </c>
      <c r="AW250" s="21">
        <f t="array" aca="1" ref="AW250" ca="1">IFERROR(INDEX(INDIRECT($B$3&amp;"."&amp;$B$158&amp;".energy["&amp;This.year&amp;"]"),MATCH($C250&amp;AW$5,INDIRECT($B$3&amp;"."&amp;$B$158&amp;".energy[Tech description]")&amp;INDIRECT($B$3&amp;"."&amp;$B$158&amp;".energy[Energy description]"),0)),0)</f>
        <v>0</v>
      </c>
      <c r="AX250" s="21">
        <f t="array" aca="1" ref="AX250" ca="1">IFERROR(INDEX(INDIRECT($B$3&amp;"."&amp;$B$158&amp;".energy["&amp;This.year&amp;"]"),MATCH($C250&amp;AX$5,INDIRECT($B$3&amp;"."&amp;$B$158&amp;".energy[Tech description]")&amp;INDIRECT($B$3&amp;"."&amp;$B$158&amp;".energy[Energy description]"),0)),0)</f>
        <v>0</v>
      </c>
      <c r="AY250" s="21">
        <f t="array" aca="1" ref="AY250" ca="1">IFERROR(INDEX(INDIRECT($B$3&amp;"."&amp;$B$158&amp;".energy["&amp;This.year&amp;"]"),MATCH($C250&amp;AY$5,INDIRECT($B$3&amp;"."&amp;$B$158&amp;".energy[Tech description]")&amp;INDIRECT($B$3&amp;"."&amp;$B$158&amp;".energy[Energy description]"),0)),0)</f>
        <v>0</v>
      </c>
      <c r="AZ250" s="21">
        <f t="array" aca="1" ref="AZ250" ca="1">IFERROR(INDEX(INDIRECT($B$3&amp;"."&amp;$B$158&amp;".energy["&amp;This.year&amp;"]"),MATCH($C250&amp;AZ$5,INDIRECT($B$3&amp;"."&amp;$B$158&amp;".energy[Tech description]")&amp;INDIRECT($B$3&amp;"."&amp;$B$158&amp;".energy[Energy description]"),0)),0)</f>
        <v>0</v>
      </c>
      <c r="BA250" s="21">
        <f t="array" aca="1" ref="BA250" ca="1">IFERROR(INDEX(INDIRECT($B$3&amp;"."&amp;$B$158&amp;".energy["&amp;This.year&amp;"]"),MATCH($C250&amp;BA$5,INDIRECT($B$3&amp;"."&amp;$B$158&amp;".energy[Tech description]")&amp;INDIRECT($B$3&amp;"."&amp;$B$158&amp;".energy[Energy description]"),0)),0)</f>
        <v>0</v>
      </c>
      <c r="BB250" s="21">
        <f t="array" aca="1" ref="BB250" ca="1">IFERROR(INDEX(INDIRECT($B$3&amp;"."&amp;$B$158&amp;".energy["&amp;This.year&amp;"]"),MATCH($C250&amp;BB$5,INDIRECT($B$3&amp;"."&amp;$B$158&amp;".energy[Tech description]")&amp;INDIRECT($B$3&amp;"."&amp;$B$158&amp;".energy[Energy description]"),0)),0)</f>
        <v>0</v>
      </c>
      <c r="BC250" s="21">
        <f t="array" aca="1" ref="BC250" ca="1">IFERROR(INDEX(INDIRECT($B$3&amp;"."&amp;$B$158&amp;".energy["&amp;This.year&amp;"]"),MATCH($C250&amp;BC$5,INDIRECT($B$3&amp;"."&amp;$B$158&amp;".energy[Tech description]")&amp;INDIRECT($B$3&amp;"."&amp;$B$158&amp;".energy[Energy description]"),0)),0)</f>
        <v>0</v>
      </c>
      <c r="BD250" s="21">
        <f t="shared" ca="1" si="44"/>
        <v>0</v>
      </c>
      <c r="BE250" s="108"/>
      <c r="BF250" s="49">
        <f t="array" aca="1" ref="BF250" ca="1">IFERROR(INDEX(INDIRECT($B$3&amp;"."&amp;$B$158&amp;".energy["&amp;This.year&amp;"]"),MATCH($C250&amp;BF$5,INDIRECT($B$3&amp;"."&amp;$B$158&amp;".energy[Tech description]")&amp;INDIRECT($B$3&amp;"."&amp;$B$158&amp;".energy[Energy description]"),0)),0)</f>
        <v>0</v>
      </c>
      <c r="BG250" s="49">
        <f t="array" aca="1" ref="BG250" ca="1">IFERROR(INDEX(INDIRECT($B$3&amp;"."&amp;$B$158&amp;".energy["&amp;This.year&amp;"]"),MATCH($C250&amp;BG$5,INDIRECT($B$3&amp;"."&amp;$B$158&amp;".energy[Tech description]")&amp;INDIRECT($B$3&amp;"."&amp;$B$158&amp;".energy[Energy description]"),0)),0)</f>
        <v>0</v>
      </c>
      <c r="BH250" s="49">
        <f t="shared" ca="1" si="45"/>
        <v>0</v>
      </c>
      <c r="BI250" s="219">
        <f t="shared" ca="1" si="41"/>
        <v>0</v>
      </c>
      <c r="BJ250" s="108"/>
    </row>
    <row r="251" spans="1:62" s="54" customFormat="1">
      <c r="A251" s="133"/>
      <c r="B251" s="176" t="s">
        <v>1864</v>
      </c>
      <c r="C251" s="114" t="str">
        <f>INDEX(Regional.Technologies[Description],MATCH($B$3&amp;"."&amp;B251,Regional.Technologies[Code],0))</f>
        <v>Global Solid Hydrocarbons use in the Cement technology</v>
      </c>
      <c r="E251" s="121">
        <f t="array" aca="1" ref="E251" ca="1">IFERROR(INDEX(INDIRECT($B$3&amp;"."&amp;$B$158&amp;".energy["&amp;This.year&amp;"]"),MATCH($C251&amp;E$5,INDIRECT($B$3&amp;"."&amp;$B$158&amp;".energy[Tech description]")&amp;INDIRECT($B$3&amp;"."&amp;$B$158&amp;".energy[Energy description]"),0)),0)</f>
        <v>0</v>
      </c>
      <c r="F251" s="121">
        <f t="array" aca="1" ref="F251" ca="1">IFERROR(INDEX(INDIRECT($B$3&amp;"."&amp;$B$158&amp;".energy["&amp;This.year&amp;"]"),MATCH($C251&amp;F$5,INDIRECT($B$3&amp;"."&amp;$B$158&amp;".energy[Tech description]")&amp;INDIRECT($B$3&amp;"."&amp;$B$158&amp;".energy[Energy description]"),0)),0)</f>
        <v>0</v>
      </c>
      <c r="G251" s="121">
        <f t="array" aca="1" ref="G251" ca="1">IFERROR(INDEX(INDIRECT($B$3&amp;"."&amp;$B$158&amp;".energy["&amp;This.year&amp;"]"),MATCH($C251&amp;G$5,INDIRECT($B$3&amp;"."&amp;$B$158&amp;".energy[Tech description]")&amp;INDIRECT($B$3&amp;"."&amp;$B$158&amp;".energy[Energy description]"),0)),0)</f>
        <v>0</v>
      </c>
      <c r="H251" s="121">
        <f t="array" aca="1" ref="H251" ca="1">IFERROR(INDEX(INDIRECT($B$3&amp;"."&amp;$B$158&amp;".energy["&amp;This.year&amp;"]"),MATCH($C251&amp;H$5,INDIRECT($B$3&amp;"."&amp;$B$158&amp;".energy[Tech description]")&amp;INDIRECT($B$3&amp;"."&amp;$B$158&amp;".energy[Energy description]"),0)),0)</f>
        <v>0</v>
      </c>
      <c r="I251" s="121">
        <f t="array" aca="1" ref="I251" ca="1">IFERROR(INDEX(INDIRECT($B$3&amp;"."&amp;$B$158&amp;".energy["&amp;This.year&amp;"]"),MATCH($C251&amp;I$5,INDIRECT($B$3&amp;"."&amp;$B$158&amp;".energy[Tech description]")&amp;INDIRECT($B$3&amp;"."&amp;$B$158&amp;".energy[Energy description]"),0)),0)</f>
        <v>0</v>
      </c>
      <c r="J251" s="121">
        <f t="array" aca="1" ref="J251" ca="1">IFERROR(INDEX(INDIRECT($B$3&amp;"."&amp;$B$158&amp;".energy["&amp;This.year&amp;"]"),MATCH($C251&amp;J$5,INDIRECT($B$3&amp;"."&amp;$B$158&amp;".energy[Tech description]")&amp;INDIRECT($B$3&amp;"."&amp;$B$158&amp;".energy[Energy description]"),0)),0)</f>
        <v>0.49199351442122363</v>
      </c>
      <c r="K251" s="121">
        <f t="array" aca="1" ref="K251" ca="1">IFERROR(INDEX(INDIRECT($B$3&amp;"."&amp;$B$158&amp;".energy["&amp;This.year&amp;"]"),MATCH($C251&amp;K$5,INDIRECT($B$3&amp;"."&amp;$B$158&amp;".energy[Tech description]")&amp;INDIRECT($B$3&amp;"."&amp;$B$158&amp;".energy[Energy description]"),0)),0)</f>
        <v>0</v>
      </c>
      <c r="L251" s="121">
        <f t="array" aca="1" ref="L251" ca="1">IFERROR(INDEX(INDIRECT($B$3&amp;"."&amp;$B$158&amp;".energy["&amp;This.year&amp;"]"),MATCH($C251&amp;L$5,INDIRECT($B$3&amp;"."&amp;$B$158&amp;".energy[Tech description]")&amp;INDIRECT($B$3&amp;"."&amp;$B$158&amp;".energy[Energy description]"),0)),0)</f>
        <v>0</v>
      </c>
      <c r="M251" s="121">
        <f t="array" aca="1" ref="M251" ca="1">IFERROR(INDEX(INDIRECT($B$3&amp;"."&amp;$B$158&amp;".energy["&amp;This.year&amp;"]"),MATCH($C251&amp;M$5,INDIRECT($B$3&amp;"."&amp;$B$158&amp;".energy[Tech description]")&amp;INDIRECT($B$3&amp;"."&amp;$B$158&amp;".energy[Energy description]"),0)),0)</f>
        <v>0</v>
      </c>
      <c r="N251" s="121">
        <f t="array" aca="1" ref="N251" ca="1">IFERROR(INDEX(INDIRECT($B$3&amp;"."&amp;$B$158&amp;".energy["&amp;This.year&amp;"]"),MATCH($C251&amp;N$5,INDIRECT($B$3&amp;"."&amp;$B$158&amp;".energy[Tech description]")&amp;INDIRECT($B$3&amp;"."&amp;$B$158&amp;".energy[Energy description]"),0)),0)</f>
        <v>0</v>
      </c>
      <c r="O251" s="121">
        <f t="array" aca="1" ref="O251" ca="1">IFERROR(INDEX(INDIRECT($B$3&amp;"."&amp;$B$158&amp;".energy["&amp;This.year&amp;"]"),MATCH($C251&amp;O$5,INDIRECT($B$3&amp;"."&amp;$B$158&amp;".energy[Tech description]")&amp;INDIRECT($B$3&amp;"."&amp;$B$158&amp;".energy[Energy description]"),0)),0)</f>
        <v>0</v>
      </c>
      <c r="P251" s="121">
        <f t="array" aca="1" ref="P251" ca="1">IFERROR(INDEX(INDIRECT($B$3&amp;"."&amp;$B$158&amp;".energy["&amp;This.year&amp;"]"),MATCH($C251&amp;P$5,INDIRECT($B$3&amp;"."&amp;$B$158&amp;".energy[Tech description]")&amp;INDIRECT($B$3&amp;"."&amp;$B$158&amp;".energy[Energy description]"),0)),0)</f>
        <v>0</v>
      </c>
      <c r="Q251" s="121">
        <f t="array" aca="1" ref="Q251" ca="1">IFERROR(INDEX(INDIRECT($B$3&amp;"."&amp;$B$158&amp;".energy["&amp;This.year&amp;"]"),MATCH($C251&amp;Q$5,INDIRECT($B$3&amp;"."&amp;$B$158&amp;".energy[Tech description]")&amp;INDIRECT($B$3&amp;"."&amp;$B$158&amp;".energy[Energy description]"),0)),0)</f>
        <v>0</v>
      </c>
      <c r="R251" s="121">
        <f t="array" aca="1" ref="R251" ca="1">IFERROR(INDEX(INDIRECT($B$3&amp;"."&amp;$B$158&amp;".energy["&amp;This.year&amp;"]"),MATCH($C251&amp;R$5,INDIRECT($B$3&amp;"."&amp;$B$158&amp;".energy[Tech description]")&amp;INDIRECT($B$3&amp;"."&amp;$B$158&amp;".energy[Energy description]"),0)),0)</f>
        <v>0</v>
      </c>
      <c r="S251" s="121">
        <f t="array" aca="1" ref="S251" ca="1">IFERROR(INDEX(INDIRECT($B$3&amp;"."&amp;$B$158&amp;".energy["&amp;This.year&amp;"]"),MATCH($C251&amp;S$5,INDIRECT($B$3&amp;"."&amp;$B$158&amp;".energy[Tech description]")&amp;INDIRECT($B$3&amp;"."&amp;$B$158&amp;".energy[Energy description]"),0)),0)</f>
        <v>0</v>
      </c>
      <c r="T251" s="121">
        <f t="shared" ca="1" si="42"/>
        <v>0.49199351442122363</v>
      </c>
      <c r="U251" s="109"/>
      <c r="V251" s="152">
        <f t="array" aca="1" ref="V251" ca="1">IFERROR(INDEX(INDIRECT($B$3&amp;"."&amp;$B$158&amp;".energy["&amp;This.year&amp;"]"),MATCH($C251&amp;V$5,INDIRECT($B$3&amp;"."&amp;$B$158&amp;".energy[Tech description]")&amp;INDIRECT($B$3&amp;"."&amp;$B$158&amp;".energy[Energy description]"),0)),0)</f>
        <v>0</v>
      </c>
      <c r="W251" s="152">
        <f t="array" aca="1" ref="W251" ca="1">IFERROR(INDEX(INDIRECT($B$3&amp;"."&amp;$B$158&amp;".energy["&amp;This.year&amp;"]"),MATCH($C251&amp;W$5,INDIRECT($B$3&amp;"."&amp;$B$158&amp;".energy[Tech description]")&amp;INDIRECT($B$3&amp;"."&amp;$B$158&amp;".energy[Energy description]"),0)),0)</f>
        <v>0</v>
      </c>
      <c r="X251" s="152">
        <f t="array" aca="1" ref="X251" ca="1">IFERROR(INDEX(INDIRECT($B$3&amp;"."&amp;$B$158&amp;".energy["&amp;This.year&amp;"]"),MATCH($C251&amp;X$5,INDIRECT($B$3&amp;"."&amp;$B$158&amp;".energy[Tech description]")&amp;INDIRECT($B$3&amp;"."&amp;$B$158&amp;".energy[Energy description]"),0)),0)</f>
        <v>-0.49199351442122363</v>
      </c>
      <c r="Y251" s="152">
        <f t="array" aca="1" ref="Y251" ca="1">IFERROR(INDEX(INDIRECT($B$3&amp;"."&amp;$B$158&amp;".energy["&amp;This.year&amp;"]"),MATCH($C251&amp;Y$5,INDIRECT($B$3&amp;"."&amp;$B$158&amp;".energy[Tech description]")&amp;INDIRECT($B$3&amp;"."&amp;$B$158&amp;".energy[Energy description]"),0)),0)</f>
        <v>0</v>
      </c>
      <c r="Z251" s="152">
        <f t="array" aca="1" ref="Z251" ca="1">IFERROR(INDEX(INDIRECT($B$3&amp;"."&amp;$B$158&amp;".energy["&amp;This.year&amp;"]"),MATCH($C251&amp;Z$5,INDIRECT($B$3&amp;"."&amp;$B$158&amp;".energy[Tech description]")&amp;INDIRECT($B$3&amp;"."&amp;$B$158&amp;".energy[Energy description]"),0)),0)</f>
        <v>0</v>
      </c>
      <c r="AA251" s="152">
        <f t="array" aca="1" ref="AA251" ca="1">IFERROR(INDEX(INDIRECT($B$3&amp;"."&amp;$B$158&amp;".energy["&amp;This.year&amp;"]"),MATCH($C251&amp;AA$5,INDIRECT($B$3&amp;"."&amp;$B$158&amp;".energy[Tech description]")&amp;INDIRECT($B$3&amp;"."&amp;$B$158&amp;".energy[Energy description]"),0)),0)</f>
        <v>0</v>
      </c>
      <c r="AB251" s="152">
        <f t="array" aca="1" ref="AB251" ca="1">IFERROR(INDEX(INDIRECT($B$3&amp;"."&amp;$B$158&amp;".energy["&amp;This.year&amp;"]"),MATCH($C251&amp;AB$5,INDIRECT($B$3&amp;"."&amp;$B$158&amp;".energy[Tech description]")&amp;INDIRECT($B$3&amp;"."&amp;$B$158&amp;".energy[Energy description]"),0)),0)</f>
        <v>0</v>
      </c>
      <c r="AC251" s="152">
        <f t="array" aca="1" ref="AC251" ca="1">IFERROR(INDEX(INDIRECT($B$3&amp;"."&amp;$B$158&amp;".energy["&amp;This.year&amp;"]"),MATCH($C251&amp;AC$5,INDIRECT($B$3&amp;"."&amp;$B$158&amp;".energy[Tech description]")&amp;INDIRECT($B$3&amp;"."&amp;$B$158&amp;".energy[Energy description]"),0)),0)</f>
        <v>0</v>
      </c>
      <c r="AD251" s="152">
        <f t="array" aca="1" ref="AD251" ca="1">IFERROR(INDEX(INDIRECT($B$3&amp;"."&amp;$B$158&amp;".energy["&amp;This.year&amp;"]"),MATCH($C251&amp;AD$5,INDIRECT($B$3&amp;"."&amp;$B$158&amp;".energy[Tech description]")&amp;INDIRECT($B$3&amp;"."&amp;$B$158&amp;".energy[Energy description]"),0)),0)</f>
        <v>0</v>
      </c>
      <c r="AE251" s="152">
        <f t="array" aca="1" ref="AE251" ca="1">IFERROR(INDEX(INDIRECT($B$3&amp;"."&amp;$B$158&amp;".energy["&amp;This.year&amp;"]"),MATCH($C251&amp;AE$5,INDIRECT($B$3&amp;"."&amp;$B$158&amp;".energy[Tech description]")&amp;INDIRECT($B$3&amp;"."&amp;$B$158&amp;".energy[Energy description]"),0)),0)</f>
        <v>0</v>
      </c>
      <c r="AF251" s="152">
        <f t="array" aca="1" ref="AF251" ca="1">IFERROR(INDEX(INDIRECT($B$3&amp;"."&amp;$B$158&amp;".energy["&amp;This.year&amp;"]"),MATCH($C251&amp;AF$5,INDIRECT($B$3&amp;"."&amp;$B$158&amp;".energy[Tech description]")&amp;INDIRECT($B$3&amp;"."&amp;$B$158&amp;".energy[Energy description]"),0)),0)</f>
        <v>0</v>
      </c>
      <c r="AG251" s="152">
        <f t="array" aca="1" ref="AG251" ca="1">IFERROR(INDEX(INDIRECT($B$3&amp;"."&amp;$B$158&amp;".energy["&amp;This.year&amp;"]"),MATCH($C251&amp;AG$5,INDIRECT($B$3&amp;"."&amp;$B$158&amp;".energy[Tech description]")&amp;INDIRECT($B$3&amp;"."&amp;$B$158&amp;".energy[Energy description]"),0)),0)</f>
        <v>0</v>
      </c>
      <c r="AH251" s="152">
        <f t="array" aca="1" ref="AH251" ca="1">IFERROR(INDEX(INDIRECT($B$3&amp;"."&amp;$B$158&amp;".energy["&amp;This.year&amp;"]"),MATCH($C251&amp;AH$5,INDIRECT($B$3&amp;"."&amp;$B$158&amp;".energy[Tech description]")&amp;INDIRECT($B$3&amp;"."&amp;$B$158&amp;".energy[Energy description]"),0)),0)</f>
        <v>0</v>
      </c>
      <c r="AI251" s="152">
        <f t="array" aca="1" ref="AI251" ca="1">IFERROR(INDEX(INDIRECT($B$3&amp;"."&amp;$B$158&amp;".energy["&amp;This.year&amp;"]"),MATCH($C251&amp;AI$5,INDIRECT($B$3&amp;"."&amp;$B$158&amp;".energy[Tech description]")&amp;INDIRECT($B$3&amp;"."&amp;$B$158&amp;".energy[Energy description]"),0)),0)</f>
        <v>0</v>
      </c>
      <c r="AJ251" s="152">
        <f t="array" aca="1" ref="AJ251" ca="1">IFERROR(INDEX(INDIRECT($B$3&amp;"."&amp;$B$158&amp;".energy["&amp;This.year&amp;"]"),MATCH($C251&amp;AJ$5,INDIRECT($B$3&amp;"."&amp;$B$158&amp;".energy[Tech description]")&amp;INDIRECT($B$3&amp;"."&amp;$B$158&amp;".energy[Energy description]"),0)),0)</f>
        <v>0</v>
      </c>
      <c r="AK251" s="152">
        <f t="array" aca="1" ref="AK251" ca="1">IFERROR(INDEX(INDIRECT($B$3&amp;"."&amp;$B$158&amp;".energy["&amp;This.year&amp;"]"),MATCH($C251&amp;AK$5,INDIRECT($B$3&amp;"."&amp;$B$158&amp;".energy[Tech description]")&amp;INDIRECT($B$3&amp;"."&amp;$B$158&amp;".energy[Energy description]"),0)),0)</f>
        <v>0</v>
      </c>
      <c r="AL251" s="152">
        <f t="array" aca="1" ref="AL251" ca="1">IFERROR(INDEX(INDIRECT($B$3&amp;"."&amp;$B$158&amp;".energy["&amp;This.year&amp;"]"),MATCH($C251&amp;AL$5,INDIRECT($B$3&amp;"."&amp;$B$158&amp;".energy[Tech description]")&amp;INDIRECT($B$3&amp;"."&amp;$B$158&amp;".energy[Energy description]"),0)),0)</f>
        <v>0</v>
      </c>
      <c r="AM251" s="152">
        <f t="array" aca="1" ref="AM251" ca="1">IFERROR(INDEX(INDIRECT($B$3&amp;"."&amp;$B$158&amp;".energy["&amp;This.year&amp;"]"),MATCH($C251&amp;AM$5,INDIRECT($B$3&amp;"."&amp;$B$158&amp;".energy[Tech description]")&amp;INDIRECT($B$3&amp;"."&amp;$B$158&amp;".energy[Energy description]"),0)),0)</f>
        <v>0</v>
      </c>
      <c r="AN251" s="152">
        <f t="array" aca="1" ref="AN251" ca="1">IFERROR(INDEX(INDIRECT($B$3&amp;"."&amp;$B$158&amp;".energy["&amp;This.year&amp;"]"),MATCH($C251&amp;AN$5,INDIRECT($B$3&amp;"."&amp;$B$158&amp;".energy[Tech description]")&amp;INDIRECT($B$3&amp;"."&amp;$B$158&amp;".energy[Energy description]"),0)),0)</f>
        <v>0</v>
      </c>
      <c r="AO251" s="152">
        <f t="shared" ca="1" si="43"/>
        <v>-0.49199351442122363</v>
      </c>
      <c r="AP251" s="108"/>
      <c r="AQ251" s="21">
        <f t="array" aca="1" ref="AQ251" ca="1">IFERROR(INDEX(INDIRECT($B$3&amp;"."&amp;$B$158&amp;".energy["&amp;This.year&amp;"]"),MATCH($C251&amp;AQ$5,INDIRECT($B$3&amp;"."&amp;$B$158&amp;".energy[Tech description]")&amp;INDIRECT($B$3&amp;"."&amp;$B$158&amp;".energy[Energy description]"),0)),0)</f>
        <v>0</v>
      </c>
      <c r="AR251" s="21">
        <f t="array" aca="1" ref="AR251" ca="1">IFERROR(INDEX(INDIRECT($B$3&amp;"."&amp;$B$158&amp;".energy["&amp;This.year&amp;"]"),MATCH($C251&amp;AR$5,INDIRECT($B$3&amp;"."&amp;$B$158&amp;".energy[Tech description]")&amp;INDIRECT($B$3&amp;"."&amp;$B$158&amp;".energy[Energy description]"),0)),0)</f>
        <v>0</v>
      </c>
      <c r="AS251" s="21">
        <f t="array" aca="1" ref="AS251" ca="1">IFERROR(INDEX(INDIRECT($B$3&amp;"."&amp;$B$158&amp;".energy["&amp;This.year&amp;"]"),MATCH($C251&amp;AS$5,INDIRECT($B$3&amp;"."&amp;$B$158&amp;".energy[Tech description]")&amp;INDIRECT($B$3&amp;"."&amp;$B$158&amp;".energy[Energy description]"),0)),0)</f>
        <v>0</v>
      </c>
      <c r="AT251" s="21">
        <f t="array" aca="1" ref="AT251" ca="1">IFERROR(INDEX(INDIRECT($B$3&amp;"."&amp;$B$158&amp;".energy["&amp;This.year&amp;"]"),MATCH($C251&amp;AT$5,INDIRECT($B$3&amp;"."&amp;$B$158&amp;".energy[Tech description]")&amp;INDIRECT($B$3&amp;"."&amp;$B$158&amp;".energy[Energy description]"),0)),0)</f>
        <v>0</v>
      </c>
      <c r="AU251" s="21">
        <f t="array" aca="1" ref="AU251" ca="1">IFERROR(INDEX(INDIRECT($B$3&amp;"."&amp;$B$158&amp;".energy["&amp;This.year&amp;"]"),MATCH($C251&amp;AU$5,INDIRECT($B$3&amp;"."&amp;$B$158&amp;".energy[Tech description]")&amp;INDIRECT($B$3&amp;"."&amp;$B$158&amp;".energy[Energy description]"),0)),0)</f>
        <v>0</v>
      </c>
      <c r="AV251" s="21">
        <f t="array" aca="1" ref="AV251" ca="1">IFERROR(INDEX(INDIRECT($B$3&amp;"."&amp;$B$158&amp;".energy["&amp;This.year&amp;"]"),MATCH($C251&amp;AV$5,INDIRECT($B$3&amp;"."&amp;$B$158&amp;".energy[Tech description]")&amp;INDIRECT($B$3&amp;"."&amp;$B$158&amp;".energy[Energy description]"),0)),0)</f>
        <v>0</v>
      </c>
      <c r="AW251" s="21">
        <f t="array" aca="1" ref="AW251" ca="1">IFERROR(INDEX(INDIRECT($B$3&amp;"."&amp;$B$158&amp;".energy["&amp;This.year&amp;"]"),MATCH($C251&amp;AW$5,INDIRECT($B$3&amp;"."&amp;$B$158&amp;".energy[Tech description]")&amp;INDIRECT($B$3&amp;"."&amp;$B$158&amp;".energy[Energy description]"),0)),0)</f>
        <v>0</v>
      </c>
      <c r="AX251" s="21">
        <f t="array" aca="1" ref="AX251" ca="1">IFERROR(INDEX(INDIRECT($B$3&amp;"."&amp;$B$158&amp;".energy["&amp;This.year&amp;"]"),MATCH($C251&amp;AX$5,INDIRECT($B$3&amp;"."&amp;$B$158&amp;".energy[Tech description]")&amp;INDIRECT($B$3&amp;"."&amp;$B$158&amp;".energy[Energy description]"),0)),0)</f>
        <v>0</v>
      </c>
      <c r="AY251" s="21">
        <f t="array" aca="1" ref="AY251" ca="1">IFERROR(INDEX(INDIRECT($B$3&amp;"."&amp;$B$158&amp;".energy["&amp;This.year&amp;"]"),MATCH($C251&amp;AY$5,INDIRECT($B$3&amp;"."&amp;$B$158&amp;".energy[Tech description]")&amp;INDIRECT($B$3&amp;"."&amp;$B$158&amp;".energy[Energy description]"),0)),0)</f>
        <v>0</v>
      </c>
      <c r="AZ251" s="21">
        <f t="array" aca="1" ref="AZ251" ca="1">IFERROR(INDEX(INDIRECT($B$3&amp;"."&amp;$B$158&amp;".energy["&amp;This.year&amp;"]"),MATCH($C251&amp;AZ$5,INDIRECT($B$3&amp;"."&amp;$B$158&amp;".energy[Tech description]")&amp;INDIRECT($B$3&amp;"."&amp;$B$158&amp;".energy[Energy description]"),0)),0)</f>
        <v>0</v>
      </c>
      <c r="BA251" s="21">
        <f t="array" aca="1" ref="BA251" ca="1">IFERROR(INDEX(INDIRECT($B$3&amp;"."&amp;$B$158&amp;".energy["&amp;This.year&amp;"]"),MATCH($C251&amp;BA$5,INDIRECT($B$3&amp;"."&amp;$B$158&amp;".energy[Tech description]")&amp;INDIRECT($B$3&amp;"."&amp;$B$158&amp;".energy[Energy description]"),0)),0)</f>
        <v>0</v>
      </c>
      <c r="BB251" s="21">
        <f t="array" aca="1" ref="BB251" ca="1">IFERROR(INDEX(INDIRECT($B$3&amp;"."&amp;$B$158&amp;".energy["&amp;This.year&amp;"]"),MATCH($C251&amp;BB$5,INDIRECT($B$3&amp;"."&amp;$B$158&amp;".energy[Tech description]")&amp;INDIRECT($B$3&amp;"."&amp;$B$158&amp;".energy[Energy description]"),0)),0)</f>
        <v>0</v>
      </c>
      <c r="BC251" s="21">
        <f t="array" aca="1" ref="BC251" ca="1">IFERROR(INDEX(INDIRECT($B$3&amp;"."&amp;$B$158&amp;".energy["&amp;This.year&amp;"]"),MATCH($C251&amp;BC$5,INDIRECT($B$3&amp;"."&amp;$B$158&amp;".energy[Tech description]")&amp;INDIRECT($B$3&amp;"."&amp;$B$158&amp;".energy[Energy description]"),0)),0)</f>
        <v>0</v>
      </c>
      <c r="BD251" s="21">
        <f t="shared" ca="1" si="44"/>
        <v>0</v>
      </c>
      <c r="BE251" s="108"/>
      <c r="BF251" s="49">
        <f t="array" aca="1" ref="BF251" ca="1">IFERROR(INDEX(INDIRECT($B$3&amp;"."&amp;$B$158&amp;".energy["&amp;This.year&amp;"]"),MATCH($C251&amp;BF$5,INDIRECT($B$3&amp;"."&amp;$B$158&amp;".energy[Tech description]")&amp;INDIRECT($B$3&amp;"."&amp;$B$158&amp;".energy[Energy description]"),0)),0)</f>
        <v>0</v>
      </c>
      <c r="BG251" s="49">
        <f t="array" aca="1" ref="BG251" ca="1">IFERROR(INDEX(INDIRECT($B$3&amp;"."&amp;$B$158&amp;".energy["&amp;This.year&amp;"]"),MATCH($C251&amp;BG$5,INDIRECT($B$3&amp;"."&amp;$B$158&amp;".energy[Tech description]")&amp;INDIRECT($B$3&amp;"."&amp;$B$158&amp;".energy[Energy description]"),0)),0)</f>
        <v>0</v>
      </c>
      <c r="BH251" s="49">
        <f t="shared" ca="1" si="45"/>
        <v>0</v>
      </c>
      <c r="BI251" s="219">
        <f t="shared" ca="1" si="41"/>
        <v>0</v>
      </c>
      <c r="BJ251" s="108"/>
    </row>
    <row r="252" spans="1:62" s="54" customFormat="1">
      <c r="A252" s="133"/>
      <c r="B252" s="176" t="s">
        <v>1638</v>
      </c>
      <c r="C252" s="114" t="str">
        <f>INDEX(Regional.Technologies[Description],MATCH($B$3&amp;"."&amp;B252,Regional.Technologies[Code],0))</f>
        <v>Global Heat use in the Cement technology</v>
      </c>
      <c r="E252" s="121">
        <f t="array" aca="1" ref="E252" ca="1">IFERROR(INDEX(INDIRECT($B$3&amp;"."&amp;$B$158&amp;".energy["&amp;This.year&amp;"]"),MATCH($C252&amp;E$5,INDIRECT($B$3&amp;"."&amp;$B$158&amp;".energy[Tech description]")&amp;INDIRECT($B$3&amp;"."&amp;$B$158&amp;".energy[Energy description]"),0)),0)</f>
        <v>0</v>
      </c>
      <c r="F252" s="121">
        <f t="array" aca="1" ref="F252" ca="1">IFERROR(INDEX(INDIRECT($B$3&amp;"."&amp;$B$158&amp;".energy["&amp;This.year&amp;"]"),MATCH($C252&amp;F$5,INDIRECT($B$3&amp;"."&amp;$B$158&amp;".energy[Tech description]")&amp;INDIRECT($B$3&amp;"."&amp;$B$158&amp;".energy[Energy description]"),0)),0)</f>
        <v>0</v>
      </c>
      <c r="G252" s="121">
        <f t="array" aca="1" ref="G252" ca="1">IFERROR(INDEX(INDIRECT($B$3&amp;"."&amp;$B$158&amp;".energy["&amp;This.year&amp;"]"),MATCH($C252&amp;G$5,INDIRECT($B$3&amp;"."&amp;$B$158&amp;".energy[Tech description]")&amp;INDIRECT($B$3&amp;"."&amp;$B$158&amp;".energy[Energy description]"),0)),0)</f>
        <v>0</v>
      </c>
      <c r="H252" s="121">
        <f t="array" aca="1" ref="H252" ca="1">IFERROR(INDEX(INDIRECT($B$3&amp;"."&amp;$B$158&amp;".energy["&amp;This.year&amp;"]"),MATCH($C252&amp;H$5,INDIRECT($B$3&amp;"."&amp;$B$158&amp;".energy[Tech description]")&amp;INDIRECT($B$3&amp;"."&amp;$B$158&amp;".energy[Energy description]"),0)),0)</f>
        <v>0</v>
      </c>
      <c r="I252" s="121">
        <f t="array" aca="1" ref="I252" ca="1">IFERROR(INDEX(INDIRECT($B$3&amp;"."&amp;$B$158&amp;".energy["&amp;This.year&amp;"]"),MATCH($C252&amp;I$5,INDIRECT($B$3&amp;"."&amp;$B$158&amp;".energy[Tech description]")&amp;INDIRECT($B$3&amp;"."&amp;$B$158&amp;".energy[Energy description]"),0)),0)</f>
        <v>0</v>
      </c>
      <c r="J252" s="121">
        <f t="array" aca="1" ref="J252" ca="1">IFERROR(INDEX(INDIRECT($B$3&amp;"."&amp;$B$158&amp;".energy["&amp;This.year&amp;"]"),MATCH($C252&amp;J$5,INDIRECT($B$3&amp;"."&amp;$B$158&amp;".energy[Tech description]")&amp;INDIRECT($B$3&amp;"."&amp;$B$158&amp;".energy[Energy description]"),0)),0)</f>
        <v>0</v>
      </c>
      <c r="K252" s="121">
        <f t="array" aca="1" ref="K252" ca="1">IFERROR(INDEX(INDIRECT($B$3&amp;"."&amp;$B$158&amp;".energy["&amp;This.year&amp;"]"),MATCH($C252&amp;K$5,INDIRECT($B$3&amp;"."&amp;$B$158&amp;".energy[Tech description]")&amp;INDIRECT($B$3&amp;"."&amp;$B$158&amp;".energy[Energy description]"),0)),0)</f>
        <v>0</v>
      </c>
      <c r="L252" s="121">
        <f t="array" aca="1" ref="L252" ca="1">IFERROR(INDEX(INDIRECT($B$3&amp;"."&amp;$B$158&amp;".energy["&amp;This.year&amp;"]"),MATCH($C252&amp;L$5,INDIRECT($B$3&amp;"."&amp;$B$158&amp;".energy[Tech description]")&amp;INDIRECT($B$3&amp;"."&amp;$B$158&amp;".energy[Energy description]"),0)),0)</f>
        <v>0</v>
      </c>
      <c r="M252" s="121">
        <f t="array" aca="1" ref="M252" ca="1">IFERROR(INDEX(INDIRECT($B$3&amp;"."&amp;$B$158&amp;".energy["&amp;This.year&amp;"]"),MATCH($C252&amp;M$5,INDIRECT($B$3&amp;"."&amp;$B$158&amp;".energy[Tech description]")&amp;INDIRECT($B$3&amp;"."&amp;$B$158&amp;".energy[Energy description]"),0)),0)</f>
        <v>0</v>
      </c>
      <c r="N252" s="121">
        <f t="array" aca="1" ref="N252" ca="1">IFERROR(INDEX(INDIRECT($B$3&amp;"."&amp;$B$158&amp;".energy["&amp;This.year&amp;"]"),MATCH($C252&amp;N$5,INDIRECT($B$3&amp;"."&amp;$B$158&amp;".energy[Tech description]")&amp;INDIRECT($B$3&amp;"."&amp;$B$158&amp;".energy[Energy description]"),0)),0)</f>
        <v>0</v>
      </c>
      <c r="O252" s="121">
        <f t="array" aca="1" ref="O252" ca="1">IFERROR(INDEX(INDIRECT($B$3&amp;"."&amp;$B$158&amp;".energy["&amp;This.year&amp;"]"),MATCH($C252&amp;O$5,INDIRECT($B$3&amp;"."&amp;$B$158&amp;".energy[Tech description]")&amp;INDIRECT($B$3&amp;"."&amp;$B$158&amp;".energy[Energy description]"),0)),0)</f>
        <v>0</v>
      </c>
      <c r="P252" s="121">
        <f t="array" aca="1" ref="P252" ca="1">IFERROR(INDEX(INDIRECT($B$3&amp;"."&amp;$B$158&amp;".energy["&amp;This.year&amp;"]"),MATCH($C252&amp;P$5,INDIRECT($B$3&amp;"."&amp;$B$158&amp;".energy[Tech description]")&amp;INDIRECT($B$3&amp;"."&amp;$B$158&amp;".energy[Energy description]"),0)),0)</f>
        <v>0</v>
      </c>
      <c r="Q252" s="121">
        <f t="array" aca="1" ref="Q252" ca="1">IFERROR(INDEX(INDIRECT($B$3&amp;"."&amp;$B$158&amp;".energy["&amp;This.year&amp;"]"),MATCH($C252&amp;Q$5,INDIRECT($B$3&amp;"."&amp;$B$158&amp;".energy[Tech description]")&amp;INDIRECT($B$3&amp;"."&amp;$B$158&amp;".energy[Energy description]"),0)),0)</f>
        <v>0</v>
      </c>
      <c r="R252" s="121">
        <f t="array" aca="1" ref="R252" ca="1">IFERROR(INDEX(INDIRECT($B$3&amp;"."&amp;$B$158&amp;".energy["&amp;This.year&amp;"]"),MATCH($C252&amp;R$5,INDIRECT($B$3&amp;"."&amp;$B$158&amp;".energy[Tech description]")&amp;INDIRECT($B$3&amp;"."&amp;$B$158&amp;".energy[Energy description]"),0)),0)</f>
        <v>0</v>
      </c>
      <c r="S252" s="121">
        <f t="array" aca="1" ref="S252" ca="1">IFERROR(INDEX(INDIRECT($B$3&amp;"."&amp;$B$158&amp;".energy["&amp;This.year&amp;"]"),MATCH($C252&amp;S$5,INDIRECT($B$3&amp;"."&amp;$B$158&amp;".energy[Tech description]")&amp;INDIRECT($B$3&amp;"."&amp;$B$158&amp;".energy[Energy description]"),0)),0)</f>
        <v>0</v>
      </c>
      <c r="T252" s="121">
        <f t="shared" ca="1" si="42"/>
        <v>0</v>
      </c>
      <c r="U252" s="109"/>
      <c r="V252" s="152">
        <f t="array" aca="1" ref="V252" ca="1">IFERROR(INDEX(INDIRECT($B$3&amp;"."&amp;$B$158&amp;".energy["&amp;This.year&amp;"]"),MATCH($C252&amp;V$5,INDIRECT($B$3&amp;"."&amp;$B$158&amp;".energy[Tech description]")&amp;INDIRECT($B$3&amp;"."&amp;$B$158&amp;".energy[Energy description]"),0)),0)</f>
        <v>0</v>
      </c>
      <c r="W252" s="152">
        <f t="array" aca="1" ref="W252" ca="1">IFERROR(INDEX(INDIRECT($B$3&amp;"."&amp;$B$158&amp;".energy["&amp;This.year&amp;"]"),MATCH($C252&amp;W$5,INDIRECT($B$3&amp;"."&amp;$B$158&amp;".energy[Tech description]")&amp;INDIRECT($B$3&amp;"."&amp;$B$158&amp;".energy[Energy description]"),0)),0)</f>
        <v>0</v>
      </c>
      <c r="X252" s="152">
        <f t="array" aca="1" ref="X252" ca="1">IFERROR(INDEX(INDIRECT($B$3&amp;"."&amp;$B$158&amp;".energy["&amp;This.year&amp;"]"),MATCH($C252&amp;X$5,INDIRECT($B$3&amp;"."&amp;$B$158&amp;".energy[Tech description]")&amp;INDIRECT($B$3&amp;"."&amp;$B$158&amp;".energy[Energy description]"),0)),0)</f>
        <v>0</v>
      </c>
      <c r="Y252" s="152">
        <f t="array" aca="1" ref="Y252" ca="1">IFERROR(INDEX(INDIRECT($B$3&amp;"."&amp;$B$158&amp;".energy["&amp;This.year&amp;"]"),MATCH($C252&amp;Y$5,INDIRECT($B$3&amp;"."&amp;$B$158&amp;".energy[Tech description]")&amp;INDIRECT($B$3&amp;"."&amp;$B$158&amp;".energy[Energy description]"),0)),0)</f>
        <v>0</v>
      </c>
      <c r="Z252" s="152">
        <f t="array" aca="1" ref="Z252" ca="1">IFERROR(INDEX(INDIRECT($B$3&amp;"."&amp;$B$158&amp;".energy["&amp;This.year&amp;"]"),MATCH($C252&amp;Z$5,INDIRECT($B$3&amp;"."&amp;$B$158&amp;".energy[Tech description]")&amp;INDIRECT($B$3&amp;"."&amp;$B$158&amp;".energy[Energy description]"),0)),0)</f>
        <v>0</v>
      </c>
      <c r="AA252" s="152">
        <f t="array" aca="1" ref="AA252" ca="1">IFERROR(INDEX(INDIRECT($B$3&amp;"."&amp;$B$158&amp;".energy["&amp;This.year&amp;"]"),MATCH($C252&amp;AA$5,INDIRECT($B$3&amp;"."&amp;$B$158&amp;".energy[Tech description]")&amp;INDIRECT($B$3&amp;"."&amp;$B$158&amp;".energy[Energy description]"),0)),0)</f>
        <v>0</v>
      </c>
      <c r="AB252" s="152">
        <f t="array" aca="1" ref="AB252" ca="1">IFERROR(INDEX(INDIRECT($B$3&amp;"."&amp;$B$158&amp;".energy["&amp;This.year&amp;"]"),MATCH($C252&amp;AB$5,INDIRECT($B$3&amp;"."&amp;$B$158&amp;".energy[Tech description]")&amp;INDIRECT($B$3&amp;"."&amp;$B$158&amp;".energy[Energy description]"),0)),0)</f>
        <v>0</v>
      </c>
      <c r="AC252" s="152">
        <f t="array" aca="1" ref="AC252" ca="1">IFERROR(INDEX(INDIRECT($B$3&amp;"."&amp;$B$158&amp;".energy["&amp;This.year&amp;"]"),MATCH($C252&amp;AC$5,INDIRECT($B$3&amp;"."&amp;$B$158&amp;".energy[Tech description]")&amp;INDIRECT($B$3&amp;"."&amp;$B$158&amp;".energy[Energy description]"),0)),0)</f>
        <v>0</v>
      </c>
      <c r="AD252" s="152">
        <f t="array" aca="1" ref="AD252" ca="1">IFERROR(INDEX(INDIRECT($B$3&amp;"."&amp;$B$158&amp;".energy["&amp;This.year&amp;"]"),MATCH($C252&amp;AD$5,INDIRECT($B$3&amp;"."&amp;$B$158&amp;".energy[Tech description]")&amp;INDIRECT($B$3&amp;"."&amp;$B$158&amp;".energy[Energy description]"),0)),0)</f>
        <v>0</v>
      </c>
      <c r="AE252" s="152">
        <f t="array" aca="1" ref="AE252" ca="1">IFERROR(INDEX(INDIRECT($B$3&amp;"."&amp;$B$158&amp;".energy["&amp;This.year&amp;"]"),MATCH($C252&amp;AE$5,INDIRECT($B$3&amp;"."&amp;$B$158&amp;".energy[Tech description]")&amp;INDIRECT($B$3&amp;"."&amp;$B$158&amp;".energy[Energy description]"),0)),0)</f>
        <v>0</v>
      </c>
      <c r="AF252" s="152">
        <f t="array" aca="1" ref="AF252" ca="1">IFERROR(INDEX(INDIRECT($B$3&amp;"."&amp;$B$158&amp;".energy["&amp;This.year&amp;"]"),MATCH($C252&amp;AF$5,INDIRECT($B$3&amp;"."&amp;$B$158&amp;".energy[Tech description]")&amp;INDIRECT($B$3&amp;"."&amp;$B$158&amp;".energy[Energy description]"),0)),0)</f>
        <v>0</v>
      </c>
      <c r="AG252" s="152">
        <f t="array" aca="1" ref="AG252" ca="1">IFERROR(INDEX(INDIRECT($B$3&amp;"."&amp;$B$158&amp;".energy["&amp;This.year&amp;"]"),MATCH($C252&amp;AG$5,INDIRECT($B$3&amp;"."&amp;$B$158&amp;".energy[Tech description]")&amp;INDIRECT($B$3&amp;"."&amp;$B$158&amp;".energy[Energy description]"),0)),0)</f>
        <v>0</v>
      </c>
      <c r="AH252" s="152">
        <f t="array" aca="1" ref="AH252" ca="1">IFERROR(INDEX(INDIRECT($B$3&amp;"."&amp;$B$158&amp;".energy["&amp;This.year&amp;"]"),MATCH($C252&amp;AH$5,INDIRECT($B$3&amp;"."&amp;$B$158&amp;".energy[Tech description]")&amp;INDIRECT($B$3&amp;"."&amp;$B$158&amp;".energy[Energy description]"),0)),0)</f>
        <v>0</v>
      </c>
      <c r="AI252" s="152">
        <f t="array" aca="1" ref="AI252" ca="1">IFERROR(INDEX(INDIRECT($B$3&amp;"."&amp;$B$158&amp;".energy["&amp;This.year&amp;"]"),MATCH($C252&amp;AI$5,INDIRECT($B$3&amp;"."&amp;$B$158&amp;".energy[Tech description]")&amp;INDIRECT($B$3&amp;"."&amp;$B$158&amp;".energy[Energy description]"),0)),0)</f>
        <v>0</v>
      </c>
      <c r="AJ252" s="152">
        <f t="array" aca="1" ref="AJ252" ca="1">IFERROR(INDEX(INDIRECT($B$3&amp;"."&amp;$B$158&amp;".energy["&amp;This.year&amp;"]"),MATCH($C252&amp;AJ$5,INDIRECT($B$3&amp;"."&amp;$B$158&amp;".energy[Tech description]")&amp;INDIRECT($B$3&amp;"."&amp;$B$158&amp;".energy[Energy description]"),0)),0)</f>
        <v>0</v>
      </c>
      <c r="AK252" s="152">
        <f t="array" aca="1" ref="AK252" ca="1">IFERROR(INDEX(INDIRECT($B$3&amp;"."&amp;$B$158&amp;".energy["&amp;This.year&amp;"]"),MATCH($C252&amp;AK$5,INDIRECT($B$3&amp;"."&amp;$B$158&amp;".energy[Tech description]")&amp;INDIRECT($B$3&amp;"."&amp;$B$158&amp;".energy[Energy description]"),0)),0)</f>
        <v>0</v>
      </c>
      <c r="AL252" s="152">
        <f t="array" aca="1" ref="AL252" ca="1">IFERROR(INDEX(INDIRECT($B$3&amp;"."&amp;$B$158&amp;".energy["&amp;This.year&amp;"]"),MATCH($C252&amp;AL$5,INDIRECT($B$3&amp;"."&amp;$B$158&amp;".energy[Tech description]")&amp;INDIRECT($B$3&amp;"."&amp;$B$158&amp;".energy[Energy description]"),0)),0)</f>
        <v>0</v>
      </c>
      <c r="AM252" s="152">
        <f t="array" aca="1" ref="AM252" ca="1">IFERROR(INDEX(INDIRECT($B$3&amp;"."&amp;$B$158&amp;".energy["&amp;This.year&amp;"]"),MATCH($C252&amp;AM$5,INDIRECT($B$3&amp;"."&amp;$B$158&amp;".energy[Tech description]")&amp;INDIRECT($B$3&amp;"."&amp;$B$158&amp;".energy[Energy description]"),0)),0)</f>
        <v>0</v>
      </c>
      <c r="AN252" s="152">
        <f t="array" aca="1" ref="AN252" ca="1">IFERROR(INDEX(INDIRECT($B$3&amp;"."&amp;$B$158&amp;".energy["&amp;This.year&amp;"]"),MATCH($C252&amp;AN$5,INDIRECT($B$3&amp;"."&amp;$B$158&amp;".energy[Tech description]")&amp;INDIRECT($B$3&amp;"."&amp;$B$158&amp;".energy[Energy description]"),0)),0)</f>
        <v>0</v>
      </c>
      <c r="AO252" s="152">
        <f t="shared" ca="1" si="43"/>
        <v>0</v>
      </c>
      <c r="AP252" s="108"/>
      <c r="AQ252" s="21">
        <f t="array" aca="1" ref="AQ252" ca="1">IFERROR(INDEX(INDIRECT($B$3&amp;"."&amp;$B$158&amp;".energy["&amp;This.year&amp;"]"),MATCH($C252&amp;AQ$5,INDIRECT($B$3&amp;"."&amp;$B$158&amp;".energy[Tech description]")&amp;INDIRECT($B$3&amp;"."&amp;$B$158&amp;".energy[Energy description]"),0)),0)</f>
        <v>0</v>
      </c>
      <c r="AR252" s="21">
        <f t="array" aca="1" ref="AR252" ca="1">IFERROR(INDEX(INDIRECT($B$3&amp;"."&amp;$B$158&amp;".energy["&amp;This.year&amp;"]"),MATCH($C252&amp;AR$5,INDIRECT($B$3&amp;"."&amp;$B$158&amp;".energy[Tech description]")&amp;INDIRECT($B$3&amp;"."&amp;$B$158&amp;".energy[Energy description]"),0)),0)</f>
        <v>0</v>
      </c>
      <c r="AS252" s="21">
        <f t="array" aca="1" ref="AS252" ca="1">IFERROR(INDEX(INDIRECT($B$3&amp;"."&amp;$B$158&amp;".energy["&amp;This.year&amp;"]"),MATCH($C252&amp;AS$5,INDIRECT($B$3&amp;"."&amp;$B$158&amp;".energy[Tech description]")&amp;INDIRECT($B$3&amp;"."&amp;$B$158&amp;".energy[Energy description]"),0)),0)</f>
        <v>0</v>
      </c>
      <c r="AT252" s="21">
        <f t="array" aca="1" ref="AT252" ca="1">IFERROR(INDEX(INDIRECT($B$3&amp;"."&amp;$B$158&amp;".energy["&amp;This.year&amp;"]"),MATCH($C252&amp;AT$5,INDIRECT($B$3&amp;"."&amp;$B$158&amp;".energy[Tech description]")&amp;INDIRECT($B$3&amp;"."&amp;$B$158&amp;".energy[Energy description]"),0)),0)</f>
        <v>0</v>
      </c>
      <c r="AU252" s="21">
        <f t="array" aca="1" ref="AU252" ca="1">IFERROR(INDEX(INDIRECT($B$3&amp;"."&amp;$B$158&amp;".energy["&amp;This.year&amp;"]"),MATCH($C252&amp;AU$5,INDIRECT($B$3&amp;"."&amp;$B$158&amp;".energy[Tech description]")&amp;INDIRECT($B$3&amp;"."&amp;$B$158&amp;".energy[Energy description]"),0)),0)</f>
        <v>0</v>
      </c>
      <c r="AV252" s="21">
        <f t="array" aca="1" ref="AV252" ca="1">IFERROR(INDEX(INDIRECT($B$3&amp;"."&amp;$B$158&amp;".energy["&amp;This.year&amp;"]"),MATCH($C252&amp;AV$5,INDIRECT($B$3&amp;"."&amp;$B$158&amp;".energy[Tech description]")&amp;INDIRECT($B$3&amp;"."&amp;$B$158&amp;".energy[Energy description]"),0)),0)</f>
        <v>0</v>
      </c>
      <c r="AW252" s="21">
        <f t="array" aca="1" ref="AW252" ca="1">IFERROR(INDEX(INDIRECT($B$3&amp;"."&amp;$B$158&amp;".energy["&amp;This.year&amp;"]"),MATCH($C252&amp;AW$5,INDIRECT($B$3&amp;"."&amp;$B$158&amp;".energy[Tech description]")&amp;INDIRECT($B$3&amp;"."&amp;$B$158&amp;".energy[Energy description]"),0)),0)</f>
        <v>0</v>
      </c>
      <c r="AX252" s="21">
        <f t="array" aca="1" ref="AX252" ca="1">IFERROR(INDEX(INDIRECT($B$3&amp;"."&amp;$B$158&amp;".energy["&amp;This.year&amp;"]"),MATCH($C252&amp;AX$5,INDIRECT($B$3&amp;"."&amp;$B$158&amp;".energy[Tech description]")&amp;INDIRECT($B$3&amp;"."&amp;$B$158&amp;".energy[Energy description]"),0)),0)</f>
        <v>0</v>
      </c>
      <c r="AY252" s="21">
        <f t="array" aca="1" ref="AY252" ca="1">IFERROR(INDEX(INDIRECT($B$3&amp;"."&amp;$B$158&amp;".energy["&amp;This.year&amp;"]"),MATCH($C252&amp;AY$5,INDIRECT($B$3&amp;"."&amp;$B$158&amp;".energy[Tech description]")&amp;INDIRECT($B$3&amp;"."&amp;$B$158&amp;".energy[Energy description]"),0)),0)</f>
        <v>0</v>
      </c>
      <c r="AZ252" s="21">
        <f t="array" aca="1" ref="AZ252" ca="1">IFERROR(INDEX(INDIRECT($B$3&amp;"."&amp;$B$158&amp;".energy["&amp;This.year&amp;"]"),MATCH($C252&amp;AZ$5,INDIRECT($B$3&amp;"."&amp;$B$158&amp;".energy[Tech description]")&amp;INDIRECT($B$3&amp;"."&amp;$B$158&amp;".energy[Energy description]"),0)),0)</f>
        <v>0</v>
      </c>
      <c r="BA252" s="21">
        <f t="array" aca="1" ref="BA252" ca="1">IFERROR(INDEX(INDIRECT($B$3&amp;"."&amp;$B$158&amp;".energy["&amp;This.year&amp;"]"),MATCH($C252&amp;BA$5,INDIRECT($B$3&amp;"."&amp;$B$158&amp;".energy[Tech description]")&amp;INDIRECT($B$3&amp;"."&amp;$B$158&amp;".energy[Energy description]"),0)),0)</f>
        <v>0</v>
      </c>
      <c r="BB252" s="21">
        <f t="array" aca="1" ref="BB252" ca="1">IFERROR(INDEX(INDIRECT($B$3&amp;"."&amp;$B$158&amp;".energy["&amp;This.year&amp;"]"),MATCH($C252&amp;BB$5,INDIRECT($B$3&amp;"."&amp;$B$158&amp;".energy[Tech description]")&amp;INDIRECT($B$3&amp;"."&amp;$B$158&amp;".energy[Energy description]"),0)),0)</f>
        <v>0</v>
      </c>
      <c r="BC252" s="21">
        <f t="array" aca="1" ref="BC252" ca="1">IFERROR(INDEX(INDIRECT($B$3&amp;"."&amp;$B$158&amp;".energy["&amp;This.year&amp;"]"),MATCH($C252&amp;BC$5,INDIRECT($B$3&amp;"."&amp;$B$158&amp;".energy[Tech description]")&amp;INDIRECT($B$3&amp;"."&amp;$B$158&amp;".energy[Energy description]"),0)),0)</f>
        <v>0</v>
      </c>
      <c r="BD252" s="21">
        <f t="shared" ca="1" si="44"/>
        <v>0</v>
      </c>
      <c r="BE252" s="108"/>
      <c r="BF252" s="49">
        <f t="array" aca="1" ref="BF252" ca="1">IFERROR(INDEX(INDIRECT($B$3&amp;"."&amp;$B$158&amp;".energy["&amp;This.year&amp;"]"),MATCH($C252&amp;BF$5,INDIRECT($B$3&amp;"."&amp;$B$158&amp;".energy[Tech description]")&amp;INDIRECT($B$3&amp;"."&amp;$B$158&amp;".energy[Energy description]"),0)),0)</f>
        <v>0</v>
      </c>
      <c r="BG252" s="49">
        <f t="array" aca="1" ref="BG252" ca="1">IFERROR(INDEX(INDIRECT($B$3&amp;"."&amp;$B$158&amp;".energy["&amp;This.year&amp;"]"),MATCH($C252&amp;BG$5,INDIRECT($B$3&amp;"."&amp;$B$158&amp;".energy[Tech description]")&amp;INDIRECT($B$3&amp;"."&amp;$B$158&amp;".energy[Energy description]"),0)),0)</f>
        <v>0</v>
      </c>
      <c r="BH252" s="49">
        <f t="shared" ca="1" si="45"/>
        <v>0</v>
      </c>
      <c r="BI252" s="219">
        <f t="shared" ca="1" si="41"/>
        <v>0</v>
      </c>
      <c r="BJ252" s="108"/>
    </row>
    <row r="253" spans="1:62" s="54" customFormat="1">
      <c r="A253" s="133"/>
      <c r="B253" s="176"/>
      <c r="C253" s="114"/>
      <c r="E253" s="121"/>
      <c r="F253" s="121"/>
      <c r="G253" s="121"/>
      <c r="H253" s="121"/>
      <c r="I253" s="121"/>
      <c r="J253" s="121"/>
      <c r="K253" s="121"/>
      <c r="L253" s="121"/>
      <c r="M253" s="121"/>
      <c r="N253" s="121"/>
      <c r="O253" s="121"/>
      <c r="P253" s="121"/>
      <c r="Q253" s="121"/>
      <c r="R253" s="121"/>
      <c r="S253" s="121"/>
      <c r="T253" s="121"/>
      <c r="U253" s="109"/>
      <c r="V253" s="152"/>
      <c r="W253" s="152"/>
      <c r="X253" s="152"/>
      <c r="Y253" s="152"/>
      <c r="Z253" s="152"/>
      <c r="AA253" s="152"/>
      <c r="AB253" s="152"/>
      <c r="AC253" s="152"/>
      <c r="AD253" s="152"/>
      <c r="AE253" s="152"/>
      <c r="AF253" s="152"/>
      <c r="AG253" s="152"/>
      <c r="AH253" s="152"/>
      <c r="AI253" s="152"/>
      <c r="AJ253" s="152"/>
      <c r="AK253" s="152"/>
      <c r="AL253" s="152"/>
      <c r="AM253" s="152"/>
      <c r="AN253" s="152"/>
      <c r="AO253" s="152"/>
      <c r="AP253" s="108"/>
      <c r="AQ253" s="21"/>
      <c r="AR253" s="21"/>
      <c r="AS253" s="21"/>
      <c r="AT253" s="21"/>
      <c r="AU253" s="21"/>
      <c r="AV253" s="21"/>
      <c r="AW253" s="21"/>
      <c r="AX253" s="21"/>
      <c r="AY253" s="21"/>
      <c r="AZ253" s="21"/>
      <c r="BA253" s="21"/>
      <c r="BB253" s="21"/>
      <c r="BC253" s="21"/>
      <c r="BD253" s="21"/>
      <c r="BE253" s="108"/>
      <c r="BF253" s="49"/>
      <c r="BG253" s="49"/>
      <c r="BH253" s="49"/>
      <c r="BI253" s="219"/>
      <c r="BJ253" s="108"/>
    </row>
    <row r="254" spans="1:62" s="54" customFormat="1">
      <c r="A254" s="133"/>
      <c r="B254" s="176"/>
      <c r="C254" s="187" t="s">
        <v>299</v>
      </c>
      <c r="E254" s="121">
        <f ca="1">SUM(E255:E260)</f>
        <v>0</v>
      </c>
      <c r="F254" s="121">
        <f t="shared" ref="F254:T254" ca="1" si="46">SUM(F255:F260)</f>
        <v>0</v>
      </c>
      <c r="G254" s="121">
        <f t="shared" ca="1" si="46"/>
        <v>0</v>
      </c>
      <c r="H254" s="121">
        <f t="shared" ca="1" si="46"/>
        <v>0</v>
      </c>
      <c r="I254" s="121">
        <f t="shared" ca="1" si="46"/>
        <v>0</v>
      </c>
      <c r="J254" s="121">
        <f t="shared" ca="1" si="46"/>
        <v>50.51657166854605</v>
      </c>
      <c r="K254" s="121">
        <f t="shared" ca="1" si="46"/>
        <v>0</v>
      </c>
      <c r="L254" s="121">
        <f t="shared" ca="1" si="46"/>
        <v>0</v>
      </c>
      <c r="M254" s="121">
        <f t="shared" ca="1" si="46"/>
        <v>0</v>
      </c>
      <c r="N254" s="121">
        <f t="shared" ca="1" si="46"/>
        <v>0</v>
      </c>
      <c r="O254" s="121">
        <f t="shared" ref="O254" ca="1" si="47">SUM(O255:O260)</f>
        <v>0</v>
      </c>
      <c r="P254" s="121">
        <f t="shared" ca="1" si="46"/>
        <v>0</v>
      </c>
      <c r="Q254" s="121">
        <f t="shared" ca="1" si="46"/>
        <v>0</v>
      </c>
      <c r="R254" s="121">
        <f t="shared" ca="1" si="46"/>
        <v>0</v>
      </c>
      <c r="S254" s="121">
        <f t="shared" ca="1" si="46"/>
        <v>0</v>
      </c>
      <c r="T254" s="121">
        <f t="shared" ca="1" si="46"/>
        <v>50.51657166854605</v>
      </c>
      <c r="U254" s="109"/>
      <c r="V254" s="152">
        <f t="shared" ref="V254:AO254" ca="1" si="48">SUM(V255:V260)</f>
        <v>-14.492680358828368</v>
      </c>
      <c r="W254" s="152">
        <f t="shared" ca="1" si="48"/>
        <v>0</v>
      </c>
      <c r="X254" s="152">
        <f t="shared" ca="1" si="48"/>
        <v>-5.4326469694895918</v>
      </c>
      <c r="Y254" s="152">
        <f t="shared" ca="1" si="48"/>
        <v>0</v>
      </c>
      <c r="Z254" s="152">
        <f t="shared" ca="1" si="48"/>
        <v>0</v>
      </c>
      <c r="AA254" s="152">
        <f t="shared" ca="1" si="48"/>
        <v>-7.1683560026671529</v>
      </c>
      <c r="AB254" s="152">
        <f t="shared" ca="1" si="48"/>
        <v>-8.9190113729480487</v>
      </c>
      <c r="AC254" s="152">
        <f t="shared" ca="1" si="48"/>
        <v>-11.967321601700888</v>
      </c>
      <c r="AD254" s="152">
        <f t="shared" ca="1" si="48"/>
        <v>0</v>
      </c>
      <c r="AE254" s="152">
        <f t="shared" ca="1" si="48"/>
        <v>0</v>
      </c>
      <c r="AF254" s="152">
        <f t="shared" ca="1" si="48"/>
        <v>0</v>
      </c>
      <c r="AG254" s="152">
        <f t="shared" ca="1" si="48"/>
        <v>0</v>
      </c>
      <c r="AH254" s="152">
        <f t="shared" ca="1" si="48"/>
        <v>0</v>
      </c>
      <c r="AI254" s="152">
        <f t="shared" ca="1" si="48"/>
        <v>0</v>
      </c>
      <c r="AJ254" s="152">
        <f t="shared" ca="1" si="48"/>
        <v>0</v>
      </c>
      <c r="AK254" s="152">
        <f t="shared" ca="1" si="48"/>
        <v>0</v>
      </c>
      <c r="AL254" s="152">
        <f t="shared" ca="1" si="48"/>
        <v>-2.5365553629120043</v>
      </c>
      <c r="AM254" s="152">
        <f t="shared" ca="1" si="48"/>
        <v>0</v>
      </c>
      <c r="AN254" s="152">
        <f t="shared" ca="1" si="48"/>
        <v>0</v>
      </c>
      <c r="AO254" s="152">
        <f t="shared" ca="1" si="48"/>
        <v>-50.51657166854605</v>
      </c>
      <c r="AP254" s="108"/>
      <c r="AQ254" s="21">
        <f t="shared" ref="AQ254:BD254" ca="1" si="49">SUM(AQ255:AQ260)</f>
        <v>0</v>
      </c>
      <c r="AR254" s="21">
        <f t="shared" ca="1" si="49"/>
        <v>0</v>
      </c>
      <c r="AS254" s="21">
        <f t="shared" ca="1" si="49"/>
        <v>0</v>
      </c>
      <c r="AT254" s="21">
        <f t="shared" ca="1" si="49"/>
        <v>0</v>
      </c>
      <c r="AU254" s="21">
        <f t="shared" ca="1" si="49"/>
        <v>0</v>
      </c>
      <c r="AV254" s="21">
        <f t="shared" ca="1" si="49"/>
        <v>0</v>
      </c>
      <c r="AW254" s="21">
        <f t="shared" ca="1" si="49"/>
        <v>0</v>
      </c>
      <c r="AX254" s="21">
        <f t="shared" ca="1" si="49"/>
        <v>0</v>
      </c>
      <c r="AY254" s="21">
        <f t="shared" ca="1" si="49"/>
        <v>0</v>
      </c>
      <c r="AZ254" s="21">
        <f t="shared" ca="1" si="49"/>
        <v>0</v>
      </c>
      <c r="BA254" s="21">
        <f t="shared" ca="1" si="49"/>
        <v>0</v>
      </c>
      <c r="BB254" s="21">
        <f t="shared" ca="1" si="49"/>
        <v>0</v>
      </c>
      <c r="BC254" s="21">
        <f t="shared" ca="1" si="49"/>
        <v>0</v>
      </c>
      <c r="BD254" s="21">
        <f t="shared" ca="1" si="49"/>
        <v>0</v>
      </c>
      <c r="BE254" s="108"/>
      <c r="BF254" s="49">
        <f t="shared" ref="BF254:BH254" ca="1" si="50">SUM(BF255:BF260)</f>
        <v>0</v>
      </c>
      <c r="BG254" s="49">
        <f t="shared" ca="1" si="50"/>
        <v>0</v>
      </c>
      <c r="BH254" s="49">
        <f t="shared" ca="1" si="50"/>
        <v>0</v>
      </c>
      <c r="BI254" s="219">
        <f t="shared" ref="BI254:BI260" ca="1" si="51">SUM(T254,AO254,BD254,BH254)</f>
        <v>0</v>
      </c>
      <c r="BJ254" s="108"/>
    </row>
    <row r="255" spans="1:62" s="54" customFormat="1">
      <c r="A255" s="133"/>
      <c r="B255" s="176" t="s">
        <v>1634</v>
      </c>
      <c r="C255" s="114" t="str">
        <f>INDEX(Regional.Technologies[Description],MATCH($B$3&amp;"."&amp;B255,Regional.Technologies[Code],0))</f>
        <v>Global Electricity use in the Other industries technology</v>
      </c>
      <c r="E255" s="121">
        <f t="array" aca="1" ref="E255" ca="1">IFERROR(INDEX(INDIRECT($B$3&amp;"."&amp;$B$158&amp;".energy["&amp;This.year&amp;"]"),MATCH($C255&amp;E$5,INDIRECT($B$3&amp;"."&amp;$B$158&amp;".energy[Tech description]")&amp;INDIRECT($B$3&amp;"."&amp;$B$158&amp;".energy[Energy description]"),0)),0)</f>
        <v>0</v>
      </c>
      <c r="F255" s="121">
        <f t="array" aca="1" ref="F255" ca="1">IFERROR(INDEX(INDIRECT($B$3&amp;"."&amp;$B$158&amp;".energy["&amp;This.year&amp;"]"),MATCH($C255&amp;F$5,INDIRECT($B$3&amp;"."&amp;$B$158&amp;".energy[Tech description]")&amp;INDIRECT($B$3&amp;"."&amp;$B$158&amp;".energy[Energy description]"),0)),0)</f>
        <v>0</v>
      </c>
      <c r="G255" s="121">
        <f t="array" aca="1" ref="G255" ca="1">IFERROR(INDEX(INDIRECT($B$3&amp;"."&amp;$B$158&amp;".energy["&amp;This.year&amp;"]"),MATCH($C255&amp;G$5,INDIRECT($B$3&amp;"."&amp;$B$158&amp;".energy[Tech description]")&amp;INDIRECT($B$3&amp;"."&amp;$B$158&amp;".energy[Energy description]"),0)),0)</f>
        <v>0</v>
      </c>
      <c r="H255" s="121">
        <f t="array" aca="1" ref="H255" ca="1">IFERROR(INDEX(INDIRECT($B$3&amp;"."&amp;$B$158&amp;".energy["&amp;This.year&amp;"]"),MATCH($C255&amp;H$5,INDIRECT($B$3&amp;"."&amp;$B$158&amp;".energy[Tech description]")&amp;INDIRECT($B$3&amp;"."&amp;$B$158&amp;".energy[Energy description]"),0)),0)</f>
        <v>0</v>
      </c>
      <c r="I255" s="121">
        <f t="array" aca="1" ref="I255" ca="1">IFERROR(INDEX(INDIRECT($B$3&amp;"."&amp;$B$158&amp;".energy["&amp;This.year&amp;"]"),MATCH($C255&amp;I$5,INDIRECT($B$3&amp;"."&amp;$B$158&amp;".energy[Tech description]")&amp;INDIRECT($B$3&amp;"."&amp;$B$158&amp;".energy[Energy description]"),0)),0)</f>
        <v>0</v>
      </c>
      <c r="J255" s="121">
        <f t="array" aca="1" ref="J255" ca="1">IFERROR(INDEX(INDIRECT($B$3&amp;"."&amp;$B$158&amp;".energy["&amp;This.year&amp;"]"),MATCH($C255&amp;J$5,INDIRECT($B$3&amp;"."&amp;$B$158&amp;".energy[Tech description]")&amp;INDIRECT($B$3&amp;"."&amp;$B$158&amp;".energy[Energy description]"),0)),0)</f>
        <v>14.492680358828368</v>
      </c>
      <c r="K255" s="121">
        <f t="array" aca="1" ref="K255" ca="1">IFERROR(INDEX(INDIRECT($B$3&amp;"."&amp;$B$158&amp;".energy["&amp;This.year&amp;"]"),MATCH($C255&amp;K$5,INDIRECT($B$3&amp;"."&amp;$B$158&amp;".energy[Tech description]")&amp;INDIRECT($B$3&amp;"."&amp;$B$158&amp;".energy[Energy description]"),0)),0)</f>
        <v>0</v>
      </c>
      <c r="L255" s="121">
        <f t="array" aca="1" ref="L255" ca="1">IFERROR(INDEX(INDIRECT($B$3&amp;"."&amp;$B$158&amp;".energy["&amp;This.year&amp;"]"),MATCH($C255&amp;L$5,INDIRECT($B$3&amp;"."&amp;$B$158&amp;".energy[Tech description]")&amp;INDIRECT($B$3&amp;"."&amp;$B$158&amp;".energy[Energy description]"),0)),0)</f>
        <v>0</v>
      </c>
      <c r="M255" s="121">
        <f t="array" aca="1" ref="M255" ca="1">IFERROR(INDEX(INDIRECT($B$3&amp;"."&amp;$B$158&amp;".energy["&amp;This.year&amp;"]"),MATCH($C255&amp;M$5,INDIRECT($B$3&amp;"."&amp;$B$158&amp;".energy[Tech description]")&amp;INDIRECT($B$3&amp;"."&amp;$B$158&amp;".energy[Energy description]"),0)),0)</f>
        <v>0</v>
      </c>
      <c r="N255" s="121">
        <f t="array" aca="1" ref="N255" ca="1">IFERROR(INDEX(INDIRECT($B$3&amp;"."&amp;$B$158&amp;".energy["&amp;This.year&amp;"]"),MATCH($C255&amp;N$5,INDIRECT($B$3&amp;"."&amp;$B$158&amp;".energy[Tech description]")&amp;INDIRECT($B$3&amp;"."&amp;$B$158&amp;".energy[Energy description]"),0)),0)</f>
        <v>0</v>
      </c>
      <c r="O255" s="121">
        <f t="array" aca="1" ref="O255" ca="1">IFERROR(INDEX(INDIRECT($B$3&amp;"."&amp;$B$158&amp;".energy["&amp;This.year&amp;"]"),MATCH($C255&amp;O$5,INDIRECT($B$3&amp;"."&amp;$B$158&amp;".energy[Tech description]")&amp;INDIRECT($B$3&amp;"."&amp;$B$158&amp;".energy[Energy description]"),0)),0)</f>
        <v>0</v>
      </c>
      <c r="P255" s="121">
        <f t="array" aca="1" ref="P255" ca="1">IFERROR(INDEX(INDIRECT($B$3&amp;"."&amp;$B$158&amp;".energy["&amp;This.year&amp;"]"),MATCH($C255&amp;P$5,INDIRECT($B$3&amp;"."&amp;$B$158&amp;".energy[Tech description]")&amp;INDIRECT($B$3&amp;"."&amp;$B$158&amp;".energy[Energy description]"),0)),0)</f>
        <v>0</v>
      </c>
      <c r="Q255" s="121">
        <f t="array" aca="1" ref="Q255" ca="1">IFERROR(INDEX(INDIRECT($B$3&amp;"."&amp;$B$158&amp;".energy["&amp;This.year&amp;"]"),MATCH($C255&amp;Q$5,INDIRECT($B$3&amp;"."&amp;$B$158&amp;".energy[Tech description]")&amp;INDIRECT($B$3&amp;"."&amp;$B$158&amp;".energy[Energy description]"),0)),0)</f>
        <v>0</v>
      </c>
      <c r="R255" s="121">
        <f t="array" aca="1" ref="R255" ca="1">IFERROR(INDEX(INDIRECT($B$3&amp;"."&amp;$B$158&amp;".energy["&amp;This.year&amp;"]"),MATCH($C255&amp;R$5,INDIRECT($B$3&amp;"."&amp;$B$158&amp;".energy[Tech description]")&amp;INDIRECT($B$3&amp;"."&amp;$B$158&amp;".energy[Energy description]"),0)),0)</f>
        <v>0</v>
      </c>
      <c r="S255" s="121">
        <f t="array" aca="1" ref="S255" ca="1">IFERROR(INDEX(INDIRECT($B$3&amp;"."&amp;$B$158&amp;".energy["&amp;This.year&amp;"]"),MATCH($C255&amp;S$5,INDIRECT($B$3&amp;"."&amp;$B$158&amp;".energy[Tech description]")&amp;INDIRECT($B$3&amp;"."&amp;$B$158&amp;".energy[Energy description]"),0)),0)</f>
        <v>0</v>
      </c>
      <c r="T255" s="121">
        <f t="shared" ref="T255:T260" ca="1" si="52">SUM(E255:S255)</f>
        <v>14.492680358828368</v>
      </c>
      <c r="U255" s="109"/>
      <c r="V255" s="152">
        <f t="array" aca="1" ref="V255" ca="1">IFERROR(INDEX(INDIRECT($B$3&amp;"."&amp;$B$158&amp;".energy["&amp;This.year&amp;"]"),MATCH($C255&amp;V$5,INDIRECT($B$3&amp;"."&amp;$B$158&amp;".energy[Tech description]")&amp;INDIRECT($B$3&amp;"."&amp;$B$158&amp;".energy[Energy description]"),0)),0)</f>
        <v>-14.492680358828368</v>
      </c>
      <c r="W255" s="152">
        <f t="array" aca="1" ref="W255" ca="1">IFERROR(INDEX(INDIRECT($B$3&amp;"."&amp;$B$158&amp;".energy["&amp;This.year&amp;"]"),MATCH($C255&amp;W$5,INDIRECT($B$3&amp;"."&amp;$B$158&amp;".energy[Tech description]")&amp;INDIRECT($B$3&amp;"."&amp;$B$158&amp;".energy[Energy description]"),0)),0)</f>
        <v>0</v>
      </c>
      <c r="X255" s="152">
        <f t="array" aca="1" ref="X255" ca="1">IFERROR(INDEX(INDIRECT($B$3&amp;"."&amp;$B$158&amp;".energy["&amp;This.year&amp;"]"),MATCH($C255&amp;X$5,INDIRECT($B$3&amp;"."&amp;$B$158&amp;".energy[Tech description]")&amp;INDIRECT($B$3&amp;"."&amp;$B$158&amp;".energy[Energy description]"),0)),0)</f>
        <v>0</v>
      </c>
      <c r="Y255" s="152">
        <f t="array" aca="1" ref="Y255" ca="1">IFERROR(INDEX(INDIRECT($B$3&amp;"."&amp;$B$158&amp;".energy["&amp;This.year&amp;"]"),MATCH($C255&amp;Y$5,INDIRECT($B$3&amp;"."&amp;$B$158&amp;".energy[Tech description]")&amp;INDIRECT($B$3&amp;"."&amp;$B$158&amp;".energy[Energy description]"),0)),0)</f>
        <v>0</v>
      </c>
      <c r="Z255" s="152">
        <f t="array" aca="1" ref="Z255" ca="1">IFERROR(INDEX(INDIRECT($B$3&amp;"."&amp;$B$158&amp;".energy["&amp;This.year&amp;"]"),MATCH($C255&amp;Z$5,INDIRECT($B$3&amp;"."&amp;$B$158&amp;".energy[Tech description]")&amp;INDIRECT($B$3&amp;"."&amp;$B$158&amp;".energy[Energy description]"),0)),0)</f>
        <v>0</v>
      </c>
      <c r="AA255" s="152">
        <f t="array" aca="1" ref="AA255" ca="1">IFERROR(INDEX(INDIRECT($B$3&amp;"."&amp;$B$158&amp;".energy["&amp;This.year&amp;"]"),MATCH($C255&amp;AA$5,INDIRECT($B$3&amp;"."&amp;$B$158&amp;".energy[Tech description]")&amp;INDIRECT($B$3&amp;"."&amp;$B$158&amp;".energy[Energy description]"),0)),0)</f>
        <v>0</v>
      </c>
      <c r="AB255" s="152">
        <f t="array" aca="1" ref="AB255" ca="1">IFERROR(INDEX(INDIRECT($B$3&amp;"."&amp;$B$158&amp;".energy["&amp;This.year&amp;"]"),MATCH($C255&amp;AB$5,INDIRECT($B$3&amp;"."&amp;$B$158&amp;".energy[Tech description]")&amp;INDIRECT($B$3&amp;"."&amp;$B$158&amp;".energy[Energy description]"),0)),0)</f>
        <v>0</v>
      </c>
      <c r="AC255" s="152">
        <f t="array" aca="1" ref="AC255" ca="1">IFERROR(INDEX(INDIRECT($B$3&amp;"."&amp;$B$158&amp;".energy["&amp;This.year&amp;"]"),MATCH($C255&amp;AC$5,INDIRECT($B$3&amp;"."&amp;$B$158&amp;".energy[Tech description]")&amp;INDIRECT($B$3&amp;"."&amp;$B$158&amp;".energy[Energy description]"),0)),0)</f>
        <v>0</v>
      </c>
      <c r="AD255" s="152">
        <f t="array" aca="1" ref="AD255" ca="1">IFERROR(INDEX(INDIRECT($B$3&amp;"."&amp;$B$158&amp;".energy["&amp;This.year&amp;"]"),MATCH($C255&amp;AD$5,INDIRECT($B$3&amp;"."&amp;$B$158&amp;".energy[Tech description]")&amp;INDIRECT($B$3&amp;"."&amp;$B$158&amp;".energy[Energy description]"),0)),0)</f>
        <v>0</v>
      </c>
      <c r="AE255" s="152">
        <f t="array" aca="1" ref="AE255" ca="1">IFERROR(INDEX(INDIRECT($B$3&amp;"."&amp;$B$158&amp;".energy["&amp;This.year&amp;"]"),MATCH($C255&amp;AE$5,INDIRECT($B$3&amp;"."&amp;$B$158&amp;".energy[Tech description]")&amp;INDIRECT($B$3&amp;"."&amp;$B$158&amp;".energy[Energy description]"),0)),0)</f>
        <v>0</v>
      </c>
      <c r="AF255" s="152">
        <f t="array" aca="1" ref="AF255" ca="1">IFERROR(INDEX(INDIRECT($B$3&amp;"."&amp;$B$158&amp;".energy["&amp;This.year&amp;"]"),MATCH($C255&amp;AF$5,INDIRECT($B$3&amp;"."&amp;$B$158&amp;".energy[Tech description]")&amp;INDIRECT($B$3&amp;"."&amp;$B$158&amp;".energy[Energy description]"),0)),0)</f>
        <v>0</v>
      </c>
      <c r="AG255" s="152">
        <f t="array" aca="1" ref="AG255" ca="1">IFERROR(INDEX(INDIRECT($B$3&amp;"."&amp;$B$158&amp;".energy["&amp;This.year&amp;"]"),MATCH($C255&amp;AG$5,INDIRECT($B$3&amp;"."&amp;$B$158&amp;".energy[Tech description]")&amp;INDIRECT($B$3&amp;"."&amp;$B$158&amp;".energy[Energy description]"),0)),0)</f>
        <v>0</v>
      </c>
      <c r="AH255" s="152">
        <f t="array" aca="1" ref="AH255" ca="1">IFERROR(INDEX(INDIRECT($B$3&amp;"."&amp;$B$158&amp;".energy["&amp;This.year&amp;"]"),MATCH($C255&amp;AH$5,INDIRECT($B$3&amp;"."&amp;$B$158&amp;".energy[Tech description]")&amp;INDIRECT($B$3&amp;"."&amp;$B$158&amp;".energy[Energy description]"),0)),0)</f>
        <v>0</v>
      </c>
      <c r="AI255" s="152">
        <f t="array" aca="1" ref="AI255" ca="1">IFERROR(INDEX(INDIRECT($B$3&amp;"."&amp;$B$158&amp;".energy["&amp;This.year&amp;"]"),MATCH($C255&amp;AI$5,INDIRECT($B$3&amp;"."&amp;$B$158&amp;".energy[Tech description]")&amp;INDIRECT($B$3&amp;"."&amp;$B$158&amp;".energy[Energy description]"),0)),0)</f>
        <v>0</v>
      </c>
      <c r="AJ255" s="152">
        <f t="array" aca="1" ref="AJ255" ca="1">IFERROR(INDEX(INDIRECT($B$3&amp;"."&amp;$B$158&amp;".energy["&amp;This.year&amp;"]"),MATCH($C255&amp;AJ$5,INDIRECT($B$3&amp;"."&amp;$B$158&amp;".energy[Tech description]")&amp;INDIRECT($B$3&amp;"."&amp;$B$158&amp;".energy[Energy description]"),0)),0)</f>
        <v>0</v>
      </c>
      <c r="AK255" s="152">
        <f t="array" aca="1" ref="AK255" ca="1">IFERROR(INDEX(INDIRECT($B$3&amp;"."&amp;$B$158&amp;".energy["&amp;This.year&amp;"]"),MATCH($C255&amp;AK$5,INDIRECT($B$3&amp;"."&amp;$B$158&amp;".energy[Tech description]")&amp;INDIRECT($B$3&amp;"."&amp;$B$158&amp;".energy[Energy description]"),0)),0)</f>
        <v>0</v>
      </c>
      <c r="AL255" s="152">
        <f t="array" aca="1" ref="AL255" ca="1">IFERROR(INDEX(INDIRECT($B$3&amp;"."&amp;$B$158&amp;".energy["&amp;This.year&amp;"]"),MATCH($C255&amp;AL$5,INDIRECT($B$3&amp;"."&amp;$B$158&amp;".energy[Tech description]")&amp;INDIRECT($B$3&amp;"."&amp;$B$158&amp;".energy[Energy description]"),0)),0)</f>
        <v>0</v>
      </c>
      <c r="AM255" s="152">
        <f t="array" aca="1" ref="AM255" ca="1">IFERROR(INDEX(INDIRECT($B$3&amp;"."&amp;$B$158&amp;".energy["&amp;This.year&amp;"]"),MATCH($C255&amp;AM$5,INDIRECT($B$3&amp;"."&amp;$B$158&amp;".energy[Tech description]")&amp;INDIRECT($B$3&amp;"."&amp;$B$158&amp;".energy[Energy description]"),0)),0)</f>
        <v>0</v>
      </c>
      <c r="AN255" s="152">
        <f t="array" aca="1" ref="AN255" ca="1">IFERROR(INDEX(INDIRECT($B$3&amp;"."&amp;$B$158&amp;".energy["&amp;This.year&amp;"]"),MATCH($C255&amp;AN$5,INDIRECT($B$3&amp;"."&amp;$B$158&amp;".energy[Tech description]")&amp;INDIRECT($B$3&amp;"."&amp;$B$158&amp;".energy[Energy description]"),0)),0)</f>
        <v>0</v>
      </c>
      <c r="AO255" s="152">
        <f t="shared" ref="AO255:AO260" ca="1" si="53">SUM(V255:AN255)</f>
        <v>-14.492680358828368</v>
      </c>
      <c r="AP255" s="108"/>
      <c r="AQ255" s="21">
        <f t="array" aca="1" ref="AQ255" ca="1">IFERROR(INDEX(INDIRECT($B$3&amp;"."&amp;$B$158&amp;".energy["&amp;This.year&amp;"]"),MATCH($C255&amp;AQ$5,INDIRECT($B$3&amp;"."&amp;$B$158&amp;".energy[Tech description]")&amp;INDIRECT($B$3&amp;"."&amp;$B$158&amp;".energy[Energy description]"),0)),0)</f>
        <v>0</v>
      </c>
      <c r="AR255" s="21">
        <f t="array" aca="1" ref="AR255" ca="1">IFERROR(INDEX(INDIRECT($B$3&amp;"."&amp;$B$158&amp;".energy["&amp;This.year&amp;"]"),MATCH($C255&amp;AR$5,INDIRECT($B$3&amp;"."&amp;$B$158&amp;".energy[Tech description]")&amp;INDIRECT($B$3&amp;"."&amp;$B$158&amp;".energy[Energy description]"),0)),0)</f>
        <v>0</v>
      </c>
      <c r="AS255" s="21">
        <f t="array" aca="1" ref="AS255" ca="1">IFERROR(INDEX(INDIRECT($B$3&amp;"."&amp;$B$158&amp;".energy["&amp;This.year&amp;"]"),MATCH($C255&amp;AS$5,INDIRECT($B$3&amp;"."&amp;$B$158&amp;".energy[Tech description]")&amp;INDIRECT($B$3&amp;"."&amp;$B$158&amp;".energy[Energy description]"),0)),0)</f>
        <v>0</v>
      </c>
      <c r="AT255" s="21">
        <f t="array" aca="1" ref="AT255" ca="1">IFERROR(INDEX(INDIRECT($B$3&amp;"."&amp;$B$158&amp;".energy["&amp;This.year&amp;"]"),MATCH($C255&amp;AT$5,INDIRECT($B$3&amp;"."&amp;$B$158&amp;".energy[Tech description]")&amp;INDIRECT($B$3&amp;"."&amp;$B$158&amp;".energy[Energy description]"),0)),0)</f>
        <v>0</v>
      </c>
      <c r="AU255" s="21">
        <f t="array" aca="1" ref="AU255" ca="1">IFERROR(INDEX(INDIRECT($B$3&amp;"."&amp;$B$158&amp;".energy["&amp;This.year&amp;"]"),MATCH($C255&amp;AU$5,INDIRECT($B$3&amp;"."&amp;$B$158&amp;".energy[Tech description]")&amp;INDIRECT($B$3&amp;"."&amp;$B$158&amp;".energy[Energy description]"),0)),0)</f>
        <v>0</v>
      </c>
      <c r="AV255" s="21">
        <f t="array" aca="1" ref="AV255" ca="1">IFERROR(INDEX(INDIRECT($B$3&amp;"."&amp;$B$158&amp;".energy["&amp;This.year&amp;"]"),MATCH($C255&amp;AV$5,INDIRECT($B$3&amp;"."&amp;$B$158&amp;".energy[Tech description]")&amp;INDIRECT($B$3&amp;"."&amp;$B$158&amp;".energy[Energy description]"),0)),0)</f>
        <v>0</v>
      </c>
      <c r="AW255" s="21">
        <f t="array" aca="1" ref="AW255" ca="1">IFERROR(INDEX(INDIRECT($B$3&amp;"."&amp;$B$158&amp;".energy["&amp;This.year&amp;"]"),MATCH($C255&amp;AW$5,INDIRECT($B$3&amp;"."&amp;$B$158&amp;".energy[Tech description]")&amp;INDIRECT($B$3&amp;"."&amp;$B$158&amp;".energy[Energy description]"),0)),0)</f>
        <v>0</v>
      </c>
      <c r="AX255" s="21">
        <f t="array" aca="1" ref="AX255" ca="1">IFERROR(INDEX(INDIRECT($B$3&amp;"."&amp;$B$158&amp;".energy["&amp;This.year&amp;"]"),MATCH($C255&amp;AX$5,INDIRECT($B$3&amp;"."&amp;$B$158&amp;".energy[Tech description]")&amp;INDIRECT($B$3&amp;"."&amp;$B$158&amp;".energy[Energy description]"),0)),0)</f>
        <v>0</v>
      </c>
      <c r="AY255" s="21">
        <f t="array" aca="1" ref="AY255" ca="1">IFERROR(INDEX(INDIRECT($B$3&amp;"."&amp;$B$158&amp;".energy["&amp;This.year&amp;"]"),MATCH($C255&amp;AY$5,INDIRECT($B$3&amp;"."&amp;$B$158&amp;".energy[Tech description]")&amp;INDIRECT($B$3&amp;"."&amp;$B$158&amp;".energy[Energy description]"),0)),0)</f>
        <v>0</v>
      </c>
      <c r="AZ255" s="21">
        <f t="array" aca="1" ref="AZ255" ca="1">IFERROR(INDEX(INDIRECT($B$3&amp;"."&amp;$B$158&amp;".energy["&amp;This.year&amp;"]"),MATCH($C255&amp;AZ$5,INDIRECT($B$3&amp;"."&amp;$B$158&amp;".energy[Tech description]")&amp;INDIRECT($B$3&amp;"."&amp;$B$158&amp;".energy[Energy description]"),0)),0)</f>
        <v>0</v>
      </c>
      <c r="BA255" s="21">
        <f t="array" aca="1" ref="BA255" ca="1">IFERROR(INDEX(INDIRECT($B$3&amp;"."&amp;$B$158&amp;".energy["&amp;This.year&amp;"]"),MATCH($C255&amp;BA$5,INDIRECT($B$3&amp;"."&amp;$B$158&amp;".energy[Tech description]")&amp;INDIRECT($B$3&amp;"."&amp;$B$158&amp;".energy[Energy description]"),0)),0)</f>
        <v>0</v>
      </c>
      <c r="BB255" s="21">
        <f t="array" aca="1" ref="BB255" ca="1">IFERROR(INDEX(INDIRECT($B$3&amp;"."&amp;$B$158&amp;".energy["&amp;This.year&amp;"]"),MATCH($C255&amp;BB$5,INDIRECT($B$3&amp;"."&amp;$B$158&amp;".energy[Tech description]")&amp;INDIRECT($B$3&amp;"."&amp;$B$158&amp;".energy[Energy description]"),0)),0)</f>
        <v>0</v>
      </c>
      <c r="BC255" s="21">
        <f t="array" aca="1" ref="BC255" ca="1">IFERROR(INDEX(INDIRECT($B$3&amp;"."&amp;$B$158&amp;".energy["&amp;This.year&amp;"]"),MATCH($C255&amp;BC$5,INDIRECT($B$3&amp;"."&amp;$B$158&amp;".energy[Tech description]")&amp;INDIRECT($B$3&amp;"."&amp;$B$158&amp;".energy[Energy description]"),0)),0)</f>
        <v>0</v>
      </c>
      <c r="BD255" s="21">
        <f t="shared" ref="BD255:BD260" ca="1" si="54">SUM(AQ255:BC255)</f>
        <v>0</v>
      </c>
      <c r="BE255" s="108"/>
      <c r="BF255" s="49">
        <f t="array" aca="1" ref="BF255" ca="1">IFERROR(INDEX(INDIRECT($B$3&amp;"."&amp;$B$158&amp;".energy["&amp;This.year&amp;"]"),MATCH($C255&amp;BF$5,INDIRECT($B$3&amp;"."&amp;$B$158&amp;".energy[Tech description]")&amp;INDIRECT($B$3&amp;"."&amp;$B$158&amp;".energy[Energy description]"),0)),0)</f>
        <v>0</v>
      </c>
      <c r="BG255" s="49">
        <f t="array" aca="1" ref="BG255" ca="1">IFERROR(INDEX(INDIRECT($B$3&amp;"."&amp;$B$158&amp;".energy["&amp;This.year&amp;"]"),MATCH($C255&amp;BG$5,INDIRECT($B$3&amp;"."&amp;$B$158&amp;".energy[Tech description]")&amp;INDIRECT($B$3&amp;"."&amp;$B$158&amp;".energy[Energy description]"),0)),0)</f>
        <v>0</v>
      </c>
      <c r="BH255" s="49">
        <f t="shared" ref="BH255:BH260" ca="1" si="55">SUM(BF255:BG255)</f>
        <v>0</v>
      </c>
      <c r="BI255" s="219">
        <f t="shared" ca="1" si="51"/>
        <v>0</v>
      </c>
      <c r="BJ255" s="108"/>
    </row>
    <row r="256" spans="1:62" s="54" customFormat="1">
      <c r="A256" s="133"/>
      <c r="B256" s="176" t="s">
        <v>1865</v>
      </c>
      <c r="C256" s="114" t="str">
        <f>INDEX(Regional.Technologies[Description],MATCH($B$3&amp;"."&amp;B256,Regional.Technologies[Code],0))</f>
        <v>Global Coal use in the Other industries technology</v>
      </c>
      <c r="E256" s="121">
        <f t="array" aca="1" ref="E256" ca="1">IFERROR(INDEX(INDIRECT($B$3&amp;"."&amp;$B$158&amp;".energy["&amp;This.year&amp;"]"),MATCH($C256&amp;E$5,INDIRECT($B$3&amp;"."&amp;$B$158&amp;".energy[Tech description]")&amp;INDIRECT($B$3&amp;"."&amp;$B$158&amp;".energy[Energy description]"),0)),0)</f>
        <v>0</v>
      </c>
      <c r="F256" s="121">
        <f t="array" aca="1" ref="F256" ca="1">IFERROR(INDEX(INDIRECT($B$3&amp;"."&amp;$B$158&amp;".energy["&amp;This.year&amp;"]"),MATCH($C256&amp;F$5,INDIRECT($B$3&amp;"."&amp;$B$158&amp;".energy[Tech description]")&amp;INDIRECT($B$3&amp;"."&amp;$B$158&amp;".energy[Energy description]"),0)),0)</f>
        <v>0</v>
      </c>
      <c r="G256" s="121">
        <f t="array" aca="1" ref="G256" ca="1">IFERROR(INDEX(INDIRECT($B$3&amp;"."&amp;$B$158&amp;".energy["&amp;This.year&amp;"]"),MATCH($C256&amp;G$5,INDIRECT($B$3&amp;"."&amp;$B$158&amp;".energy[Tech description]")&amp;INDIRECT($B$3&amp;"."&amp;$B$158&amp;".energy[Energy description]"),0)),0)</f>
        <v>0</v>
      </c>
      <c r="H256" s="121">
        <f t="array" aca="1" ref="H256" ca="1">IFERROR(INDEX(INDIRECT($B$3&amp;"."&amp;$B$158&amp;".energy["&amp;This.year&amp;"]"),MATCH($C256&amp;H$5,INDIRECT($B$3&amp;"."&amp;$B$158&amp;".energy[Tech description]")&amp;INDIRECT($B$3&amp;"."&amp;$B$158&amp;".energy[Energy description]"),0)),0)</f>
        <v>0</v>
      </c>
      <c r="I256" s="121">
        <f t="array" aca="1" ref="I256" ca="1">IFERROR(INDEX(INDIRECT($B$3&amp;"."&amp;$B$158&amp;".energy["&amp;This.year&amp;"]"),MATCH($C256&amp;I$5,INDIRECT($B$3&amp;"."&amp;$B$158&amp;".energy[Tech description]")&amp;INDIRECT($B$3&amp;"."&amp;$B$158&amp;".energy[Energy description]"),0)),0)</f>
        <v>0</v>
      </c>
      <c r="J256" s="121">
        <f t="array" aca="1" ref="J256" ca="1">IFERROR(INDEX(INDIRECT($B$3&amp;"."&amp;$B$158&amp;".energy["&amp;This.year&amp;"]"),MATCH($C256&amp;J$5,INDIRECT($B$3&amp;"."&amp;$B$158&amp;".energy[Tech description]")&amp;INDIRECT($B$3&amp;"."&amp;$B$158&amp;".energy[Energy description]"),0)),0)</f>
        <v>7.1683560026671529</v>
      </c>
      <c r="K256" s="121">
        <f t="array" aca="1" ref="K256" ca="1">IFERROR(INDEX(INDIRECT($B$3&amp;"."&amp;$B$158&amp;".energy["&amp;This.year&amp;"]"),MATCH($C256&amp;K$5,INDIRECT($B$3&amp;"."&amp;$B$158&amp;".energy[Tech description]")&amp;INDIRECT($B$3&amp;"."&amp;$B$158&amp;".energy[Energy description]"),0)),0)</f>
        <v>0</v>
      </c>
      <c r="L256" s="121">
        <f t="array" aca="1" ref="L256" ca="1">IFERROR(INDEX(INDIRECT($B$3&amp;"."&amp;$B$158&amp;".energy["&amp;This.year&amp;"]"),MATCH($C256&amp;L$5,INDIRECT($B$3&amp;"."&amp;$B$158&amp;".energy[Tech description]")&amp;INDIRECT($B$3&amp;"."&amp;$B$158&amp;".energy[Energy description]"),0)),0)</f>
        <v>0</v>
      </c>
      <c r="M256" s="121">
        <f t="array" aca="1" ref="M256" ca="1">IFERROR(INDEX(INDIRECT($B$3&amp;"."&amp;$B$158&amp;".energy["&amp;This.year&amp;"]"),MATCH($C256&amp;M$5,INDIRECT($B$3&amp;"."&amp;$B$158&amp;".energy[Tech description]")&amp;INDIRECT($B$3&amp;"."&amp;$B$158&amp;".energy[Energy description]"),0)),0)</f>
        <v>0</v>
      </c>
      <c r="N256" s="121">
        <f t="array" aca="1" ref="N256" ca="1">IFERROR(INDEX(INDIRECT($B$3&amp;"."&amp;$B$158&amp;".energy["&amp;This.year&amp;"]"),MATCH($C256&amp;N$5,INDIRECT($B$3&amp;"."&amp;$B$158&amp;".energy[Tech description]")&amp;INDIRECT($B$3&amp;"."&amp;$B$158&amp;".energy[Energy description]"),0)),0)</f>
        <v>0</v>
      </c>
      <c r="O256" s="121">
        <f t="array" aca="1" ref="O256" ca="1">IFERROR(INDEX(INDIRECT($B$3&amp;"."&amp;$B$158&amp;".energy["&amp;This.year&amp;"]"),MATCH($C256&amp;O$5,INDIRECT($B$3&amp;"."&amp;$B$158&amp;".energy[Tech description]")&amp;INDIRECT($B$3&amp;"."&amp;$B$158&amp;".energy[Energy description]"),0)),0)</f>
        <v>0</v>
      </c>
      <c r="P256" s="121">
        <f t="array" aca="1" ref="P256" ca="1">IFERROR(INDEX(INDIRECT($B$3&amp;"."&amp;$B$158&amp;".energy["&amp;This.year&amp;"]"),MATCH($C256&amp;P$5,INDIRECT($B$3&amp;"."&amp;$B$158&amp;".energy[Tech description]")&amp;INDIRECT($B$3&amp;"."&amp;$B$158&amp;".energy[Energy description]"),0)),0)</f>
        <v>0</v>
      </c>
      <c r="Q256" s="121">
        <f t="array" aca="1" ref="Q256" ca="1">IFERROR(INDEX(INDIRECT($B$3&amp;"."&amp;$B$158&amp;".energy["&amp;This.year&amp;"]"),MATCH($C256&amp;Q$5,INDIRECT($B$3&amp;"."&amp;$B$158&amp;".energy[Tech description]")&amp;INDIRECT($B$3&amp;"."&amp;$B$158&amp;".energy[Energy description]"),0)),0)</f>
        <v>0</v>
      </c>
      <c r="R256" s="121">
        <f t="array" aca="1" ref="R256" ca="1">IFERROR(INDEX(INDIRECT($B$3&amp;"."&amp;$B$158&amp;".energy["&amp;This.year&amp;"]"),MATCH($C256&amp;R$5,INDIRECT($B$3&amp;"."&amp;$B$158&amp;".energy[Tech description]")&amp;INDIRECT($B$3&amp;"."&amp;$B$158&amp;".energy[Energy description]"),0)),0)</f>
        <v>0</v>
      </c>
      <c r="S256" s="121">
        <f t="array" aca="1" ref="S256" ca="1">IFERROR(INDEX(INDIRECT($B$3&amp;"."&amp;$B$158&amp;".energy["&amp;This.year&amp;"]"),MATCH($C256&amp;S$5,INDIRECT($B$3&amp;"."&amp;$B$158&amp;".energy[Tech description]")&amp;INDIRECT($B$3&amp;"."&amp;$B$158&amp;".energy[Energy description]"),0)),0)</f>
        <v>0</v>
      </c>
      <c r="T256" s="121">
        <f t="shared" ca="1" si="52"/>
        <v>7.1683560026671529</v>
      </c>
      <c r="U256" s="109"/>
      <c r="V256" s="152">
        <f t="array" aca="1" ref="V256" ca="1">IFERROR(INDEX(INDIRECT($B$3&amp;"."&amp;$B$158&amp;".energy["&amp;This.year&amp;"]"),MATCH($C256&amp;V$5,INDIRECT($B$3&amp;"."&amp;$B$158&amp;".energy[Tech description]")&amp;INDIRECT($B$3&amp;"."&amp;$B$158&amp;".energy[Energy description]"),0)),0)</f>
        <v>0</v>
      </c>
      <c r="W256" s="152">
        <f t="array" aca="1" ref="W256" ca="1">IFERROR(INDEX(INDIRECT($B$3&amp;"."&amp;$B$158&amp;".energy["&amp;This.year&amp;"]"),MATCH($C256&amp;W$5,INDIRECT($B$3&amp;"."&amp;$B$158&amp;".energy[Tech description]")&amp;INDIRECT($B$3&amp;"."&amp;$B$158&amp;".energy[Energy description]"),0)),0)</f>
        <v>0</v>
      </c>
      <c r="X256" s="152">
        <f t="array" aca="1" ref="X256" ca="1">IFERROR(INDEX(INDIRECT($B$3&amp;"."&amp;$B$158&amp;".energy["&amp;This.year&amp;"]"),MATCH($C256&amp;X$5,INDIRECT($B$3&amp;"."&amp;$B$158&amp;".energy[Tech description]")&amp;INDIRECT($B$3&amp;"."&amp;$B$158&amp;".energy[Energy description]"),0)),0)</f>
        <v>0</v>
      </c>
      <c r="Y256" s="152">
        <f t="array" aca="1" ref="Y256" ca="1">IFERROR(INDEX(INDIRECT($B$3&amp;"."&amp;$B$158&amp;".energy["&amp;This.year&amp;"]"),MATCH($C256&amp;Y$5,INDIRECT($B$3&amp;"."&amp;$B$158&amp;".energy[Tech description]")&amp;INDIRECT($B$3&amp;"."&amp;$B$158&amp;".energy[Energy description]"),0)),0)</f>
        <v>0</v>
      </c>
      <c r="Z256" s="152">
        <f t="array" aca="1" ref="Z256" ca="1">IFERROR(INDEX(INDIRECT($B$3&amp;"."&amp;$B$158&amp;".energy["&amp;This.year&amp;"]"),MATCH($C256&amp;Z$5,INDIRECT($B$3&amp;"."&amp;$B$158&amp;".energy[Tech description]")&amp;INDIRECT($B$3&amp;"."&amp;$B$158&amp;".energy[Energy description]"),0)),0)</f>
        <v>0</v>
      </c>
      <c r="AA256" s="152">
        <f t="array" aca="1" ref="AA256" ca="1">IFERROR(INDEX(INDIRECT($B$3&amp;"."&amp;$B$158&amp;".energy["&amp;This.year&amp;"]"),MATCH($C256&amp;AA$5,INDIRECT($B$3&amp;"."&amp;$B$158&amp;".energy[Tech description]")&amp;INDIRECT($B$3&amp;"."&amp;$B$158&amp;".energy[Energy description]"),0)),0)</f>
        <v>-7.1683560026671529</v>
      </c>
      <c r="AB256" s="152">
        <f t="array" aca="1" ref="AB256" ca="1">IFERROR(INDEX(INDIRECT($B$3&amp;"."&amp;$B$158&amp;".energy["&amp;This.year&amp;"]"),MATCH($C256&amp;AB$5,INDIRECT($B$3&amp;"."&amp;$B$158&amp;".energy[Tech description]")&amp;INDIRECT($B$3&amp;"."&amp;$B$158&amp;".energy[Energy description]"),0)),0)</f>
        <v>0</v>
      </c>
      <c r="AC256" s="152">
        <f t="array" aca="1" ref="AC256" ca="1">IFERROR(INDEX(INDIRECT($B$3&amp;"."&amp;$B$158&amp;".energy["&amp;This.year&amp;"]"),MATCH($C256&amp;AC$5,INDIRECT($B$3&amp;"."&amp;$B$158&amp;".energy[Tech description]")&amp;INDIRECT($B$3&amp;"."&amp;$B$158&amp;".energy[Energy description]"),0)),0)</f>
        <v>0</v>
      </c>
      <c r="AD256" s="152">
        <f t="array" aca="1" ref="AD256" ca="1">IFERROR(INDEX(INDIRECT($B$3&amp;"."&amp;$B$158&amp;".energy["&amp;This.year&amp;"]"),MATCH($C256&amp;AD$5,INDIRECT($B$3&amp;"."&amp;$B$158&amp;".energy[Tech description]")&amp;INDIRECT($B$3&amp;"."&amp;$B$158&amp;".energy[Energy description]"),0)),0)</f>
        <v>0</v>
      </c>
      <c r="AE256" s="152">
        <f t="array" aca="1" ref="AE256" ca="1">IFERROR(INDEX(INDIRECT($B$3&amp;"."&amp;$B$158&amp;".energy["&amp;This.year&amp;"]"),MATCH($C256&amp;AE$5,INDIRECT($B$3&amp;"."&amp;$B$158&amp;".energy[Tech description]")&amp;INDIRECT($B$3&amp;"."&amp;$B$158&amp;".energy[Energy description]"),0)),0)</f>
        <v>0</v>
      </c>
      <c r="AF256" s="152">
        <f t="array" aca="1" ref="AF256" ca="1">IFERROR(INDEX(INDIRECT($B$3&amp;"."&amp;$B$158&amp;".energy["&amp;This.year&amp;"]"),MATCH($C256&amp;AF$5,INDIRECT($B$3&amp;"."&amp;$B$158&amp;".energy[Tech description]")&amp;INDIRECT($B$3&amp;"."&amp;$B$158&amp;".energy[Energy description]"),0)),0)</f>
        <v>0</v>
      </c>
      <c r="AG256" s="152">
        <f t="array" aca="1" ref="AG256" ca="1">IFERROR(INDEX(INDIRECT($B$3&amp;"."&amp;$B$158&amp;".energy["&amp;This.year&amp;"]"),MATCH($C256&amp;AG$5,INDIRECT($B$3&amp;"."&amp;$B$158&amp;".energy[Tech description]")&amp;INDIRECT($B$3&amp;"."&amp;$B$158&amp;".energy[Energy description]"),0)),0)</f>
        <v>0</v>
      </c>
      <c r="AH256" s="152">
        <f t="array" aca="1" ref="AH256" ca="1">IFERROR(INDEX(INDIRECT($B$3&amp;"."&amp;$B$158&amp;".energy["&amp;This.year&amp;"]"),MATCH($C256&amp;AH$5,INDIRECT($B$3&amp;"."&amp;$B$158&amp;".energy[Tech description]")&amp;INDIRECT($B$3&amp;"."&amp;$B$158&amp;".energy[Energy description]"),0)),0)</f>
        <v>0</v>
      </c>
      <c r="AI256" s="152">
        <f t="array" aca="1" ref="AI256" ca="1">IFERROR(INDEX(INDIRECT($B$3&amp;"."&amp;$B$158&amp;".energy["&amp;This.year&amp;"]"),MATCH($C256&amp;AI$5,INDIRECT($B$3&amp;"."&amp;$B$158&amp;".energy[Tech description]")&amp;INDIRECT($B$3&amp;"."&amp;$B$158&amp;".energy[Energy description]"),0)),0)</f>
        <v>0</v>
      </c>
      <c r="AJ256" s="152">
        <f t="array" aca="1" ref="AJ256" ca="1">IFERROR(INDEX(INDIRECT($B$3&amp;"."&amp;$B$158&amp;".energy["&amp;This.year&amp;"]"),MATCH($C256&amp;AJ$5,INDIRECT($B$3&amp;"."&amp;$B$158&amp;".energy[Tech description]")&amp;INDIRECT($B$3&amp;"."&amp;$B$158&amp;".energy[Energy description]"),0)),0)</f>
        <v>0</v>
      </c>
      <c r="AK256" s="152">
        <f t="array" aca="1" ref="AK256" ca="1">IFERROR(INDEX(INDIRECT($B$3&amp;"."&amp;$B$158&amp;".energy["&amp;This.year&amp;"]"),MATCH($C256&amp;AK$5,INDIRECT($B$3&amp;"."&amp;$B$158&amp;".energy[Tech description]")&amp;INDIRECT($B$3&amp;"."&amp;$B$158&amp;".energy[Energy description]"),0)),0)</f>
        <v>0</v>
      </c>
      <c r="AL256" s="152">
        <f t="array" aca="1" ref="AL256" ca="1">IFERROR(INDEX(INDIRECT($B$3&amp;"."&amp;$B$158&amp;".energy["&amp;This.year&amp;"]"),MATCH($C256&amp;AL$5,INDIRECT($B$3&amp;"."&amp;$B$158&amp;".energy[Tech description]")&amp;INDIRECT($B$3&amp;"."&amp;$B$158&amp;".energy[Energy description]"),0)),0)</f>
        <v>0</v>
      </c>
      <c r="AM256" s="152">
        <f t="array" aca="1" ref="AM256" ca="1">IFERROR(INDEX(INDIRECT($B$3&amp;"."&amp;$B$158&amp;".energy["&amp;This.year&amp;"]"),MATCH($C256&amp;AM$5,INDIRECT($B$3&amp;"."&amp;$B$158&amp;".energy[Tech description]")&amp;INDIRECT($B$3&amp;"."&amp;$B$158&amp;".energy[Energy description]"),0)),0)</f>
        <v>0</v>
      </c>
      <c r="AN256" s="152">
        <f t="array" aca="1" ref="AN256" ca="1">IFERROR(INDEX(INDIRECT($B$3&amp;"."&amp;$B$158&amp;".energy["&amp;This.year&amp;"]"),MATCH($C256&amp;AN$5,INDIRECT($B$3&amp;"."&amp;$B$158&amp;".energy[Tech description]")&amp;INDIRECT($B$3&amp;"."&amp;$B$158&amp;".energy[Energy description]"),0)),0)</f>
        <v>0</v>
      </c>
      <c r="AO256" s="152">
        <f t="shared" ca="1" si="53"/>
        <v>-7.1683560026671529</v>
      </c>
      <c r="AP256" s="108"/>
      <c r="AQ256" s="21">
        <f t="array" aca="1" ref="AQ256" ca="1">IFERROR(INDEX(INDIRECT($B$3&amp;"."&amp;$B$158&amp;".energy["&amp;This.year&amp;"]"),MATCH($C256&amp;AQ$5,INDIRECT($B$3&amp;"."&amp;$B$158&amp;".energy[Tech description]")&amp;INDIRECT($B$3&amp;"."&amp;$B$158&amp;".energy[Energy description]"),0)),0)</f>
        <v>0</v>
      </c>
      <c r="AR256" s="21">
        <f t="array" aca="1" ref="AR256" ca="1">IFERROR(INDEX(INDIRECT($B$3&amp;"."&amp;$B$158&amp;".energy["&amp;This.year&amp;"]"),MATCH($C256&amp;AR$5,INDIRECT($B$3&amp;"."&amp;$B$158&amp;".energy[Tech description]")&amp;INDIRECT($B$3&amp;"."&amp;$B$158&amp;".energy[Energy description]"),0)),0)</f>
        <v>0</v>
      </c>
      <c r="AS256" s="21">
        <f t="array" aca="1" ref="AS256" ca="1">IFERROR(INDEX(INDIRECT($B$3&amp;"."&amp;$B$158&amp;".energy["&amp;This.year&amp;"]"),MATCH($C256&amp;AS$5,INDIRECT($B$3&amp;"."&amp;$B$158&amp;".energy[Tech description]")&amp;INDIRECT($B$3&amp;"."&amp;$B$158&amp;".energy[Energy description]"),0)),0)</f>
        <v>0</v>
      </c>
      <c r="AT256" s="21">
        <f t="array" aca="1" ref="AT256" ca="1">IFERROR(INDEX(INDIRECT($B$3&amp;"."&amp;$B$158&amp;".energy["&amp;This.year&amp;"]"),MATCH($C256&amp;AT$5,INDIRECT($B$3&amp;"."&amp;$B$158&amp;".energy[Tech description]")&amp;INDIRECT($B$3&amp;"."&amp;$B$158&amp;".energy[Energy description]"),0)),0)</f>
        <v>0</v>
      </c>
      <c r="AU256" s="21">
        <f t="array" aca="1" ref="AU256" ca="1">IFERROR(INDEX(INDIRECT($B$3&amp;"."&amp;$B$158&amp;".energy["&amp;This.year&amp;"]"),MATCH($C256&amp;AU$5,INDIRECT($B$3&amp;"."&amp;$B$158&amp;".energy[Tech description]")&amp;INDIRECT($B$3&amp;"."&amp;$B$158&amp;".energy[Energy description]"),0)),0)</f>
        <v>0</v>
      </c>
      <c r="AV256" s="21">
        <f t="array" aca="1" ref="AV256" ca="1">IFERROR(INDEX(INDIRECT($B$3&amp;"."&amp;$B$158&amp;".energy["&amp;This.year&amp;"]"),MATCH($C256&amp;AV$5,INDIRECT($B$3&amp;"."&amp;$B$158&amp;".energy[Tech description]")&amp;INDIRECT($B$3&amp;"."&amp;$B$158&amp;".energy[Energy description]"),0)),0)</f>
        <v>0</v>
      </c>
      <c r="AW256" s="21">
        <f t="array" aca="1" ref="AW256" ca="1">IFERROR(INDEX(INDIRECT($B$3&amp;"."&amp;$B$158&amp;".energy["&amp;This.year&amp;"]"),MATCH($C256&amp;AW$5,INDIRECT($B$3&amp;"."&amp;$B$158&amp;".energy[Tech description]")&amp;INDIRECT($B$3&amp;"."&amp;$B$158&amp;".energy[Energy description]"),0)),0)</f>
        <v>0</v>
      </c>
      <c r="AX256" s="21">
        <f t="array" aca="1" ref="AX256" ca="1">IFERROR(INDEX(INDIRECT($B$3&amp;"."&amp;$B$158&amp;".energy["&amp;This.year&amp;"]"),MATCH($C256&amp;AX$5,INDIRECT($B$3&amp;"."&amp;$B$158&amp;".energy[Tech description]")&amp;INDIRECT($B$3&amp;"."&amp;$B$158&amp;".energy[Energy description]"),0)),0)</f>
        <v>0</v>
      </c>
      <c r="AY256" s="21">
        <f t="array" aca="1" ref="AY256" ca="1">IFERROR(INDEX(INDIRECT($B$3&amp;"."&amp;$B$158&amp;".energy["&amp;This.year&amp;"]"),MATCH($C256&amp;AY$5,INDIRECT($B$3&amp;"."&amp;$B$158&amp;".energy[Tech description]")&amp;INDIRECT($B$3&amp;"."&amp;$B$158&amp;".energy[Energy description]"),0)),0)</f>
        <v>0</v>
      </c>
      <c r="AZ256" s="21">
        <f t="array" aca="1" ref="AZ256" ca="1">IFERROR(INDEX(INDIRECT($B$3&amp;"."&amp;$B$158&amp;".energy["&amp;This.year&amp;"]"),MATCH($C256&amp;AZ$5,INDIRECT($B$3&amp;"."&amp;$B$158&amp;".energy[Tech description]")&amp;INDIRECT($B$3&amp;"."&amp;$B$158&amp;".energy[Energy description]"),0)),0)</f>
        <v>0</v>
      </c>
      <c r="BA256" s="21">
        <f t="array" aca="1" ref="BA256" ca="1">IFERROR(INDEX(INDIRECT($B$3&amp;"."&amp;$B$158&amp;".energy["&amp;This.year&amp;"]"),MATCH($C256&amp;BA$5,INDIRECT($B$3&amp;"."&amp;$B$158&amp;".energy[Tech description]")&amp;INDIRECT($B$3&amp;"."&amp;$B$158&amp;".energy[Energy description]"),0)),0)</f>
        <v>0</v>
      </c>
      <c r="BB256" s="21">
        <f t="array" aca="1" ref="BB256" ca="1">IFERROR(INDEX(INDIRECT($B$3&amp;"."&amp;$B$158&amp;".energy["&amp;This.year&amp;"]"),MATCH($C256&amp;BB$5,INDIRECT($B$3&amp;"."&amp;$B$158&amp;".energy[Tech description]")&amp;INDIRECT($B$3&amp;"."&amp;$B$158&amp;".energy[Energy description]"),0)),0)</f>
        <v>0</v>
      </c>
      <c r="BC256" s="21">
        <f t="array" aca="1" ref="BC256" ca="1">IFERROR(INDEX(INDIRECT($B$3&amp;"."&amp;$B$158&amp;".energy["&amp;This.year&amp;"]"),MATCH($C256&amp;BC$5,INDIRECT($B$3&amp;"."&amp;$B$158&amp;".energy[Tech description]")&amp;INDIRECT($B$3&amp;"."&amp;$B$158&amp;".energy[Energy description]"),0)),0)</f>
        <v>0</v>
      </c>
      <c r="BD256" s="21">
        <f t="shared" ca="1" si="54"/>
        <v>0</v>
      </c>
      <c r="BE256" s="108"/>
      <c r="BF256" s="49">
        <f t="array" aca="1" ref="BF256" ca="1">IFERROR(INDEX(INDIRECT($B$3&amp;"."&amp;$B$158&amp;".energy["&amp;This.year&amp;"]"),MATCH($C256&amp;BF$5,INDIRECT($B$3&amp;"."&amp;$B$158&amp;".energy[Tech description]")&amp;INDIRECT($B$3&amp;"."&amp;$B$158&amp;".energy[Energy description]"),0)),0)</f>
        <v>0</v>
      </c>
      <c r="BG256" s="49">
        <f t="array" aca="1" ref="BG256" ca="1">IFERROR(INDEX(INDIRECT($B$3&amp;"."&amp;$B$158&amp;".energy["&amp;This.year&amp;"]"),MATCH($C256&amp;BG$5,INDIRECT($B$3&amp;"."&amp;$B$158&amp;".energy[Tech description]")&amp;INDIRECT($B$3&amp;"."&amp;$B$158&amp;".energy[Energy description]"),0)),0)</f>
        <v>0</v>
      </c>
      <c r="BH256" s="49">
        <f t="shared" ca="1" si="55"/>
        <v>0</v>
      </c>
      <c r="BI256" s="219">
        <f t="shared" ca="1" si="51"/>
        <v>0</v>
      </c>
      <c r="BJ256" s="108"/>
    </row>
    <row r="257" spans="1:62" s="54" customFormat="1">
      <c r="A257" s="133"/>
      <c r="B257" s="176" t="s">
        <v>1866</v>
      </c>
      <c r="C257" s="114" t="str">
        <f>INDEX(Regional.Technologies[Description],MATCH($B$3&amp;"."&amp;B257,Regional.Technologies[Code],0))</f>
        <v>Global Oil use in the Other industries technology</v>
      </c>
      <c r="E257" s="121">
        <f t="array" aca="1" ref="E257" ca="1">IFERROR(INDEX(INDIRECT($B$3&amp;"."&amp;$B$158&amp;".energy["&amp;This.year&amp;"]"),MATCH($C257&amp;E$5,INDIRECT($B$3&amp;"."&amp;$B$158&amp;".energy[Tech description]")&amp;INDIRECT($B$3&amp;"."&amp;$B$158&amp;".energy[Energy description]"),0)),0)</f>
        <v>0</v>
      </c>
      <c r="F257" s="121">
        <f t="array" aca="1" ref="F257" ca="1">IFERROR(INDEX(INDIRECT($B$3&amp;"."&amp;$B$158&amp;".energy["&amp;This.year&amp;"]"),MATCH($C257&amp;F$5,INDIRECT($B$3&amp;"."&amp;$B$158&amp;".energy[Tech description]")&amp;INDIRECT($B$3&amp;"."&amp;$B$158&amp;".energy[Energy description]"),0)),0)</f>
        <v>0</v>
      </c>
      <c r="G257" s="121">
        <f t="array" aca="1" ref="G257" ca="1">IFERROR(INDEX(INDIRECT($B$3&amp;"."&amp;$B$158&amp;".energy["&amp;This.year&amp;"]"),MATCH($C257&amp;G$5,INDIRECT($B$3&amp;"."&amp;$B$158&amp;".energy[Tech description]")&amp;INDIRECT($B$3&amp;"."&amp;$B$158&amp;".energy[Energy description]"),0)),0)</f>
        <v>0</v>
      </c>
      <c r="H257" s="121">
        <f t="array" aca="1" ref="H257" ca="1">IFERROR(INDEX(INDIRECT($B$3&amp;"."&amp;$B$158&amp;".energy["&amp;This.year&amp;"]"),MATCH($C257&amp;H$5,INDIRECT($B$3&amp;"."&amp;$B$158&amp;".energy[Tech description]")&amp;INDIRECT($B$3&amp;"."&amp;$B$158&amp;".energy[Energy description]"),0)),0)</f>
        <v>0</v>
      </c>
      <c r="I257" s="121">
        <f t="array" aca="1" ref="I257" ca="1">IFERROR(INDEX(INDIRECT($B$3&amp;"."&amp;$B$158&amp;".energy["&amp;This.year&amp;"]"),MATCH($C257&amp;I$5,INDIRECT($B$3&amp;"."&amp;$B$158&amp;".energy[Tech description]")&amp;INDIRECT($B$3&amp;"."&amp;$B$158&amp;".energy[Energy description]"),0)),0)</f>
        <v>0</v>
      </c>
      <c r="J257" s="121">
        <f t="array" aca="1" ref="J257" ca="1">IFERROR(INDEX(INDIRECT($B$3&amp;"."&amp;$B$158&amp;".energy["&amp;This.year&amp;"]"),MATCH($C257&amp;J$5,INDIRECT($B$3&amp;"."&amp;$B$158&amp;".energy[Tech description]")&amp;INDIRECT($B$3&amp;"."&amp;$B$158&amp;".energy[Energy description]"),0)),0)</f>
        <v>8.9190113729480487</v>
      </c>
      <c r="K257" s="121">
        <f t="array" aca="1" ref="K257" ca="1">IFERROR(INDEX(INDIRECT($B$3&amp;"."&amp;$B$158&amp;".energy["&amp;This.year&amp;"]"),MATCH($C257&amp;K$5,INDIRECT($B$3&amp;"."&amp;$B$158&amp;".energy[Tech description]")&amp;INDIRECT($B$3&amp;"."&amp;$B$158&amp;".energy[Energy description]"),0)),0)</f>
        <v>0</v>
      </c>
      <c r="L257" s="121">
        <f t="array" aca="1" ref="L257" ca="1">IFERROR(INDEX(INDIRECT($B$3&amp;"."&amp;$B$158&amp;".energy["&amp;This.year&amp;"]"),MATCH($C257&amp;L$5,INDIRECT($B$3&amp;"."&amp;$B$158&amp;".energy[Tech description]")&amp;INDIRECT($B$3&amp;"."&amp;$B$158&amp;".energy[Energy description]"),0)),0)</f>
        <v>0</v>
      </c>
      <c r="M257" s="121">
        <f t="array" aca="1" ref="M257" ca="1">IFERROR(INDEX(INDIRECT($B$3&amp;"."&amp;$B$158&amp;".energy["&amp;This.year&amp;"]"),MATCH($C257&amp;M$5,INDIRECT($B$3&amp;"."&amp;$B$158&amp;".energy[Tech description]")&amp;INDIRECT($B$3&amp;"."&amp;$B$158&amp;".energy[Energy description]"),0)),0)</f>
        <v>0</v>
      </c>
      <c r="N257" s="121">
        <f t="array" aca="1" ref="N257" ca="1">IFERROR(INDEX(INDIRECT($B$3&amp;"."&amp;$B$158&amp;".energy["&amp;This.year&amp;"]"),MATCH($C257&amp;N$5,INDIRECT($B$3&amp;"."&amp;$B$158&amp;".energy[Tech description]")&amp;INDIRECT($B$3&amp;"."&amp;$B$158&amp;".energy[Energy description]"),0)),0)</f>
        <v>0</v>
      </c>
      <c r="O257" s="121">
        <f t="array" aca="1" ref="O257" ca="1">IFERROR(INDEX(INDIRECT($B$3&amp;"."&amp;$B$158&amp;".energy["&amp;This.year&amp;"]"),MATCH($C257&amp;O$5,INDIRECT($B$3&amp;"."&amp;$B$158&amp;".energy[Tech description]")&amp;INDIRECT($B$3&amp;"."&amp;$B$158&amp;".energy[Energy description]"),0)),0)</f>
        <v>0</v>
      </c>
      <c r="P257" s="121">
        <f t="array" aca="1" ref="P257" ca="1">IFERROR(INDEX(INDIRECT($B$3&amp;"."&amp;$B$158&amp;".energy["&amp;This.year&amp;"]"),MATCH($C257&amp;P$5,INDIRECT($B$3&amp;"."&amp;$B$158&amp;".energy[Tech description]")&amp;INDIRECT($B$3&amp;"."&amp;$B$158&amp;".energy[Energy description]"),0)),0)</f>
        <v>0</v>
      </c>
      <c r="Q257" s="121">
        <f t="array" aca="1" ref="Q257" ca="1">IFERROR(INDEX(INDIRECT($B$3&amp;"."&amp;$B$158&amp;".energy["&amp;This.year&amp;"]"),MATCH($C257&amp;Q$5,INDIRECT($B$3&amp;"."&amp;$B$158&amp;".energy[Tech description]")&amp;INDIRECT($B$3&amp;"."&amp;$B$158&amp;".energy[Energy description]"),0)),0)</f>
        <v>0</v>
      </c>
      <c r="R257" s="121">
        <f t="array" aca="1" ref="R257" ca="1">IFERROR(INDEX(INDIRECT($B$3&amp;"."&amp;$B$158&amp;".energy["&amp;This.year&amp;"]"),MATCH($C257&amp;R$5,INDIRECT($B$3&amp;"."&amp;$B$158&amp;".energy[Tech description]")&amp;INDIRECT($B$3&amp;"."&amp;$B$158&amp;".energy[Energy description]"),0)),0)</f>
        <v>0</v>
      </c>
      <c r="S257" s="121">
        <f t="array" aca="1" ref="S257" ca="1">IFERROR(INDEX(INDIRECT($B$3&amp;"."&amp;$B$158&amp;".energy["&amp;This.year&amp;"]"),MATCH($C257&amp;S$5,INDIRECT($B$3&amp;"."&amp;$B$158&amp;".energy[Tech description]")&amp;INDIRECT($B$3&amp;"."&amp;$B$158&amp;".energy[Energy description]"),0)),0)</f>
        <v>0</v>
      </c>
      <c r="T257" s="121">
        <f t="shared" ca="1" si="52"/>
        <v>8.9190113729480487</v>
      </c>
      <c r="U257" s="109"/>
      <c r="V257" s="152">
        <f t="array" aca="1" ref="V257" ca="1">IFERROR(INDEX(INDIRECT($B$3&amp;"."&amp;$B$158&amp;".energy["&amp;This.year&amp;"]"),MATCH($C257&amp;V$5,INDIRECT($B$3&amp;"."&amp;$B$158&amp;".energy[Tech description]")&amp;INDIRECT($B$3&amp;"."&amp;$B$158&amp;".energy[Energy description]"),0)),0)</f>
        <v>0</v>
      </c>
      <c r="W257" s="152">
        <f t="array" aca="1" ref="W257" ca="1">IFERROR(INDEX(INDIRECT($B$3&amp;"."&amp;$B$158&amp;".energy["&amp;This.year&amp;"]"),MATCH($C257&amp;W$5,INDIRECT($B$3&amp;"."&amp;$B$158&amp;".energy[Tech description]")&amp;INDIRECT($B$3&amp;"."&amp;$B$158&amp;".energy[Energy description]"),0)),0)</f>
        <v>0</v>
      </c>
      <c r="X257" s="152">
        <f t="array" aca="1" ref="X257" ca="1">IFERROR(INDEX(INDIRECT($B$3&amp;"."&amp;$B$158&amp;".energy["&amp;This.year&amp;"]"),MATCH($C257&amp;X$5,INDIRECT($B$3&amp;"."&amp;$B$158&amp;".energy[Tech description]")&amp;INDIRECT($B$3&amp;"."&amp;$B$158&amp;".energy[Energy description]"),0)),0)</f>
        <v>0</v>
      </c>
      <c r="Y257" s="152">
        <f t="array" aca="1" ref="Y257" ca="1">IFERROR(INDEX(INDIRECT($B$3&amp;"."&amp;$B$158&amp;".energy["&amp;This.year&amp;"]"),MATCH($C257&amp;Y$5,INDIRECT($B$3&amp;"."&amp;$B$158&amp;".energy[Tech description]")&amp;INDIRECT($B$3&amp;"."&amp;$B$158&amp;".energy[Energy description]"),0)),0)</f>
        <v>0</v>
      </c>
      <c r="Z257" s="152">
        <f t="array" aca="1" ref="Z257" ca="1">IFERROR(INDEX(INDIRECT($B$3&amp;"."&amp;$B$158&amp;".energy["&amp;This.year&amp;"]"),MATCH($C257&amp;Z$5,INDIRECT($B$3&amp;"."&amp;$B$158&amp;".energy[Tech description]")&amp;INDIRECT($B$3&amp;"."&amp;$B$158&amp;".energy[Energy description]"),0)),0)</f>
        <v>0</v>
      </c>
      <c r="AA257" s="152">
        <f t="array" aca="1" ref="AA257" ca="1">IFERROR(INDEX(INDIRECT($B$3&amp;"."&amp;$B$158&amp;".energy["&amp;This.year&amp;"]"),MATCH($C257&amp;AA$5,INDIRECT($B$3&amp;"."&amp;$B$158&amp;".energy[Tech description]")&amp;INDIRECT($B$3&amp;"."&amp;$B$158&amp;".energy[Energy description]"),0)),0)</f>
        <v>0</v>
      </c>
      <c r="AB257" s="152">
        <f t="array" aca="1" ref="AB257" ca="1">IFERROR(INDEX(INDIRECT($B$3&amp;"."&amp;$B$158&amp;".energy["&amp;This.year&amp;"]"),MATCH($C257&amp;AB$5,INDIRECT($B$3&amp;"."&amp;$B$158&amp;".energy[Tech description]")&amp;INDIRECT($B$3&amp;"."&amp;$B$158&amp;".energy[Energy description]"),0)),0)</f>
        <v>-8.9190113729480487</v>
      </c>
      <c r="AC257" s="152">
        <f t="array" aca="1" ref="AC257" ca="1">IFERROR(INDEX(INDIRECT($B$3&amp;"."&amp;$B$158&amp;".energy["&amp;This.year&amp;"]"),MATCH($C257&amp;AC$5,INDIRECT($B$3&amp;"."&amp;$B$158&amp;".energy[Tech description]")&amp;INDIRECT($B$3&amp;"."&amp;$B$158&amp;".energy[Energy description]"),0)),0)</f>
        <v>0</v>
      </c>
      <c r="AD257" s="152">
        <f t="array" aca="1" ref="AD257" ca="1">IFERROR(INDEX(INDIRECT($B$3&amp;"."&amp;$B$158&amp;".energy["&amp;This.year&amp;"]"),MATCH($C257&amp;AD$5,INDIRECT($B$3&amp;"."&amp;$B$158&amp;".energy[Tech description]")&amp;INDIRECT($B$3&amp;"."&amp;$B$158&amp;".energy[Energy description]"),0)),0)</f>
        <v>0</v>
      </c>
      <c r="AE257" s="152">
        <f t="array" aca="1" ref="AE257" ca="1">IFERROR(INDEX(INDIRECT($B$3&amp;"."&amp;$B$158&amp;".energy["&amp;This.year&amp;"]"),MATCH($C257&amp;AE$5,INDIRECT($B$3&amp;"."&amp;$B$158&amp;".energy[Tech description]")&amp;INDIRECT($B$3&amp;"."&amp;$B$158&amp;".energy[Energy description]"),0)),0)</f>
        <v>0</v>
      </c>
      <c r="AF257" s="152">
        <f t="array" aca="1" ref="AF257" ca="1">IFERROR(INDEX(INDIRECT($B$3&amp;"."&amp;$B$158&amp;".energy["&amp;This.year&amp;"]"),MATCH($C257&amp;AF$5,INDIRECT($B$3&amp;"."&amp;$B$158&amp;".energy[Tech description]")&amp;INDIRECT($B$3&amp;"."&amp;$B$158&amp;".energy[Energy description]"),0)),0)</f>
        <v>0</v>
      </c>
      <c r="AG257" s="152">
        <f t="array" aca="1" ref="AG257" ca="1">IFERROR(INDEX(INDIRECT($B$3&amp;"."&amp;$B$158&amp;".energy["&amp;This.year&amp;"]"),MATCH($C257&amp;AG$5,INDIRECT($B$3&amp;"."&amp;$B$158&amp;".energy[Tech description]")&amp;INDIRECT($B$3&amp;"."&amp;$B$158&amp;".energy[Energy description]"),0)),0)</f>
        <v>0</v>
      </c>
      <c r="AH257" s="152">
        <f t="array" aca="1" ref="AH257" ca="1">IFERROR(INDEX(INDIRECT($B$3&amp;"."&amp;$B$158&amp;".energy["&amp;This.year&amp;"]"),MATCH($C257&amp;AH$5,INDIRECT($B$3&amp;"."&amp;$B$158&amp;".energy[Tech description]")&amp;INDIRECT($B$3&amp;"."&amp;$B$158&amp;".energy[Energy description]"),0)),0)</f>
        <v>0</v>
      </c>
      <c r="AI257" s="152">
        <f t="array" aca="1" ref="AI257" ca="1">IFERROR(INDEX(INDIRECT($B$3&amp;"."&amp;$B$158&amp;".energy["&amp;This.year&amp;"]"),MATCH($C257&amp;AI$5,INDIRECT($B$3&amp;"."&amp;$B$158&amp;".energy[Tech description]")&amp;INDIRECT($B$3&amp;"."&amp;$B$158&amp;".energy[Energy description]"),0)),0)</f>
        <v>0</v>
      </c>
      <c r="AJ257" s="152">
        <f t="array" aca="1" ref="AJ257" ca="1">IFERROR(INDEX(INDIRECT($B$3&amp;"."&amp;$B$158&amp;".energy["&amp;This.year&amp;"]"),MATCH($C257&amp;AJ$5,INDIRECT($B$3&amp;"."&amp;$B$158&amp;".energy[Tech description]")&amp;INDIRECT($B$3&amp;"."&amp;$B$158&amp;".energy[Energy description]"),0)),0)</f>
        <v>0</v>
      </c>
      <c r="AK257" s="152">
        <f t="array" aca="1" ref="AK257" ca="1">IFERROR(INDEX(INDIRECT($B$3&amp;"."&amp;$B$158&amp;".energy["&amp;This.year&amp;"]"),MATCH($C257&amp;AK$5,INDIRECT($B$3&amp;"."&amp;$B$158&amp;".energy[Tech description]")&amp;INDIRECT($B$3&amp;"."&amp;$B$158&amp;".energy[Energy description]"),0)),0)</f>
        <v>0</v>
      </c>
      <c r="AL257" s="152">
        <f t="array" aca="1" ref="AL257" ca="1">IFERROR(INDEX(INDIRECT($B$3&amp;"."&amp;$B$158&amp;".energy["&amp;This.year&amp;"]"),MATCH($C257&amp;AL$5,INDIRECT($B$3&amp;"."&amp;$B$158&amp;".energy[Tech description]")&amp;INDIRECT($B$3&amp;"."&amp;$B$158&amp;".energy[Energy description]"),0)),0)</f>
        <v>0</v>
      </c>
      <c r="AM257" s="152">
        <f t="array" aca="1" ref="AM257" ca="1">IFERROR(INDEX(INDIRECT($B$3&amp;"."&amp;$B$158&amp;".energy["&amp;This.year&amp;"]"),MATCH($C257&amp;AM$5,INDIRECT($B$3&amp;"."&amp;$B$158&amp;".energy[Tech description]")&amp;INDIRECT($B$3&amp;"."&amp;$B$158&amp;".energy[Energy description]"),0)),0)</f>
        <v>0</v>
      </c>
      <c r="AN257" s="152">
        <f t="array" aca="1" ref="AN257" ca="1">IFERROR(INDEX(INDIRECT($B$3&amp;"."&amp;$B$158&amp;".energy["&amp;This.year&amp;"]"),MATCH($C257&amp;AN$5,INDIRECT($B$3&amp;"."&amp;$B$158&amp;".energy[Tech description]")&amp;INDIRECT($B$3&amp;"."&amp;$B$158&amp;".energy[Energy description]"),0)),0)</f>
        <v>0</v>
      </c>
      <c r="AO257" s="152">
        <f t="shared" ca="1" si="53"/>
        <v>-8.9190113729480487</v>
      </c>
      <c r="AP257" s="108"/>
      <c r="AQ257" s="21">
        <f t="array" aca="1" ref="AQ257" ca="1">IFERROR(INDEX(INDIRECT($B$3&amp;"."&amp;$B$158&amp;".energy["&amp;This.year&amp;"]"),MATCH($C257&amp;AQ$5,INDIRECT($B$3&amp;"."&amp;$B$158&amp;".energy[Tech description]")&amp;INDIRECT($B$3&amp;"."&amp;$B$158&amp;".energy[Energy description]"),0)),0)</f>
        <v>0</v>
      </c>
      <c r="AR257" s="21">
        <f t="array" aca="1" ref="AR257" ca="1">IFERROR(INDEX(INDIRECT($B$3&amp;"."&amp;$B$158&amp;".energy["&amp;This.year&amp;"]"),MATCH($C257&amp;AR$5,INDIRECT($B$3&amp;"."&amp;$B$158&amp;".energy[Tech description]")&amp;INDIRECT($B$3&amp;"."&amp;$B$158&amp;".energy[Energy description]"),0)),0)</f>
        <v>0</v>
      </c>
      <c r="AS257" s="21">
        <f t="array" aca="1" ref="AS257" ca="1">IFERROR(INDEX(INDIRECT($B$3&amp;"."&amp;$B$158&amp;".energy["&amp;This.year&amp;"]"),MATCH($C257&amp;AS$5,INDIRECT($B$3&amp;"."&amp;$B$158&amp;".energy[Tech description]")&amp;INDIRECT($B$3&amp;"."&amp;$B$158&amp;".energy[Energy description]"),0)),0)</f>
        <v>0</v>
      </c>
      <c r="AT257" s="21">
        <f t="array" aca="1" ref="AT257" ca="1">IFERROR(INDEX(INDIRECT($B$3&amp;"."&amp;$B$158&amp;".energy["&amp;This.year&amp;"]"),MATCH($C257&amp;AT$5,INDIRECT($B$3&amp;"."&amp;$B$158&amp;".energy[Tech description]")&amp;INDIRECT($B$3&amp;"."&amp;$B$158&amp;".energy[Energy description]"),0)),0)</f>
        <v>0</v>
      </c>
      <c r="AU257" s="21">
        <f t="array" aca="1" ref="AU257" ca="1">IFERROR(INDEX(INDIRECT($B$3&amp;"."&amp;$B$158&amp;".energy["&amp;This.year&amp;"]"),MATCH($C257&amp;AU$5,INDIRECT($B$3&amp;"."&amp;$B$158&amp;".energy[Tech description]")&amp;INDIRECT($B$3&amp;"."&amp;$B$158&amp;".energy[Energy description]"),0)),0)</f>
        <v>0</v>
      </c>
      <c r="AV257" s="21">
        <f t="array" aca="1" ref="AV257" ca="1">IFERROR(INDEX(INDIRECT($B$3&amp;"."&amp;$B$158&amp;".energy["&amp;This.year&amp;"]"),MATCH($C257&amp;AV$5,INDIRECT($B$3&amp;"."&amp;$B$158&amp;".energy[Tech description]")&amp;INDIRECT($B$3&amp;"."&amp;$B$158&amp;".energy[Energy description]"),0)),0)</f>
        <v>0</v>
      </c>
      <c r="AW257" s="21">
        <f t="array" aca="1" ref="AW257" ca="1">IFERROR(INDEX(INDIRECT($B$3&amp;"."&amp;$B$158&amp;".energy["&amp;This.year&amp;"]"),MATCH($C257&amp;AW$5,INDIRECT($B$3&amp;"."&amp;$B$158&amp;".energy[Tech description]")&amp;INDIRECT($B$3&amp;"."&amp;$B$158&amp;".energy[Energy description]"),0)),0)</f>
        <v>0</v>
      </c>
      <c r="AX257" s="21">
        <f t="array" aca="1" ref="AX257" ca="1">IFERROR(INDEX(INDIRECT($B$3&amp;"."&amp;$B$158&amp;".energy["&amp;This.year&amp;"]"),MATCH($C257&amp;AX$5,INDIRECT($B$3&amp;"."&amp;$B$158&amp;".energy[Tech description]")&amp;INDIRECT($B$3&amp;"."&amp;$B$158&amp;".energy[Energy description]"),0)),0)</f>
        <v>0</v>
      </c>
      <c r="AY257" s="21">
        <f t="array" aca="1" ref="AY257" ca="1">IFERROR(INDEX(INDIRECT($B$3&amp;"."&amp;$B$158&amp;".energy["&amp;This.year&amp;"]"),MATCH($C257&amp;AY$5,INDIRECT($B$3&amp;"."&amp;$B$158&amp;".energy[Tech description]")&amp;INDIRECT($B$3&amp;"."&amp;$B$158&amp;".energy[Energy description]"),0)),0)</f>
        <v>0</v>
      </c>
      <c r="AZ257" s="21">
        <f t="array" aca="1" ref="AZ257" ca="1">IFERROR(INDEX(INDIRECT($B$3&amp;"."&amp;$B$158&amp;".energy["&amp;This.year&amp;"]"),MATCH($C257&amp;AZ$5,INDIRECT($B$3&amp;"."&amp;$B$158&amp;".energy[Tech description]")&amp;INDIRECT($B$3&amp;"."&amp;$B$158&amp;".energy[Energy description]"),0)),0)</f>
        <v>0</v>
      </c>
      <c r="BA257" s="21">
        <f t="array" aca="1" ref="BA257" ca="1">IFERROR(INDEX(INDIRECT($B$3&amp;"."&amp;$B$158&amp;".energy["&amp;This.year&amp;"]"),MATCH($C257&amp;BA$5,INDIRECT($B$3&amp;"."&amp;$B$158&amp;".energy[Tech description]")&amp;INDIRECT($B$3&amp;"."&amp;$B$158&amp;".energy[Energy description]"),0)),0)</f>
        <v>0</v>
      </c>
      <c r="BB257" s="21">
        <f t="array" aca="1" ref="BB257" ca="1">IFERROR(INDEX(INDIRECT($B$3&amp;"."&amp;$B$158&amp;".energy["&amp;This.year&amp;"]"),MATCH($C257&amp;BB$5,INDIRECT($B$3&amp;"."&amp;$B$158&amp;".energy[Tech description]")&amp;INDIRECT($B$3&amp;"."&amp;$B$158&amp;".energy[Energy description]"),0)),0)</f>
        <v>0</v>
      </c>
      <c r="BC257" s="21">
        <f t="array" aca="1" ref="BC257" ca="1">IFERROR(INDEX(INDIRECT($B$3&amp;"."&amp;$B$158&amp;".energy["&amp;This.year&amp;"]"),MATCH($C257&amp;BC$5,INDIRECT($B$3&amp;"."&amp;$B$158&amp;".energy[Tech description]")&amp;INDIRECT($B$3&amp;"."&amp;$B$158&amp;".energy[Energy description]"),0)),0)</f>
        <v>0</v>
      </c>
      <c r="BD257" s="21">
        <f t="shared" ca="1" si="54"/>
        <v>0</v>
      </c>
      <c r="BE257" s="108"/>
      <c r="BF257" s="49">
        <f t="array" aca="1" ref="BF257" ca="1">IFERROR(INDEX(INDIRECT($B$3&amp;"."&amp;$B$158&amp;".energy["&amp;This.year&amp;"]"),MATCH($C257&amp;BF$5,INDIRECT($B$3&amp;"."&amp;$B$158&amp;".energy[Tech description]")&amp;INDIRECT($B$3&amp;"."&amp;$B$158&amp;".energy[Energy description]"),0)),0)</f>
        <v>0</v>
      </c>
      <c r="BG257" s="49">
        <f t="array" aca="1" ref="BG257" ca="1">IFERROR(INDEX(INDIRECT($B$3&amp;"."&amp;$B$158&amp;".energy["&amp;This.year&amp;"]"),MATCH($C257&amp;BG$5,INDIRECT($B$3&amp;"."&amp;$B$158&amp;".energy[Tech description]")&amp;INDIRECT($B$3&amp;"."&amp;$B$158&amp;".energy[Energy description]"),0)),0)</f>
        <v>0</v>
      </c>
      <c r="BH257" s="49">
        <f t="shared" ca="1" si="55"/>
        <v>0</v>
      </c>
      <c r="BI257" s="219">
        <f t="shared" ca="1" si="51"/>
        <v>0</v>
      </c>
      <c r="BJ257" s="108"/>
    </row>
    <row r="258" spans="1:62" s="54" customFormat="1">
      <c r="A258" s="133"/>
      <c r="B258" s="176" t="s">
        <v>1867</v>
      </c>
      <c r="C258" s="114" t="str">
        <f>INDEX(Regional.Technologies[Description],MATCH($B$3&amp;"."&amp;B258,Regional.Technologies[Code],0))</f>
        <v>Global Natural Gas use in the Other industries technology</v>
      </c>
      <c r="E258" s="121">
        <f t="array" aca="1" ref="E258" ca="1">IFERROR(INDEX(INDIRECT($B$3&amp;"."&amp;$B$158&amp;".energy["&amp;This.year&amp;"]"),MATCH($C258&amp;E$5,INDIRECT($B$3&amp;"."&amp;$B$158&amp;".energy[Tech description]")&amp;INDIRECT($B$3&amp;"."&amp;$B$158&amp;".energy[Energy description]"),0)),0)</f>
        <v>0</v>
      </c>
      <c r="F258" s="121">
        <f t="array" aca="1" ref="F258" ca="1">IFERROR(INDEX(INDIRECT($B$3&amp;"."&amp;$B$158&amp;".energy["&amp;This.year&amp;"]"),MATCH($C258&amp;F$5,INDIRECT($B$3&amp;"."&amp;$B$158&amp;".energy[Tech description]")&amp;INDIRECT($B$3&amp;"."&amp;$B$158&amp;".energy[Energy description]"),0)),0)</f>
        <v>0</v>
      </c>
      <c r="G258" s="121">
        <f t="array" aca="1" ref="G258" ca="1">IFERROR(INDEX(INDIRECT($B$3&amp;"."&amp;$B$158&amp;".energy["&amp;This.year&amp;"]"),MATCH($C258&amp;G$5,INDIRECT($B$3&amp;"."&amp;$B$158&amp;".energy[Tech description]")&amp;INDIRECT($B$3&amp;"."&amp;$B$158&amp;".energy[Energy description]"),0)),0)</f>
        <v>0</v>
      </c>
      <c r="H258" s="121">
        <f t="array" aca="1" ref="H258" ca="1">IFERROR(INDEX(INDIRECT($B$3&amp;"."&amp;$B$158&amp;".energy["&amp;This.year&amp;"]"),MATCH($C258&amp;H$5,INDIRECT($B$3&amp;"."&amp;$B$158&amp;".energy[Tech description]")&amp;INDIRECT($B$3&amp;"."&amp;$B$158&amp;".energy[Energy description]"),0)),0)</f>
        <v>0</v>
      </c>
      <c r="I258" s="121">
        <f t="array" aca="1" ref="I258" ca="1">IFERROR(INDEX(INDIRECT($B$3&amp;"."&amp;$B$158&amp;".energy["&amp;This.year&amp;"]"),MATCH($C258&amp;I$5,INDIRECT($B$3&amp;"."&amp;$B$158&amp;".energy[Tech description]")&amp;INDIRECT($B$3&amp;"."&amp;$B$158&amp;".energy[Energy description]"),0)),0)</f>
        <v>0</v>
      </c>
      <c r="J258" s="121">
        <f t="array" aca="1" ref="J258" ca="1">IFERROR(INDEX(INDIRECT($B$3&amp;"."&amp;$B$158&amp;".energy["&amp;This.year&amp;"]"),MATCH($C258&amp;J$5,INDIRECT($B$3&amp;"."&amp;$B$158&amp;".energy[Tech description]")&amp;INDIRECT($B$3&amp;"."&amp;$B$158&amp;".energy[Energy description]"),0)),0)</f>
        <v>11.967321601700888</v>
      </c>
      <c r="K258" s="121">
        <f t="array" aca="1" ref="K258" ca="1">IFERROR(INDEX(INDIRECT($B$3&amp;"."&amp;$B$158&amp;".energy["&amp;This.year&amp;"]"),MATCH($C258&amp;K$5,INDIRECT($B$3&amp;"."&amp;$B$158&amp;".energy[Tech description]")&amp;INDIRECT($B$3&amp;"."&amp;$B$158&amp;".energy[Energy description]"),0)),0)</f>
        <v>0</v>
      </c>
      <c r="L258" s="121">
        <f t="array" aca="1" ref="L258" ca="1">IFERROR(INDEX(INDIRECT($B$3&amp;"."&amp;$B$158&amp;".energy["&amp;This.year&amp;"]"),MATCH($C258&amp;L$5,INDIRECT($B$3&amp;"."&amp;$B$158&amp;".energy[Tech description]")&amp;INDIRECT($B$3&amp;"."&amp;$B$158&amp;".energy[Energy description]"),0)),0)</f>
        <v>0</v>
      </c>
      <c r="M258" s="121">
        <f t="array" aca="1" ref="M258" ca="1">IFERROR(INDEX(INDIRECT($B$3&amp;"."&amp;$B$158&amp;".energy["&amp;This.year&amp;"]"),MATCH($C258&amp;M$5,INDIRECT($B$3&amp;"."&amp;$B$158&amp;".energy[Tech description]")&amp;INDIRECT($B$3&amp;"."&amp;$B$158&amp;".energy[Energy description]"),0)),0)</f>
        <v>0</v>
      </c>
      <c r="N258" s="121">
        <f t="array" aca="1" ref="N258" ca="1">IFERROR(INDEX(INDIRECT($B$3&amp;"."&amp;$B$158&amp;".energy["&amp;This.year&amp;"]"),MATCH($C258&amp;N$5,INDIRECT($B$3&amp;"."&amp;$B$158&amp;".energy[Tech description]")&amp;INDIRECT($B$3&amp;"."&amp;$B$158&amp;".energy[Energy description]"),0)),0)</f>
        <v>0</v>
      </c>
      <c r="O258" s="121">
        <f t="array" aca="1" ref="O258" ca="1">IFERROR(INDEX(INDIRECT($B$3&amp;"."&amp;$B$158&amp;".energy["&amp;This.year&amp;"]"),MATCH($C258&amp;O$5,INDIRECT($B$3&amp;"."&amp;$B$158&amp;".energy[Tech description]")&amp;INDIRECT($B$3&amp;"."&amp;$B$158&amp;".energy[Energy description]"),0)),0)</f>
        <v>0</v>
      </c>
      <c r="P258" s="121">
        <f t="array" aca="1" ref="P258" ca="1">IFERROR(INDEX(INDIRECT($B$3&amp;"."&amp;$B$158&amp;".energy["&amp;This.year&amp;"]"),MATCH($C258&amp;P$5,INDIRECT($B$3&amp;"."&amp;$B$158&amp;".energy[Tech description]")&amp;INDIRECT($B$3&amp;"."&amp;$B$158&amp;".energy[Energy description]"),0)),0)</f>
        <v>0</v>
      </c>
      <c r="Q258" s="121">
        <f t="array" aca="1" ref="Q258" ca="1">IFERROR(INDEX(INDIRECT($B$3&amp;"."&amp;$B$158&amp;".energy["&amp;This.year&amp;"]"),MATCH($C258&amp;Q$5,INDIRECT($B$3&amp;"."&amp;$B$158&amp;".energy[Tech description]")&amp;INDIRECT($B$3&amp;"."&amp;$B$158&amp;".energy[Energy description]"),0)),0)</f>
        <v>0</v>
      </c>
      <c r="R258" s="121">
        <f t="array" aca="1" ref="R258" ca="1">IFERROR(INDEX(INDIRECT($B$3&amp;"."&amp;$B$158&amp;".energy["&amp;This.year&amp;"]"),MATCH($C258&amp;R$5,INDIRECT($B$3&amp;"."&amp;$B$158&amp;".energy[Tech description]")&amp;INDIRECT($B$3&amp;"."&amp;$B$158&amp;".energy[Energy description]"),0)),0)</f>
        <v>0</v>
      </c>
      <c r="S258" s="121">
        <f t="array" aca="1" ref="S258" ca="1">IFERROR(INDEX(INDIRECT($B$3&amp;"."&amp;$B$158&amp;".energy["&amp;This.year&amp;"]"),MATCH($C258&amp;S$5,INDIRECT($B$3&amp;"."&amp;$B$158&amp;".energy[Tech description]")&amp;INDIRECT($B$3&amp;"."&amp;$B$158&amp;".energy[Energy description]"),0)),0)</f>
        <v>0</v>
      </c>
      <c r="T258" s="121">
        <f t="shared" ca="1" si="52"/>
        <v>11.967321601700888</v>
      </c>
      <c r="U258" s="109"/>
      <c r="V258" s="152">
        <f t="array" aca="1" ref="V258" ca="1">IFERROR(INDEX(INDIRECT($B$3&amp;"."&amp;$B$158&amp;".energy["&amp;This.year&amp;"]"),MATCH($C258&amp;V$5,INDIRECT($B$3&amp;"."&amp;$B$158&amp;".energy[Tech description]")&amp;INDIRECT($B$3&amp;"."&amp;$B$158&amp;".energy[Energy description]"),0)),0)</f>
        <v>0</v>
      </c>
      <c r="W258" s="152">
        <f t="array" aca="1" ref="W258" ca="1">IFERROR(INDEX(INDIRECT($B$3&amp;"."&amp;$B$158&amp;".energy["&amp;This.year&amp;"]"),MATCH($C258&amp;W$5,INDIRECT($B$3&amp;"."&amp;$B$158&amp;".energy[Tech description]")&amp;INDIRECT($B$3&amp;"."&amp;$B$158&amp;".energy[Energy description]"),0)),0)</f>
        <v>0</v>
      </c>
      <c r="X258" s="152">
        <f t="array" aca="1" ref="X258" ca="1">IFERROR(INDEX(INDIRECT($B$3&amp;"."&amp;$B$158&amp;".energy["&amp;This.year&amp;"]"),MATCH($C258&amp;X$5,INDIRECT($B$3&amp;"."&amp;$B$158&amp;".energy[Tech description]")&amp;INDIRECT($B$3&amp;"."&amp;$B$158&amp;".energy[Energy description]"),0)),0)</f>
        <v>0</v>
      </c>
      <c r="Y258" s="152">
        <f t="array" aca="1" ref="Y258" ca="1">IFERROR(INDEX(INDIRECT($B$3&amp;"."&amp;$B$158&amp;".energy["&amp;This.year&amp;"]"),MATCH($C258&amp;Y$5,INDIRECT($B$3&amp;"."&amp;$B$158&amp;".energy[Tech description]")&amp;INDIRECT($B$3&amp;"."&amp;$B$158&amp;".energy[Energy description]"),0)),0)</f>
        <v>0</v>
      </c>
      <c r="Z258" s="152">
        <f t="array" aca="1" ref="Z258" ca="1">IFERROR(INDEX(INDIRECT($B$3&amp;"."&amp;$B$158&amp;".energy["&amp;This.year&amp;"]"),MATCH($C258&amp;Z$5,INDIRECT($B$3&amp;"."&amp;$B$158&amp;".energy[Tech description]")&amp;INDIRECT($B$3&amp;"."&amp;$B$158&amp;".energy[Energy description]"),0)),0)</f>
        <v>0</v>
      </c>
      <c r="AA258" s="152">
        <f t="array" aca="1" ref="AA258" ca="1">IFERROR(INDEX(INDIRECT($B$3&amp;"."&amp;$B$158&amp;".energy["&amp;This.year&amp;"]"),MATCH($C258&amp;AA$5,INDIRECT($B$3&amp;"."&amp;$B$158&amp;".energy[Tech description]")&amp;INDIRECT($B$3&amp;"."&amp;$B$158&amp;".energy[Energy description]"),0)),0)</f>
        <v>0</v>
      </c>
      <c r="AB258" s="152">
        <f t="array" aca="1" ref="AB258" ca="1">IFERROR(INDEX(INDIRECT($B$3&amp;"."&amp;$B$158&amp;".energy["&amp;This.year&amp;"]"),MATCH($C258&amp;AB$5,INDIRECT($B$3&amp;"."&amp;$B$158&amp;".energy[Tech description]")&amp;INDIRECT($B$3&amp;"."&amp;$B$158&amp;".energy[Energy description]"),0)),0)</f>
        <v>0</v>
      </c>
      <c r="AC258" s="152">
        <f t="array" aca="1" ref="AC258" ca="1">IFERROR(INDEX(INDIRECT($B$3&amp;"."&amp;$B$158&amp;".energy["&amp;This.year&amp;"]"),MATCH($C258&amp;AC$5,INDIRECT($B$3&amp;"."&amp;$B$158&amp;".energy[Tech description]")&amp;INDIRECT($B$3&amp;"."&amp;$B$158&amp;".energy[Energy description]"),0)),0)</f>
        <v>-11.967321601700888</v>
      </c>
      <c r="AD258" s="152">
        <f t="array" aca="1" ref="AD258" ca="1">IFERROR(INDEX(INDIRECT($B$3&amp;"."&amp;$B$158&amp;".energy["&amp;This.year&amp;"]"),MATCH($C258&amp;AD$5,INDIRECT($B$3&amp;"."&amp;$B$158&amp;".energy[Tech description]")&amp;INDIRECT($B$3&amp;"."&amp;$B$158&amp;".energy[Energy description]"),0)),0)</f>
        <v>0</v>
      </c>
      <c r="AE258" s="152">
        <f t="array" aca="1" ref="AE258" ca="1">IFERROR(INDEX(INDIRECT($B$3&amp;"."&amp;$B$158&amp;".energy["&amp;This.year&amp;"]"),MATCH($C258&amp;AE$5,INDIRECT($B$3&amp;"."&amp;$B$158&amp;".energy[Tech description]")&amp;INDIRECT($B$3&amp;"."&amp;$B$158&amp;".energy[Energy description]"),0)),0)</f>
        <v>0</v>
      </c>
      <c r="AF258" s="152">
        <f t="array" aca="1" ref="AF258" ca="1">IFERROR(INDEX(INDIRECT($B$3&amp;"."&amp;$B$158&amp;".energy["&amp;This.year&amp;"]"),MATCH($C258&amp;AF$5,INDIRECT($B$3&amp;"."&amp;$B$158&amp;".energy[Tech description]")&amp;INDIRECT($B$3&amp;"."&amp;$B$158&amp;".energy[Energy description]"),0)),0)</f>
        <v>0</v>
      </c>
      <c r="AG258" s="152">
        <f t="array" aca="1" ref="AG258" ca="1">IFERROR(INDEX(INDIRECT($B$3&amp;"."&amp;$B$158&amp;".energy["&amp;This.year&amp;"]"),MATCH($C258&amp;AG$5,INDIRECT($B$3&amp;"."&amp;$B$158&amp;".energy[Tech description]")&amp;INDIRECT($B$3&amp;"."&amp;$B$158&amp;".energy[Energy description]"),0)),0)</f>
        <v>0</v>
      </c>
      <c r="AH258" s="152">
        <f t="array" aca="1" ref="AH258" ca="1">IFERROR(INDEX(INDIRECT($B$3&amp;"."&amp;$B$158&amp;".energy["&amp;This.year&amp;"]"),MATCH($C258&amp;AH$5,INDIRECT($B$3&amp;"."&amp;$B$158&amp;".energy[Tech description]")&amp;INDIRECT($B$3&amp;"."&amp;$B$158&amp;".energy[Energy description]"),0)),0)</f>
        <v>0</v>
      </c>
      <c r="AI258" s="152">
        <f t="array" aca="1" ref="AI258" ca="1">IFERROR(INDEX(INDIRECT($B$3&amp;"."&amp;$B$158&amp;".energy["&amp;This.year&amp;"]"),MATCH($C258&amp;AI$5,INDIRECT($B$3&amp;"."&amp;$B$158&amp;".energy[Tech description]")&amp;INDIRECT($B$3&amp;"."&amp;$B$158&amp;".energy[Energy description]"),0)),0)</f>
        <v>0</v>
      </c>
      <c r="AJ258" s="152">
        <f t="array" aca="1" ref="AJ258" ca="1">IFERROR(INDEX(INDIRECT($B$3&amp;"."&amp;$B$158&amp;".energy["&amp;This.year&amp;"]"),MATCH($C258&amp;AJ$5,INDIRECT($B$3&amp;"."&amp;$B$158&amp;".energy[Tech description]")&amp;INDIRECT($B$3&amp;"."&amp;$B$158&amp;".energy[Energy description]"),0)),0)</f>
        <v>0</v>
      </c>
      <c r="AK258" s="152">
        <f t="array" aca="1" ref="AK258" ca="1">IFERROR(INDEX(INDIRECT($B$3&amp;"."&amp;$B$158&amp;".energy["&amp;This.year&amp;"]"),MATCH($C258&amp;AK$5,INDIRECT($B$3&amp;"."&amp;$B$158&amp;".energy[Tech description]")&amp;INDIRECT($B$3&amp;"."&amp;$B$158&amp;".energy[Energy description]"),0)),0)</f>
        <v>0</v>
      </c>
      <c r="AL258" s="152">
        <f t="array" aca="1" ref="AL258" ca="1">IFERROR(INDEX(INDIRECT($B$3&amp;"."&amp;$B$158&amp;".energy["&amp;This.year&amp;"]"),MATCH($C258&amp;AL$5,INDIRECT($B$3&amp;"."&amp;$B$158&amp;".energy[Tech description]")&amp;INDIRECT($B$3&amp;"."&amp;$B$158&amp;".energy[Energy description]"),0)),0)</f>
        <v>0</v>
      </c>
      <c r="AM258" s="152">
        <f t="array" aca="1" ref="AM258" ca="1">IFERROR(INDEX(INDIRECT($B$3&amp;"."&amp;$B$158&amp;".energy["&amp;This.year&amp;"]"),MATCH($C258&amp;AM$5,INDIRECT($B$3&amp;"."&amp;$B$158&amp;".energy[Tech description]")&amp;INDIRECT($B$3&amp;"."&amp;$B$158&amp;".energy[Energy description]"),0)),0)</f>
        <v>0</v>
      </c>
      <c r="AN258" s="152">
        <f t="array" aca="1" ref="AN258" ca="1">IFERROR(INDEX(INDIRECT($B$3&amp;"."&amp;$B$158&amp;".energy["&amp;This.year&amp;"]"),MATCH($C258&amp;AN$5,INDIRECT($B$3&amp;"."&amp;$B$158&amp;".energy[Tech description]")&amp;INDIRECT($B$3&amp;"."&amp;$B$158&amp;".energy[Energy description]"),0)),0)</f>
        <v>0</v>
      </c>
      <c r="AO258" s="152">
        <f t="shared" ca="1" si="53"/>
        <v>-11.967321601700888</v>
      </c>
      <c r="AP258" s="108"/>
      <c r="AQ258" s="21">
        <f t="array" aca="1" ref="AQ258" ca="1">IFERROR(INDEX(INDIRECT($B$3&amp;"."&amp;$B$158&amp;".energy["&amp;This.year&amp;"]"),MATCH($C258&amp;AQ$5,INDIRECT($B$3&amp;"."&amp;$B$158&amp;".energy[Tech description]")&amp;INDIRECT($B$3&amp;"."&amp;$B$158&amp;".energy[Energy description]"),0)),0)</f>
        <v>0</v>
      </c>
      <c r="AR258" s="21">
        <f t="array" aca="1" ref="AR258" ca="1">IFERROR(INDEX(INDIRECT($B$3&amp;"."&amp;$B$158&amp;".energy["&amp;This.year&amp;"]"),MATCH($C258&amp;AR$5,INDIRECT($B$3&amp;"."&amp;$B$158&amp;".energy[Tech description]")&amp;INDIRECT($B$3&amp;"."&amp;$B$158&amp;".energy[Energy description]"),0)),0)</f>
        <v>0</v>
      </c>
      <c r="AS258" s="21">
        <f t="array" aca="1" ref="AS258" ca="1">IFERROR(INDEX(INDIRECT($B$3&amp;"."&amp;$B$158&amp;".energy["&amp;This.year&amp;"]"),MATCH($C258&amp;AS$5,INDIRECT($B$3&amp;"."&amp;$B$158&amp;".energy[Tech description]")&amp;INDIRECT($B$3&amp;"."&amp;$B$158&amp;".energy[Energy description]"),0)),0)</f>
        <v>0</v>
      </c>
      <c r="AT258" s="21">
        <f t="array" aca="1" ref="AT258" ca="1">IFERROR(INDEX(INDIRECT($B$3&amp;"."&amp;$B$158&amp;".energy["&amp;This.year&amp;"]"),MATCH($C258&amp;AT$5,INDIRECT($B$3&amp;"."&amp;$B$158&amp;".energy[Tech description]")&amp;INDIRECT($B$3&amp;"."&amp;$B$158&amp;".energy[Energy description]"),0)),0)</f>
        <v>0</v>
      </c>
      <c r="AU258" s="21">
        <f t="array" aca="1" ref="AU258" ca="1">IFERROR(INDEX(INDIRECT($B$3&amp;"."&amp;$B$158&amp;".energy["&amp;This.year&amp;"]"),MATCH($C258&amp;AU$5,INDIRECT($B$3&amp;"."&amp;$B$158&amp;".energy[Tech description]")&amp;INDIRECT($B$3&amp;"."&amp;$B$158&amp;".energy[Energy description]"),0)),0)</f>
        <v>0</v>
      </c>
      <c r="AV258" s="21">
        <f t="array" aca="1" ref="AV258" ca="1">IFERROR(INDEX(INDIRECT($B$3&amp;"."&amp;$B$158&amp;".energy["&amp;This.year&amp;"]"),MATCH($C258&amp;AV$5,INDIRECT($B$3&amp;"."&amp;$B$158&amp;".energy[Tech description]")&amp;INDIRECT($B$3&amp;"."&amp;$B$158&amp;".energy[Energy description]"),0)),0)</f>
        <v>0</v>
      </c>
      <c r="AW258" s="21">
        <f t="array" aca="1" ref="AW258" ca="1">IFERROR(INDEX(INDIRECT($B$3&amp;"."&amp;$B$158&amp;".energy["&amp;This.year&amp;"]"),MATCH($C258&amp;AW$5,INDIRECT($B$3&amp;"."&amp;$B$158&amp;".energy[Tech description]")&amp;INDIRECT($B$3&amp;"."&amp;$B$158&amp;".energy[Energy description]"),0)),0)</f>
        <v>0</v>
      </c>
      <c r="AX258" s="21">
        <f t="array" aca="1" ref="AX258" ca="1">IFERROR(INDEX(INDIRECT($B$3&amp;"."&amp;$B$158&amp;".energy["&amp;This.year&amp;"]"),MATCH($C258&amp;AX$5,INDIRECT($B$3&amp;"."&amp;$B$158&amp;".energy[Tech description]")&amp;INDIRECT($B$3&amp;"."&amp;$B$158&amp;".energy[Energy description]"),0)),0)</f>
        <v>0</v>
      </c>
      <c r="AY258" s="21">
        <f t="array" aca="1" ref="AY258" ca="1">IFERROR(INDEX(INDIRECT($B$3&amp;"."&amp;$B$158&amp;".energy["&amp;This.year&amp;"]"),MATCH($C258&amp;AY$5,INDIRECT($B$3&amp;"."&amp;$B$158&amp;".energy[Tech description]")&amp;INDIRECT($B$3&amp;"."&amp;$B$158&amp;".energy[Energy description]"),0)),0)</f>
        <v>0</v>
      </c>
      <c r="AZ258" s="21">
        <f t="array" aca="1" ref="AZ258" ca="1">IFERROR(INDEX(INDIRECT($B$3&amp;"."&amp;$B$158&amp;".energy["&amp;This.year&amp;"]"),MATCH($C258&amp;AZ$5,INDIRECT($B$3&amp;"."&amp;$B$158&amp;".energy[Tech description]")&amp;INDIRECT($B$3&amp;"."&amp;$B$158&amp;".energy[Energy description]"),0)),0)</f>
        <v>0</v>
      </c>
      <c r="BA258" s="21">
        <f t="array" aca="1" ref="BA258" ca="1">IFERROR(INDEX(INDIRECT($B$3&amp;"."&amp;$B$158&amp;".energy["&amp;This.year&amp;"]"),MATCH($C258&amp;BA$5,INDIRECT($B$3&amp;"."&amp;$B$158&amp;".energy[Tech description]")&amp;INDIRECT($B$3&amp;"."&amp;$B$158&amp;".energy[Energy description]"),0)),0)</f>
        <v>0</v>
      </c>
      <c r="BB258" s="21">
        <f t="array" aca="1" ref="BB258" ca="1">IFERROR(INDEX(INDIRECT($B$3&amp;"."&amp;$B$158&amp;".energy["&amp;This.year&amp;"]"),MATCH($C258&amp;BB$5,INDIRECT($B$3&amp;"."&amp;$B$158&amp;".energy[Tech description]")&amp;INDIRECT($B$3&amp;"."&amp;$B$158&amp;".energy[Energy description]"),0)),0)</f>
        <v>0</v>
      </c>
      <c r="BC258" s="21">
        <f t="array" aca="1" ref="BC258" ca="1">IFERROR(INDEX(INDIRECT($B$3&amp;"."&amp;$B$158&amp;".energy["&amp;This.year&amp;"]"),MATCH($C258&amp;BC$5,INDIRECT($B$3&amp;"."&amp;$B$158&amp;".energy[Tech description]")&amp;INDIRECT($B$3&amp;"."&amp;$B$158&amp;".energy[Energy description]"),0)),0)</f>
        <v>0</v>
      </c>
      <c r="BD258" s="21">
        <f t="shared" ca="1" si="54"/>
        <v>0</v>
      </c>
      <c r="BE258" s="108"/>
      <c r="BF258" s="49">
        <f t="array" aca="1" ref="BF258" ca="1">IFERROR(INDEX(INDIRECT($B$3&amp;"."&amp;$B$158&amp;".energy["&amp;This.year&amp;"]"),MATCH($C258&amp;BF$5,INDIRECT($B$3&amp;"."&amp;$B$158&amp;".energy[Tech description]")&amp;INDIRECT($B$3&amp;"."&amp;$B$158&amp;".energy[Energy description]"),0)),0)</f>
        <v>0</v>
      </c>
      <c r="BG258" s="49">
        <f t="array" aca="1" ref="BG258" ca="1">IFERROR(INDEX(INDIRECT($B$3&amp;"."&amp;$B$158&amp;".energy["&amp;This.year&amp;"]"),MATCH($C258&amp;BG$5,INDIRECT($B$3&amp;"."&amp;$B$158&amp;".energy[Tech description]")&amp;INDIRECT($B$3&amp;"."&amp;$B$158&amp;".energy[Energy description]"),0)),0)</f>
        <v>0</v>
      </c>
      <c r="BH258" s="49">
        <f t="shared" ca="1" si="55"/>
        <v>0</v>
      </c>
      <c r="BI258" s="219">
        <f t="shared" ca="1" si="51"/>
        <v>0</v>
      </c>
      <c r="BJ258" s="108"/>
    </row>
    <row r="259" spans="1:62" s="54" customFormat="1">
      <c r="A259" s="133"/>
      <c r="B259" s="176" t="s">
        <v>1868</v>
      </c>
      <c r="C259" s="114" t="str">
        <f>INDEX(Regional.Technologies[Description],MATCH($B$3&amp;"."&amp;B259,Regional.Technologies[Code],0))</f>
        <v>Global Solid Hydrocarbons use in the Other industries technology</v>
      </c>
      <c r="E259" s="121">
        <f t="array" aca="1" ref="E259" ca="1">IFERROR(INDEX(INDIRECT($B$3&amp;"."&amp;$B$158&amp;".energy["&amp;This.year&amp;"]"),MATCH($C259&amp;E$5,INDIRECT($B$3&amp;"."&amp;$B$158&amp;".energy[Tech description]")&amp;INDIRECT($B$3&amp;"."&amp;$B$158&amp;".energy[Energy description]"),0)),0)</f>
        <v>0</v>
      </c>
      <c r="F259" s="121">
        <f t="array" aca="1" ref="F259" ca="1">IFERROR(INDEX(INDIRECT($B$3&amp;"."&amp;$B$158&amp;".energy["&amp;This.year&amp;"]"),MATCH($C259&amp;F$5,INDIRECT($B$3&amp;"."&amp;$B$158&amp;".energy[Tech description]")&amp;INDIRECT($B$3&amp;"."&amp;$B$158&amp;".energy[Energy description]"),0)),0)</f>
        <v>0</v>
      </c>
      <c r="G259" s="121">
        <f t="array" aca="1" ref="G259" ca="1">IFERROR(INDEX(INDIRECT($B$3&amp;"."&amp;$B$158&amp;".energy["&amp;This.year&amp;"]"),MATCH($C259&amp;G$5,INDIRECT($B$3&amp;"."&amp;$B$158&amp;".energy[Tech description]")&amp;INDIRECT($B$3&amp;"."&amp;$B$158&amp;".energy[Energy description]"),0)),0)</f>
        <v>0</v>
      </c>
      <c r="H259" s="121">
        <f t="array" aca="1" ref="H259" ca="1">IFERROR(INDEX(INDIRECT($B$3&amp;"."&amp;$B$158&amp;".energy["&amp;This.year&amp;"]"),MATCH($C259&amp;H$5,INDIRECT($B$3&amp;"."&amp;$B$158&amp;".energy[Tech description]")&amp;INDIRECT($B$3&amp;"."&amp;$B$158&amp;".energy[Energy description]"),0)),0)</f>
        <v>0</v>
      </c>
      <c r="I259" s="121">
        <f t="array" aca="1" ref="I259" ca="1">IFERROR(INDEX(INDIRECT($B$3&amp;"."&amp;$B$158&amp;".energy["&amp;This.year&amp;"]"),MATCH($C259&amp;I$5,INDIRECT($B$3&amp;"."&amp;$B$158&amp;".energy[Tech description]")&amp;INDIRECT($B$3&amp;"."&amp;$B$158&amp;".energy[Energy description]"),0)),0)</f>
        <v>0</v>
      </c>
      <c r="J259" s="121">
        <f t="array" aca="1" ref="J259" ca="1">IFERROR(INDEX(INDIRECT($B$3&amp;"."&amp;$B$158&amp;".energy["&amp;This.year&amp;"]"),MATCH($C259&amp;J$5,INDIRECT($B$3&amp;"."&amp;$B$158&amp;".energy[Tech description]")&amp;INDIRECT($B$3&amp;"."&amp;$B$158&amp;".energy[Energy description]"),0)),0)</f>
        <v>5.4326469694895918</v>
      </c>
      <c r="K259" s="121">
        <f t="array" aca="1" ref="K259" ca="1">IFERROR(INDEX(INDIRECT($B$3&amp;"."&amp;$B$158&amp;".energy["&amp;This.year&amp;"]"),MATCH($C259&amp;K$5,INDIRECT($B$3&amp;"."&amp;$B$158&amp;".energy[Tech description]")&amp;INDIRECT($B$3&amp;"."&amp;$B$158&amp;".energy[Energy description]"),0)),0)</f>
        <v>0</v>
      </c>
      <c r="L259" s="121">
        <f t="array" aca="1" ref="L259" ca="1">IFERROR(INDEX(INDIRECT($B$3&amp;"."&amp;$B$158&amp;".energy["&amp;This.year&amp;"]"),MATCH($C259&amp;L$5,INDIRECT($B$3&amp;"."&amp;$B$158&amp;".energy[Tech description]")&amp;INDIRECT($B$3&amp;"."&amp;$B$158&amp;".energy[Energy description]"),0)),0)</f>
        <v>0</v>
      </c>
      <c r="M259" s="121">
        <f t="array" aca="1" ref="M259" ca="1">IFERROR(INDEX(INDIRECT($B$3&amp;"."&amp;$B$158&amp;".energy["&amp;This.year&amp;"]"),MATCH($C259&amp;M$5,INDIRECT($B$3&amp;"."&amp;$B$158&amp;".energy[Tech description]")&amp;INDIRECT($B$3&amp;"."&amp;$B$158&amp;".energy[Energy description]"),0)),0)</f>
        <v>0</v>
      </c>
      <c r="N259" s="121">
        <f t="array" aca="1" ref="N259" ca="1">IFERROR(INDEX(INDIRECT($B$3&amp;"."&amp;$B$158&amp;".energy["&amp;This.year&amp;"]"),MATCH($C259&amp;N$5,INDIRECT($B$3&amp;"."&amp;$B$158&amp;".energy[Tech description]")&amp;INDIRECT($B$3&amp;"."&amp;$B$158&amp;".energy[Energy description]"),0)),0)</f>
        <v>0</v>
      </c>
      <c r="O259" s="121">
        <f t="array" aca="1" ref="O259" ca="1">IFERROR(INDEX(INDIRECT($B$3&amp;"."&amp;$B$158&amp;".energy["&amp;This.year&amp;"]"),MATCH($C259&amp;O$5,INDIRECT($B$3&amp;"."&amp;$B$158&amp;".energy[Tech description]")&amp;INDIRECT($B$3&amp;"."&amp;$B$158&amp;".energy[Energy description]"),0)),0)</f>
        <v>0</v>
      </c>
      <c r="P259" s="121">
        <f t="array" aca="1" ref="P259" ca="1">IFERROR(INDEX(INDIRECT($B$3&amp;"."&amp;$B$158&amp;".energy["&amp;This.year&amp;"]"),MATCH($C259&amp;P$5,INDIRECT($B$3&amp;"."&amp;$B$158&amp;".energy[Tech description]")&amp;INDIRECT($B$3&amp;"."&amp;$B$158&amp;".energy[Energy description]"),0)),0)</f>
        <v>0</v>
      </c>
      <c r="Q259" s="121">
        <f t="array" aca="1" ref="Q259" ca="1">IFERROR(INDEX(INDIRECT($B$3&amp;"."&amp;$B$158&amp;".energy["&amp;This.year&amp;"]"),MATCH($C259&amp;Q$5,INDIRECT($B$3&amp;"."&amp;$B$158&amp;".energy[Tech description]")&amp;INDIRECT($B$3&amp;"."&amp;$B$158&amp;".energy[Energy description]"),0)),0)</f>
        <v>0</v>
      </c>
      <c r="R259" s="121">
        <f t="array" aca="1" ref="R259" ca="1">IFERROR(INDEX(INDIRECT($B$3&amp;"."&amp;$B$158&amp;".energy["&amp;This.year&amp;"]"),MATCH($C259&amp;R$5,INDIRECT($B$3&amp;"."&amp;$B$158&amp;".energy[Tech description]")&amp;INDIRECT($B$3&amp;"."&amp;$B$158&amp;".energy[Energy description]"),0)),0)</f>
        <v>0</v>
      </c>
      <c r="S259" s="121">
        <f t="array" aca="1" ref="S259" ca="1">IFERROR(INDEX(INDIRECT($B$3&amp;"."&amp;$B$158&amp;".energy["&amp;This.year&amp;"]"),MATCH($C259&amp;S$5,INDIRECT($B$3&amp;"."&amp;$B$158&amp;".energy[Tech description]")&amp;INDIRECT($B$3&amp;"."&amp;$B$158&amp;".energy[Energy description]"),0)),0)</f>
        <v>0</v>
      </c>
      <c r="T259" s="121">
        <f t="shared" ca="1" si="52"/>
        <v>5.4326469694895918</v>
      </c>
      <c r="U259" s="109"/>
      <c r="V259" s="152">
        <f t="array" aca="1" ref="V259" ca="1">IFERROR(INDEX(INDIRECT($B$3&amp;"."&amp;$B$158&amp;".energy["&amp;This.year&amp;"]"),MATCH($C259&amp;V$5,INDIRECT($B$3&amp;"."&amp;$B$158&amp;".energy[Tech description]")&amp;INDIRECT($B$3&amp;"."&amp;$B$158&amp;".energy[Energy description]"),0)),0)</f>
        <v>0</v>
      </c>
      <c r="W259" s="152">
        <f t="array" aca="1" ref="W259" ca="1">IFERROR(INDEX(INDIRECT($B$3&amp;"."&amp;$B$158&amp;".energy["&amp;This.year&amp;"]"),MATCH($C259&amp;W$5,INDIRECT($B$3&amp;"."&amp;$B$158&amp;".energy[Tech description]")&amp;INDIRECT($B$3&amp;"."&amp;$B$158&amp;".energy[Energy description]"),0)),0)</f>
        <v>0</v>
      </c>
      <c r="X259" s="152">
        <f t="array" aca="1" ref="X259" ca="1">IFERROR(INDEX(INDIRECT($B$3&amp;"."&amp;$B$158&amp;".energy["&amp;This.year&amp;"]"),MATCH($C259&amp;X$5,INDIRECT($B$3&amp;"."&amp;$B$158&amp;".energy[Tech description]")&amp;INDIRECT($B$3&amp;"."&amp;$B$158&amp;".energy[Energy description]"),0)),0)</f>
        <v>-5.4326469694895918</v>
      </c>
      <c r="Y259" s="152">
        <f t="array" aca="1" ref="Y259" ca="1">IFERROR(INDEX(INDIRECT($B$3&amp;"."&amp;$B$158&amp;".energy["&amp;This.year&amp;"]"),MATCH($C259&amp;Y$5,INDIRECT($B$3&amp;"."&amp;$B$158&amp;".energy[Tech description]")&amp;INDIRECT($B$3&amp;"."&amp;$B$158&amp;".energy[Energy description]"),0)),0)</f>
        <v>0</v>
      </c>
      <c r="Z259" s="152">
        <f t="array" aca="1" ref="Z259" ca="1">IFERROR(INDEX(INDIRECT($B$3&amp;"."&amp;$B$158&amp;".energy["&amp;This.year&amp;"]"),MATCH($C259&amp;Z$5,INDIRECT($B$3&amp;"."&amp;$B$158&amp;".energy[Tech description]")&amp;INDIRECT($B$3&amp;"."&amp;$B$158&amp;".energy[Energy description]"),0)),0)</f>
        <v>0</v>
      </c>
      <c r="AA259" s="152">
        <f t="array" aca="1" ref="AA259" ca="1">IFERROR(INDEX(INDIRECT($B$3&amp;"."&amp;$B$158&amp;".energy["&amp;This.year&amp;"]"),MATCH($C259&amp;AA$5,INDIRECT($B$3&amp;"."&amp;$B$158&amp;".energy[Tech description]")&amp;INDIRECT($B$3&amp;"."&amp;$B$158&amp;".energy[Energy description]"),0)),0)</f>
        <v>0</v>
      </c>
      <c r="AB259" s="152">
        <f t="array" aca="1" ref="AB259" ca="1">IFERROR(INDEX(INDIRECT($B$3&amp;"."&amp;$B$158&amp;".energy["&amp;This.year&amp;"]"),MATCH($C259&amp;AB$5,INDIRECT($B$3&amp;"."&amp;$B$158&amp;".energy[Tech description]")&amp;INDIRECT($B$3&amp;"."&amp;$B$158&amp;".energy[Energy description]"),0)),0)</f>
        <v>0</v>
      </c>
      <c r="AC259" s="152">
        <f t="array" aca="1" ref="AC259" ca="1">IFERROR(INDEX(INDIRECT($B$3&amp;"."&amp;$B$158&amp;".energy["&amp;This.year&amp;"]"),MATCH($C259&amp;AC$5,INDIRECT($B$3&amp;"."&amp;$B$158&amp;".energy[Tech description]")&amp;INDIRECT($B$3&amp;"."&amp;$B$158&amp;".energy[Energy description]"),0)),0)</f>
        <v>0</v>
      </c>
      <c r="AD259" s="152">
        <f t="array" aca="1" ref="AD259" ca="1">IFERROR(INDEX(INDIRECT($B$3&amp;"."&amp;$B$158&amp;".energy["&amp;This.year&amp;"]"),MATCH($C259&amp;AD$5,INDIRECT($B$3&amp;"."&amp;$B$158&amp;".energy[Tech description]")&amp;INDIRECT($B$3&amp;"."&amp;$B$158&amp;".energy[Energy description]"),0)),0)</f>
        <v>0</v>
      </c>
      <c r="AE259" s="152">
        <f t="array" aca="1" ref="AE259" ca="1">IFERROR(INDEX(INDIRECT($B$3&amp;"."&amp;$B$158&amp;".energy["&amp;This.year&amp;"]"),MATCH($C259&amp;AE$5,INDIRECT($B$3&amp;"."&amp;$B$158&amp;".energy[Tech description]")&amp;INDIRECT($B$3&amp;"."&amp;$B$158&amp;".energy[Energy description]"),0)),0)</f>
        <v>0</v>
      </c>
      <c r="AF259" s="152">
        <f t="array" aca="1" ref="AF259" ca="1">IFERROR(INDEX(INDIRECT($B$3&amp;"."&amp;$B$158&amp;".energy["&amp;This.year&amp;"]"),MATCH($C259&amp;AF$5,INDIRECT($B$3&amp;"."&amp;$B$158&amp;".energy[Tech description]")&amp;INDIRECT($B$3&amp;"."&amp;$B$158&amp;".energy[Energy description]"),0)),0)</f>
        <v>0</v>
      </c>
      <c r="AG259" s="152">
        <f t="array" aca="1" ref="AG259" ca="1">IFERROR(INDEX(INDIRECT($B$3&amp;"."&amp;$B$158&amp;".energy["&amp;This.year&amp;"]"),MATCH($C259&amp;AG$5,INDIRECT($B$3&amp;"."&amp;$B$158&amp;".energy[Tech description]")&amp;INDIRECT($B$3&amp;"."&amp;$B$158&amp;".energy[Energy description]"),0)),0)</f>
        <v>0</v>
      </c>
      <c r="AH259" s="152">
        <f t="array" aca="1" ref="AH259" ca="1">IFERROR(INDEX(INDIRECT($B$3&amp;"."&amp;$B$158&amp;".energy["&amp;This.year&amp;"]"),MATCH($C259&amp;AH$5,INDIRECT($B$3&amp;"."&amp;$B$158&amp;".energy[Tech description]")&amp;INDIRECT($B$3&amp;"."&amp;$B$158&amp;".energy[Energy description]"),0)),0)</f>
        <v>0</v>
      </c>
      <c r="AI259" s="152">
        <f t="array" aca="1" ref="AI259" ca="1">IFERROR(INDEX(INDIRECT($B$3&amp;"."&amp;$B$158&amp;".energy["&amp;This.year&amp;"]"),MATCH($C259&amp;AI$5,INDIRECT($B$3&amp;"."&amp;$B$158&amp;".energy[Tech description]")&amp;INDIRECT($B$3&amp;"."&amp;$B$158&amp;".energy[Energy description]"),0)),0)</f>
        <v>0</v>
      </c>
      <c r="AJ259" s="152">
        <f t="array" aca="1" ref="AJ259" ca="1">IFERROR(INDEX(INDIRECT($B$3&amp;"."&amp;$B$158&amp;".energy["&amp;This.year&amp;"]"),MATCH($C259&amp;AJ$5,INDIRECT($B$3&amp;"."&amp;$B$158&amp;".energy[Tech description]")&amp;INDIRECT($B$3&amp;"."&amp;$B$158&amp;".energy[Energy description]"),0)),0)</f>
        <v>0</v>
      </c>
      <c r="AK259" s="152">
        <f t="array" aca="1" ref="AK259" ca="1">IFERROR(INDEX(INDIRECT($B$3&amp;"."&amp;$B$158&amp;".energy["&amp;This.year&amp;"]"),MATCH($C259&amp;AK$5,INDIRECT($B$3&amp;"."&amp;$B$158&amp;".energy[Tech description]")&amp;INDIRECT($B$3&amp;"."&amp;$B$158&amp;".energy[Energy description]"),0)),0)</f>
        <v>0</v>
      </c>
      <c r="AL259" s="152">
        <f t="array" aca="1" ref="AL259" ca="1">IFERROR(INDEX(INDIRECT($B$3&amp;"."&amp;$B$158&amp;".energy["&amp;This.year&amp;"]"),MATCH($C259&amp;AL$5,INDIRECT($B$3&amp;"."&amp;$B$158&amp;".energy[Tech description]")&amp;INDIRECT($B$3&amp;"."&amp;$B$158&amp;".energy[Energy description]"),0)),0)</f>
        <v>0</v>
      </c>
      <c r="AM259" s="152">
        <f t="array" aca="1" ref="AM259" ca="1">IFERROR(INDEX(INDIRECT($B$3&amp;"."&amp;$B$158&amp;".energy["&amp;This.year&amp;"]"),MATCH($C259&amp;AM$5,INDIRECT($B$3&amp;"."&amp;$B$158&amp;".energy[Tech description]")&amp;INDIRECT($B$3&amp;"."&amp;$B$158&amp;".energy[Energy description]"),0)),0)</f>
        <v>0</v>
      </c>
      <c r="AN259" s="152">
        <f t="array" aca="1" ref="AN259" ca="1">IFERROR(INDEX(INDIRECT($B$3&amp;"."&amp;$B$158&amp;".energy["&amp;This.year&amp;"]"),MATCH($C259&amp;AN$5,INDIRECT($B$3&amp;"."&amp;$B$158&amp;".energy[Tech description]")&amp;INDIRECT($B$3&amp;"."&amp;$B$158&amp;".energy[Energy description]"),0)),0)</f>
        <v>0</v>
      </c>
      <c r="AO259" s="152">
        <f t="shared" ca="1" si="53"/>
        <v>-5.4326469694895918</v>
      </c>
      <c r="AP259" s="108"/>
      <c r="AQ259" s="21">
        <f t="array" aca="1" ref="AQ259" ca="1">IFERROR(INDEX(INDIRECT($B$3&amp;"."&amp;$B$158&amp;".energy["&amp;This.year&amp;"]"),MATCH($C259&amp;AQ$5,INDIRECT($B$3&amp;"."&amp;$B$158&amp;".energy[Tech description]")&amp;INDIRECT($B$3&amp;"."&amp;$B$158&amp;".energy[Energy description]"),0)),0)</f>
        <v>0</v>
      </c>
      <c r="AR259" s="21">
        <f t="array" aca="1" ref="AR259" ca="1">IFERROR(INDEX(INDIRECT($B$3&amp;"."&amp;$B$158&amp;".energy["&amp;This.year&amp;"]"),MATCH($C259&amp;AR$5,INDIRECT($B$3&amp;"."&amp;$B$158&amp;".energy[Tech description]")&amp;INDIRECT($B$3&amp;"."&amp;$B$158&amp;".energy[Energy description]"),0)),0)</f>
        <v>0</v>
      </c>
      <c r="AS259" s="21">
        <f t="array" aca="1" ref="AS259" ca="1">IFERROR(INDEX(INDIRECT($B$3&amp;"."&amp;$B$158&amp;".energy["&amp;This.year&amp;"]"),MATCH($C259&amp;AS$5,INDIRECT($B$3&amp;"."&amp;$B$158&amp;".energy[Tech description]")&amp;INDIRECT($B$3&amp;"."&amp;$B$158&amp;".energy[Energy description]"),0)),0)</f>
        <v>0</v>
      </c>
      <c r="AT259" s="21">
        <f t="array" aca="1" ref="AT259" ca="1">IFERROR(INDEX(INDIRECT($B$3&amp;"."&amp;$B$158&amp;".energy["&amp;This.year&amp;"]"),MATCH($C259&amp;AT$5,INDIRECT($B$3&amp;"."&amp;$B$158&amp;".energy[Tech description]")&amp;INDIRECT($B$3&amp;"."&amp;$B$158&amp;".energy[Energy description]"),0)),0)</f>
        <v>0</v>
      </c>
      <c r="AU259" s="21">
        <f t="array" aca="1" ref="AU259" ca="1">IFERROR(INDEX(INDIRECT($B$3&amp;"."&amp;$B$158&amp;".energy["&amp;This.year&amp;"]"),MATCH($C259&amp;AU$5,INDIRECT($B$3&amp;"."&amp;$B$158&amp;".energy[Tech description]")&amp;INDIRECT($B$3&amp;"."&amp;$B$158&amp;".energy[Energy description]"),0)),0)</f>
        <v>0</v>
      </c>
      <c r="AV259" s="21">
        <f t="array" aca="1" ref="AV259" ca="1">IFERROR(INDEX(INDIRECT($B$3&amp;"."&amp;$B$158&amp;".energy["&amp;This.year&amp;"]"),MATCH($C259&amp;AV$5,INDIRECT($B$3&amp;"."&amp;$B$158&amp;".energy[Tech description]")&amp;INDIRECT($B$3&amp;"."&amp;$B$158&amp;".energy[Energy description]"),0)),0)</f>
        <v>0</v>
      </c>
      <c r="AW259" s="21">
        <f t="array" aca="1" ref="AW259" ca="1">IFERROR(INDEX(INDIRECT($B$3&amp;"."&amp;$B$158&amp;".energy["&amp;This.year&amp;"]"),MATCH($C259&amp;AW$5,INDIRECT($B$3&amp;"."&amp;$B$158&amp;".energy[Tech description]")&amp;INDIRECT($B$3&amp;"."&amp;$B$158&amp;".energy[Energy description]"),0)),0)</f>
        <v>0</v>
      </c>
      <c r="AX259" s="21">
        <f t="array" aca="1" ref="AX259" ca="1">IFERROR(INDEX(INDIRECT($B$3&amp;"."&amp;$B$158&amp;".energy["&amp;This.year&amp;"]"),MATCH($C259&amp;AX$5,INDIRECT($B$3&amp;"."&amp;$B$158&amp;".energy[Tech description]")&amp;INDIRECT($B$3&amp;"."&amp;$B$158&amp;".energy[Energy description]"),0)),0)</f>
        <v>0</v>
      </c>
      <c r="AY259" s="21">
        <f t="array" aca="1" ref="AY259" ca="1">IFERROR(INDEX(INDIRECT($B$3&amp;"."&amp;$B$158&amp;".energy["&amp;This.year&amp;"]"),MATCH($C259&amp;AY$5,INDIRECT($B$3&amp;"."&amp;$B$158&amp;".energy[Tech description]")&amp;INDIRECT($B$3&amp;"."&amp;$B$158&amp;".energy[Energy description]"),0)),0)</f>
        <v>0</v>
      </c>
      <c r="AZ259" s="21">
        <f t="array" aca="1" ref="AZ259" ca="1">IFERROR(INDEX(INDIRECT($B$3&amp;"."&amp;$B$158&amp;".energy["&amp;This.year&amp;"]"),MATCH($C259&amp;AZ$5,INDIRECT($B$3&amp;"."&amp;$B$158&amp;".energy[Tech description]")&amp;INDIRECT($B$3&amp;"."&amp;$B$158&amp;".energy[Energy description]"),0)),0)</f>
        <v>0</v>
      </c>
      <c r="BA259" s="21">
        <f t="array" aca="1" ref="BA259" ca="1">IFERROR(INDEX(INDIRECT($B$3&amp;"."&amp;$B$158&amp;".energy["&amp;This.year&amp;"]"),MATCH($C259&amp;BA$5,INDIRECT($B$3&amp;"."&amp;$B$158&amp;".energy[Tech description]")&amp;INDIRECT($B$3&amp;"."&amp;$B$158&amp;".energy[Energy description]"),0)),0)</f>
        <v>0</v>
      </c>
      <c r="BB259" s="21">
        <f t="array" aca="1" ref="BB259" ca="1">IFERROR(INDEX(INDIRECT($B$3&amp;"."&amp;$B$158&amp;".energy["&amp;This.year&amp;"]"),MATCH($C259&amp;BB$5,INDIRECT($B$3&amp;"."&amp;$B$158&amp;".energy[Tech description]")&amp;INDIRECT($B$3&amp;"."&amp;$B$158&amp;".energy[Energy description]"),0)),0)</f>
        <v>0</v>
      </c>
      <c r="BC259" s="21">
        <f t="array" aca="1" ref="BC259" ca="1">IFERROR(INDEX(INDIRECT($B$3&amp;"."&amp;$B$158&amp;".energy["&amp;This.year&amp;"]"),MATCH($C259&amp;BC$5,INDIRECT($B$3&amp;"."&amp;$B$158&amp;".energy[Tech description]")&amp;INDIRECT($B$3&amp;"."&amp;$B$158&amp;".energy[Energy description]"),0)),0)</f>
        <v>0</v>
      </c>
      <c r="BD259" s="21">
        <f t="shared" ca="1" si="54"/>
        <v>0</v>
      </c>
      <c r="BE259" s="108"/>
      <c r="BF259" s="49">
        <f t="array" aca="1" ref="BF259" ca="1">IFERROR(INDEX(INDIRECT($B$3&amp;"."&amp;$B$158&amp;".energy["&amp;This.year&amp;"]"),MATCH($C259&amp;BF$5,INDIRECT($B$3&amp;"."&amp;$B$158&amp;".energy[Tech description]")&amp;INDIRECT($B$3&amp;"."&amp;$B$158&amp;".energy[Energy description]"),0)),0)</f>
        <v>0</v>
      </c>
      <c r="BG259" s="49">
        <f t="array" aca="1" ref="BG259" ca="1">IFERROR(INDEX(INDIRECT($B$3&amp;"."&amp;$B$158&amp;".energy["&amp;This.year&amp;"]"),MATCH($C259&amp;BG$5,INDIRECT($B$3&amp;"."&amp;$B$158&amp;".energy[Tech description]")&amp;INDIRECT($B$3&amp;"."&amp;$B$158&amp;".energy[Energy description]"),0)),0)</f>
        <v>0</v>
      </c>
      <c r="BH259" s="49">
        <f t="shared" ca="1" si="55"/>
        <v>0</v>
      </c>
      <c r="BI259" s="219">
        <f t="shared" ca="1" si="51"/>
        <v>0</v>
      </c>
      <c r="BJ259" s="108"/>
    </row>
    <row r="260" spans="1:62" s="54" customFormat="1">
      <c r="A260" s="133"/>
      <c r="B260" s="176" t="s">
        <v>1869</v>
      </c>
      <c r="C260" s="114" t="str">
        <f>INDEX(Regional.Technologies[Description],MATCH($B$3&amp;"."&amp;B260,Regional.Technologies[Code],0))</f>
        <v>Global Heat use in the Other industries technology</v>
      </c>
      <c r="E260" s="121">
        <f t="array" aca="1" ref="E260" ca="1">IFERROR(INDEX(INDIRECT($B$3&amp;"."&amp;$B$158&amp;".energy["&amp;This.year&amp;"]"),MATCH($C260&amp;E$5,INDIRECT($B$3&amp;"."&amp;$B$158&amp;".energy[Tech description]")&amp;INDIRECT($B$3&amp;"."&amp;$B$158&amp;".energy[Energy description]"),0)),0)</f>
        <v>0</v>
      </c>
      <c r="F260" s="121">
        <f t="array" aca="1" ref="F260" ca="1">IFERROR(INDEX(INDIRECT($B$3&amp;"."&amp;$B$158&amp;".energy["&amp;This.year&amp;"]"),MATCH($C260&amp;F$5,INDIRECT($B$3&amp;"."&amp;$B$158&amp;".energy[Tech description]")&amp;INDIRECT($B$3&amp;"."&amp;$B$158&amp;".energy[Energy description]"),0)),0)</f>
        <v>0</v>
      </c>
      <c r="G260" s="121">
        <f t="array" aca="1" ref="G260" ca="1">IFERROR(INDEX(INDIRECT($B$3&amp;"."&amp;$B$158&amp;".energy["&amp;This.year&amp;"]"),MATCH($C260&amp;G$5,INDIRECT($B$3&amp;"."&amp;$B$158&amp;".energy[Tech description]")&amp;INDIRECT($B$3&amp;"."&amp;$B$158&amp;".energy[Energy description]"),0)),0)</f>
        <v>0</v>
      </c>
      <c r="H260" s="121">
        <f t="array" aca="1" ref="H260" ca="1">IFERROR(INDEX(INDIRECT($B$3&amp;"."&amp;$B$158&amp;".energy["&amp;This.year&amp;"]"),MATCH($C260&amp;H$5,INDIRECT($B$3&amp;"."&amp;$B$158&amp;".energy[Tech description]")&amp;INDIRECT($B$3&amp;"."&amp;$B$158&amp;".energy[Energy description]"),0)),0)</f>
        <v>0</v>
      </c>
      <c r="I260" s="121">
        <f t="array" aca="1" ref="I260" ca="1">IFERROR(INDEX(INDIRECT($B$3&amp;"."&amp;$B$158&amp;".energy["&amp;This.year&amp;"]"),MATCH($C260&amp;I$5,INDIRECT($B$3&amp;"."&amp;$B$158&amp;".energy[Tech description]")&amp;INDIRECT($B$3&amp;"."&amp;$B$158&amp;".energy[Energy description]"),0)),0)</f>
        <v>0</v>
      </c>
      <c r="J260" s="121">
        <f t="array" aca="1" ref="J260" ca="1">IFERROR(INDEX(INDIRECT($B$3&amp;"."&amp;$B$158&amp;".energy["&amp;This.year&amp;"]"),MATCH($C260&amp;J$5,INDIRECT($B$3&amp;"."&amp;$B$158&amp;".energy[Tech description]")&amp;INDIRECT($B$3&amp;"."&amp;$B$158&amp;".energy[Energy description]"),0)),0)</f>
        <v>2.5365553629120043</v>
      </c>
      <c r="K260" s="121">
        <f t="array" aca="1" ref="K260" ca="1">IFERROR(INDEX(INDIRECT($B$3&amp;"."&amp;$B$158&amp;".energy["&amp;This.year&amp;"]"),MATCH($C260&amp;K$5,INDIRECT($B$3&amp;"."&amp;$B$158&amp;".energy[Tech description]")&amp;INDIRECT($B$3&amp;"."&amp;$B$158&amp;".energy[Energy description]"),0)),0)</f>
        <v>0</v>
      </c>
      <c r="L260" s="121">
        <f t="array" aca="1" ref="L260" ca="1">IFERROR(INDEX(INDIRECT($B$3&amp;"."&amp;$B$158&amp;".energy["&amp;This.year&amp;"]"),MATCH($C260&amp;L$5,INDIRECT($B$3&amp;"."&amp;$B$158&amp;".energy[Tech description]")&amp;INDIRECT($B$3&amp;"."&amp;$B$158&amp;".energy[Energy description]"),0)),0)</f>
        <v>0</v>
      </c>
      <c r="M260" s="121">
        <f t="array" aca="1" ref="M260" ca="1">IFERROR(INDEX(INDIRECT($B$3&amp;"."&amp;$B$158&amp;".energy["&amp;This.year&amp;"]"),MATCH($C260&amp;M$5,INDIRECT($B$3&amp;"."&amp;$B$158&amp;".energy[Tech description]")&amp;INDIRECT($B$3&amp;"."&amp;$B$158&amp;".energy[Energy description]"),0)),0)</f>
        <v>0</v>
      </c>
      <c r="N260" s="121">
        <f t="array" aca="1" ref="N260" ca="1">IFERROR(INDEX(INDIRECT($B$3&amp;"."&amp;$B$158&amp;".energy["&amp;This.year&amp;"]"),MATCH($C260&amp;N$5,INDIRECT($B$3&amp;"."&amp;$B$158&amp;".energy[Tech description]")&amp;INDIRECT($B$3&amp;"."&amp;$B$158&amp;".energy[Energy description]"),0)),0)</f>
        <v>0</v>
      </c>
      <c r="O260" s="121">
        <f t="array" aca="1" ref="O260" ca="1">IFERROR(INDEX(INDIRECT($B$3&amp;"."&amp;$B$158&amp;".energy["&amp;This.year&amp;"]"),MATCH($C260&amp;O$5,INDIRECT($B$3&amp;"."&amp;$B$158&amp;".energy[Tech description]")&amp;INDIRECT($B$3&amp;"."&amp;$B$158&amp;".energy[Energy description]"),0)),0)</f>
        <v>0</v>
      </c>
      <c r="P260" s="121">
        <f t="array" aca="1" ref="P260" ca="1">IFERROR(INDEX(INDIRECT($B$3&amp;"."&amp;$B$158&amp;".energy["&amp;This.year&amp;"]"),MATCH($C260&amp;P$5,INDIRECT($B$3&amp;"."&amp;$B$158&amp;".energy[Tech description]")&amp;INDIRECT($B$3&amp;"."&amp;$B$158&amp;".energy[Energy description]"),0)),0)</f>
        <v>0</v>
      </c>
      <c r="Q260" s="121">
        <f t="array" aca="1" ref="Q260" ca="1">IFERROR(INDEX(INDIRECT($B$3&amp;"."&amp;$B$158&amp;".energy["&amp;This.year&amp;"]"),MATCH($C260&amp;Q$5,INDIRECT($B$3&amp;"."&amp;$B$158&amp;".energy[Tech description]")&amp;INDIRECT($B$3&amp;"."&amp;$B$158&amp;".energy[Energy description]"),0)),0)</f>
        <v>0</v>
      </c>
      <c r="R260" s="121">
        <f t="array" aca="1" ref="R260" ca="1">IFERROR(INDEX(INDIRECT($B$3&amp;"."&amp;$B$158&amp;".energy["&amp;This.year&amp;"]"),MATCH($C260&amp;R$5,INDIRECT($B$3&amp;"."&amp;$B$158&amp;".energy[Tech description]")&amp;INDIRECT($B$3&amp;"."&amp;$B$158&amp;".energy[Energy description]"),0)),0)</f>
        <v>0</v>
      </c>
      <c r="S260" s="121">
        <f t="array" aca="1" ref="S260" ca="1">IFERROR(INDEX(INDIRECT($B$3&amp;"."&amp;$B$158&amp;".energy["&amp;This.year&amp;"]"),MATCH($C260&amp;S$5,INDIRECT($B$3&amp;"."&amp;$B$158&amp;".energy[Tech description]")&amp;INDIRECT($B$3&amp;"."&amp;$B$158&amp;".energy[Energy description]"),0)),0)</f>
        <v>0</v>
      </c>
      <c r="T260" s="121">
        <f t="shared" ca="1" si="52"/>
        <v>2.5365553629120043</v>
      </c>
      <c r="U260" s="109"/>
      <c r="V260" s="152">
        <f t="array" aca="1" ref="V260" ca="1">IFERROR(INDEX(INDIRECT($B$3&amp;"."&amp;$B$158&amp;".energy["&amp;This.year&amp;"]"),MATCH($C260&amp;V$5,INDIRECT($B$3&amp;"."&amp;$B$158&amp;".energy[Tech description]")&amp;INDIRECT($B$3&amp;"."&amp;$B$158&amp;".energy[Energy description]"),0)),0)</f>
        <v>0</v>
      </c>
      <c r="W260" s="152">
        <f t="array" aca="1" ref="W260" ca="1">IFERROR(INDEX(INDIRECT($B$3&amp;"."&amp;$B$158&amp;".energy["&amp;This.year&amp;"]"),MATCH($C260&amp;W$5,INDIRECT($B$3&amp;"."&amp;$B$158&amp;".energy[Tech description]")&amp;INDIRECT($B$3&amp;"."&amp;$B$158&amp;".energy[Energy description]"),0)),0)</f>
        <v>0</v>
      </c>
      <c r="X260" s="152">
        <f t="array" aca="1" ref="X260" ca="1">IFERROR(INDEX(INDIRECT($B$3&amp;"."&amp;$B$158&amp;".energy["&amp;This.year&amp;"]"),MATCH($C260&amp;X$5,INDIRECT($B$3&amp;"."&amp;$B$158&amp;".energy[Tech description]")&amp;INDIRECT($B$3&amp;"."&amp;$B$158&amp;".energy[Energy description]"),0)),0)</f>
        <v>0</v>
      </c>
      <c r="Y260" s="152">
        <f t="array" aca="1" ref="Y260" ca="1">IFERROR(INDEX(INDIRECT($B$3&amp;"."&amp;$B$158&amp;".energy["&amp;This.year&amp;"]"),MATCH($C260&amp;Y$5,INDIRECT($B$3&amp;"."&amp;$B$158&amp;".energy[Tech description]")&amp;INDIRECT($B$3&amp;"."&amp;$B$158&amp;".energy[Energy description]"),0)),0)</f>
        <v>0</v>
      </c>
      <c r="Z260" s="152">
        <f t="array" aca="1" ref="Z260" ca="1">IFERROR(INDEX(INDIRECT($B$3&amp;"."&amp;$B$158&amp;".energy["&amp;This.year&amp;"]"),MATCH($C260&amp;Z$5,INDIRECT($B$3&amp;"."&amp;$B$158&amp;".energy[Tech description]")&amp;INDIRECT($B$3&amp;"."&amp;$B$158&amp;".energy[Energy description]"),0)),0)</f>
        <v>0</v>
      </c>
      <c r="AA260" s="152">
        <f t="array" aca="1" ref="AA260" ca="1">IFERROR(INDEX(INDIRECT($B$3&amp;"."&amp;$B$158&amp;".energy["&amp;This.year&amp;"]"),MATCH($C260&amp;AA$5,INDIRECT($B$3&amp;"."&amp;$B$158&amp;".energy[Tech description]")&amp;INDIRECT($B$3&amp;"."&amp;$B$158&amp;".energy[Energy description]"),0)),0)</f>
        <v>0</v>
      </c>
      <c r="AB260" s="152">
        <f t="array" aca="1" ref="AB260" ca="1">IFERROR(INDEX(INDIRECT($B$3&amp;"."&amp;$B$158&amp;".energy["&amp;This.year&amp;"]"),MATCH($C260&amp;AB$5,INDIRECT($B$3&amp;"."&amp;$B$158&amp;".energy[Tech description]")&amp;INDIRECT($B$3&amp;"."&amp;$B$158&amp;".energy[Energy description]"),0)),0)</f>
        <v>0</v>
      </c>
      <c r="AC260" s="152">
        <f t="array" aca="1" ref="AC260" ca="1">IFERROR(INDEX(INDIRECT($B$3&amp;"."&amp;$B$158&amp;".energy["&amp;This.year&amp;"]"),MATCH($C260&amp;AC$5,INDIRECT($B$3&amp;"."&amp;$B$158&amp;".energy[Tech description]")&amp;INDIRECT($B$3&amp;"."&amp;$B$158&amp;".energy[Energy description]"),0)),0)</f>
        <v>0</v>
      </c>
      <c r="AD260" s="152">
        <f t="array" aca="1" ref="AD260" ca="1">IFERROR(INDEX(INDIRECT($B$3&amp;"."&amp;$B$158&amp;".energy["&amp;This.year&amp;"]"),MATCH($C260&amp;AD$5,INDIRECT($B$3&amp;"."&amp;$B$158&amp;".energy[Tech description]")&amp;INDIRECT($B$3&amp;"."&amp;$B$158&amp;".energy[Energy description]"),0)),0)</f>
        <v>0</v>
      </c>
      <c r="AE260" s="152">
        <f t="array" aca="1" ref="AE260" ca="1">IFERROR(INDEX(INDIRECT($B$3&amp;"."&amp;$B$158&amp;".energy["&amp;This.year&amp;"]"),MATCH($C260&amp;AE$5,INDIRECT($B$3&amp;"."&amp;$B$158&amp;".energy[Tech description]")&amp;INDIRECT($B$3&amp;"."&amp;$B$158&amp;".energy[Energy description]"),0)),0)</f>
        <v>0</v>
      </c>
      <c r="AF260" s="152">
        <f t="array" aca="1" ref="AF260" ca="1">IFERROR(INDEX(INDIRECT($B$3&amp;"."&amp;$B$158&amp;".energy["&amp;This.year&amp;"]"),MATCH($C260&amp;AF$5,INDIRECT($B$3&amp;"."&amp;$B$158&amp;".energy[Tech description]")&amp;INDIRECT($B$3&amp;"."&amp;$B$158&amp;".energy[Energy description]"),0)),0)</f>
        <v>0</v>
      </c>
      <c r="AG260" s="152">
        <f t="array" aca="1" ref="AG260" ca="1">IFERROR(INDEX(INDIRECT($B$3&amp;"."&amp;$B$158&amp;".energy["&amp;This.year&amp;"]"),MATCH($C260&amp;AG$5,INDIRECT($B$3&amp;"."&amp;$B$158&amp;".energy[Tech description]")&amp;INDIRECT($B$3&amp;"."&amp;$B$158&amp;".energy[Energy description]"),0)),0)</f>
        <v>0</v>
      </c>
      <c r="AH260" s="152">
        <f t="array" aca="1" ref="AH260" ca="1">IFERROR(INDEX(INDIRECT($B$3&amp;"."&amp;$B$158&amp;".energy["&amp;This.year&amp;"]"),MATCH($C260&amp;AH$5,INDIRECT($B$3&amp;"."&amp;$B$158&amp;".energy[Tech description]")&amp;INDIRECT($B$3&amp;"."&amp;$B$158&amp;".energy[Energy description]"),0)),0)</f>
        <v>0</v>
      </c>
      <c r="AI260" s="152">
        <f t="array" aca="1" ref="AI260" ca="1">IFERROR(INDEX(INDIRECT($B$3&amp;"."&amp;$B$158&amp;".energy["&amp;This.year&amp;"]"),MATCH($C260&amp;AI$5,INDIRECT($B$3&amp;"."&amp;$B$158&amp;".energy[Tech description]")&amp;INDIRECT($B$3&amp;"."&amp;$B$158&amp;".energy[Energy description]"),0)),0)</f>
        <v>0</v>
      </c>
      <c r="AJ260" s="152">
        <f t="array" aca="1" ref="AJ260" ca="1">IFERROR(INDEX(INDIRECT($B$3&amp;"."&amp;$B$158&amp;".energy["&amp;This.year&amp;"]"),MATCH($C260&amp;AJ$5,INDIRECT($B$3&amp;"."&amp;$B$158&amp;".energy[Tech description]")&amp;INDIRECT($B$3&amp;"."&amp;$B$158&amp;".energy[Energy description]"),0)),0)</f>
        <v>0</v>
      </c>
      <c r="AK260" s="152">
        <f t="array" aca="1" ref="AK260" ca="1">IFERROR(INDEX(INDIRECT($B$3&amp;"."&amp;$B$158&amp;".energy["&amp;This.year&amp;"]"),MATCH($C260&amp;AK$5,INDIRECT($B$3&amp;"."&amp;$B$158&amp;".energy[Tech description]")&amp;INDIRECT($B$3&amp;"."&amp;$B$158&amp;".energy[Energy description]"),0)),0)</f>
        <v>0</v>
      </c>
      <c r="AL260" s="152">
        <f t="array" aca="1" ref="AL260" ca="1">IFERROR(INDEX(INDIRECT($B$3&amp;"."&amp;$B$158&amp;".energy["&amp;This.year&amp;"]"),MATCH($C260&amp;AL$5,INDIRECT($B$3&amp;"."&amp;$B$158&amp;".energy[Tech description]")&amp;INDIRECT($B$3&amp;"."&amp;$B$158&amp;".energy[Energy description]"),0)),0)</f>
        <v>-2.5365553629120043</v>
      </c>
      <c r="AM260" s="152">
        <f t="array" aca="1" ref="AM260" ca="1">IFERROR(INDEX(INDIRECT($B$3&amp;"."&amp;$B$158&amp;".energy["&amp;This.year&amp;"]"),MATCH($C260&amp;AM$5,INDIRECT($B$3&amp;"."&amp;$B$158&amp;".energy[Tech description]")&amp;INDIRECT($B$3&amp;"."&amp;$B$158&amp;".energy[Energy description]"),0)),0)</f>
        <v>0</v>
      </c>
      <c r="AN260" s="152">
        <f t="array" aca="1" ref="AN260" ca="1">IFERROR(INDEX(INDIRECT($B$3&amp;"."&amp;$B$158&amp;".energy["&amp;This.year&amp;"]"),MATCH($C260&amp;AN$5,INDIRECT($B$3&amp;"."&amp;$B$158&amp;".energy[Tech description]")&amp;INDIRECT($B$3&amp;"."&amp;$B$158&amp;".energy[Energy description]"),0)),0)</f>
        <v>0</v>
      </c>
      <c r="AO260" s="152">
        <f t="shared" ca="1" si="53"/>
        <v>-2.5365553629120043</v>
      </c>
      <c r="AP260" s="108"/>
      <c r="AQ260" s="21">
        <f t="array" aca="1" ref="AQ260" ca="1">IFERROR(INDEX(INDIRECT($B$3&amp;"."&amp;$B$158&amp;".energy["&amp;This.year&amp;"]"),MATCH($C260&amp;AQ$5,INDIRECT($B$3&amp;"."&amp;$B$158&amp;".energy[Tech description]")&amp;INDIRECT($B$3&amp;"."&amp;$B$158&amp;".energy[Energy description]"),0)),0)</f>
        <v>0</v>
      </c>
      <c r="AR260" s="21">
        <f t="array" aca="1" ref="AR260" ca="1">IFERROR(INDEX(INDIRECT($B$3&amp;"."&amp;$B$158&amp;".energy["&amp;This.year&amp;"]"),MATCH($C260&amp;AR$5,INDIRECT($B$3&amp;"."&amp;$B$158&amp;".energy[Tech description]")&amp;INDIRECT($B$3&amp;"."&amp;$B$158&amp;".energy[Energy description]"),0)),0)</f>
        <v>0</v>
      </c>
      <c r="AS260" s="21">
        <f t="array" aca="1" ref="AS260" ca="1">IFERROR(INDEX(INDIRECT($B$3&amp;"."&amp;$B$158&amp;".energy["&amp;This.year&amp;"]"),MATCH($C260&amp;AS$5,INDIRECT($B$3&amp;"."&amp;$B$158&amp;".energy[Tech description]")&amp;INDIRECT($B$3&amp;"."&amp;$B$158&amp;".energy[Energy description]"),0)),0)</f>
        <v>0</v>
      </c>
      <c r="AT260" s="21">
        <f t="array" aca="1" ref="AT260" ca="1">IFERROR(INDEX(INDIRECT($B$3&amp;"."&amp;$B$158&amp;".energy["&amp;This.year&amp;"]"),MATCH($C260&amp;AT$5,INDIRECT($B$3&amp;"."&amp;$B$158&amp;".energy[Tech description]")&amp;INDIRECT($B$3&amp;"."&amp;$B$158&amp;".energy[Energy description]"),0)),0)</f>
        <v>0</v>
      </c>
      <c r="AU260" s="21">
        <f t="array" aca="1" ref="AU260" ca="1">IFERROR(INDEX(INDIRECT($B$3&amp;"."&amp;$B$158&amp;".energy["&amp;This.year&amp;"]"),MATCH($C260&amp;AU$5,INDIRECT($B$3&amp;"."&amp;$B$158&amp;".energy[Tech description]")&amp;INDIRECT($B$3&amp;"."&amp;$B$158&amp;".energy[Energy description]"),0)),0)</f>
        <v>0</v>
      </c>
      <c r="AV260" s="21">
        <f t="array" aca="1" ref="AV260" ca="1">IFERROR(INDEX(INDIRECT($B$3&amp;"."&amp;$B$158&amp;".energy["&amp;This.year&amp;"]"),MATCH($C260&amp;AV$5,INDIRECT($B$3&amp;"."&amp;$B$158&amp;".energy[Tech description]")&amp;INDIRECT($B$3&amp;"."&amp;$B$158&amp;".energy[Energy description]"),0)),0)</f>
        <v>0</v>
      </c>
      <c r="AW260" s="21">
        <f t="array" aca="1" ref="AW260" ca="1">IFERROR(INDEX(INDIRECT($B$3&amp;"."&amp;$B$158&amp;".energy["&amp;This.year&amp;"]"),MATCH($C260&amp;AW$5,INDIRECT($B$3&amp;"."&amp;$B$158&amp;".energy[Tech description]")&amp;INDIRECT($B$3&amp;"."&amp;$B$158&amp;".energy[Energy description]"),0)),0)</f>
        <v>0</v>
      </c>
      <c r="AX260" s="21">
        <f t="array" aca="1" ref="AX260" ca="1">IFERROR(INDEX(INDIRECT($B$3&amp;"."&amp;$B$158&amp;".energy["&amp;This.year&amp;"]"),MATCH($C260&amp;AX$5,INDIRECT($B$3&amp;"."&amp;$B$158&amp;".energy[Tech description]")&amp;INDIRECT($B$3&amp;"."&amp;$B$158&amp;".energy[Energy description]"),0)),0)</f>
        <v>0</v>
      </c>
      <c r="AY260" s="21">
        <f t="array" aca="1" ref="AY260" ca="1">IFERROR(INDEX(INDIRECT($B$3&amp;"."&amp;$B$158&amp;".energy["&amp;This.year&amp;"]"),MATCH($C260&amp;AY$5,INDIRECT($B$3&amp;"."&amp;$B$158&amp;".energy[Tech description]")&amp;INDIRECT($B$3&amp;"."&amp;$B$158&amp;".energy[Energy description]"),0)),0)</f>
        <v>0</v>
      </c>
      <c r="AZ260" s="21">
        <f t="array" aca="1" ref="AZ260" ca="1">IFERROR(INDEX(INDIRECT($B$3&amp;"."&amp;$B$158&amp;".energy["&amp;This.year&amp;"]"),MATCH($C260&amp;AZ$5,INDIRECT($B$3&amp;"."&amp;$B$158&amp;".energy[Tech description]")&amp;INDIRECT($B$3&amp;"."&amp;$B$158&amp;".energy[Energy description]"),0)),0)</f>
        <v>0</v>
      </c>
      <c r="BA260" s="21">
        <f t="array" aca="1" ref="BA260" ca="1">IFERROR(INDEX(INDIRECT($B$3&amp;"."&amp;$B$158&amp;".energy["&amp;This.year&amp;"]"),MATCH($C260&amp;BA$5,INDIRECT($B$3&amp;"."&amp;$B$158&amp;".energy[Tech description]")&amp;INDIRECT($B$3&amp;"."&amp;$B$158&amp;".energy[Energy description]"),0)),0)</f>
        <v>0</v>
      </c>
      <c r="BB260" s="21">
        <f t="array" aca="1" ref="BB260" ca="1">IFERROR(INDEX(INDIRECT($B$3&amp;"."&amp;$B$158&amp;".energy["&amp;This.year&amp;"]"),MATCH($C260&amp;BB$5,INDIRECT($B$3&amp;"."&amp;$B$158&amp;".energy[Tech description]")&amp;INDIRECT($B$3&amp;"."&amp;$B$158&amp;".energy[Energy description]"),0)),0)</f>
        <v>0</v>
      </c>
      <c r="BC260" s="21">
        <f t="array" aca="1" ref="BC260" ca="1">IFERROR(INDEX(INDIRECT($B$3&amp;"."&amp;$B$158&amp;".energy["&amp;This.year&amp;"]"),MATCH($C260&amp;BC$5,INDIRECT($B$3&amp;"."&amp;$B$158&amp;".energy[Tech description]")&amp;INDIRECT($B$3&amp;"."&amp;$B$158&amp;".energy[Energy description]"),0)),0)</f>
        <v>0</v>
      </c>
      <c r="BD260" s="21">
        <f t="shared" ca="1" si="54"/>
        <v>0</v>
      </c>
      <c r="BE260" s="108"/>
      <c r="BF260" s="49">
        <f t="array" aca="1" ref="BF260" ca="1">IFERROR(INDEX(INDIRECT($B$3&amp;"."&amp;$B$158&amp;".energy["&amp;This.year&amp;"]"),MATCH($C260&amp;BF$5,INDIRECT($B$3&amp;"."&amp;$B$158&amp;".energy[Tech description]")&amp;INDIRECT($B$3&amp;"."&amp;$B$158&amp;".energy[Energy description]"),0)),0)</f>
        <v>0</v>
      </c>
      <c r="BG260" s="49">
        <f t="array" aca="1" ref="BG260" ca="1">IFERROR(INDEX(INDIRECT($B$3&amp;"."&amp;$B$158&amp;".energy["&amp;This.year&amp;"]"),MATCH($C260&amp;BG$5,INDIRECT($B$3&amp;"."&amp;$B$158&amp;".energy[Tech description]")&amp;INDIRECT($B$3&amp;"."&amp;$B$158&amp;".energy[Energy description]"),0)),0)</f>
        <v>0</v>
      </c>
      <c r="BH260" s="49">
        <f t="shared" ca="1" si="55"/>
        <v>0</v>
      </c>
      <c r="BI260" s="219">
        <f t="shared" ca="1" si="51"/>
        <v>0</v>
      </c>
      <c r="BJ260" s="108"/>
    </row>
    <row r="261" spans="1:62" s="54" customFormat="1">
      <c r="A261" s="133"/>
      <c r="B261" s="106"/>
      <c r="E261" s="121"/>
      <c r="F261" s="121"/>
      <c r="G261" s="121"/>
      <c r="H261" s="121"/>
      <c r="I261" s="121"/>
      <c r="J261" s="121"/>
      <c r="K261" s="121"/>
      <c r="L261" s="121"/>
      <c r="M261" s="121"/>
      <c r="N261" s="121"/>
      <c r="O261" s="121"/>
      <c r="P261" s="121"/>
      <c r="Q261" s="121"/>
      <c r="R261" s="121"/>
      <c r="S261" s="121"/>
      <c r="T261" s="121"/>
      <c r="U261" s="109"/>
      <c r="V261" s="152"/>
      <c r="W261" s="152"/>
      <c r="X261" s="152"/>
      <c r="Y261" s="152"/>
      <c r="Z261" s="152"/>
      <c r="AA261" s="152"/>
      <c r="AB261" s="152"/>
      <c r="AC261" s="152"/>
      <c r="AD261" s="152"/>
      <c r="AE261" s="152"/>
      <c r="AF261" s="152"/>
      <c r="AG261" s="152"/>
      <c r="AH261" s="152"/>
      <c r="AI261" s="152"/>
      <c r="AJ261" s="152"/>
      <c r="AK261" s="152"/>
      <c r="AL261" s="152"/>
      <c r="AM261" s="152"/>
      <c r="AN261" s="152"/>
      <c r="AO261" s="152"/>
      <c r="AP261" s="108"/>
      <c r="AQ261" s="21"/>
      <c r="AR261" s="21"/>
      <c r="AS261" s="21"/>
      <c r="AT261" s="21"/>
      <c r="AU261" s="21"/>
      <c r="AV261" s="21"/>
      <c r="AW261" s="21"/>
      <c r="AX261" s="21"/>
      <c r="AY261" s="21"/>
      <c r="AZ261" s="21"/>
      <c r="BA261" s="21"/>
      <c r="BB261" s="21"/>
      <c r="BC261" s="21"/>
      <c r="BD261" s="21"/>
      <c r="BE261" s="108"/>
      <c r="BF261" s="49"/>
      <c r="BG261" s="49"/>
      <c r="BH261" s="49"/>
      <c r="BI261" s="219"/>
      <c r="BJ261" s="108"/>
    </row>
    <row r="262" spans="1:62">
      <c r="B262" s="54"/>
      <c r="C262" s="55"/>
      <c r="D262" s="54"/>
      <c r="E262" s="121"/>
      <c r="F262" s="121"/>
      <c r="G262" s="121"/>
      <c r="H262" s="121"/>
      <c r="I262" s="121"/>
      <c r="J262" s="121"/>
      <c r="K262" s="121"/>
      <c r="L262" s="121"/>
      <c r="M262" s="121"/>
      <c r="N262" s="121"/>
      <c r="O262" s="121"/>
      <c r="P262" s="121"/>
      <c r="Q262" s="121"/>
      <c r="R262" s="121"/>
      <c r="S262" s="121"/>
      <c r="T262" s="121"/>
      <c r="U262" s="60"/>
      <c r="V262" s="152"/>
      <c r="W262" s="152"/>
      <c r="X262" s="152"/>
      <c r="Y262" s="152"/>
      <c r="Z262" s="152"/>
      <c r="AA262" s="152"/>
      <c r="AB262" s="152"/>
      <c r="AC262" s="152"/>
      <c r="AD262" s="152"/>
      <c r="AE262" s="152"/>
      <c r="AF262" s="152"/>
      <c r="AG262" s="152"/>
      <c r="AH262" s="152"/>
      <c r="AI262" s="152"/>
      <c r="AJ262" s="152"/>
      <c r="AK262" s="152"/>
      <c r="AL262" s="152"/>
      <c r="AM262" s="152"/>
      <c r="AN262" s="152"/>
      <c r="AO262" s="152"/>
      <c r="AP262" s="60"/>
      <c r="AQ262" s="21"/>
      <c r="AR262" s="21"/>
      <c r="AS262" s="21"/>
      <c r="AT262" s="21"/>
      <c r="AU262" s="21"/>
      <c r="AV262" s="21"/>
      <c r="AW262" s="21"/>
      <c r="AX262" s="21"/>
      <c r="AY262" s="21"/>
      <c r="AZ262" s="21"/>
      <c r="BA262" s="21"/>
      <c r="BB262" s="21"/>
      <c r="BC262" s="21"/>
      <c r="BD262" s="21"/>
      <c r="BE262" s="60"/>
      <c r="BF262" s="49"/>
      <c r="BG262" s="49"/>
      <c r="BH262" s="49"/>
      <c r="BJ262" s="60"/>
    </row>
    <row r="263" spans="1:62" ht="20">
      <c r="B263" s="53"/>
      <c r="C263" s="9" t="s">
        <v>636</v>
      </c>
      <c r="D263" s="219" t="s">
        <v>414</v>
      </c>
      <c r="E263" s="121">
        <f t="shared" ref="E263:T263" ca="1" si="56">SUM(E10,E86,E158)</f>
        <v>0</v>
      </c>
      <c r="F263" s="121">
        <f t="shared" ca="1" si="56"/>
        <v>0</v>
      </c>
      <c r="G263" s="121">
        <f t="shared" ca="1" si="56"/>
        <v>0</v>
      </c>
      <c r="H263" s="121">
        <f t="shared" ca="1" si="56"/>
        <v>0</v>
      </c>
      <c r="I263" s="121">
        <f t="shared" ca="1" si="56"/>
        <v>0</v>
      </c>
      <c r="J263" s="121">
        <f t="shared" ca="1" si="56"/>
        <v>142.97457688351506</v>
      </c>
      <c r="K263" s="121">
        <f t="shared" ca="1" si="56"/>
        <v>0</v>
      </c>
      <c r="L263" s="121">
        <f t="shared" ca="1" si="56"/>
        <v>0</v>
      </c>
      <c r="M263" s="121">
        <f t="shared" ca="1" si="56"/>
        <v>0</v>
      </c>
      <c r="N263" s="121">
        <f t="shared" ca="1" si="56"/>
        <v>0</v>
      </c>
      <c r="O263" s="121">
        <f t="shared" ca="1" si="56"/>
        <v>0</v>
      </c>
      <c r="P263" s="121">
        <f t="shared" ca="1" si="56"/>
        <v>0</v>
      </c>
      <c r="Q263" s="121">
        <f t="shared" ca="1" si="56"/>
        <v>0</v>
      </c>
      <c r="R263" s="121">
        <f t="shared" ca="1" si="56"/>
        <v>0</v>
      </c>
      <c r="S263" s="121">
        <f t="shared" ca="1" si="56"/>
        <v>0</v>
      </c>
      <c r="T263" s="121">
        <f t="shared" ca="1" si="56"/>
        <v>142.97457688351506</v>
      </c>
      <c r="U263" s="58"/>
      <c r="V263" s="152">
        <f t="shared" ref="V263:AA263" ca="1" si="57">SUM(V10,V86,V158)</f>
        <v>-28.187233874425708</v>
      </c>
      <c r="W263" s="152">
        <f t="shared" ca="1" si="57"/>
        <v>0</v>
      </c>
      <c r="X263" s="152">
        <f t="shared" ca="1" si="57"/>
        <v>-8.0491322537491143</v>
      </c>
      <c r="Y263" s="152">
        <f t="shared" ca="1" si="57"/>
        <v>0</v>
      </c>
      <c r="Z263" s="152">
        <f t="shared" ca="1" si="57"/>
        <v>0</v>
      </c>
      <c r="AA263" s="152">
        <f t="shared" ca="1" si="57"/>
        <v>-42.287175675880007</v>
      </c>
      <c r="AB263" s="152">
        <v>240</v>
      </c>
      <c r="AC263" s="152">
        <f t="shared" ref="AC263:AO263" ca="1" si="58">SUM(AC10,AC86,AC158)</f>
        <v>-28.331425732791395</v>
      </c>
      <c r="AD263" s="152">
        <f t="shared" ca="1" si="58"/>
        <v>0</v>
      </c>
      <c r="AE263" s="152">
        <f t="shared" ca="1" si="58"/>
        <v>0</v>
      </c>
      <c r="AF263" s="152">
        <f t="shared" ca="1" si="58"/>
        <v>0</v>
      </c>
      <c r="AG263" s="152">
        <f t="shared" ca="1" si="58"/>
        <v>0</v>
      </c>
      <c r="AH263" s="152">
        <f t="shared" ca="1" si="58"/>
        <v>0</v>
      </c>
      <c r="AI263" s="152">
        <f t="shared" ca="1" si="58"/>
        <v>0</v>
      </c>
      <c r="AJ263" s="152">
        <f t="shared" ca="1" si="58"/>
        <v>0</v>
      </c>
      <c r="AK263" s="152">
        <f t="shared" ca="1" si="58"/>
        <v>0</v>
      </c>
      <c r="AL263" s="152">
        <f t="shared" ca="1" si="58"/>
        <v>-5.3101024473450966</v>
      </c>
      <c r="AM263" s="152">
        <f t="shared" ca="1" si="58"/>
        <v>0</v>
      </c>
      <c r="AN263" s="152">
        <f t="shared" ca="1" si="58"/>
        <v>0</v>
      </c>
      <c r="AO263" s="152">
        <f t="shared" ca="1" si="58"/>
        <v>-142.97457688351506</v>
      </c>
      <c r="AP263" s="58"/>
      <c r="AQ263" s="21">
        <f t="shared" ref="AQ263:BD263" ca="1" si="59">SUM(AQ10,AQ86,AQ158)</f>
        <v>0</v>
      </c>
      <c r="AR263" s="21">
        <f t="shared" ca="1" si="59"/>
        <v>0</v>
      </c>
      <c r="AS263" s="21">
        <f t="shared" ca="1" si="59"/>
        <v>0</v>
      </c>
      <c r="AT263" s="21">
        <f t="shared" ca="1" si="59"/>
        <v>0</v>
      </c>
      <c r="AU263" s="21">
        <f t="shared" ca="1" si="59"/>
        <v>0</v>
      </c>
      <c r="AV263" s="21">
        <f t="shared" ca="1" si="59"/>
        <v>0</v>
      </c>
      <c r="AW263" s="21">
        <f t="shared" ca="1" si="59"/>
        <v>0</v>
      </c>
      <c r="AX263" s="21">
        <f t="shared" ca="1" si="59"/>
        <v>0</v>
      </c>
      <c r="AY263" s="21">
        <f t="shared" ca="1" si="59"/>
        <v>0</v>
      </c>
      <c r="AZ263" s="21">
        <f t="shared" ca="1" si="59"/>
        <v>0</v>
      </c>
      <c r="BA263" s="21">
        <f t="shared" ca="1" si="59"/>
        <v>0</v>
      </c>
      <c r="BB263" s="21">
        <f t="shared" ca="1" si="59"/>
        <v>0</v>
      </c>
      <c r="BC263" s="21">
        <f t="shared" ca="1" si="59"/>
        <v>0</v>
      </c>
      <c r="BD263" s="21">
        <f t="shared" ca="1" si="59"/>
        <v>0</v>
      </c>
      <c r="BE263" s="58"/>
      <c r="BF263" s="49">
        <f ca="1">SUM(BF10,BF86,BF158)</f>
        <v>0</v>
      </c>
      <c r="BG263" s="49">
        <f ca="1">SUM(BG10,BG86,BG158)</f>
        <v>0</v>
      </c>
      <c r="BH263" s="49">
        <f ca="1">SUM(BH10,BH86,BH158)</f>
        <v>0</v>
      </c>
      <c r="BI263" s="219">
        <f ca="1">SUM(BI10,BI86,BI158)</f>
        <v>0</v>
      </c>
      <c r="BJ263" s="58"/>
    </row>
    <row r="264" spans="1:62">
      <c r="E264" s="110"/>
      <c r="F264" s="59"/>
      <c r="G264" s="59"/>
      <c r="H264" s="59"/>
      <c r="I264" s="59"/>
      <c r="J264" s="59"/>
      <c r="K264" s="59"/>
      <c r="L264" s="59"/>
      <c r="M264" s="59"/>
      <c r="N264" s="59"/>
      <c r="O264" s="59"/>
      <c r="P264" s="59"/>
      <c r="Q264" s="59"/>
      <c r="R264" s="59"/>
      <c r="S264" s="59"/>
      <c r="U264" s="58"/>
      <c r="V264" s="170"/>
      <c r="W264" s="170"/>
      <c r="X264" s="170"/>
      <c r="Y264" s="170"/>
      <c r="Z264" s="170"/>
      <c r="AA264" s="170"/>
      <c r="AB264" s="170"/>
      <c r="AC264" s="170"/>
      <c r="AD264" s="170"/>
      <c r="AE264" s="170"/>
      <c r="AF264" s="170"/>
      <c r="AG264" s="170"/>
      <c r="AH264" s="170"/>
      <c r="AI264" s="170"/>
      <c r="AJ264" s="170"/>
      <c r="AK264" s="170"/>
      <c r="AL264" s="170"/>
      <c r="AM264" s="170"/>
      <c r="AN264" s="170"/>
      <c r="AO264" s="170"/>
      <c r="AP264" s="59"/>
      <c r="AQ264" s="59"/>
      <c r="AR264" s="59"/>
      <c r="AS264" s="59"/>
      <c r="AT264" s="59"/>
      <c r="AU264" s="59"/>
      <c r="AV264" s="59"/>
      <c r="AW264" s="59"/>
      <c r="AX264" s="59"/>
      <c r="AY264" s="59"/>
      <c r="AZ264" s="59"/>
      <c r="BA264" s="59"/>
      <c r="BB264" s="59"/>
      <c r="BC264" s="59"/>
      <c r="BE264" s="59"/>
      <c r="BJ264" s="59"/>
    </row>
    <row r="265" spans="1:62" ht="20">
      <c r="B265" s="9" t="s">
        <v>412</v>
      </c>
      <c r="E265" s="121"/>
      <c r="F265" s="121"/>
      <c r="G265" s="121"/>
      <c r="H265" s="121"/>
      <c r="I265" s="121"/>
      <c r="J265" s="121"/>
      <c r="K265" s="121"/>
      <c r="L265" s="121"/>
      <c r="M265" s="121"/>
      <c r="N265" s="121"/>
      <c r="O265" s="121"/>
      <c r="P265" s="121"/>
      <c r="Q265" s="121"/>
      <c r="R265" s="121"/>
      <c r="S265" s="121"/>
      <c r="T265" s="121"/>
      <c r="V265" s="152"/>
      <c r="W265" s="152"/>
      <c r="X265" s="152"/>
      <c r="Y265" s="152"/>
      <c r="Z265" s="152"/>
      <c r="AA265" s="152"/>
      <c r="AB265" s="152"/>
      <c r="AC265" s="152"/>
      <c r="AD265" s="152"/>
      <c r="AE265" s="152"/>
      <c r="AF265" s="152"/>
      <c r="AG265" s="152"/>
      <c r="AH265" s="152"/>
      <c r="AI265" s="152"/>
      <c r="AJ265" s="152"/>
      <c r="AK265" s="152"/>
      <c r="AL265" s="152"/>
      <c r="AM265" s="152"/>
      <c r="AN265" s="152"/>
      <c r="AO265" s="152"/>
      <c r="AP265" s="58"/>
      <c r="AQ265" s="21"/>
      <c r="AR265" s="21"/>
      <c r="AS265" s="21"/>
      <c r="AT265" s="21"/>
      <c r="AU265" s="21"/>
      <c r="AV265" s="21"/>
      <c r="AW265" s="21"/>
      <c r="AX265" s="21"/>
      <c r="AY265" s="21"/>
      <c r="AZ265" s="21"/>
      <c r="BA265" s="21"/>
      <c r="BB265" s="21"/>
      <c r="BC265" s="21"/>
      <c r="BD265" s="21"/>
      <c r="BE265" s="58"/>
      <c r="BF265" s="49"/>
      <c r="BG265" s="49"/>
      <c r="BH265" s="49"/>
      <c r="BJ265" s="58"/>
    </row>
    <row r="266" spans="1:62">
      <c r="B266" s="54"/>
      <c r="C266" s="54"/>
      <c r="D266" s="54"/>
      <c r="E266" s="121"/>
      <c r="F266" s="121"/>
      <c r="G266" s="121"/>
      <c r="H266" s="121"/>
      <c r="I266" s="121"/>
      <c r="J266" s="121"/>
      <c r="K266" s="121"/>
      <c r="L266" s="121"/>
      <c r="M266" s="121"/>
      <c r="N266" s="121"/>
      <c r="O266" s="121"/>
      <c r="P266" s="121"/>
      <c r="Q266" s="121"/>
      <c r="R266" s="121"/>
      <c r="S266" s="121"/>
      <c r="T266" s="121"/>
      <c r="V266" s="152"/>
      <c r="W266" s="152"/>
      <c r="X266" s="152"/>
      <c r="Y266" s="152"/>
      <c r="Z266" s="152"/>
      <c r="AA266" s="152"/>
      <c r="AB266" s="152"/>
      <c r="AC266" s="152"/>
      <c r="AD266" s="152"/>
      <c r="AE266" s="152"/>
      <c r="AF266" s="152"/>
      <c r="AG266" s="152"/>
      <c r="AH266" s="152"/>
      <c r="AI266" s="152"/>
      <c r="AJ266" s="152"/>
      <c r="AK266" s="152"/>
      <c r="AL266" s="152"/>
      <c r="AM266" s="152"/>
      <c r="AN266" s="152"/>
      <c r="AO266" s="152"/>
      <c r="AQ266" s="21"/>
      <c r="AR266" s="21"/>
      <c r="AS266" s="21"/>
      <c r="AT266" s="21"/>
      <c r="AU266" s="21"/>
      <c r="AV266" s="21"/>
      <c r="AW266" s="21"/>
      <c r="AX266" s="21"/>
      <c r="AY266" s="21"/>
      <c r="AZ266" s="21"/>
      <c r="BA266" s="21"/>
      <c r="BB266" s="21"/>
      <c r="BC266" s="21"/>
      <c r="BD266" s="21"/>
      <c r="BE266" s="60"/>
      <c r="BF266" s="49"/>
      <c r="BG266" s="49"/>
      <c r="BH266" s="49"/>
      <c r="BJ266" s="60"/>
    </row>
    <row r="267" spans="1:62" ht="15">
      <c r="B267" s="105">
        <v>40</v>
      </c>
      <c r="C267" s="15" t="str">
        <f>INDEX(Regional.sectors[Description],MATCH($B$3&amp;"."&amp;B267,Regional.sectors[Code],0))</f>
        <v>Global Electricity Generation</v>
      </c>
      <c r="E267" s="50">
        <f ca="1">SUM(E269,E278,E287,E290,E294,E297,E301,E305,E308)</f>
        <v>0</v>
      </c>
      <c r="F267" s="50">
        <f t="shared" ref="F267:BI267" ca="1" si="60">SUM(F269,F278,F287,F290,F294,F297,F301,F305,F308)</f>
        <v>0</v>
      </c>
      <c r="G267" s="50">
        <f t="shared" ca="1" si="60"/>
        <v>0</v>
      </c>
      <c r="H267" s="50">
        <f t="shared" ca="1" si="60"/>
        <v>0</v>
      </c>
      <c r="I267" s="50">
        <f t="shared" ca="1" si="60"/>
        <v>0</v>
      </c>
      <c r="J267" s="50">
        <f t="shared" ca="1" si="60"/>
        <v>0</v>
      </c>
      <c r="K267" s="50">
        <f t="shared" ca="1" si="60"/>
        <v>0</v>
      </c>
      <c r="L267" s="50">
        <f t="shared" ca="1" si="60"/>
        <v>0</v>
      </c>
      <c r="M267" s="50">
        <f t="shared" ca="1" si="60"/>
        <v>0</v>
      </c>
      <c r="N267" s="50">
        <f t="shared" ca="1" si="60"/>
        <v>0</v>
      </c>
      <c r="O267" s="50">
        <f t="shared" ref="O267" ca="1" si="61">SUM(O269,O278,O287,O290,O294,O297,O301,O305,O308)</f>
        <v>0</v>
      </c>
      <c r="P267" s="50">
        <f t="shared" ca="1" si="60"/>
        <v>0</v>
      </c>
      <c r="Q267" s="50">
        <f t="shared" ca="1" si="60"/>
        <v>0</v>
      </c>
      <c r="R267" s="50">
        <f t="shared" ca="1" si="60"/>
        <v>0</v>
      </c>
      <c r="S267" s="50">
        <f t="shared" ca="1" si="60"/>
        <v>0</v>
      </c>
      <c r="T267" s="50">
        <f t="shared" ca="1" si="60"/>
        <v>0</v>
      </c>
      <c r="V267" s="152">
        <f t="shared" ca="1" si="60"/>
        <v>0</v>
      </c>
      <c r="W267" s="152">
        <f t="shared" ca="1" si="60"/>
        <v>0</v>
      </c>
      <c r="X267" s="152">
        <f t="shared" ca="1" si="60"/>
        <v>0</v>
      </c>
      <c r="Y267" s="152">
        <f t="shared" ca="1" si="60"/>
        <v>0</v>
      </c>
      <c r="Z267" s="152">
        <f t="shared" ca="1" si="60"/>
        <v>0</v>
      </c>
      <c r="AA267" s="152">
        <f t="shared" ca="1" si="60"/>
        <v>0</v>
      </c>
      <c r="AB267" s="152">
        <f t="shared" ca="1" si="60"/>
        <v>0</v>
      </c>
      <c r="AC267" s="152">
        <f t="shared" ca="1" si="60"/>
        <v>0</v>
      </c>
      <c r="AD267" s="152">
        <f t="shared" ca="1" si="60"/>
        <v>0</v>
      </c>
      <c r="AE267" s="152">
        <f t="shared" ca="1" si="60"/>
        <v>0</v>
      </c>
      <c r="AF267" s="152">
        <f t="shared" ca="1" si="60"/>
        <v>0</v>
      </c>
      <c r="AG267" s="152">
        <f t="shared" ca="1" si="60"/>
        <v>0</v>
      </c>
      <c r="AH267" s="152">
        <f t="shared" ca="1" si="60"/>
        <v>0</v>
      </c>
      <c r="AI267" s="152">
        <f t="shared" ca="1" si="60"/>
        <v>0</v>
      </c>
      <c r="AJ267" s="152">
        <f t="shared" ca="1" si="60"/>
        <v>0</v>
      </c>
      <c r="AK267" s="152">
        <f t="shared" ca="1" si="60"/>
        <v>0</v>
      </c>
      <c r="AL267" s="152">
        <f ca="1">SUM(AL269,AL278,AL287,AL290,AL294,AL297,AL301,AL305,AL308)</f>
        <v>0</v>
      </c>
      <c r="AM267" s="152">
        <f t="shared" ca="1" si="60"/>
        <v>0</v>
      </c>
      <c r="AN267" s="152">
        <f t="shared" ca="1" si="60"/>
        <v>0</v>
      </c>
      <c r="AO267" s="152">
        <f t="shared" ca="1" si="60"/>
        <v>0</v>
      </c>
      <c r="AQ267" s="21">
        <f t="shared" ca="1" si="60"/>
        <v>0</v>
      </c>
      <c r="AR267" s="21">
        <f t="shared" ca="1" si="60"/>
        <v>0</v>
      </c>
      <c r="AS267" s="21">
        <f t="shared" ca="1" si="60"/>
        <v>0</v>
      </c>
      <c r="AT267" s="21">
        <f t="shared" ca="1" si="60"/>
        <v>0</v>
      </c>
      <c r="AU267" s="21">
        <f t="shared" ca="1" si="60"/>
        <v>0</v>
      </c>
      <c r="AV267" s="21">
        <f t="shared" ca="1" si="60"/>
        <v>0</v>
      </c>
      <c r="AW267" s="21">
        <f t="shared" ca="1" si="60"/>
        <v>0</v>
      </c>
      <c r="AX267" s="21">
        <f t="shared" ca="1" si="60"/>
        <v>0</v>
      </c>
      <c r="AY267" s="21">
        <f t="shared" ca="1" si="60"/>
        <v>0</v>
      </c>
      <c r="AZ267" s="21">
        <f t="shared" ca="1" si="60"/>
        <v>0</v>
      </c>
      <c r="BA267" s="21">
        <f t="shared" ca="1" si="60"/>
        <v>0</v>
      </c>
      <c r="BB267" s="21">
        <f t="shared" ca="1" si="60"/>
        <v>0</v>
      </c>
      <c r="BC267" s="21">
        <f t="shared" ca="1" si="60"/>
        <v>0</v>
      </c>
      <c r="BD267" s="21">
        <f t="shared" ca="1" si="60"/>
        <v>0</v>
      </c>
      <c r="BF267" s="49">
        <f t="shared" ca="1" si="60"/>
        <v>0</v>
      </c>
      <c r="BG267" s="49">
        <f t="shared" ca="1" si="60"/>
        <v>0</v>
      </c>
      <c r="BH267" s="49">
        <f t="shared" ca="1" si="60"/>
        <v>0</v>
      </c>
      <c r="BI267" s="219">
        <f t="shared" ca="1" si="60"/>
        <v>0</v>
      </c>
      <c r="BJ267" s="58"/>
    </row>
    <row r="268" spans="1:62" s="54" customFormat="1">
      <c r="A268" s="133"/>
      <c r="B268" s="106"/>
      <c r="C268" s="107"/>
      <c r="E268" s="121"/>
      <c r="F268" s="121"/>
      <c r="G268" s="121"/>
      <c r="H268" s="121"/>
      <c r="I268" s="121"/>
      <c r="J268" s="121"/>
      <c r="K268" s="121"/>
      <c r="L268" s="121"/>
      <c r="M268" s="121"/>
      <c r="N268" s="121"/>
      <c r="O268" s="121"/>
      <c r="P268" s="121"/>
      <c r="Q268" s="121"/>
      <c r="R268" s="121"/>
      <c r="S268" s="121"/>
      <c r="T268" s="121"/>
      <c r="U268" s="219"/>
      <c r="V268" s="152"/>
      <c r="W268" s="152"/>
      <c r="X268" s="152"/>
      <c r="Y268" s="152"/>
      <c r="Z268" s="152"/>
      <c r="AA268" s="152"/>
      <c r="AB268" s="152"/>
      <c r="AC268" s="152"/>
      <c r="AD268" s="152"/>
      <c r="AE268" s="152"/>
      <c r="AF268" s="152"/>
      <c r="AG268" s="152"/>
      <c r="AH268" s="152"/>
      <c r="AI268" s="152"/>
      <c r="AJ268" s="152"/>
      <c r="AK268" s="152"/>
      <c r="AL268" s="152"/>
      <c r="AM268" s="152"/>
      <c r="AN268" s="152"/>
      <c r="AO268" s="152"/>
      <c r="AP268" s="219"/>
      <c r="AQ268" s="21"/>
      <c r="AR268" s="21"/>
      <c r="AS268" s="21"/>
      <c r="AT268" s="21"/>
      <c r="AU268" s="21"/>
      <c r="AV268" s="21"/>
      <c r="AW268" s="21"/>
      <c r="AX268" s="21"/>
      <c r="AY268" s="21"/>
      <c r="AZ268" s="21"/>
      <c r="BA268" s="21"/>
      <c r="BB268" s="21"/>
      <c r="BC268" s="21"/>
      <c r="BD268" s="21"/>
      <c r="BE268" s="219"/>
      <c r="BF268" s="49"/>
      <c r="BG268" s="49"/>
      <c r="BH268" s="49"/>
      <c r="BI268" s="219"/>
      <c r="BJ268" s="108"/>
    </row>
    <row r="269" spans="1:62">
      <c r="C269" s="219" t="s">
        <v>754</v>
      </c>
      <c r="D269" s="219" t="s">
        <v>414</v>
      </c>
      <c r="E269" s="121">
        <f ca="1">SUM(E270:E276)</f>
        <v>0</v>
      </c>
      <c r="F269" s="121">
        <f t="shared" ref="F269:BI269" ca="1" si="62">SUM(F270:F276)</f>
        <v>0</v>
      </c>
      <c r="G269" s="121">
        <f t="shared" ca="1" si="62"/>
        <v>0</v>
      </c>
      <c r="H269" s="121">
        <f t="shared" ca="1" si="62"/>
        <v>0</v>
      </c>
      <c r="I269" s="121">
        <f t="shared" ca="1" si="62"/>
        <v>0</v>
      </c>
      <c r="J269" s="121">
        <f t="shared" ca="1" si="62"/>
        <v>0</v>
      </c>
      <c r="K269" s="121">
        <f t="shared" ca="1" si="62"/>
        <v>0</v>
      </c>
      <c r="L269" s="121">
        <f t="shared" ca="1" si="62"/>
        <v>0</v>
      </c>
      <c r="M269" s="121">
        <f t="shared" ca="1" si="62"/>
        <v>0</v>
      </c>
      <c r="N269" s="121">
        <f t="shared" ca="1" si="62"/>
        <v>0</v>
      </c>
      <c r="O269" s="121">
        <f t="shared" ref="O269" ca="1" si="63">SUM(O270:O276)</f>
        <v>0</v>
      </c>
      <c r="P269" s="121">
        <f t="shared" ca="1" si="62"/>
        <v>0</v>
      </c>
      <c r="Q269" s="121">
        <f t="shared" ca="1" si="62"/>
        <v>0</v>
      </c>
      <c r="R269" s="121">
        <f t="shared" ca="1" si="62"/>
        <v>0</v>
      </c>
      <c r="S269" s="121">
        <f t="shared" ca="1" si="62"/>
        <v>0</v>
      </c>
      <c r="T269" s="121">
        <f t="shared" ca="1" si="62"/>
        <v>0</v>
      </c>
      <c r="V269" s="152">
        <v>0</v>
      </c>
      <c r="W269" s="152">
        <f t="shared" ca="1" si="62"/>
        <v>0</v>
      </c>
      <c r="X269" s="152">
        <f t="shared" ca="1" si="62"/>
        <v>0</v>
      </c>
      <c r="Y269" s="152">
        <f t="shared" ca="1" si="62"/>
        <v>0</v>
      </c>
      <c r="Z269" s="152">
        <f t="shared" ca="1" si="62"/>
        <v>0</v>
      </c>
      <c r="AA269" s="152">
        <f t="shared" ca="1" si="62"/>
        <v>0</v>
      </c>
      <c r="AB269" s="152">
        <f t="shared" ca="1" si="62"/>
        <v>0</v>
      </c>
      <c r="AC269" s="152">
        <f t="shared" ca="1" si="62"/>
        <v>0</v>
      </c>
      <c r="AD269" s="152">
        <f t="shared" ca="1" si="62"/>
        <v>0</v>
      </c>
      <c r="AE269" s="152">
        <f t="shared" ca="1" si="62"/>
        <v>0</v>
      </c>
      <c r="AF269" s="152">
        <f t="shared" ca="1" si="62"/>
        <v>0</v>
      </c>
      <c r="AG269" s="152">
        <f t="shared" ca="1" si="62"/>
        <v>0</v>
      </c>
      <c r="AH269" s="152">
        <f t="shared" ca="1" si="62"/>
        <v>0</v>
      </c>
      <c r="AI269" s="152">
        <f t="shared" ca="1" si="62"/>
        <v>0</v>
      </c>
      <c r="AJ269" s="152">
        <f t="shared" ca="1" si="62"/>
        <v>0</v>
      </c>
      <c r="AK269" s="152">
        <f t="shared" ca="1" si="62"/>
        <v>0</v>
      </c>
      <c r="AL269" s="152">
        <f ca="1">SUM(AL270:AL276)</f>
        <v>0</v>
      </c>
      <c r="AM269" s="152">
        <f t="shared" ca="1" si="62"/>
        <v>0</v>
      </c>
      <c r="AN269" s="152">
        <f t="shared" ca="1" si="62"/>
        <v>0</v>
      </c>
      <c r="AO269" s="152">
        <f t="shared" ca="1" si="62"/>
        <v>0</v>
      </c>
      <c r="AQ269" s="21">
        <f t="shared" ca="1" si="62"/>
        <v>0</v>
      </c>
      <c r="AR269" s="21">
        <f t="shared" ca="1" si="62"/>
        <v>0</v>
      </c>
      <c r="AS269" s="21">
        <f t="shared" ca="1" si="62"/>
        <v>0</v>
      </c>
      <c r="AT269" s="21">
        <f t="shared" ca="1" si="62"/>
        <v>0</v>
      </c>
      <c r="AU269" s="21">
        <f t="shared" ca="1" si="62"/>
        <v>0</v>
      </c>
      <c r="AV269" s="21">
        <f t="shared" ca="1" si="62"/>
        <v>0</v>
      </c>
      <c r="AW269" s="21">
        <f t="shared" ca="1" si="62"/>
        <v>0</v>
      </c>
      <c r="AX269" s="21">
        <f t="shared" ca="1" si="62"/>
        <v>0</v>
      </c>
      <c r="AY269" s="21">
        <f t="shared" ca="1" si="62"/>
        <v>0</v>
      </c>
      <c r="AZ269" s="21">
        <f t="shared" ca="1" si="62"/>
        <v>0</v>
      </c>
      <c r="BA269" s="21">
        <f t="shared" ca="1" si="62"/>
        <v>0</v>
      </c>
      <c r="BB269" s="21">
        <f t="shared" ca="1" si="62"/>
        <v>0</v>
      </c>
      <c r="BC269" s="21">
        <f t="shared" ca="1" si="62"/>
        <v>0</v>
      </c>
      <c r="BD269" s="21">
        <f t="shared" ca="1" si="62"/>
        <v>0</v>
      </c>
      <c r="BF269" s="49">
        <f t="shared" ca="1" si="62"/>
        <v>0</v>
      </c>
      <c r="BG269" s="49">
        <f t="shared" ca="1" si="62"/>
        <v>0</v>
      </c>
      <c r="BH269" s="49">
        <f t="shared" ca="1" si="62"/>
        <v>0</v>
      </c>
      <c r="BI269" s="219">
        <f t="shared" ca="1" si="62"/>
        <v>0</v>
      </c>
      <c r="BJ269" s="58"/>
    </row>
    <row r="270" spans="1:62">
      <c r="A270" s="134"/>
      <c r="B270" s="176" t="s">
        <v>1153</v>
      </c>
      <c r="C270" s="114" t="str">
        <f>INDEX(Regional.Technologies[Description],MATCH($B$3&amp;"."&amp;B270,Regional.Technologies[Code],0))</f>
        <v>Global Unabated solid-fuel ultrasupercritical power plant</v>
      </c>
      <c r="E270" s="121">
        <f t="array" aca="1" ref="E270" ca="1">IFERROR(INDEX(INDIRECT($B$3&amp;"."&amp;$B$267&amp;".energy["&amp;This.year&amp;"]"),MATCH($C270&amp;E$5,INDIRECT($B$3&amp;"."&amp;$B$267&amp;".energy[Tech description]")&amp;INDIRECT($B$3&amp;"."&amp;$B$267&amp;".energy[Energy description]"),0)),0)</f>
        <v>0</v>
      </c>
      <c r="F270" s="121">
        <f t="array" aca="1" ref="F270" ca="1">IFERROR(INDEX(INDIRECT($B$3&amp;"."&amp;$B$267&amp;".energy["&amp;This.year&amp;"]"),MATCH($C270&amp;F$5,INDIRECT($B$3&amp;"."&amp;$B$267&amp;".energy[Tech description]")&amp;INDIRECT($B$3&amp;"."&amp;$B$267&amp;".energy[Energy description]"),0)),0)</f>
        <v>0</v>
      </c>
      <c r="G270" s="121">
        <f t="array" aca="1" ref="G270" ca="1">IFERROR(INDEX(INDIRECT($B$3&amp;"."&amp;$B$267&amp;".energy["&amp;This.year&amp;"]"),MATCH($C270&amp;G$5,INDIRECT($B$3&amp;"."&amp;$B$267&amp;".energy[Tech description]")&amp;INDIRECT($B$3&amp;"."&amp;$B$267&amp;".energy[Energy description]"),0)),0)</f>
        <v>0</v>
      </c>
      <c r="H270" s="121">
        <f t="array" aca="1" ref="H270" ca="1">IFERROR(INDEX(INDIRECT($B$3&amp;"."&amp;$B$267&amp;".energy["&amp;This.year&amp;"]"),MATCH($C270&amp;H$5,INDIRECT($B$3&amp;"."&amp;$B$267&amp;".energy[Tech description]")&amp;INDIRECT($B$3&amp;"."&amp;$B$267&amp;".energy[Energy description]"),0)),0)</f>
        <v>0</v>
      </c>
      <c r="I270" s="121">
        <f t="array" aca="1" ref="I270" ca="1">IFERROR(INDEX(INDIRECT($B$3&amp;"."&amp;$B$267&amp;".energy["&amp;This.year&amp;"]"),MATCH($C270&amp;I$5,INDIRECT($B$3&amp;"."&amp;$B$267&amp;".energy[Tech description]")&amp;INDIRECT($B$3&amp;"."&amp;$B$267&amp;".energy[Energy description]"),0)),0)</f>
        <v>0</v>
      </c>
      <c r="J270" s="121">
        <f t="array" aca="1" ref="J270" ca="1">IFERROR(INDEX(INDIRECT($B$3&amp;"."&amp;$B$267&amp;".energy["&amp;This.year&amp;"]"),MATCH($C270&amp;J$5,INDIRECT($B$3&amp;"."&amp;$B$267&amp;".energy[Tech description]")&amp;INDIRECT($B$3&amp;"."&amp;$B$267&amp;".energy[Energy description]"),0)),0)</f>
        <v>0</v>
      </c>
      <c r="K270" s="121">
        <f t="array" aca="1" ref="K270" ca="1">IFERROR(INDEX(INDIRECT($B$3&amp;"."&amp;$B$267&amp;".energy["&amp;This.year&amp;"]"),MATCH($C270&amp;K$5,INDIRECT($B$3&amp;"."&amp;$B$267&amp;".energy[Tech description]")&amp;INDIRECT($B$3&amp;"."&amp;$B$267&amp;".energy[Energy description]"),0)),0)</f>
        <v>0</v>
      </c>
      <c r="L270" s="121">
        <f t="array" aca="1" ref="L270" ca="1">IFERROR(INDEX(INDIRECT($B$3&amp;"."&amp;$B$267&amp;".energy["&amp;This.year&amp;"]"),MATCH($C270&amp;L$5,INDIRECT($B$3&amp;"."&amp;$B$267&amp;".energy[Tech description]")&amp;INDIRECT($B$3&amp;"."&amp;$B$267&amp;".energy[Energy description]"),0)),0)</f>
        <v>0</v>
      </c>
      <c r="M270" s="121">
        <f t="array" aca="1" ref="M270" ca="1">IFERROR(INDEX(INDIRECT($B$3&amp;"."&amp;$B$267&amp;".energy["&amp;This.year&amp;"]"),MATCH($C270&amp;M$5,INDIRECT($B$3&amp;"."&amp;$B$267&amp;".energy[Tech description]")&amp;INDIRECT($B$3&amp;"."&amp;$B$267&amp;".energy[Energy description]"),0)),0)</f>
        <v>0</v>
      </c>
      <c r="N270" s="121">
        <f t="array" aca="1" ref="N270" ca="1">IFERROR(INDEX(INDIRECT($B$3&amp;"."&amp;$B$267&amp;".energy["&amp;This.year&amp;"]"),MATCH($C270&amp;N$5,INDIRECT($B$3&amp;"."&amp;$B$267&amp;".energy[Tech description]")&amp;INDIRECT($B$3&amp;"."&amp;$B$267&amp;".energy[Energy description]"),0)),0)</f>
        <v>0</v>
      </c>
      <c r="O270" s="121">
        <f t="array" aca="1" ref="O270" ca="1">IFERROR(INDEX(INDIRECT($B$3&amp;"."&amp;$B$267&amp;".energy["&amp;This.year&amp;"]"),MATCH($C270&amp;O$5,INDIRECT($B$3&amp;"."&amp;$B$267&amp;".energy[Tech description]")&amp;INDIRECT($B$3&amp;"."&amp;$B$267&amp;".energy[Energy description]"),0)),0)</f>
        <v>0</v>
      </c>
      <c r="P270" s="121">
        <f t="array" aca="1" ref="P270" ca="1">IFERROR(INDEX(INDIRECT($B$3&amp;"."&amp;$B$267&amp;".energy["&amp;This.year&amp;"]"),MATCH($C270&amp;P$5,INDIRECT($B$3&amp;"."&amp;$B$267&amp;".energy[Tech description]")&amp;INDIRECT($B$3&amp;"."&amp;$B$267&amp;".energy[Energy description]"),0)),0)</f>
        <v>0</v>
      </c>
      <c r="Q270" s="121">
        <f t="array" aca="1" ref="Q270" ca="1">IFERROR(INDEX(INDIRECT($B$3&amp;"."&amp;$B$267&amp;".energy["&amp;This.year&amp;"]"),MATCH($C270&amp;Q$5,INDIRECT($B$3&amp;"."&amp;$B$267&amp;".energy[Tech description]")&amp;INDIRECT($B$3&amp;"."&amp;$B$267&amp;".energy[Energy description]"),0)),0)</f>
        <v>0</v>
      </c>
      <c r="R270" s="121">
        <f t="array" aca="1" ref="R270" ca="1">IFERROR(INDEX(INDIRECT($B$3&amp;"."&amp;$B$267&amp;".energy["&amp;This.year&amp;"]"),MATCH($C270&amp;R$5,INDIRECT($B$3&amp;"."&amp;$B$267&amp;".energy[Tech description]")&amp;INDIRECT($B$3&amp;"."&amp;$B$267&amp;".energy[Energy description]"),0)),0)</f>
        <v>0</v>
      </c>
      <c r="S270" s="121">
        <f t="array" aca="1" ref="S270" ca="1">IFERROR(INDEX(INDIRECT($B$3&amp;"."&amp;$B$267&amp;".energy["&amp;This.year&amp;"]"),MATCH($C270&amp;S$5,INDIRECT($B$3&amp;"."&amp;$B$267&amp;".energy[Tech description]")&amp;INDIRECT($B$3&amp;"."&amp;$B$267&amp;".energy[Energy description]"),0)),0)</f>
        <v>0</v>
      </c>
      <c r="T270" s="121">
        <f ca="1">SUM(E270:S270)</f>
        <v>0</v>
      </c>
      <c r="V270" s="171">
        <f t="array" aca="1" ref="V270" ca="1">IFERROR(INDEX(INDIRECT($B$3&amp;"."&amp;$B$267&amp;".energy["&amp;This.year&amp;"]"),MATCH($C270&amp;V$5,INDIRECT($B$3&amp;"."&amp;$B$267&amp;".energy[Tech description]")&amp;INDIRECT($B$3&amp;"."&amp;$B$267&amp;".energy[Energy description]"),0)),0)</f>
        <v>0</v>
      </c>
      <c r="W270" s="171">
        <f t="array" aca="1" ref="W270" ca="1">IFERROR(INDEX(INDIRECT($B$3&amp;"."&amp;$B$267&amp;".energy["&amp;This.year&amp;"]"),MATCH($C270&amp;W$5,INDIRECT($B$3&amp;"."&amp;$B$267&amp;".energy[Tech description]")&amp;INDIRECT($B$3&amp;"."&amp;$B$267&amp;".energy[Energy description]"),0)),0)</f>
        <v>0</v>
      </c>
      <c r="X270" s="171">
        <f t="array" aca="1" ref="X270" ca="1">IFERROR(INDEX(INDIRECT($B$3&amp;"."&amp;$B$267&amp;".energy["&amp;This.year&amp;"]"),MATCH($C270&amp;X$5,INDIRECT($B$3&amp;"."&amp;$B$267&amp;".energy[Tech description]")&amp;INDIRECT($B$3&amp;"."&amp;$B$267&amp;".energy[Energy description]"),0)),0)</f>
        <v>0</v>
      </c>
      <c r="Y270" s="171">
        <f t="array" aca="1" ref="Y270" ca="1">IFERROR(INDEX(INDIRECT($B$3&amp;"."&amp;$B$267&amp;".energy["&amp;This.year&amp;"]"),MATCH($C270&amp;Y$5,INDIRECT($B$3&amp;"."&amp;$B$267&amp;".energy[Tech description]")&amp;INDIRECT($B$3&amp;"."&amp;$B$267&amp;".energy[Energy description]"),0)),0)</f>
        <v>0</v>
      </c>
      <c r="Z270" s="171">
        <f t="array" aca="1" ref="Z270" ca="1">IFERROR(INDEX(INDIRECT($B$3&amp;"."&amp;$B$267&amp;".energy["&amp;This.year&amp;"]"),MATCH($C270&amp;Z$5,INDIRECT($B$3&amp;"."&amp;$B$267&amp;".energy[Tech description]")&amp;INDIRECT($B$3&amp;"."&amp;$B$267&amp;".energy[Energy description]"),0)),0)</f>
        <v>0</v>
      </c>
      <c r="AA270" s="171">
        <f t="array" aca="1" ref="AA270" ca="1">IFERROR(INDEX(INDIRECT($B$3&amp;"."&amp;$B$267&amp;".energy["&amp;This.year&amp;"]"),MATCH($C270&amp;AA$5,INDIRECT($B$3&amp;"."&amp;$B$267&amp;".energy[Tech description]")&amp;INDIRECT($B$3&amp;"."&amp;$B$267&amp;".energy[Energy description]"),0)),0)</f>
        <v>0</v>
      </c>
      <c r="AB270" s="171">
        <f t="array" aca="1" ref="AB270" ca="1">IFERROR(INDEX(INDIRECT($B$3&amp;"."&amp;$B$267&amp;".energy["&amp;This.year&amp;"]"),MATCH($C270&amp;AB$5,INDIRECT($B$3&amp;"."&amp;$B$267&amp;".energy[Tech description]")&amp;INDIRECT($B$3&amp;"."&amp;$B$267&amp;".energy[Energy description]"),0)),0)</f>
        <v>0</v>
      </c>
      <c r="AC270" s="171">
        <f t="array" aca="1" ref="AC270" ca="1">IFERROR(INDEX(INDIRECT($B$3&amp;"."&amp;$B$267&amp;".energy["&amp;This.year&amp;"]"),MATCH($C270&amp;AC$5,INDIRECT($B$3&amp;"."&amp;$B$267&amp;".energy[Tech description]")&amp;INDIRECT($B$3&amp;"."&amp;$B$267&amp;".energy[Energy description]"),0)),0)</f>
        <v>0</v>
      </c>
      <c r="AD270" s="171">
        <f t="array" aca="1" ref="AD270" ca="1">IFERROR(INDEX(INDIRECT($B$3&amp;"."&amp;$B$267&amp;".energy["&amp;This.year&amp;"]"),MATCH($C270&amp;AD$5,INDIRECT($B$3&amp;"."&amp;$B$267&amp;".energy[Tech description]")&amp;INDIRECT($B$3&amp;"."&amp;$B$267&amp;".energy[Energy description]"),0)),0)</f>
        <v>0</v>
      </c>
      <c r="AE270" s="171">
        <f t="array" aca="1" ref="AE270" ca="1">IFERROR(INDEX(INDIRECT($B$3&amp;"."&amp;$B$267&amp;".energy["&amp;This.year&amp;"]"),MATCH($C270&amp;AE$5,INDIRECT($B$3&amp;"."&amp;$B$267&amp;".energy[Tech description]")&amp;INDIRECT($B$3&amp;"."&amp;$B$267&amp;".energy[Energy description]"),0)),0)</f>
        <v>0</v>
      </c>
      <c r="AF270" s="171">
        <f t="array" aca="1" ref="AF270" ca="1">IFERROR(INDEX(INDIRECT($B$3&amp;"."&amp;$B$267&amp;".energy["&amp;This.year&amp;"]"),MATCH($C270&amp;AF$5,INDIRECT($B$3&amp;"."&amp;$B$267&amp;".energy[Tech description]")&amp;INDIRECT($B$3&amp;"."&amp;$B$267&amp;".energy[Energy description]"),0)),0)</f>
        <v>0</v>
      </c>
      <c r="AG270" s="171">
        <f t="array" aca="1" ref="AG270" ca="1">IFERROR(INDEX(INDIRECT($B$3&amp;"."&amp;$B$267&amp;".energy["&amp;This.year&amp;"]"),MATCH($C270&amp;AG$5,INDIRECT($B$3&amp;"."&amp;$B$267&amp;".energy[Tech description]")&amp;INDIRECT($B$3&amp;"."&amp;$B$267&amp;".energy[Energy description]"),0)),0)</f>
        <v>0</v>
      </c>
      <c r="AH270" s="171">
        <f t="array" aca="1" ref="AH270" ca="1">IFERROR(INDEX(INDIRECT($B$3&amp;"."&amp;$B$267&amp;".energy["&amp;This.year&amp;"]"),MATCH($C270&amp;AH$5,INDIRECT($B$3&amp;"."&amp;$B$267&amp;".energy[Tech description]")&amp;INDIRECT($B$3&amp;"."&amp;$B$267&amp;".energy[Energy description]"),0)),0)</f>
        <v>0</v>
      </c>
      <c r="AI270" s="171">
        <f t="array" aca="1" ref="AI270" ca="1">IFERROR(INDEX(INDIRECT($B$3&amp;"."&amp;$B$267&amp;".energy["&amp;This.year&amp;"]"),MATCH($C270&amp;AI$5,INDIRECT($B$3&amp;"."&amp;$B$267&amp;".energy[Tech description]")&amp;INDIRECT($B$3&amp;"."&amp;$B$267&amp;".energy[Energy description]"),0)),0)</f>
        <v>0</v>
      </c>
      <c r="AJ270" s="171">
        <f t="array" aca="1" ref="AJ270" ca="1">IFERROR(INDEX(INDIRECT($B$3&amp;"."&amp;$B$267&amp;".energy["&amp;This.year&amp;"]"),MATCH($C270&amp;AJ$5,INDIRECT($B$3&amp;"."&amp;$B$267&amp;".energy[Tech description]")&amp;INDIRECT($B$3&amp;"."&amp;$B$267&amp;".energy[Energy description]"),0)),0)</f>
        <v>0</v>
      </c>
      <c r="AK270" s="171">
        <f t="array" aca="1" ref="AK270" ca="1">IFERROR(INDEX(INDIRECT($B$3&amp;"."&amp;$B$267&amp;".energy["&amp;This.year&amp;"]"),MATCH($C270&amp;AK$5,INDIRECT($B$3&amp;"."&amp;$B$267&amp;".energy[Tech description]")&amp;INDIRECT($B$3&amp;"."&amp;$B$267&amp;".energy[Energy description]"),0)),0)</f>
        <v>0</v>
      </c>
      <c r="AL270" s="171">
        <f t="array" aca="1" ref="AL270" ca="1">IFERROR(INDEX(INDIRECT($B$3&amp;"."&amp;$B$267&amp;".energy["&amp;This.year&amp;"]"),MATCH($C270&amp;AL$5,INDIRECT($B$3&amp;"."&amp;$B$267&amp;".energy[Tech description]")&amp;INDIRECT($B$3&amp;"."&amp;$B$267&amp;".energy[Energy description]"),0)),0)</f>
        <v>0</v>
      </c>
      <c r="AM270" s="171">
        <f t="array" aca="1" ref="AM270" ca="1">IFERROR(INDEX(INDIRECT($B$3&amp;"."&amp;$B$267&amp;".energy["&amp;This.year&amp;"]"),MATCH($C270&amp;AM$5,INDIRECT($B$3&amp;"."&amp;$B$267&amp;".energy[Tech description]")&amp;INDIRECT($B$3&amp;"."&amp;$B$267&amp;".energy[Energy description]"),0)),0)</f>
        <v>0</v>
      </c>
      <c r="AN270" s="171">
        <f t="array" aca="1" ref="AN270" ca="1">IFERROR(INDEX(INDIRECT($B$3&amp;"."&amp;$B$267&amp;".energy["&amp;This.year&amp;"]"),MATCH($C270&amp;AN$5,INDIRECT($B$3&amp;"."&amp;$B$267&amp;".energy[Tech description]")&amp;INDIRECT($B$3&amp;"."&amp;$B$267&amp;".energy[Energy description]"),0)),0)</f>
        <v>0</v>
      </c>
      <c r="AO270" s="171">
        <f t="shared" ref="AO270:AO276" ca="1" si="64">SUM(V270:AN270)</f>
        <v>0</v>
      </c>
      <c r="AQ270" s="173">
        <f t="array" aca="1" ref="AQ270" ca="1">IFERROR(INDEX(INDIRECT($B$3&amp;"."&amp;$B$267&amp;".energy["&amp;This.year&amp;"]"),MATCH($C270&amp;AQ$5,INDIRECT($B$3&amp;"."&amp;$B$267&amp;".energy[Tech description]")&amp;INDIRECT($B$3&amp;"."&amp;$B$267&amp;".energy[Energy description]"),0)),0)</f>
        <v>0</v>
      </c>
      <c r="AR270" s="173">
        <f t="array" aca="1" ref="AR270" ca="1">IFERROR(INDEX(INDIRECT($B$3&amp;"."&amp;$B$267&amp;".energy["&amp;This.year&amp;"]"),MATCH($C270&amp;AR$5,INDIRECT($B$3&amp;"."&amp;$B$267&amp;".energy[Tech description]")&amp;INDIRECT($B$3&amp;"."&amp;$B$267&amp;".energy[Energy description]"),0)),0)</f>
        <v>0</v>
      </c>
      <c r="AS270" s="173">
        <f t="array" aca="1" ref="AS270" ca="1">IFERROR(INDEX(INDIRECT($B$3&amp;"."&amp;$B$267&amp;".energy["&amp;This.year&amp;"]"),MATCH($C270&amp;AS$5,INDIRECT($B$3&amp;"."&amp;$B$267&amp;".energy[Tech description]")&amp;INDIRECT($B$3&amp;"."&amp;$B$267&amp;".energy[Energy description]"),0)),0)</f>
        <v>0</v>
      </c>
      <c r="AT270" s="173">
        <f t="array" aca="1" ref="AT270" ca="1">IFERROR(INDEX(INDIRECT($B$3&amp;"."&amp;$B$267&amp;".energy["&amp;This.year&amp;"]"),MATCH($C270&amp;AT$5,INDIRECT($B$3&amp;"."&amp;$B$267&amp;".energy[Tech description]")&amp;INDIRECT($B$3&amp;"."&amp;$B$267&amp;".energy[Energy description]"),0)),0)</f>
        <v>0</v>
      </c>
      <c r="AU270" s="173">
        <f t="array" aca="1" ref="AU270" ca="1">IFERROR(INDEX(INDIRECT($B$3&amp;"."&amp;$B$267&amp;".energy["&amp;This.year&amp;"]"),MATCH($C270&amp;AU$5,INDIRECT($B$3&amp;"."&amp;$B$267&amp;".energy[Tech description]")&amp;INDIRECT($B$3&amp;"."&amp;$B$267&amp;".energy[Energy description]"),0)),0)</f>
        <v>0</v>
      </c>
      <c r="AV270" s="173">
        <f t="array" aca="1" ref="AV270" ca="1">IFERROR(INDEX(INDIRECT($B$3&amp;"."&amp;$B$267&amp;".energy["&amp;This.year&amp;"]"),MATCH($C270&amp;AV$5,INDIRECT($B$3&amp;"."&amp;$B$267&amp;".energy[Tech description]")&amp;INDIRECT($B$3&amp;"."&amp;$B$267&amp;".energy[Energy description]"),0)),0)</f>
        <v>0</v>
      </c>
      <c r="AW270" s="173">
        <f t="array" aca="1" ref="AW270" ca="1">IFERROR(INDEX(INDIRECT($B$3&amp;"."&amp;$B$267&amp;".energy["&amp;This.year&amp;"]"),MATCH($C270&amp;AW$5,INDIRECT($B$3&amp;"."&amp;$B$267&amp;".energy[Tech description]")&amp;INDIRECT($B$3&amp;"."&amp;$B$267&amp;".energy[Energy description]"),0)),0)</f>
        <v>0</v>
      </c>
      <c r="AX270" s="173">
        <f t="array" aca="1" ref="AX270" ca="1">IFERROR(INDEX(INDIRECT($B$3&amp;"."&amp;$B$267&amp;".energy["&amp;This.year&amp;"]"),MATCH($C270&amp;AX$5,INDIRECT($B$3&amp;"."&amp;$B$267&amp;".energy[Tech description]")&amp;INDIRECT($B$3&amp;"."&amp;$B$267&amp;".energy[Energy description]"),0)),0)</f>
        <v>0</v>
      </c>
      <c r="AY270" s="173">
        <f t="array" aca="1" ref="AY270" ca="1">IFERROR(INDEX(INDIRECT($B$3&amp;"."&amp;$B$267&amp;".energy["&amp;This.year&amp;"]"),MATCH($C270&amp;AY$5,INDIRECT($B$3&amp;"."&amp;$B$267&amp;".energy[Tech description]")&amp;INDIRECT($B$3&amp;"."&amp;$B$267&amp;".energy[Energy description]"),0)),0)</f>
        <v>0</v>
      </c>
      <c r="AZ270" s="173">
        <f t="array" aca="1" ref="AZ270" ca="1">IFERROR(INDEX(INDIRECT($B$3&amp;"."&amp;$B$267&amp;".energy["&amp;This.year&amp;"]"),MATCH($C270&amp;AZ$5,INDIRECT($B$3&amp;"."&amp;$B$267&amp;".energy[Tech description]")&amp;INDIRECT($B$3&amp;"."&amp;$B$267&amp;".energy[Energy description]"),0)),0)</f>
        <v>0</v>
      </c>
      <c r="BA270" s="173">
        <f t="array" aca="1" ref="BA270" ca="1">IFERROR(INDEX(INDIRECT($B$3&amp;"."&amp;$B$267&amp;".energy["&amp;This.year&amp;"]"),MATCH($C270&amp;BA$5,INDIRECT($B$3&amp;"."&amp;$B$267&amp;".energy[Tech description]")&amp;INDIRECT($B$3&amp;"."&amp;$B$267&amp;".energy[Energy description]"),0)),0)</f>
        <v>0</v>
      </c>
      <c r="BB270" s="173">
        <f t="array" aca="1" ref="BB270" ca="1">IFERROR(INDEX(INDIRECT($B$3&amp;"."&amp;$B$267&amp;".energy["&amp;This.year&amp;"]"),MATCH($C270&amp;BB$5,INDIRECT($B$3&amp;"."&amp;$B$267&amp;".energy[Tech description]")&amp;INDIRECT($B$3&amp;"."&amp;$B$267&amp;".energy[Energy description]"),0)),0)</f>
        <v>0</v>
      </c>
      <c r="BC270" s="173">
        <f t="array" aca="1" ref="BC270" ca="1">IFERROR(INDEX(INDIRECT($B$3&amp;"."&amp;$B$267&amp;".energy["&amp;This.year&amp;"]"),MATCH($C270&amp;BC$5,INDIRECT($B$3&amp;"."&amp;$B$267&amp;".energy[Tech description]")&amp;INDIRECT($B$3&amp;"."&amp;$B$267&amp;".energy[Energy description]"),0)),0)</f>
        <v>0</v>
      </c>
      <c r="BD270" s="173">
        <f t="shared" ref="BD270:BD276" ca="1" si="65">SUM(AQ270:BB270)</f>
        <v>0</v>
      </c>
      <c r="BF270" s="175">
        <f t="array" aca="1" ref="BF270" ca="1">IFERROR(INDEX(INDIRECT($B$3&amp;"."&amp;$B$267&amp;".energy["&amp;This.year&amp;"]"),MATCH($C270&amp;BF$5,INDIRECT($B$3&amp;"."&amp;$B$267&amp;".energy[Tech description]")&amp;INDIRECT($B$3&amp;"."&amp;$B$267&amp;".energy[Energy description]"),0)),0)</f>
        <v>0</v>
      </c>
      <c r="BG270" s="175">
        <f t="array" aca="1" ref="BG270" ca="1">IFERROR(INDEX(INDIRECT($B$3&amp;"."&amp;$B$267&amp;".energy["&amp;This.year&amp;"]"),MATCH($C270&amp;BG$5,INDIRECT($B$3&amp;"."&amp;$B$267&amp;".energy[Tech description]")&amp;INDIRECT($B$3&amp;"."&amp;$B$267&amp;".energy[Energy description]"),0)),0)</f>
        <v>0</v>
      </c>
      <c r="BH270" s="175">
        <f ca="1">SUM(BF270:BG270)</f>
        <v>0</v>
      </c>
      <c r="BI270" s="219">
        <f t="shared" ref="BI270:BI276" ca="1" si="66">SUM(T270,AO270,BD270,BH270)</f>
        <v>0</v>
      </c>
      <c r="BJ270" s="58"/>
    </row>
    <row r="271" spans="1:62">
      <c r="A271" s="134"/>
      <c r="B271" s="176" t="s">
        <v>1155</v>
      </c>
      <c r="C271" s="114" t="str">
        <f>INDEX(Regional.Technologies[Description],MATCH($B$3&amp;"."&amp;B271,Regional.Technologies[Code],0))</f>
        <v>Global Unabated solid-fuel supercritical power plant</v>
      </c>
      <c r="E271" s="121">
        <f t="array" aca="1" ref="E271" ca="1">IFERROR(INDEX(INDIRECT($B$3&amp;"."&amp;$B$267&amp;".energy["&amp;This.year&amp;"]"),MATCH($C271&amp;E$5,INDIRECT($B$3&amp;"."&amp;$B$267&amp;".energy[Tech description]")&amp;INDIRECT($B$3&amp;"."&amp;$B$267&amp;".energy[Energy description]"),0)),0)</f>
        <v>0</v>
      </c>
      <c r="F271" s="121">
        <f t="array" aca="1" ref="F271" ca="1">IFERROR(INDEX(INDIRECT($B$3&amp;"."&amp;$B$267&amp;".energy["&amp;This.year&amp;"]"),MATCH($C271&amp;F$5,INDIRECT($B$3&amp;"."&amp;$B$267&amp;".energy[Tech description]")&amp;INDIRECT($B$3&amp;"."&amp;$B$267&amp;".energy[Energy description]"),0)),0)</f>
        <v>0</v>
      </c>
      <c r="G271" s="121">
        <f t="array" aca="1" ref="G271" ca="1">IFERROR(INDEX(INDIRECT($B$3&amp;"."&amp;$B$267&amp;".energy["&amp;This.year&amp;"]"),MATCH($C271&amp;G$5,INDIRECT($B$3&amp;"."&amp;$B$267&amp;".energy[Tech description]")&amp;INDIRECT($B$3&amp;"."&amp;$B$267&amp;".energy[Energy description]"),0)),0)</f>
        <v>0</v>
      </c>
      <c r="H271" s="121">
        <f t="array" aca="1" ref="H271" ca="1">IFERROR(INDEX(INDIRECT($B$3&amp;"."&amp;$B$267&amp;".energy["&amp;This.year&amp;"]"),MATCH($C271&amp;H$5,INDIRECT($B$3&amp;"."&amp;$B$267&amp;".energy[Tech description]")&amp;INDIRECT($B$3&amp;"."&amp;$B$267&amp;".energy[Energy description]"),0)),0)</f>
        <v>0</v>
      </c>
      <c r="I271" s="121">
        <f t="array" aca="1" ref="I271" ca="1">IFERROR(INDEX(INDIRECT($B$3&amp;"."&amp;$B$267&amp;".energy["&amp;This.year&amp;"]"),MATCH($C271&amp;I$5,INDIRECT($B$3&amp;"."&amp;$B$267&amp;".energy[Tech description]")&amp;INDIRECT($B$3&amp;"."&amp;$B$267&amp;".energy[Energy description]"),0)),0)</f>
        <v>0</v>
      </c>
      <c r="J271" s="121">
        <f t="array" aca="1" ref="J271" ca="1">IFERROR(INDEX(INDIRECT($B$3&amp;"."&amp;$B$267&amp;".energy["&amp;This.year&amp;"]"),MATCH($C271&amp;J$5,INDIRECT($B$3&amp;"."&amp;$B$267&amp;".energy[Tech description]")&amp;INDIRECT($B$3&amp;"."&amp;$B$267&amp;".energy[Energy description]"),0)),0)</f>
        <v>0</v>
      </c>
      <c r="K271" s="121">
        <f t="array" aca="1" ref="K271" ca="1">IFERROR(INDEX(INDIRECT($B$3&amp;"."&amp;$B$267&amp;".energy["&amp;This.year&amp;"]"),MATCH($C271&amp;K$5,INDIRECT($B$3&amp;"."&amp;$B$267&amp;".energy[Tech description]")&amp;INDIRECT($B$3&amp;"."&amp;$B$267&amp;".energy[Energy description]"),0)),0)</f>
        <v>0</v>
      </c>
      <c r="L271" s="121">
        <f t="array" aca="1" ref="L271" ca="1">IFERROR(INDEX(INDIRECT($B$3&amp;"."&amp;$B$267&amp;".energy["&amp;This.year&amp;"]"),MATCH($C271&amp;L$5,INDIRECT($B$3&amp;"."&amp;$B$267&amp;".energy[Tech description]")&amp;INDIRECT($B$3&amp;"."&amp;$B$267&amp;".energy[Energy description]"),0)),0)</f>
        <v>0</v>
      </c>
      <c r="M271" s="121">
        <f t="array" aca="1" ref="M271" ca="1">IFERROR(INDEX(INDIRECT($B$3&amp;"."&amp;$B$267&amp;".energy["&amp;This.year&amp;"]"),MATCH($C271&amp;M$5,INDIRECT($B$3&amp;"."&amp;$B$267&amp;".energy[Tech description]")&amp;INDIRECT($B$3&amp;"."&amp;$B$267&amp;".energy[Energy description]"),0)),0)</f>
        <v>0</v>
      </c>
      <c r="N271" s="121">
        <f t="array" aca="1" ref="N271" ca="1">IFERROR(INDEX(INDIRECT($B$3&amp;"."&amp;$B$267&amp;".energy["&amp;This.year&amp;"]"),MATCH($C271&amp;N$5,INDIRECT($B$3&amp;"."&amp;$B$267&amp;".energy[Tech description]")&amp;INDIRECT($B$3&amp;"."&amp;$B$267&amp;".energy[Energy description]"),0)),0)</f>
        <v>0</v>
      </c>
      <c r="O271" s="121">
        <f t="array" aca="1" ref="O271" ca="1">IFERROR(INDEX(INDIRECT($B$3&amp;"."&amp;$B$267&amp;".energy["&amp;This.year&amp;"]"),MATCH($C271&amp;O$5,INDIRECT($B$3&amp;"."&amp;$B$267&amp;".energy[Tech description]")&amp;INDIRECT($B$3&amp;"."&amp;$B$267&amp;".energy[Energy description]"),0)),0)</f>
        <v>0</v>
      </c>
      <c r="P271" s="121">
        <f t="array" aca="1" ref="P271" ca="1">IFERROR(INDEX(INDIRECT($B$3&amp;"."&amp;$B$267&amp;".energy["&amp;This.year&amp;"]"),MATCH($C271&amp;P$5,INDIRECT($B$3&amp;"."&amp;$B$267&amp;".energy[Tech description]")&amp;INDIRECT($B$3&amp;"."&amp;$B$267&amp;".energy[Energy description]"),0)),0)</f>
        <v>0</v>
      </c>
      <c r="Q271" s="121">
        <f t="array" aca="1" ref="Q271" ca="1">IFERROR(INDEX(INDIRECT($B$3&amp;"."&amp;$B$267&amp;".energy["&amp;This.year&amp;"]"),MATCH($C271&amp;Q$5,INDIRECT($B$3&amp;"."&amp;$B$267&amp;".energy[Tech description]")&amp;INDIRECT($B$3&amp;"."&amp;$B$267&amp;".energy[Energy description]"),0)),0)</f>
        <v>0</v>
      </c>
      <c r="R271" s="121">
        <f t="array" aca="1" ref="R271" ca="1">IFERROR(INDEX(INDIRECT($B$3&amp;"."&amp;$B$267&amp;".energy["&amp;This.year&amp;"]"),MATCH($C271&amp;R$5,INDIRECT($B$3&amp;"."&amp;$B$267&amp;".energy[Tech description]")&amp;INDIRECT($B$3&amp;"."&amp;$B$267&amp;".energy[Energy description]"),0)),0)</f>
        <v>0</v>
      </c>
      <c r="S271" s="121">
        <f t="array" aca="1" ref="S271" ca="1">IFERROR(INDEX(INDIRECT($B$3&amp;"."&amp;$B$267&amp;".energy["&amp;This.year&amp;"]"),MATCH($C271&amp;S$5,INDIRECT($B$3&amp;"."&amp;$B$267&amp;".energy[Tech description]")&amp;INDIRECT($B$3&amp;"."&amp;$B$267&amp;".energy[Energy description]"),0)),0)</f>
        <v>0</v>
      </c>
      <c r="T271" s="121">
        <f t="shared" ref="T271:T276" ca="1" si="67">SUM(E271:S271)</f>
        <v>0</v>
      </c>
      <c r="V271" s="171">
        <f t="array" aca="1" ref="V271" ca="1">IFERROR(INDEX(INDIRECT($B$3&amp;"."&amp;$B$267&amp;".energy["&amp;This.year&amp;"]"),MATCH($C271&amp;V$5,INDIRECT($B$3&amp;"."&amp;$B$267&amp;".energy[Tech description]")&amp;INDIRECT($B$3&amp;"."&amp;$B$267&amp;".energy[Energy description]"),0)),0)</f>
        <v>0</v>
      </c>
      <c r="W271" s="171">
        <f t="array" aca="1" ref="W271" ca="1">IFERROR(INDEX(INDIRECT($B$3&amp;"."&amp;$B$267&amp;".energy["&amp;This.year&amp;"]"),MATCH($C271&amp;W$5,INDIRECT($B$3&amp;"."&amp;$B$267&amp;".energy[Tech description]")&amp;INDIRECT($B$3&amp;"."&amp;$B$267&amp;".energy[Energy description]"),0)),0)</f>
        <v>0</v>
      </c>
      <c r="X271" s="171">
        <f t="array" aca="1" ref="X271" ca="1">IFERROR(INDEX(INDIRECT($B$3&amp;"."&amp;$B$267&amp;".energy["&amp;This.year&amp;"]"),MATCH($C271&amp;X$5,INDIRECT($B$3&amp;"."&amp;$B$267&amp;".energy[Tech description]")&amp;INDIRECT($B$3&amp;"."&amp;$B$267&amp;".energy[Energy description]"),0)),0)</f>
        <v>0</v>
      </c>
      <c r="Y271" s="171">
        <f t="array" aca="1" ref="Y271" ca="1">IFERROR(INDEX(INDIRECT($B$3&amp;"."&amp;$B$267&amp;".energy["&amp;This.year&amp;"]"),MATCH($C271&amp;Y$5,INDIRECT($B$3&amp;"."&amp;$B$267&amp;".energy[Tech description]")&amp;INDIRECT($B$3&amp;"."&amp;$B$267&amp;".energy[Energy description]"),0)),0)</f>
        <v>0</v>
      </c>
      <c r="Z271" s="171">
        <f t="array" aca="1" ref="Z271" ca="1">IFERROR(INDEX(INDIRECT($B$3&amp;"."&amp;$B$267&amp;".energy["&amp;This.year&amp;"]"),MATCH($C271&amp;Z$5,INDIRECT($B$3&amp;"."&amp;$B$267&amp;".energy[Tech description]")&amp;INDIRECT($B$3&amp;"."&amp;$B$267&amp;".energy[Energy description]"),0)),0)</f>
        <v>0</v>
      </c>
      <c r="AA271" s="171">
        <f t="array" aca="1" ref="AA271" ca="1">IFERROR(INDEX(INDIRECT($B$3&amp;"."&amp;$B$267&amp;".energy["&amp;This.year&amp;"]"),MATCH($C271&amp;AA$5,INDIRECT($B$3&amp;"."&amp;$B$267&amp;".energy[Tech description]")&amp;INDIRECT($B$3&amp;"."&amp;$B$267&amp;".energy[Energy description]"),0)),0)</f>
        <v>0</v>
      </c>
      <c r="AB271" s="171">
        <f t="array" aca="1" ref="AB271" ca="1">IFERROR(INDEX(INDIRECT($B$3&amp;"."&amp;$B$267&amp;".energy["&amp;This.year&amp;"]"),MATCH($C271&amp;AB$5,INDIRECT($B$3&amp;"."&amp;$B$267&amp;".energy[Tech description]")&amp;INDIRECT($B$3&amp;"."&amp;$B$267&amp;".energy[Energy description]"),0)),0)</f>
        <v>0</v>
      </c>
      <c r="AC271" s="171">
        <f t="array" aca="1" ref="AC271" ca="1">IFERROR(INDEX(INDIRECT($B$3&amp;"."&amp;$B$267&amp;".energy["&amp;This.year&amp;"]"),MATCH($C271&amp;AC$5,INDIRECT($B$3&amp;"."&amp;$B$267&amp;".energy[Tech description]")&amp;INDIRECT($B$3&amp;"."&amp;$B$267&amp;".energy[Energy description]"),0)),0)</f>
        <v>0</v>
      </c>
      <c r="AD271" s="171">
        <f t="array" aca="1" ref="AD271" ca="1">IFERROR(INDEX(INDIRECT($B$3&amp;"."&amp;$B$267&amp;".energy["&amp;This.year&amp;"]"),MATCH($C271&amp;AD$5,INDIRECT($B$3&amp;"."&amp;$B$267&amp;".energy[Tech description]")&amp;INDIRECT($B$3&amp;"."&amp;$B$267&amp;".energy[Energy description]"),0)),0)</f>
        <v>0</v>
      </c>
      <c r="AE271" s="171">
        <f t="array" aca="1" ref="AE271" ca="1">IFERROR(INDEX(INDIRECT($B$3&amp;"."&amp;$B$267&amp;".energy["&amp;This.year&amp;"]"),MATCH($C271&amp;AE$5,INDIRECT($B$3&amp;"."&amp;$B$267&amp;".energy[Tech description]")&amp;INDIRECT($B$3&amp;"."&amp;$B$267&amp;".energy[Energy description]"),0)),0)</f>
        <v>0</v>
      </c>
      <c r="AF271" s="171">
        <f t="array" aca="1" ref="AF271" ca="1">IFERROR(INDEX(INDIRECT($B$3&amp;"."&amp;$B$267&amp;".energy["&amp;This.year&amp;"]"),MATCH($C271&amp;AF$5,INDIRECT($B$3&amp;"."&amp;$B$267&amp;".energy[Tech description]")&amp;INDIRECT($B$3&amp;"."&amp;$B$267&amp;".energy[Energy description]"),0)),0)</f>
        <v>0</v>
      </c>
      <c r="AG271" s="171">
        <f t="array" aca="1" ref="AG271" ca="1">IFERROR(INDEX(INDIRECT($B$3&amp;"."&amp;$B$267&amp;".energy["&amp;This.year&amp;"]"),MATCH($C271&amp;AG$5,INDIRECT($B$3&amp;"."&amp;$B$267&amp;".energy[Tech description]")&amp;INDIRECT($B$3&amp;"."&amp;$B$267&amp;".energy[Energy description]"),0)),0)</f>
        <v>0</v>
      </c>
      <c r="AH271" s="171">
        <f t="array" aca="1" ref="AH271" ca="1">IFERROR(INDEX(INDIRECT($B$3&amp;"."&amp;$B$267&amp;".energy["&amp;This.year&amp;"]"),MATCH($C271&amp;AH$5,INDIRECT($B$3&amp;"."&amp;$B$267&amp;".energy[Tech description]")&amp;INDIRECT($B$3&amp;"."&amp;$B$267&amp;".energy[Energy description]"),0)),0)</f>
        <v>0</v>
      </c>
      <c r="AI271" s="171">
        <f t="array" aca="1" ref="AI271" ca="1">IFERROR(INDEX(INDIRECT($B$3&amp;"."&amp;$B$267&amp;".energy["&amp;This.year&amp;"]"),MATCH($C271&amp;AI$5,INDIRECT($B$3&amp;"."&amp;$B$267&amp;".energy[Tech description]")&amp;INDIRECT($B$3&amp;"."&amp;$B$267&amp;".energy[Energy description]"),0)),0)</f>
        <v>0</v>
      </c>
      <c r="AJ271" s="171">
        <f t="array" aca="1" ref="AJ271" ca="1">IFERROR(INDEX(INDIRECT($B$3&amp;"."&amp;$B$267&amp;".energy["&amp;This.year&amp;"]"),MATCH($C271&amp;AJ$5,INDIRECT($B$3&amp;"."&amp;$B$267&amp;".energy[Tech description]")&amp;INDIRECT($B$3&amp;"."&amp;$B$267&amp;".energy[Energy description]"),0)),0)</f>
        <v>0</v>
      </c>
      <c r="AK271" s="171">
        <f t="array" aca="1" ref="AK271" ca="1">IFERROR(INDEX(INDIRECT($B$3&amp;"."&amp;$B$267&amp;".energy["&amp;This.year&amp;"]"),MATCH($C271&amp;AK$5,INDIRECT($B$3&amp;"."&amp;$B$267&amp;".energy[Tech description]")&amp;INDIRECT($B$3&amp;"."&amp;$B$267&amp;".energy[Energy description]"),0)),0)</f>
        <v>0</v>
      </c>
      <c r="AL271" s="171">
        <f t="array" aca="1" ref="AL271" ca="1">IFERROR(INDEX(INDIRECT($B$3&amp;"."&amp;$B$267&amp;".energy["&amp;This.year&amp;"]"),MATCH($C271&amp;AL$5,INDIRECT($B$3&amp;"."&amp;$B$267&amp;".energy[Tech description]")&amp;INDIRECT($B$3&amp;"."&amp;$B$267&amp;".energy[Energy description]"),0)),0)</f>
        <v>0</v>
      </c>
      <c r="AM271" s="171">
        <f t="array" aca="1" ref="AM271" ca="1">IFERROR(INDEX(INDIRECT($B$3&amp;"."&amp;$B$267&amp;".energy["&amp;This.year&amp;"]"),MATCH($C271&amp;AM$5,INDIRECT($B$3&amp;"."&amp;$B$267&amp;".energy[Tech description]")&amp;INDIRECT($B$3&amp;"."&amp;$B$267&amp;".energy[Energy description]"),0)),0)</f>
        <v>0</v>
      </c>
      <c r="AN271" s="171">
        <f t="array" aca="1" ref="AN271" ca="1">IFERROR(INDEX(INDIRECT($B$3&amp;"."&amp;$B$267&amp;".energy["&amp;This.year&amp;"]"),MATCH($C271&amp;AN$5,INDIRECT($B$3&amp;"."&amp;$B$267&amp;".energy[Tech description]")&amp;INDIRECT($B$3&amp;"."&amp;$B$267&amp;".energy[Energy description]"),0)),0)</f>
        <v>0</v>
      </c>
      <c r="AO271" s="171">
        <f t="shared" ca="1" si="64"/>
        <v>0</v>
      </c>
      <c r="AQ271" s="173">
        <f t="array" aca="1" ref="AQ271" ca="1">IFERROR(INDEX(INDIRECT($B$3&amp;"."&amp;$B$267&amp;".energy["&amp;This.year&amp;"]"),MATCH($C271&amp;AQ$5,INDIRECT($B$3&amp;"."&amp;$B$267&amp;".energy[Tech description]")&amp;INDIRECT($B$3&amp;"."&amp;$B$267&amp;".energy[Energy description]"),0)),0)</f>
        <v>0</v>
      </c>
      <c r="AR271" s="173">
        <f t="array" aca="1" ref="AR271" ca="1">IFERROR(INDEX(INDIRECT($B$3&amp;"."&amp;$B$267&amp;".energy["&amp;This.year&amp;"]"),MATCH($C271&amp;AR$5,INDIRECT($B$3&amp;"."&amp;$B$267&amp;".energy[Tech description]")&amp;INDIRECT($B$3&amp;"."&amp;$B$267&amp;".energy[Energy description]"),0)),0)</f>
        <v>0</v>
      </c>
      <c r="AS271" s="173">
        <f t="array" aca="1" ref="AS271" ca="1">IFERROR(INDEX(INDIRECT($B$3&amp;"."&amp;$B$267&amp;".energy["&amp;This.year&amp;"]"),MATCH($C271&amp;AS$5,INDIRECT($B$3&amp;"."&amp;$B$267&amp;".energy[Tech description]")&amp;INDIRECT($B$3&amp;"."&amp;$B$267&amp;".energy[Energy description]"),0)),0)</f>
        <v>0</v>
      </c>
      <c r="AT271" s="173">
        <f t="array" aca="1" ref="AT271" ca="1">IFERROR(INDEX(INDIRECT($B$3&amp;"."&amp;$B$267&amp;".energy["&amp;This.year&amp;"]"),MATCH($C271&amp;AT$5,INDIRECT($B$3&amp;"."&amp;$B$267&amp;".energy[Tech description]")&amp;INDIRECT($B$3&amp;"."&amp;$B$267&amp;".energy[Energy description]"),0)),0)</f>
        <v>0</v>
      </c>
      <c r="AU271" s="173">
        <f t="array" aca="1" ref="AU271" ca="1">IFERROR(INDEX(INDIRECT($B$3&amp;"."&amp;$B$267&amp;".energy["&amp;This.year&amp;"]"),MATCH($C271&amp;AU$5,INDIRECT($B$3&amp;"."&amp;$B$267&amp;".energy[Tech description]")&amp;INDIRECT($B$3&amp;"."&amp;$B$267&amp;".energy[Energy description]"),0)),0)</f>
        <v>0</v>
      </c>
      <c r="AV271" s="173">
        <f t="array" aca="1" ref="AV271" ca="1">IFERROR(INDEX(INDIRECT($B$3&amp;"."&amp;$B$267&amp;".energy["&amp;This.year&amp;"]"),MATCH($C271&amp;AV$5,INDIRECT($B$3&amp;"."&amp;$B$267&amp;".energy[Tech description]")&amp;INDIRECT($B$3&amp;"."&amp;$B$267&amp;".energy[Energy description]"),0)),0)</f>
        <v>0</v>
      </c>
      <c r="AW271" s="173">
        <f t="array" aca="1" ref="AW271" ca="1">IFERROR(INDEX(INDIRECT($B$3&amp;"."&amp;$B$267&amp;".energy["&amp;This.year&amp;"]"),MATCH($C271&amp;AW$5,INDIRECT($B$3&amp;"."&amp;$B$267&amp;".energy[Tech description]")&amp;INDIRECT($B$3&amp;"."&amp;$B$267&amp;".energy[Energy description]"),0)),0)</f>
        <v>0</v>
      </c>
      <c r="AX271" s="173">
        <f t="array" aca="1" ref="AX271" ca="1">IFERROR(INDEX(INDIRECT($B$3&amp;"."&amp;$B$267&amp;".energy["&amp;This.year&amp;"]"),MATCH($C271&amp;AX$5,INDIRECT($B$3&amp;"."&amp;$B$267&amp;".energy[Tech description]")&amp;INDIRECT($B$3&amp;"."&amp;$B$267&amp;".energy[Energy description]"),0)),0)</f>
        <v>0</v>
      </c>
      <c r="AY271" s="173">
        <f t="array" aca="1" ref="AY271" ca="1">IFERROR(INDEX(INDIRECT($B$3&amp;"."&amp;$B$267&amp;".energy["&amp;This.year&amp;"]"),MATCH($C271&amp;AY$5,INDIRECT($B$3&amp;"."&amp;$B$267&amp;".energy[Tech description]")&amp;INDIRECT($B$3&amp;"."&amp;$B$267&amp;".energy[Energy description]"),0)),0)</f>
        <v>0</v>
      </c>
      <c r="AZ271" s="173">
        <f t="array" aca="1" ref="AZ271" ca="1">IFERROR(INDEX(INDIRECT($B$3&amp;"."&amp;$B$267&amp;".energy["&amp;This.year&amp;"]"),MATCH($C271&amp;AZ$5,INDIRECT($B$3&amp;"."&amp;$B$267&amp;".energy[Tech description]")&amp;INDIRECT($B$3&amp;"."&amp;$B$267&amp;".energy[Energy description]"),0)),0)</f>
        <v>0</v>
      </c>
      <c r="BA271" s="173">
        <f t="array" aca="1" ref="BA271" ca="1">IFERROR(INDEX(INDIRECT($B$3&amp;"."&amp;$B$267&amp;".energy["&amp;This.year&amp;"]"),MATCH($C271&amp;BA$5,INDIRECT($B$3&amp;"."&amp;$B$267&amp;".energy[Tech description]")&amp;INDIRECT($B$3&amp;"."&amp;$B$267&amp;".energy[Energy description]"),0)),0)</f>
        <v>0</v>
      </c>
      <c r="BB271" s="173">
        <f t="array" aca="1" ref="BB271" ca="1">IFERROR(INDEX(INDIRECT($B$3&amp;"."&amp;$B$267&amp;".energy["&amp;This.year&amp;"]"),MATCH($C271&amp;BB$5,INDIRECT($B$3&amp;"."&amp;$B$267&amp;".energy[Tech description]")&amp;INDIRECT($B$3&amp;"."&amp;$B$267&amp;".energy[Energy description]"),0)),0)</f>
        <v>0</v>
      </c>
      <c r="BC271" s="173">
        <f t="array" aca="1" ref="BC271" ca="1">IFERROR(INDEX(INDIRECT($B$3&amp;"."&amp;$B$267&amp;".energy["&amp;This.year&amp;"]"),MATCH($C271&amp;BC$5,INDIRECT($B$3&amp;"."&amp;$B$267&amp;".energy[Tech description]")&amp;INDIRECT($B$3&amp;"."&amp;$B$267&amp;".energy[Energy description]"),0)),0)</f>
        <v>0</v>
      </c>
      <c r="BD271" s="173">
        <f t="shared" ca="1" si="65"/>
        <v>0</v>
      </c>
      <c r="BF271" s="175">
        <f t="array" aca="1" ref="BF271" ca="1">IFERROR(INDEX(INDIRECT($B$3&amp;"."&amp;$B$267&amp;".energy["&amp;This.year&amp;"]"),MATCH($C271&amp;BF$5,INDIRECT($B$3&amp;"."&amp;$B$267&amp;".energy[Tech description]")&amp;INDIRECT($B$3&amp;"."&amp;$B$267&amp;".energy[Energy description]"),0)),0)</f>
        <v>0</v>
      </c>
      <c r="BG271" s="175">
        <f t="array" aca="1" ref="BG271" ca="1">IFERROR(INDEX(INDIRECT($B$3&amp;"."&amp;$B$267&amp;".energy["&amp;This.year&amp;"]"),MATCH($C271&amp;BG$5,INDIRECT($B$3&amp;"."&amp;$B$267&amp;".energy[Tech description]")&amp;INDIRECT($B$3&amp;"."&amp;$B$267&amp;".energy[Energy description]"),0)),0)</f>
        <v>0</v>
      </c>
      <c r="BH271" s="175">
        <f t="shared" ref="BH271:BH276" ca="1" si="68">SUM(BF271:BG271)</f>
        <v>0</v>
      </c>
      <c r="BI271" s="219">
        <f t="shared" ca="1" si="66"/>
        <v>0</v>
      </c>
      <c r="BJ271" s="58"/>
    </row>
    <row r="272" spans="1:62">
      <c r="A272" s="134"/>
      <c r="B272" s="176" t="s">
        <v>1156</v>
      </c>
      <c r="C272" s="114" t="str">
        <f>INDEX(Regional.Technologies[Description],MATCH($B$3&amp;"."&amp;B272,Regional.Technologies[Code],0))</f>
        <v>Global Unabated solid-fuel subcritical power plant</v>
      </c>
      <c r="E272" s="121">
        <f t="array" aca="1" ref="E272" ca="1">IFERROR(INDEX(INDIRECT($B$3&amp;"."&amp;$B$267&amp;".energy["&amp;This.year&amp;"]"),MATCH($C272&amp;E$5,INDIRECT($B$3&amp;"."&amp;$B$267&amp;".energy[Tech description]")&amp;INDIRECT($B$3&amp;"."&amp;$B$267&amp;".energy[Energy description]"),0)),0)</f>
        <v>0</v>
      </c>
      <c r="F272" s="121">
        <f t="array" aca="1" ref="F272" ca="1">IFERROR(INDEX(INDIRECT($B$3&amp;"."&amp;$B$267&amp;".energy["&amp;This.year&amp;"]"),MATCH($C272&amp;F$5,INDIRECT($B$3&amp;"."&amp;$B$267&amp;".energy[Tech description]")&amp;INDIRECT($B$3&amp;"."&amp;$B$267&amp;".energy[Energy description]"),0)),0)</f>
        <v>0</v>
      </c>
      <c r="G272" s="121">
        <f t="array" aca="1" ref="G272" ca="1">IFERROR(INDEX(INDIRECT($B$3&amp;"."&amp;$B$267&amp;".energy["&amp;This.year&amp;"]"),MATCH($C272&amp;G$5,INDIRECT($B$3&amp;"."&amp;$B$267&amp;".energy[Tech description]")&amp;INDIRECT($B$3&amp;"."&amp;$B$267&amp;".energy[Energy description]"),0)),0)</f>
        <v>0</v>
      </c>
      <c r="H272" s="121">
        <f t="array" aca="1" ref="H272" ca="1">IFERROR(INDEX(INDIRECT($B$3&amp;"."&amp;$B$267&amp;".energy["&amp;This.year&amp;"]"),MATCH($C272&amp;H$5,INDIRECT($B$3&amp;"."&amp;$B$267&amp;".energy[Tech description]")&amp;INDIRECT($B$3&amp;"."&amp;$B$267&amp;".energy[Energy description]"),0)),0)</f>
        <v>0</v>
      </c>
      <c r="I272" s="121">
        <f t="array" aca="1" ref="I272" ca="1">IFERROR(INDEX(INDIRECT($B$3&amp;"."&amp;$B$267&amp;".energy["&amp;This.year&amp;"]"),MATCH($C272&amp;I$5,INDIRECT($B$3&amp;"."&amp;$B$267&amp;".energy[Tech description]")&amp;INDIRECT($B$3&amp;"."&amp;$B$267&amp;".energy[Energy description]"),0)),0)</f>
        <v>0</v>
      </c>
      <c r="J272" s="121">
        <f t="array" aca="1" ref="J272" ca="1">IFERROR(INDEX(INDIRECT($B$3&amp;"."&amp;$B$267&amp;".energy["&amp;This.year&amp;"]"),MATCH($C272&amp;J$5,INDIRECT($B$3&amp;"."&amp;$B$267&amp;".energy[Tech description]")&amp;INDIRECT($B$3&amp;"."&amp;$B$267&amp;".energy[Energy description]"),0)),0)</f>
        <v>0</v>
      </c>
      <c r="K272" s="121">
        <f t="array" aca="1" ref="K272" ca="1">IFERROR(INDEX(INDIRECT($B$3&amp;"."&amp;$B$267&amp;".energy["&amp;This.year&amp;"]"),MATCH($C272&amp;K$5,INDIRECT($B$3&amp;"."&amp;$B$267&amp;".energy[Tech description]")&amp;INDIRECT($B$3&amp;"."&amp;$B$267&amp;".energy[Energy description]"),0)),0)</f>
        <v>0</v>
      </c>
      <c r="L272" s="121">
        <f t="array" aca="1" ref="L272" ca="1">IFERROR(INDEX(INDIRECT($B$3&amp;"."&amp;$B$267&amp;".energy["&amp;This.year&amp;"]"),MATCH($C272&amp;L$5,INDIRECT($B$3&amp;"."&amp;$B$267&amp;".energy[Tech description]")&amp;INDIRECT($B$3&amp;"."&amp;$B$267&amp;".energy[Energy description]"),0)),0)</f>
        <v>0</v>
      </c>
      <c r="M272" s="121">
        <f t="array" aca="1" ref="M272" ca="1">IFERROR(INDEX(INDIRECT($B$3&amp;"."&amp;$B$267&amp;".energy["&amp;This.year&amp;"]"),MATCH($C272&amp;M$5,INDIRECT($B$3&amp;"."&amp;$B$267&amp;".energy[Tech description]")&amp;INDIRECT($B$3&amp;"."&amp;$B$267&amp;".energy[Energy description]"),0)),0)</f>
        <v>0</v>
      </c>
      <c r="N272" s="121">
        <f t="array" aca="1" ref="N272" ca="1">IFERROR(INDEX(INDIRECT($B$3&amp;"."&amp;$B$267&amp;".energy["&amp;This.year&amp;"]"),MATCH($C272&amp;N$5,INDIRECT($B$3&amp;"."&amp;$B$267&amp;".energy[Tech description]")&amp;INDIRECT($B$3&amp;"."&amp;$B$267&amp;".energy[Energy description]"),0)),0)</f>
        <v>0</v>
      </c>
      <c r="O272" s="121">
        <f t="array" aca="1" ref="O272" ca="1">IFERROR(INDEX(INDIRECT($B$3&amp;"."&amp;$B$267&amp;".energy["&amp;This.year&amp;"]"),MATCH($C272&amp;O$5,INDIRECT($B$3&amp;"."&amp;$B$267&amp;".energy[Tech description]")&amp;INDIRECT($B$3&amp;"."&amp;$B$267&amp;".energy[Energy description]"),0)),0)</f>
        <v>0</v>
      </c>
      <c r="P272" s="121">
        <f t="array" aca="1" ref="P272" ca="1">IFERROR(INDEX(INDIRECT($B$3&amp;"."&amp;$B$267&amp;".energy["&amp;This.year&amp;"]"),MATCH($C272&amp;P$5,INDIRECT($B$3&amp;"."&amp;$B$267&amp;".energy[Tech description]")&amp;INDIRECT($B$3&amp;"."&amp;$B$267&amp;".energy[Energy description]"),0)),0)</f>
        <v>0</v>
      </c>
      <c r="Q272" s="121">
        <f t="array" aca="1" ref="Q272" ca="1">IFERROR(INDEX(INDIRECT($B$3&amp;"."&amp;$B$267&amp;".energy["&amp;This.year&amp;"]"),MATCH($C272&amp;Q$5,INDIRECT($B$3&amp;"."&amp;$B$267&amp;".energy[Tech description]")&amp;INDIRECT($B$3&amp;"."&amp;$B$267&amp;".energy[Energy description]"),0)),0)</f>
        <v>0</v>
      </c>
      <c r="R272" s="121">
        <f t="array" aca="1" ref="R272" ca="1">IFERROR(INDEX(INDIRECT($B$3&amp;"."&amp;$B$267&amp;".energy["&amp;This.year&amp;"]"),MATCH($C272&amp;R$5,INDIRECT($B$3&amp;"."&amp;$B$267&amp;".energy[Tech description]")&amp;INDIRECT($B$3&amp;"."&amp;$B$267&amp;".energy[Energy description]"),0)),0)</f>
        <v>0</v>
      </c>
      <c r="S272" s="121">
        <f t="array" aca="1" ref="S272" ca="1">IFERROR(INDEX(INDIRECT($B$3&amp;"."&amp;$B$267&amp;".energy["&amp;This.year&amp;"]"),MATCH($C272&amp;S$5,INDIRECT($B$3&amp;"."&amp;$B$267&amp;".energy[Tech description]")&amp;INDIRECT($B$3&amp;"."&amp;$B$267&amp;".energy[Energy description]"),0)),0)</f>
        <v>0</v>
      </c>
      <c r="T272" s="121">
        <f t="shared" ca="1" si="67"/>
        <v>0</v>
      </c>
      <c r="V272" s="171">
        <f t="array" aca="1" ref="V272" ca="1">IFERROR(INDEX(INDIRECT($B$3&amp;"."&amp;$B$267&amp;".energy["&amp;This.year&amp;"]"),MATCH($C272&amp;V$5,INDIRECT($B$3&amp;"."&amp;$B$267&amp;".energy[Tech description]")&amp;INDIRECT($B$3&amp;"."&amp;$B$267&amp;".energy[Energy description]"),0)),0)</f>
        <v>0</v>
      </c>
      <c r="W272" s="171">
        <f t="array" aca="1" ref="W272" ca="1">IFERROR(INDEX(INDIRECT($B$3&amp;"."&amp;$B$267&amp;".energy["&amp;This.year&amp;"]"),MATCH($C272&amp;W$5,INDIRECT($B$3&amp;"."&amp;$B$267&amp;".energy[Tech description]")&amp;INDIRECT($B$3&amp;"."&amp;$B$267&amp;".energy[Energy description]"),0)),0)</f>
        <v>0</v>
      </c>
      <c r="X272" s="171">
        <f t="array" aca="1" ref="X272" ca="1">IFERROR(INDEX(INDIRECT($B$3&amp;"."&amp;$B$267&amp;".energy["&amp;This.year&amp;"]"),MATCH($C272&amp;X$5,INDIRECT($B$3&amp;"."&amp;$B$267&amp;".energy[Tech description]")&amp;INDIRECT($B$3&amp;"."&amp;$B$267&amp;".energy[Energy description]"),0)),0)</f>
        <v>0</v>
      </c>
      <c r="Y272" s="171">
        <f t="array" aca="1" ref="Y272" ca="1">IFERROR(INDEX(INDIRECT($B$3&amp;"."&amp;$B$267&amp;".energy["&amp;This.year&amp;"]"),MATCH($C272&amp;Y$5,INDIRECT($B$3&amp;"."&amp;$B$267&amp;".energy[Tech description]")&amp;INDIRECT($B$3&amp;"."&amp;$B$267&amp;".energy[Energy description]"),0)),0)</f>
        <v>0</v>
      </c>
      <c r="Z272" s="171">
        <f t="array" aca="1" ref="Z272" ca="1">IFERROR(INDEX(INDIRECT($B$3&amp;"."&amp;$B$267&amp;".energy["&amp;This.year&amp;"]"),MATCH($C272&amp;Z$5,INDIRECT($B$3&amp;"."&amp;$B$267&amp;".energy[Tech description]")&amp;INDIRECT($B$3&amp;"."&amp;$B$267&amp;".energy[Energy description]"),0)),0)</f>
        <v>0</v>
      </c>
      <c r="AA272" s="171">
        <f t="array" aca="1" ref="AA272" ca="1">IFERROR(INDEX(INDIRECT($B$3&amp;"."&amp;$B$267&amp;".energy["&amp;This.year&amp;"]"),MATCH($C272&amp;AA$5,INDIRECT($B$3&amp;"."&amp;$B$267&amp;".energy[Tech description]")&amp;INDIRECT($B$3&amp;"."&amp;$B$267&amp;".energy[Energy description]"),0)),0)</f>
        <v>0</v>
      </c>
      <c r="AB272" s="171">
        <f t="array" aca="1" ref="AB272" ca="1">IFERROR(INDEX(INDIRECT($B$3&amp;"."&amp;$B$267&amp;".energy["&amp;This.year&amp;"]"),MATCH($C272&amp;AB$5,INDIRECT($B$3&amp;"."&amp;$B$267&amp;".energy[Tech description]")&amp;INDIRECT($B$3&amp;"."&amp;$B$267&amp;".energy[Energy description]"),0)),0)</f>
        <v>0</v>
      </c>
      <c r="AC272" s="171">
        <f t="array" aca="1" ref="AC272" ca="1">IFERROR(INDEX(INDIRECT($B$3&amp;"."&amp;$B$267&amp;".energy["&amp;This.year&amp;"]"),MATCH($C272&amp;AC$5,INDIRECT($B$3&amp;"."&amp;$B$267&amp;".energy[Tech description]")&amp;INDIRECT($B$3&amp;"."&amp;$B$267&amp;".energy[Energy description]"),0)),0)</f>
        <v>0</v>
      </c>
      <c r="AD272" s="171">
        <f t="array" aca="1" ref="AD272" ca="1">IFERROR(INDEX(INDIRECT($B$3&amp;"."&amp;$B$267&amp;".energy["&amp;This.year&amp;"]"),MATCH($C272&amp;AD$5,INDIRECT($B$3&amp;"."&amp;$B$267&amp;".energy[Tech description]")&amp;INDIRECT($B$3&amp;"."&amp;$B$267&amp;".energy[Energy description]"),0)),0)</f>
        <v>0</v>
      </c>
      <c r="AE272" s="171">
        <f t="array" aca="1" ref="AE272" ca="1">IFERROR(INDEX(INDIRECT($B$3&amp;"."&amp;$B$267&amp;".energy["&amp;This.year&amp;"]"),MATCH($C272&amp;AE$5,INDIRECT($B$3&amp;"."&amp;$B$267&amp;".energy[Tech description]")&amp;INDIRECT($B$3&amp;"."&amp;$B$267&amp;".energy[Energy description]"),0)),0)</f>
        <v>0</v>
      </c>
      <c r="AF272" s="171">
        <f t="array" aca="1" ref="AF272" ca="1">IFERROR(INDEX(INDIRECT($B$3&amp;"."&amp;$B$267&amp;".energy["&amp;This.year&amp;"]"),MATCH($C272&amp;AF$5,INDIRECT($B$3&amp;"."&amp;$B$267&amp;".energy[Tech description]")&amp;INDIRECT($B$3&amp;"."&amp;$B$267&amp;".energy[Energy description]"),0)),0)</f>
        <v>0</v>
      </c>
      <c r="AG272" s="171">
        <f t="array" aca="1" ref="AG272" ca="1">IFERROR(INDEX(INDIRECT($B$3&amp;"."&amp;$B$267&amp;".energy["&amp;This.year&amp;"]"),MATCH($C272&amp;AG$5,INDIRECT($B$3&amp;"."&amp;$B$267&amp;".energy[Tech description]")&amp;INDIRECT($B$3&amp;"."&amp;$B$267&amp;".energy[Energy description]"),0)),0)</f>
        <v>0</v>
      </c>
      <c r="AH272" s="171">
        <f t="array" aca="1" ref="AH272" ca="1">IFERROR(INDEX(INDIRECT($B$3&amp;"."&amp;$B$267&amp;".energy["&amp;This.year&amp;"]"),MATCH($C272&amp;AH$5,INDIRECT($B$3&amp;"."&amp;$B$267&amp;".energy[Tech description]")&amp;INDIRECT($B$3&amp;"."&amp;$B$267&amp;".energy[Energy description]"),0)),0)</f>
        <v>0</v>
      </c>
      <c r="AI272" s="171">
        <f t="array" aca="1" ref="AI272" ca="1">IFERROR(INDEX(INDIRECT($B$3&amp;"."&amp;$B$267&amp;".energy["&amp;This.year&amp;"]"),MATCH($C272&amp;AI$5,INDIRECT($B$3&amp;"."&amp;$B$267&amp;".energy[Tech description]")&amp;INDIRECT($B$3&amp;"."&amp;$B$267&amp;".energy[Energy description]"),0)),0)</f>
        <v>0</v>
      </c>
      <c r="AJ272" s="171">
        <f t="array" aca="1" ref="AJ272" ca="1">IFERROR(INDEX(INDIRECT($B$3&amp;"."&amp;$B$267&amp;".energy["&amp;This.year&amp;"]"),MATCH($C272&amp;AJ$5,INDIRECT($B$3&amp;"."&amp;$B$267&amp;".energy[Tech description]")&amp;INDIRECT($B$3&amp;"."&amp;$B$267&amp;".energy[Energy description]"),0)),0)</f>
        <v>0</v>
      </c>
      <c r="AK272" s="171">
        <f t="array" aca="1" ref="AK272" ca="1">IFERROR(INDEX(INDIRECT($B$3&amp;"."&amp;$B$267&amp;".energy["&amp;This.year&amp;"]"),MATCH($C272&amp;AK$5,INDIRECT($B$3&amp;"."&amp;$B$267&amp;".energy[Tech description]")&amp;INDIRECT($B$3&amp;"."&amp;$B$267&amp;".energy[Energy description]"),0)),0)</f>
        <v>0</v>
      </c>
      <c r="AL272" s="171">
        <f t="array" aca="1" ref="AL272" ca="1">IFERROR(INDEX(INDIRECT($B$3&amp;"."&amp;$B$267&amp;".energy["&amp;This.year&amp;"]"),MATCH($C272&amp;AL$5,INDIRECT($B$3&amp;"."&amp;$B$267&amp;".energy[Tech description]")&amp;INDIRECT($B$3&amp;"."&amp;$B$267&amp;".energy[Energy description]"),0)),0)</f>
        <v>0</v>
      </c>
      <c r="AM272" s="171">
        <f t="array" aca="1" ref="AM272" ca="1">IFERROR(INDEX(INDIRECT($B$3&amp;"."&amp;$B$267&amp;".energy["&amp;This.year&amp;"]"),MATCH($C272&amp;AM$5,INDIRECT($B$3&amp;"."&amp;$B$267&amp;".energy[Tech description]")&amp;INDIRECT($B$3&amp;"."&amp;$B$267&amp;".energy[Energy description]"),0)),0)</f>
        <v>0</v>
      </c>
      <c r="AN272" s="171">
        <f t="array" aca="1" ref="AN272" ca="1">IFERROR(INDEX(INDIRECT($B$3&amp;"."&amp;$B$267&amp;".energy["&amp;This.year&amp;"]"),MATCH($C272&amp;AN$5,INDIRECT($B$3&amp;"."&amp;$B$267&amp;".energy[Tech description]")&amp;INDIRECT($B$3&amp;"."&amp;$B$267&amp;".energy[Energy description]"),0)),0)</f>
        <v>0</v>
      </c>
      <c r="AO272" s="171">
        <f t="shared" ca="1" si="64"/>
        <v>0</v>
      </c>
      <c r="AQ272" s="173">
        <f t="array" aca="1" ref="AQ272" ca="1">IFERROR(INDEX(INDIRECT($B$3&amp;"."&amp;$B$267&amp;".energy["&amp;This.year&amp;"]"),MATCH($C272&amp;AQ$5,INDIRECT($B$3&amp;"."&amp;$B$267&amp;".energy[Tech description]")&amp;INDIRECT($B$3&amp;"."&amp;$B$267&amp;".energy[Energy description]"),0)),0)</f>
        <v>0</v>
      </c>
      <c r="AR272" s="173">
        <f t="array" aca="1" ref="AR272" ca="1">IFERROR(INDEX(INDIRECT($B$3&amp;"."&amp;$B$267&amp;".energy["&amp;This.year&amp;"]"),MATCH($C272&amp;AR$5,INDIRECT($B$3&amp;"."&amp;$B$267&amp;".energy[Tech description]")&amp;INDIRECT($B$3&amp;"."&amp;$B$267&amp;".energy[Energy description]"),0)),0)</f>
        <v>0</v>
      </c>
      <c r="AS272" s="173">
        <f t="array" aca="1" ref="AS272" ca="1">IFERROR(INDEX(INDIRECT($B$3&amp;"."&amp;$B$267&amp;".energy["&amp;This.year&amp;"]"),MATCH($C272&amp;AS$5,INDIRECT($B$3&amp;"."&amp;$B$267&amp;".energy[Tech description]")&amp;INDIRECT($B$3&amp;"."&amp;$B$267&amp;".energy[Energy description]"),0)),0)</f>
        <v>0</v>
      </c>
      <c r="AT272" s="173">
        <f t="array" aca="1" ref="AT272" ca="1">IFERROR(INDEX(INDIRECT($B$3&amp;"."&amp;$B$267&amp;".energy["&amp;This.year&amp;"]"),MATCH($C272&amp;AT$5,INDIRECT($B$3&amp;"."&amp;$B$267&amp;".energy[Tech description]")&amp;INDIRECT($B$3&amp;"."&amp;$B$267&amp;".energy[Energy description]"),0)),0)</f>
        <v>0</v>
      </c>
      <c r="AU272" s="173">
        <f t="array" aca="1" ref="AU272" ca="1">IFERROR(INDEX(INDIRECT($B$3&amp;"."&amp;$B$267&amp;".energy["&amp;This.year&amp;"]"),MATCH($C272&amp;AU$5,INDIRECT($B$3&amp;"."&amp;$B$267&amp;".energy[Tech description]")&amp;INDIRECT($B$3&amp;"."&amp;$B$267&amp;".energy[Energy description]"),0)),0)</f>
        <v>0</v>
      </c>
      <c r="AV272" s="173">
        <f t="array" aca="1" ref="AV272" ca="1">IFERROR(INDEX(INDIRECT($B$3&amp;"."&amp;$B$267&amp;".energy["&amp;This.year&amp;"]"),MATCH($C272&amp;AV$5,INDIRECT($B$3&amp;"."&amp;$B$267&amp;".energy[Tech description]")&amp;INDIRECT($B$3&amp;"."&amp;$B$267&amp;".energy[Energy description]"),0)),0)</f>
        <v>0</v>
      </c>
      <c r="AW272" s="173">
        <f t="array" aca="1" ref="AW272" ca="1">IFERROR(INDEX(INDIRECT($B$3&amp;"."&amp;$B$267&amp;".energy["&amp;This.year&amp;"]"),MATCH($C272&amp;AW$5,INDIRECT($B$3&amp;"."&amp;$B$267&amp;".energy[Tech description]")&amp;INDIRECT($B$3&amp;"."&amp;$B$267&amp;".energy[Energy description]"),0)),0)</f>
        <v>0</v>
      </c>
      <c r="AX272" s="173">
        <f t="array" aca="1" ref="AX272" ca="1">IFERROR(INDEX(INDIRECT($B$3&amp;"."&amp;$B$267&amp;".energy["&amp;This.year&amp;"]"),MATCH($C272&amp;AX$5,INDIRECT($B$3&amp;"."&amp;$B$267&amp;".energy[Tech description]")&amp;INDIRECT($B$3&amp;"."&amp;$B$267&amp;".energy[Energy description]"),0)),0)</f>
        <v>0</v>
      </c>
      <c r="AY272" s="173">
        <f t="array" aca="1" ref="AY272" ca="1">IFERROR(INDEX(INDIRECT($B$3&amp;"."&amp;$B$267&amp;".energy["&amp;This.year&amp;"]"),MATCH($C272&amp;AY$5,INDIRECT($B$3&amp;"."&amp;$B$267&amp;".energy[Tech description]")&amp;INDIRECT($B$3&amp;"."&amp;$B$267&amp;".energy[Energy description]"),0)),0)</f>
        <v>0</v>
      </c>
      <c r="AZ272" s="173">
        <f t="array" aca="1" ref="AZ272" ca="1">IFERROR(INDEX(INDIRECT($B$3&amp;"."&amp;$B$267&amp;".energy["&amp;This.year&amp;"]"),MATCH($C272&amp;AZ$5,INDIRECT($B$3&amp;"."&amp;$B$267&amp;".energy[Tech description]")&amp;INDIRECT($B$3&amp;"."&amp;$B$267&amp;".energy[Energy description]"),0)),0)</f>
        <v>0</v>
      </c>
      <c r="BA272" s="173">
        <f t="array" aca="1" ref="BA272" ca="1">IFERROR(INDEX(INDIRECT($B$3&amp;"."&amp;$B$267&amp;".energy["&amp;This.year&amp;"]"),MATCH($C272&amp;BA$5,INDIRECT($B$3&amp;"."&amp;$B$267&amp;".energy[Tech description]")&amp;INDIRECT($B$3&amp;"."&amp;$B$267&amp;".energy[Energy description]"),0)),0)</f>
        <v>0</v>
      </c>
      <c r="BB272" s="173">
        <f t="array" aca="1" ref="BB272" ca="1">IFERROR(INDEX(INDIRECT($B$3&amp;"."&amp;$B$267&amp;".energy["&amp;This.year&amp;"]"),MATCH($C272&amp;BB$5,INDIRECT($B$3&amp;"."&amp;$B$267&amp;".energy[Tech description]")&amp;INDIRECT($B$3&amp;"."&amp;$B$267&amp;".energy[Energy description]"),0)),0)</f>
        <v>0</v>
      </c>
      <c r="BC272" s="173">
        <f t="array" aca="1" ref="BC272" ca="1">IFERROR(INDEX(INDIRECT($B$3&amp;"."&amp;$B$267&amp;".energy["&amp;This.year&amp;"]"),MATCH($C272&amp;BC$5,INDIRECT($B$3&amp;"."&amp;$B$267&amp;".energy[Tech description]")&amp;INDIRECT($B$3&amp;"."&amp;$B$267&amp;".energy[Energy description]"),0)),0)</f>
        <v>0</v>
      </c>
      <c r="BD272" s="173">
        <f t="shared" ca="1" si="65"/>
        <v>0</v>
      </c>
      <c r="BF272" s="175">
        <f t="array" aca="1" ref="BF272" ca="1">IFERROR(INDEX(INDIRECT($B$3&amp;"."&amp;$B$267&amp;".energy["&amp;This.year&amp;"]"),MATCH($C272&amp;BF$5,INDIRECT($B$3&amp;"."&amp;$B$267&amp;".energy[Tech description]")&amp;INDIRECT($B$3&amp;"."&amp;$B$267&amp;".energy[Energy description]"),0)),0)</f>
        <v>0</v>
      </c>
      <c r="BG272" s="175">
        <f t="array" aca="1" ref="BG272" ca="1">IFERROR(INDEX(INDIRECT($B$3&amp;"."&amp;$B$267&amp;".energy["&amp;This.year&amp;"]"),MATCH($C272&amp;BG$5,INDIRECT($B$3&amp;"."&amp;$B$267&amp;".energy[Tech description]")&amp;INDIRECT($B$3&amp;"."&amp;$B$267&amp;".energy[Energy description]"),0)),0)</f>
        <v>0</v>
      </c>
      <c r="BH272" s="175">
        <f t="shared" ca="1" si="68"/>
        <v>0</v>
      </c>
      <c r="BI272" s="219">
        <f t="shared" ca="1" si="66"/>
        <v>0</v>
      </c>
      <c r="BJ272" s="58"/>
    </row>
    <row r="273" spans="1:62">
      <c r="A273" s="134"/>
      <c r="B273" s="176" t="s">
        <v>1158</v>
      </c>
      <c r="C273" s="114" t="str">
        <f>INDEX(Regional.Technologies[Description],MATCH($B$3&amp;"."&amp;B273,Regional.Technologies[Code],0))</f>
        <v>Global Unabated liquid-fuel efficient power plant</v>
      </c>
      <c r="E273" s="121">
        <f t="array" aca="1" ref="E273" ca="1">IFERROR(INDEX(INDIRECT($B$3&amp;"."&amp;$B$267&amp;".energy["&amp;This.year&amp;"]"),MATCH($C273&amp;E$5,INDIRECT($B$3&amp;"."&amp;$B$267&amp;".energy[Tech description]")&amp;INDIRECT($B$3&amp;"."&amp;$B$267&amp;".energy[Energy description]"),0)),0)</f>
        <v>0</v>
      </c>
      <c r="F273" s="121">
        <f t="array" aca="1" ref="F273" ca="1">IFERROR(INDEX(INDIRECT($B$3&amp;"."&amp;$B$267&amp;".energy["&amp;This.year&amp;"]"),MATCH($C273&amp;F$5,INDIRECT($B$3&amp;"."&amp;$B$267&amp;".energy[Tech description]")&amp;INDIRECT($B$3&amp;"."&amp;$B$267&amp;".energy[Energy description]"),0)),0)</f>
        <v>0</v>
      </c>
      <c r="G273" s="121">
        <f t="array" aca="1" ref="G273" ca="1">IFERROR(INDEX(INDIRECT($B$3&amp;"."&amp;$B$267&amp;".energy["&amp;This.year&amp;"]"),MATCH($C273&amp;G$5,INDIRECT($B$3&amp;"."&amp;$B$267&amp;".energy[Tech description]")&amp;INDIRECT($B$3&amp;"."&amp;$B$267&amp;".energy[Energy description]"),0)),0)</f>
        <v>0</v>
      </c>
      <c r="H273" s="121">
        <f t="array" aca="1" ref="H273" ca="1">IFERROR(INDEX(INDIRECT($B$3&amp;"."&amp;$B$267&amp;".energy["&amp;This.year&amp;"]"),MATCH($C273&amp;H$5,INDIRECT($B$3&amp;"."&amp;$B$267&amp;".energy[Tech description]")&amp;INDIRECT($B$3&amp;"."&amp;$B$267&amp;".energy[Energy description]"),0)),0)</f>
        <v>0</v>
      </c>
      <c r="I273" s="121">
        <f t="array" aca="1" ref="I273" ca="1">IFERROR(INDEX(INDIRECT($B$3&amp;"."&amp;$B$267&amp;".energy["&amp;This.year&amp;"]"),MATCH($C273&amp;I$5,INDIRECT($B$3&amp;"."&amp;$B$267&amp;".energy[Tech description]")&amp;INDIRECT($B$3&amp;"."&amp;$B$267&amp;".energy[Energy description]"),0)),0)</f>
        <v>0</v>
      </c>
      <c r="J273" s="121">
        <f t="array" aca="1" ref="J273" ca="1">IFERROR(INDEX(INDIRECT($B$3&amp;"."&amp;$B$267&amp;".energy["&amp;This.year&amp;"]"),MATCH($C273&amp;J$5,INDIRECT($B$3&amp;"."&amp;$B$267&amp;".energy[Tech description]")&amp;INDIRECT($B$3&amp;"."&amp;$B$267&amp;".energy[Energy description]"),0)),0)</f>
        <v>0</v>
      </c>
      <c r="K273" s="121">
        <f t="array" aca="1" ref="K273" ca="1">IFERROR(INDEX(INDIRECT($B$3&amp;"."&amp;$B$267&amp;".energy["&amp;This.year&amp;"]"),MATCH($C273&amp;K$5,INDIRECT($B$3&amp;"."&amp;$B$267&amp;".energy[Tech description]")&amp;INDIRECT($B$3&amp;"."&amp;$B$267&amp;".energy[Energy description]"),0)),0)</f>
        <v>0</v>
      </c>
      <c r="L273" s="121">
        <f t="array" aca="1" ref="L273" ca="1">IFERROR(INDEX(INDIRECT($B$3&amp;"."&amp;$B$267&amp;".energy["&amp;This.year&amp;"]"),MATCH($C273&amp;L$5,INDIRECT($B$3&amp;"."&amp;$B$267&amp;".energy[Tech description]")&amp;INDIRECT($B$3&amp;"."&amp;$B$267&amp;".energy[Energy description]"),0)),0)</f>
        <v>0</v>
      </c>
      <c r="M273" s="121">
        <f t="array" aca="1" ref="M273" ca="1">IFERROR(INDEX(INDIRECT($B$3&amp;"."&amp;$B$267&amp;".energy["&amp;This.year&amp;"]"),MATCH($C273&amp;M$5,INDIRECT($B$3&amp;"."&amp;$B$267&amp;".energy[Tech description]")&amp;INDIRECT($B$3&amp;"."&amp;$B$267&amp;".energy[Energy description]"),0)),0)</f>
        <v>0</v>
      </c>
      <c r="N273" s="121">
        <f t="array" aca="1" ref="N273" ca="1">IFERROR(INDEX(INDIRECT($B$3&amp;"."&amp;$B$267&amp;".energy["&amp;This.year&amp;"]"),MATCH($C273&amp;N$5,INDIRECT($B$3&amp;"."&amp;$B$267&amp;".energy[Tech description]")&amp;INDIRECT($B$3&amp;"."&amp;$B$267&amp;".energy[Energy description]"),0)),0)</f>
        <v>0</v>
      </c>
      <c r="O273" s="121">
        <f t="array" aca="1" ref="O273" ca="1">IFERROR(INDEX(INDIRECT($B$3&amp;"."&amp;$B$267&amp;".energy["&amp;This.year&amp;"]"),MATCH($C273&amp;O$5,INDIRECT($B$3&amp;"."&amp;$B$267&amp;".energy[Tech description]")&amp;INDIRECT($B$3&amp;"."&amp;$B$267&amp;".energy[Energy description]"),0)),0)</f>
        <v>0</v>
      </c>
      <c r="P273" s="121">
        <f t="array" aca="1" ref="P273" ca="1">IFERROR(INDEX(INDIRECT($B$3&amp;"."&amp;$B$267&amp;".energy["&amp;This.year&amp;"]"),MATCH($C273&amp;P$5,INDIRECT($B$3&amp;"."&amp;$B$267&amp;".energy[Tech description]")&amp;INDIRECT($B$3&amp;"."&amp;$B$267&amp;".energy[Energy description]"),0)),0)</f>
        <v>0</v>
      </c>
      <c r="Q273" s="121">
        <f t="array" aca="1" ref="Q273" ca="1">IFERROR(INDEX(INDIRECT($B$3&amp;"."&amp;$B$267&amp;".energy["&amp;This.year&amp;"]"),MATCH($C273&amp;Q$5,INDIRECT($B$3&amp;"."&amp;$B$267&amp;".energy[Tech description]")&amp;INDIRECT($B$3&amp;"."&amp;$B$267&amp;".energy[Energy description]"),0)),0)</f>
        <v>0</v>
      </c>
      <c r="R273" s="121">
        <f t="array" aca="1" ref="R273" ca="1">IFERROR(INDEX(INDIRECT($B$3&amp;"."&amp;$B$267&amp;".energy["&amp;This.year&amp;"]"),MATCH($C273&amp;R$5,INDIRECT($B$3&amp;"."&amp;$B$267&amp;".energy[Tech description]")&amp;INDIRECT($B$3&amp;"."&amp;$B$267&amp;".energy[Energy description]"),0)),0)</f>
        <v>0</v>
      </c>
      <c r="S273" s="121">
        <f t="array" aca="1" ref="S273" ca="1">IFERROR(INDEX(INDIRECT($B$3&amp;"."&amp;$B$267&amp;".energy["&amp;This.year&amp;"]"),MATCH($C273&amp;S$5,INDIRECT($B$3&amp;"."&amp;$B$267&amp;".energy[Tech description]")&amp;INDIRECT($B$3&amp;"."&amp;$B$267&amp;".energy[Energy description]"),0)),0)</f>
        <v>0</v>
      </c>
      <c r="T273" s="121">
        <f t="shared" ca="1" si="67"/>
        <v>0</v>
      </c>
      <c r="V273" s="171">
        <f t="array" aca="1" ref="V273" ca="1">IFERROR(INDEX(INDIRECT($B$3&amp;"."&amp;$B$267&amp;".energy["&amp;This.year&amp;"]"),MATCH($C273&amp;V$5,INDIRECT($B$3&amp;"."&amp;$B$267&amp;".energy[Tech description]")&amp;INDIRECT($B$3&amp;"."&amp;$B$267&amp;".energy[Energy description]"),0)),0)</f>
        <v>0</v>
      </c>
      <c r="W273" s="171">
        <f t="array" aca="1" ref="W273" ca="1">IFERROR(INDEX(INDIRECT($B$3&amp;"."&amp;$B$267&amp;".energy["&amp;This.year&amp;"]"),MATCH($C273&amp;W$5,INDIRECT($B$3&amp;"."&amp;$B$267&amp;".energy[Tech description]")&amp;INDIRECT($B$3&amp;"."&amp;$B$267&amp;".energy[Energy description]"),0)),0)</f>
        <v>0</v>
      </c>
      <c r="X273" s="171">
        <f t="array" aca="1" ref="X273" ca="1">IFERROR(INDEX(INDIRECT($B$3&amp;"."&amp;$B$267&amp;".energy["&amp;This.year&amp;"]"),MATCH($C273&amp;X$5,INDIRECT($B$3&amp;"."&amp;$B$267&amp;".energy[Tech description]")&amp;INDIRECT($B$3&amp;"."&amp;$B$267&amp;".energy[Energy description]"),0)),0)</f>
        <v>0</v>
      </c>
      <c r="Y273" s="171">
        <f t="array" aca="1" ref="Y273" ca="1">IFERROR(INDEX(INDIRECT($B$3&amp;"."&amp;$B$267&amp;".energy["&amp;This.year&amp;"]"),MATCH($C273&amp;Y$5,INDIRECT($B$3&amp;"."&amp;$B$267&amp;".energy[Tech description]")&amp;INDIRECT($B$3&amp;"."&amp;$B$267&amp;".energy[Energy description]"),0)),0)</f>
        <v>0</v>
      </c>
      <c r="Z273" s="171">
        <f t="array" aca="1" ref="Z273" ca="1">IFERROR(INDEX(INDIRECT($B$3&amp;"."&amp;$B$267&amp;".energy["&amp;This.year&amp;"]"),MATCH($C273&amp;Z$5,INDIRECT($B$3&amp;"."&amp;$B$267&amp;".energy[Tech description]")&amp;INDIRECT($B$3&amp;"."&amp;$B$267&amp;".energy[Energy description]"),0)),0)</f>
        <v>0</v>
      </c>
      <c r="AA273" s="171">
        <f t="array" aca="1" ref="AA273" ca="1">IFERROR(INDEX(INDIRECT($B$3&amp;"."&amp;$B$267&amp;".energy["&amp;This.year&amp;"]"),MATCH($C273&amp;AA$5,INDIRECT($B$3&amp;"."&amp;$B$267&amp;".energy[Tech description]")&amp;INDIRECT($B$3&amp;"."&amp;$B$267&amp;".energy[Energy description]"),0)),0)</f>
        <v>0</v>
      </c>
      <c r="AB273" s="171">
        <f t="array" aca="1" ref="AB273" ca="1">IFERROR(INDEX(INDIRECT($B$3&amp;"."&amp;$B$267&amp;".energy["&amp;This.year&amp;"]"),MATCH($C273&amp;AB$5,INDIRECT($B$3&amp;"."&amp;$B$267&amp;".energy[Tech description]")&amp;INDIRECT($B$3&amp;"."&amp;$B$267&amp;".energy[Energy description]"),0)),0)</f>
        <v>0</v>
      </c>
      <c r="AC273" s="171">
        <f t="array" aca="1" ref="AC273" ca="1">IFERROR(INDEX(INDIRECT($B$3&amp;"."&amp;$B$267&amp;".energy["&amp;This.year&amp;"]"),MATCH($C273&amp;AC$5,INDIRECT($B$3&amp;"."&amp;$B$267&amp;".energy[Tech description]")&amp;INDIRECT($B$3&amp;"."&amp;$B$267&amp;".energy[Energy description]"),0)),0)</f>
        <v>0</v>
      </c>
      <c r="AD273" s="171">
        <f t="array" aca="1" ref="AD273" ca="1">IFERROR(INDEX(INDIRECT($B$3&amp;"."&amp;$B$267&amp;".energy["&amp;This.year&amp;"]"),MATCH($C273&amp;AD$5,INDIRECT($B$3&amp;"."&amp;$B$267&amp;".energy[Tech description]")&amp;INDIRECT($B$3&amp;"."&amp;$B$267&amp;".energy[Energy description]"),0)),0)</f>
        <v>0</v>
      </c>
      <c r="AE273" s="171">
        <f t="array" aca="1" ref="AE273" ca="1">IFERROR(INDEX(INDIRECT($B$3&amp;"."&amp;$B$267&amp;".energy["&amp;This.year&amp;"]"),MATCH($C273&amp;AE$5,INDIRECT($B$3&amp;"."&amp;$B$267&amp;".energy[Tech description]")&amp;INDIRECT($B$3&amp;"."&amp;$B$267&amp;".energy[Energy description]"),0)),0)</f>
        <v>0</v>
      </c>
      <c r="AF273" s="171">
        <f t="array" aca="1" ref="AF273" ca="1">IFERROR(INDEX(INDIRECT($B$3&amp;"."&amp;$B$267&amp;".energy["&amp;This.year&amp;"]"),MATCH($C273&amp;AF$5,INDIRECT($B$3&amp;"."&amp;$B$267&amp;".energy[Tech description]")&amp;INDIRECT($B$3&amp;"."&amp;$B$267&amp;".energy[Energy description]"),0)),0)</f>
        <v>0</v>
      </c>
      <c r="AG273" s="171">
        <f t="array" aca="1" ref="AG273" ca="1">IFERROR(INDEX(INDIRECT($B$3&amp;"."&amp;$B$267&amp;".energy["&amp;This.year&amp;"]"),MATCH($C273&amp;AG$5,INDIRECT($B$3&amp;"."&amp;$B$267&amp;".energy[Tech description]")&amp;INDIRECT($B$3&amp;"."&amp;$B$267&amp;".energy[Energy description]"),0)),0)</f>
        <v>0</v>
      </c>
      <c r="AH273" s="171">
        <f t="array" aca="1" ref="AH273" ca="1">IFERROR(INDEX(INDIRECT($B$3&amp;"."&amp;$B$267&amp;".energy["&amp;This.year&amp;"]"),MATCH($C273&amp;AH$5,INDIRECT($B$3&amp;"."&amp;$B$267&amp;".energy[Tech description]")&amp;INDIRECT($B$3&amp;"."&amp;$B$267&amp;".energy[Energy description]"),0)),0)</f>
        <v>0</v>
      </c>
      <c r="AI273" s="171">
        <f t="array" aca="1" ref="AI273" ca="1">IFERROR(INDEX(INDIRECT($B$3&amp;"."&amp;$B$267&amp;".energy["&amp;This.year&amp;"]"),MATCH($C273&amp;AI$5,INDIRECT($B$3&amp;"."&amp;$B$267&amp;".energy[Tech description]")&amp;INDIRECT($B$3&amp;"."&amp;$B$267&amp;".energy[Energy description]"),0)),0)</f>
        <v>0</v>
      </c>
      <c r="AJ273" s="171">
        <f t="array" aca="1" ref="AJ273" ca="1">IFERROR(INDEX(INDIRECT($B$3&amp;"."&amp;$B$267&amp;".energy["&amp;This.year&amp;"]"),MATCH($C273&amp;AJ$5,INDIRECT($B$3&amp;"."&amp;$B$267&amp;".energy[Tech description]")&amp;INDIRECT($B$3&amp;"."&amp;$B$267&amp;".energy[Energy description]"),0)),0)</f>
        <v>0</v>
      </c>
      <c r="AK273" s="171">
        <f t="array" aca="1" ref="AK273" ca="1">IFERROR(INDEX(INDIRECT($B$3&amp;"."&amp;$B$267&amp;".energy["&amp;This.year&amp;"]"),MATCH($C273&amp;AK$5,INDIRECT($B$3&amp;"."&amp;$B$267&amp;".energy[Tech description]")&amp;INDIRECT($B$3&amp;"."&amp;$B$267&amp;".energy[Energy description]"),0)),0)</f>
        <v>0</v>
      </c>
      <c r="AL273" s="171">
        <f t="array" aca="1" ref="AL273" ca="1">IFERROR(INDEX(INDIRECT($B$3&amp;"."&amp;$B$267&amp;".energy["&amp;This.year&amp;"]"),MATCH($C273&amp;AL$5,INDIRECT($B$3&amp;"."&amp;$B$267&amp;".energy[Tech description]")&amp;INDIRECT($B$3&amp;"."&amp;$B$267&amp;".energy[Energy description]"),0)),0)</f>
        <v>0</v>
      </c>
      <c r="AM273" s="171">
        <f t="array" aca="1" ref="AM273" ca="1">IFERROR(INDEX(INDIRECT($B$3&amp;"."&amp;$B$267&amp;".energy["&amp;This.year&amp;"]"),MATCH($C273&amp;AM$5,INDIRECT($B$3&amp;"."&amp;$B$267&amp;".energy[Tech description]")&amp;INDIRECT($B$3&amp;"."&amp;$B$267&amp;".energy[Energy description]"),0)),0)</f>
        <v>0</v>
      </c>
      <c r="AN273" s="171">
        <f t="array" aca="1" ref="AN273" ca="1">IFERROR(INDEX(INDIRECT($B$3&amp;"."&amp;$B$267&amp;".energy["&amp;This.year&amp;"]"),MATCH($C273&amp;AN$5,INDIRECT($B$3&amp;"."&amp;$B$267&amp;".energy[Tech description]")&amp;INDIRECT($B$3&amp;"."&amp;$B$267&amp;".energy[Energy description]"),0)),0)</f>
        <v>0</v>
      </c>
      <c r="AO273" s="171">
        <f t="shared" ca="1" si="64"/>
        <v>0</v>
      </c>
      <c r="AQ273" s="173">
        <f t="array" aca="1" ref="AQ273" ca="1">IFERROR(INDEX(INDIRECT($B$3&amp;"."&amp;$B$267&amp;".energy["&amp;This.year&amp;"]"),MATCH($C273&amp;AQ$5,INDIRECT($B$3&amp;"."&amp;$B$267&amp;".energy[Tech description]")&amp;INDIRECT($B$3&amp;"."&amp;$B$267&amp;".energy[Energy description]"),0)),0)</f>
        <v>0</v>
      </c>
      <c r="AR273" s="173">
        <f t="array" aca="1" ref="AR273" ca="1">IFERROR(INDEX(INDIRECT($B$3&amp;"."&amp;$B$267&amp;".energy["&amp;This.year&amp;"]"),MATCH($C273&amp;AR$5,INDIRECT($B$3&amp;"."&amp;$B$267&amp;".energy[Tech description]")&amp;INDIRECT($B$3&amp;"."&amp;$B$267&amp;".energy[Energy description]"),0)),0)</f>
        <v>0</v>
      </c>
      <c r="AS273" s="173">
        <f t="array" aca="1" ref="AS273" ca="1">IFERROR(INDEX(INDIRECT($B$3&amp;"."&amp;$B$267&amp;".energy["&amp;This.year&amp;"]"),MATCH($C273&amp;AS$5,INDIRECT($B$3&amp;"."&amp;$B$267&amp;".energy[Tech description]")&amp;INDIRECT($B$3&amp;"."&amp;$B$267&amp;".energy[Energy description]"),0)),0)</f>
        <v>0</v>
      </c>
      <c r="AT273" s="173">
        <f t="array" aca="1" ref="AT273" ca="1">IFERROR(INDEX(INDIRECT($B$3&amp;"."&amp;$B$267&amp;".energy["&amp;This.year&amp;"]"),MATCH($C273&amp;AT$5,INDIRECT($B$3&amp;"."&amp;$B$267&amp;".energy[Tech description]")&amp;INDIRECT($B$3&amp;"."&amp;$B$267&amp;".energy[Energy description]"),0)),0)</f>
        <v>0</v>
      </c>
      <c r="AU273" s="173">
        <f t="array" aca="1" ref="AU273" ca="1">IFERROR(INDEX(INDIRECT($B$3&amp;"."&amp;$B$267&amp;".energy["&amp;This.year&amp;"]"),MATCH($C273&amp;AU$5,INDIRECT($B$3&amp;"."&amp;$B$267&amp;".energy[Tech description]")&amp;INDIRECT($B$3&amp;"."&amp;$B$267&amp;".energy[Energy description]"),0)),0)</f>
        <v>0</v>
      </c>
      <c r="AV273" s="173">
        <f t="array" aca="1" ref="AV273" ca="1">IFERROR(INDEX(INDIRECT($B$3&amp;"."&amp;$B$267&amp;".energy["&amp;This.year&amp;"]"),MATCH($C273&amp;AV$5,INDIRECT($B$3&amp;"."&amp;$B$267&amp;".energy[Tech description]")&amp;INDIRECT($B$3&amp;"."&amp;$B$267&amp;".energy[Energy description]"),0)),0)</f>
        <v>0</v>
      </c>
      <c r="AW273" s="173">
        <f t="array" aca="1" ref="AW273" ca="1">IFERROR(INDEX(INDIRECT($B$3&amp;"."&amp;$B$267&amp;".energy["&amp;This.year&amp;"]"),MATCH($C273&amp;AW$5,INDIRECT($B$3&amp;"."&amp;$B$267&amp;".energy[Tech description]")&amp;INDIRECT($B$3&amp;"."&amp;$B$267&amp;".energy[Energy description]"),0)),0)</f>
        <v>0</v>
      </c>
      <c r="AX273" s="173">
        <f t="array" aca="1" ref="AX273" ca="1">IFERROR(INDEX(INDIRECT($B$3&amp;"."&amp;$B$267&amp;".energy["&amp;This.year&amp;"]"),MATCH($C273&amp;AX$5,INDIRECT($B$3&amp;"."&amp;$B$267&amp;".energy[Tech description]")&amp;INDIRECT($B$3&amp;"."&amp;$B$267&amp;".energy[Energy description]"),0)),0)</f>
        <v>0</v>
      </c>
      <c r="AY273" s="173">
        <f t="array" aca="1" ref="AY273" ca="1">IFERROR(INDEX(INDIRECT($B$3&amp;"."&amp;$B$267&amp;".energy["&amp;This.year&amp;"]"),MATCH($C273&amp;AY$5,INDIRECT($B$3&amp;"."&amp;$B$267&amp;".energy[Tech description]")&amp;INDIRECT($B$3&amp;"."&amp;$B$267&amp;".energy[Energy description]"),0)),0)</f>
        <v>0</v>
      </c>
      <c r="AZ273" s="173">
        <f t="array" aca="1" ref="AZ273" ca="1">IFERROR(INDEX(INDIRECT($B$3&amp;"."&amp;$B$267&amp;".energy["&amp;This.year&amp;"]"),MATCH($C273&amp;AZ$5,INDIRECT($B$3&amp;"."&amp;$B$267&amp;".energy[Tech description]")&amp;INDIRECT($B$3&amp;"."&amp;$B$267&amp;".energy[Energy description]"),0)),0)</f>
        <v>0</v>
      </c>
      <c r="BA273" s="173">
        <f t="array" aca="1" ref="BA273" ca="1">IFERROR(INDEX(INDIRECT($B$3&amp;"."&amp;$B$267&amp;".energy["&amp;This.year&amp;"]"),MATCH($C273&amp;BA$5,INDIRECT($B$3&amp;"."&amp;$B$267&amp;".energy[Tech description]")&amp;INDIRECT($B$3&amp;"."&amp;$B$267&amp;".energy[Energy description]"),0)),0)</f>
        <v>0</v>
      </c>
      <c r="BB273" s="173">
        <f t="array" aca="1" ref="BB273" ca="1">IFERROR(INDEX(INDIRECT($B$3&amp;"."&amp;$B$267&amp;".energy["&amp;This.year&amp;"]"),MATCH($C273&amp;BB$5,INDIRECT($B$3&amp;"."&amp;$B$267&amp;".energy[Tech description]")&amp;INDIRECT($B$3&amp;"."&amp;$B$267&amp;".energy[Energy description]"),0)),0)</f>
        <v>0</v>
      </c>
      <c r="BC273" s="173">
        <f t="array" aca="1" ref="BC273" ca="1">IFERROR(INDEX(INDIRECT($B$3&amp;"."&amp;$B$267&amp;".energy["&amp;This.year&amp;"]"),MATCH($C273&amp;BC$5,INDIRECT($B$3&amp;"."&amp;$B$267&amp;".energy[Tech description]")&amp;INDIRECT($B$3&amp;"."&amp;$B$267&amp;".energy[Energy description]"),0)),0)</f>
        <v>0</v>
      </c>
      <c r="BD273" s="173">
        <f t="shared" ca="1" si="65"/>
        <v>0</v>
      </c>
      <c r="BF273" s="175">
        <f t="array" aca="1" ref="BF273" ca="1">IFERROR(INDEX(INDIRECT($B$3&amp;"."&amp;$B$267&amp;".energy["&amp;This.year&amp;"]"),MATCH($C273&amp;BF$5,INDIRECT($B$3&amp;"."&amp;$B$267&amp;".energy[Tech description]")&amp;INDIRECT($B$3&amp;"."&amp;$B$267&amp;".energy[Energy description]"),0)),0)</f>
        <v>0</v>
      </c>
      <c r="BG273" s="175">
        <f t="array" aca="1" ref="BG273" ca="1">IFERROR(INDEX(INDIRECT($B$3&amp;"."&amp;$B$267&amp;".energy["&amp;This.year&amp;"]"),MATCH($C273&amp;BG$5,INDIRECT($B$3&amp;"."&amp;$B$267&amp;".energy[Tech description]")&amp;INDIRECT($B$3&amp;"."&amp;$B$267&amp;".energy[Energy description]"),0)),0)</f>
        <v>0</v>
      </c>
      <c r="BH273" s="175">
        <f t="shared" ca="1" si="68"/>
        <v>0</v>
      </c>
      <c r="BI273" s="219">
        <f t="shared" ca="1" si="66"/>
        <v>0</v>
      </c>
      <c r="BJ273" s="58"/>
    </row>
    <row r="274" spans="1:62">
      <c r="A274" s="134"/>
      <c r="B274" s="176" t="s">
        <v>1157</v>
      </c>
      <c r="C274" s="114" t="str">
        <f>INDEX(Regional.Technologies[Description],MATCH($B$3&amp;"."&amp;B274,Regional.Technologies[Code],0))</f>
        <v>Global Unabated liquid-fuel inefficient power plant</v>
      </c>
      <c r="E274" s="121">
        <f t="array" aca="1" ref="E274" ca="1">IFERROR(INDEX(INDIRECT($B$3&amp;"."&amp;$B$267&amp;".energy["&amp;This.year&amp;"]"),MATCH($C274&amp;E$5,INDIRECT($B$3&amp;"."&amp;$B$267&amp;".energy[Tech description]")&amp;INDIRECT($B$3&amp;"."&amp;$B$267&amp;".energy[Energy description]"),0)),0)</f>
        <v>0</v>
      </c>
      <c r="F274" s="121">
        <f t="array" aca="1" ref="F274" ca="1">IFERROR(INDEX(INDIRECT($B$3&amp;"."&amp;$B$267&amp;".energy["&amp;This.year&amp;"]"),MATCH($C274&amp;F$5,INDIRECT($B$3&amp;"."&amp;$B$267&amp;".energy[Tech description]")&amp;INDIRECT($B$3&amp;"."&amp;$B$267&amp;".energy[Energy description]"),0)),0)</f>
        <v>0</v>
      </c>
      <c r="G274" s="121">
        <f t="array" aca="1" ref="G274" ca="1">IFERROR(INDEX(INDIRECT($B$3&amp;"."&amp;$B$267&amp;".energy["&amp;This.year&amp;"]"),MATCH($C274&amp;G$5,INDIRECT($B$3&amp;"."&amp;$B$267&amp;".energy[Tech description]")&amp;INDIRECT($B$3&amp;"."&amp;$B$267&amp;".energy[Energy description]"),0)),0)</f>
        <v>0</v>
      </c>
      <c r="H274" s="121">
        <f t="array" aca="1" ref="H274" ca="1">IFERROR(INDEX(INDIRECT($B$3&amp;"."&amp;$B$267&amp;".energy["&amp;This.year&amp;"]"),MATCH($C274&amp;H$5,INDIRECT($B$3&amp;"."&amp;$B$267&amp;".energy[Tech description]")&amp;INDIRECT($B$3&amp;"."&amp;$B$267&amp;".energy[Energy description]"),0)),0)</f>
        <v>0</v>
      </c>
      <c r="I274" s="121">
        <f t="array" aca="1" ref="I274" ca="1">IFERROR(INDEX(INDIRECT($B$3&amp;"."&amp;$B$267&amp;".energy["&amp;This.year&amp;"]"),MATCH($C274&amp;I$5,INDIRECT($B$3&amp;"."&amp;$B$267&amp;".energy[Tech description]")&amp;INDIRECT($B$3&amp;"."&amp;$B$267&amp;".energy[Energy description]"),0)),0)</f>
        <v>0</v>
      </c>
      <c r="J274" s="121">
        <f t="array" aca="1" ref="J274" ca="1">IFERROR(INDEX(INDIRECT($B$3&amp;"."&amp;$B$267&amp;".energy["&amp;This.year&amp;"]"),MATCH($C274&amp;J$5,INDIRECT($B$3&amp;"."&amp;$B$267&amp;".energy[Tech description]")&amp;INDIRECT($B$3&amp;"."&amp;$B$267&amp;".energy[Energy description]"),0)),0)</f>
        <v>0</v>
      </c>
      <c r="K274" s="121">
        <f t="array" aca="1" ref="K274" ca="1">IFERROR(INDEX(INDIRECT($B$3&amp;"."&amp;$B$267&amp;".energy["&amp;This.year&amp;"]"),MATCH($C274&amp;K$5,INDIRECT($B$3&amp;"."&amp;$B$267&amp;".energy[Tech description]")&amp;INDIRECT($B$3&amp;"."&amp;$B$267&amp;".energy[Energy description]"),0)),0)</f>
        <v>0</v>
      </c>
      <c r="L274" s="121">
        <f t="array" aca="1" ref="L274" ca="1">IFERROR(INDEX(INDIRECT($B$3&amp;"."&amp;$B$267&amp;".energy["&amp;This.year&amp;"]"),MATCH($C274&amp;L$5,INDIRECT($B$3&amp;"."&amp;$B$267&amp;".energy[Tech description]")&amp;INDIRECT($B$3&amp;"."&amp;$B$267&amp;".energy[Energy description]"),0)),0)</f>
        <v>0</v>
      </c>
      <c r="M274" s="121">
        <f t="array" aca="1" ref="M274" ca="1">IFERROR(INDEX(INDIRECT($B$3&amp;"."&amp;$B$267&amp;".energy["&amp;This.year&amp;"]"),MATCH($C274&amp;M$5,INDIRECT($B$3&amp;"."&amp;$B$267&amp;".energy[Tech description]")&amp;INDIRECT($B$3&amp;"."&amp;$B$267&amp;".energy[Energy description]"),0)),0)</f>
        <v>0</v>
      </c>
      <c r="N274" s="121">
        <f t="array" aca="1" ref="N274" ca="1">IFERROR(INDEX(INDIRECT($B$3&amp;"."&amp;$B$267&amp;".energy["&amp;This.year&amp;"]"),MATCH($C274&amp;N$5,INDIRECT($B$3&amp;"."&amp;$B$267&amp;".energy[Tech description]")&amp;INDIRECT($B$3&amp;"."&amp;$B$267&amp;".energy[Energy description]"),0)),0)</f>
        <v>0</v>
      </c>
      <c r="O274" s="121">
        <f t="array" aca="1" ref="O274" ca="1">IFERROR(INDEX(INDIRECT($B$3&amp;"."&amp;$B$267&amp;".energy["&amp;This.year&amp;"]"),MATCH($C274&amp;O$5,INDIRECT($B$3&amp;"."&amp;$B$267&amp;".energy[Tech description]")&amp;INDIRECT($B$3&amp;"."&amp;$B$267&amp;".energy[Energy description]"),0)),0)</f>
        <v>0</v>
      </c>
      <c r="P274" s="121">
        <f t="array" aca="1" ref="P274" ca="1">IFERROR(INDEX(INDIRECT($B$3&amp;"."&amp;$B$267&amp;".energy["&amp;This.year&amp;"]"),MATCH($C274&amp;P$5,INDIRECT($B$3&amp;"."&amp;$B$267&amp;".energy[Tech description]")&amp;INDIRECT($B$3&amp;"."&amp;$B$267&amp;".energy[Energy description]"),0)),0)</f>
        <v>0</v>
      </c>
      <c r="Q274" s="121">
        <f t="array" aca="1" ref="Q274" ca="1">IFERROR(INDEX(INDIRECT($B$3&amp;"."&amp;$B$267&amp;".energy["&amp;This.year&amp;"]"),MATCH($C274&amp;Q$5,INDIRECT($B$3&amp;"."&amp;$B$267&amp;".energy[Tech description]")&amp;INDIRECT($B$3&amp;"."&amp;$B$267&amp;".energy[Energy description]"),0)),0)</f>
        <v>0</v>
      </c>
      <c r="R274" s="121">
        <f t="array" aca="1" ref="R274" ca="1">IFERROR(INDEX(INDIRECT($B$3&amp;"."&amp;$B$267&amp;".energy["&amp;This.year&amp;"]"),MATCH($C274&amp;R$5,INDIRECT($B$3&amp;"."&amp;$B$267&amp;".energy[Tech description]")&amp;INDIRECT($B$3&amp;"."&amp;$B$267&amp;".energy[Energy description]"),0)),0)</f>
        <v>0</v>
      </c>
      <c r="S274" s="121">
        <f t="array" aca="1" ref="S274" ca="1">IFERROR(INDEX(INDIRECT($B$3&amp;"."&amp;$B$267&amp;".energy["&amp;This.year&amp;"]"),MATCH($C274&amp;S$5,INDIRECT($B$3&amp;"."&amp;$B$267&amp;".energy[Tech description]")&amp;INDIRECT($B$3&amp;"."&amp;$B$267&amp;".energy[Energy description]"),0)),0)</f>
        <v>0</v>
      </c>
      <c r="T274" s="121">
        <f t="shared" ca="1" si="67"/>
        <v>0</v>
      </c>
      <c r="V274" s="171">
        <f t="array" aca="1" ref="V274" ca="1">IFERROR(INDEX(INDIRECT($B$3&amp;"."&amp;$B$267&amp;".energy["&amp;This.year&amp;"]"),MATCH($C274&amp;V$5,INDIRECT($B$3&amp;"."&amp;$B$267&amp;".energy[Tech description]")&amp;INDIRECT($B$3&amp;"."&amp;$B$267&amp;".energy[Energy description]"),0)),0)</f>
        <v>0</v>
      </c>
      <c r="W274" s="171">
        <f t="array" aca="1" ref="W274" ca="1">IFERROR(INDEX(INDIRECT($B$3&amp;"."&amp;$B$267&amp;".energy["&amp;This.year&amp;"]"),MATCH($C274&amp;W$5,INDIRECT($B$3&amp;"."&amp;$B$267&amp;".energy[Tech description]")&amp;INDIRECT($B$3&amp;"."&amp;$B$267&amp;".energy[Energy description]"),0)),0)</f>
        <v>0</v>
      </c>
      <c r="X274" s="171">
        <f t="array" aca="1" ref="X274" ca="1">IFERROR(INDEX(INDIRECT($B$3&amp;"."&amp;$B$267&amp;".energy["&amp;This.year&amp;"]"),MATCH($C274&amp;X$5,INDIRECT($B$3&amp;"."&amp;$B$267&amp;".energy[Tech description]")&amp;INDIRECT($B$3&amp;"."&amp;$B$267&amp;".energy[Energy description]"),0)),0)</f>
        <v>0</v>
      </c>
      <c r="Y274" s="171">
        <f t="array" aca="1" ref="Y274" ca="1">IFERROR(INDEX(INDIRECT($B$3&amp;"."&amp;$B$267&amp;".energy["&amp;This.year&amp;"]"),MATCH($C274&amp;Y$5,INDIRECT($B$3&amp;"."&amp;$B$267&amp;".energy[Tech description]")&amp;INDIRECT($B$3&amp;"."&amp;$B$267&amp;".energy[Energy description]"),0)),0)</f>
        <v>0</v>
      </c>
      <c r="Z274" s="171">
        <f t="array" aca="1" ref="Z274" ca="1">IFERROR(INDEX(INDIRECT($B$3&amp;"."&amp;$B$267&amp;".energy["&amp;This.year&amp;"]"),MATCH($C274&amp;Z$5,INDIRECT($B$3&amp;"."&amp;$B$267&amp;".energy[Tech description]")&amp;INDIRECT($B$3&amp;"."&amp;$B$267&amp;".energy[Energy description]"),0)),0)</f>
        <v>0</v>
      </c>
      <c r="AA274" s="171">
        <f t="array" aca="1" ref="AA274" ca="1">IFERROR(INDEX(INDIRECT($B$3&amp;"."&amp;$B$267&amp;".energy["&amp;This.year&amp;"]"),MATCH($C274&amp;AA$5,INDIRECT($B$3&amp;"."&amp;$B$267&amp;".energy[Tech description]")&amp;INDIRECT($B$3&amp;"."&amp;$B$267&amp;".energy[Energy description]"),0)),0)</f>
        <v>0</v>
      </c>
      <c r="AB274" s="171">
        <f t="array" aca="1" ref="AB274" ca="1">IFERROR(INDEX(INDIRECT($B$3&amp;"."&amp;$B$267&amp;".energy["&amp;This.year&amp;"]"),MATCH($C274&amp;AB$5,INDIRECT($B$3&amp;"."&amp;$B$267&amp;".energy[Tech description]")&amp;INDIRECT($B$3&amp;"."&amp;$B$267&amp;".energy[Energy description]"),0)),0)</f>
        <v>0</v>
      </c>
      <c r="AC274" s="171">
        <f t="array" aca="1" ref="AC274" ca="1">IFERROR(INDEX(INDIRECT($B$3&amp;"."&amp;$B$267&amp;".energy["&amp;This.year&amp;"]"),MATCH($C274&amp;AC$5,INDIRECT($B$3&amp;"."&amp;$B$267&amp;".energy[Tech description]")&amp;INDIRECT($B$3&amp;"."&amp;$B$267&amp;".energy[Energy description]"),0)),0)</f>
        <v>0</v>
      </c>
      <c r="AD274" s="171">
        <f t="array" aca="1" ref="AD274" ca="1">IFERROR(INDEX(INDIRECT($B$3&amp;"."&amp;$B$267&amp;".energy["&amp;This.year&amp;"]"),MATCH($C274&amp;AD$5,INDIRECT($B$3&amp;"."&amp;$B$267&amp;".energy[Tech description]")&amp;INDIRECT($B$3&amp;"."&amp;$B$267&amp;".energy[Energy description]"),0)),0)</f>
        <v>0</v>
      </c>
      <c r="AE274" s="171">
        <f t="array" aca="1" ref="AE274" ca="1">IFERROR(INDEX(INDIRECT($B$3&amp;"."&amp;$B$267&amp;".energy["&amp;This.year&amp;"]"),MATCH($C274&amp;AE$5,INDIRECT($B$3&amp;"."&amp;$B$267&amp;".energy[Tech description]")&amp;INDIRECT($B$3&amp;"."&amp;$B$267&amp;".energy[Energy description]"),0)),0)</f>
        <v>0</v>
      </c>
      <c r="AF274" s="171">
        <f t="array" aca="1" ref="AF274" ca="1">IFERROR(INDEX(INDIRECT($B$3&amp;"."&amp;$B$267&amp;".energy["&amp;This.year&amp;"]"),MATCH($C274&amp;AF$5,INDIRECT($B$3&amp;"."&amp;$B$267&amp;".energy[Tech description]")&amp;INDIRECT($B$3&amp;"."&amp;$B$267&amp;".energy[Energy description]"),0)),0)</f>
        <v>0</v>
      </c>
      <c r="AG274" s="171">
        <f t="array" aca="1" ref="AG274" ca="1">IFERROR(INDEX(INDIRECT($B$3&amp;"."&amp;$B$267&amp;".energy["&amp;This.year&amp;"]"),MATCH($C274&amp;AG$5,INDIRECT($B$3&amp;"."&amp;$B$267&amp;".energy[Tech description]")&amp;INDIRECT($B$3&amp;"."&amp;$B$267&amp;".energy[Energy description]"),0)),0)</f>
        <v>0</v>
      </c>
      <c r="AH274" s="171">
        <f t="array" aca="1" ref="AH274" ca="1">IFERROR(INDEX(INDIRECT($B$3&amp;"."&amp;$B$267&amp;".energy["&amp;This.year&amp;"]"),MATCH($C274&amp;AH$5,INDIRECT($B$3&amp;"."&amp;$B$267&amp;".energy[Tech description]")&amp;INDIRECT($B$3&amp;"."&amp;$B$267&amp;".energy[Energy description]"),0)),0)</f>
        <v>0</v>
      </c>
      <c r="AI274" s="171">
        <f t="array" aca="1" ref="AI274" ca="1">IFERROR(INDEX(INDIRECT($B$3&amp;"."&amp;$B$267&amp;".energy["&amp;This.year&amp;"]"),MATCH($C274&amp;AI$5,INDIRECT($B$3&amp;"."&amp;$B$267&amp;".energy[Tech description]")&amp;INDIRECT($B$3&amp;"."&amp;$B$267&amp;".energy[Energy description]"),0)),0)</f>
        <v>0</v>
      </c>
      <c r="AJ274" s="171">
        <f t="array" aca="1" ref="AJ274" ca="1">IFERROR(INDEX(INDIRECT($B$3&amp;"."&amp;$B$267&amp;".energy["&amp;This.year&amp;"]"),MATCH($C274&amp;AJ$5,INDIRECT($B$3&amp;"."&amp;$B$267&amp;".energy[Tech description]")&amp;INDIRECT($B$3&amp;"."&amp;$B$267&amp;".energy[Energy description]"),0)),0)</f>
        <v>0</v>
      </c>
      <c r="AK274" s="171">
        <f t="array" aca="1" ref="AK274" ca="1">IFERROR(INDEX(INDIRECT($B$3&amp;"."&amp;$B$267&amp;".energy["&amp;This.year&amp;"]"),MATCH($C274&amp;AK$5,INDIRECT($B$3&amp;"."&amp;$B$267&amp;".energy[Tech description]")&amp;INDIRECT($B$3&amp;"."&amp;$B$267&amp;".energy[Energy description]"),0)),0)</f>
        <v>0</v>
      </c>
      <c r="AL274" s="171">
        <f t="array" aca="1" ref="AL274" ca="1">IFERROR(INDEX(INDIRECT($B$3&amp;"."&amp;$B$267&amp;".energy["&amp;This.year&amp;"]"),MATCH($C274&amp;AL$5,INDIRECT($B$3&amp;"."&amp;$B$267&amp;".energy[Tech description]")&amp;INDIRECT($B$3&amp;"."&amp;$B$267&amp;".energy[Energy description]"),0)),0)</f>
        <v>0</v>
      </c>
      <c r="AM274" s="171">
        <f t="array" aca="1" ref="AM274" ca="1">IFERROR(INDEX(INDIRECT($B$3&amp;"."&amp;$B$267&amp;".energy["&amp;This.year&amp;"]"),MATCH($C274&amp;AM$5,INDIRECT($B$3&amp;"."&amp;$B$267&amp;".energy[Tech description]")&amp;INDIRECT($B$3&amp;"."&amp;$B$267&amp;".energy[Energy description]"),0)),0)</f>
        <v>0</v>
      </c>
      <c r="AN274" s="171">
        <f t="array" aca="1" ref="AN274" ca="1">IFERROR(INDEX(INDIRECT($B$3&amp;"."&amp;$B$267&amp;".energy["&amp;This.year&amp;"]"),MATCH($C274&amp;AN$5,INDIRECT($B$3&amp;"."&amp;$B$267&amp;".energy[Tech description]")&amp;INDIRECT($B$3&amp;"."&amp;$B$267&amp;".energy[Energy description]"),0)),0)</f>
        <v>0</v>
      </c>
      <c r="AO274" s="171">
        <f t="shared" ca="1" si="64"/>
        <v>0</v>
      </c>
      <c r="AQ274" s="173">
        <f t="array" aca="1" ref="AQ274" ca="1">IFERROR(INDEX(INDIRECT($B$3&amp;"."&amp;$B$267&amp;".energy["&amp;This.year&amp;"]"),MATCH($C274&amp;AQ$5,INDIRECT($B$3&amp;"."&amp;$B$267&amp;".energy[Tech description]")&amp;INDIRECT($B$3&amp;"."&amp;$B$267&amp;".energy[Energy description]"),0)),0)</f>
        <v>0</v>
      </c>
      <c r="AR274" s="173">
        <f t="array" aca="1" ref="AR274" ca="1">IFERROR(INDEX(INDIRECT($B$3&amp;"."&amp;$B$267&amp;".energy["&amp;This.year&amp;"]"),MATCH($C274&amp;AR$5,INDIRECT($B$3&amp;"."&amp;$B$267&amp;".energy[Tech description]")&amp;INDIRECT($B$3&amp;"."&amp;$B$267&amp;".energy[Energy description]"),0)),0)</f>
        <v>0</v>
      </c>
      <c r="AS274" s="173">
        <f t="array" aca="1" ref="AS274" ca="1">IFERROR(INDEX(INDIRECT($B$3&amp;"."&amp;$B$267&amp;".energy["&amp;This.year&amp;"]"),MATCH($C274&amp;AS$5,INDIRECT($B$3&amp;"."&amp;$B$267&amp;".energy[Tech description]")&amp;INDIRECT($B$3&amp;"."&amp;$B$267&amp;".energy[Energy description]"),0)),0)</f>
        <v>0</v>
      </c>
      <c r="AT274" s="173">
        <f t="array" aca="1" ref="AT274" ca="1">IFERROR(INDEX(INDIRECT($B$3&amp;"."&amp;$B$267&amp;".energy["&amp;This.year&amp;"]"),MATCH($C274&amp;AT$5,INDIRECT($B$3&amp;"."&amp;$B$267&amp;".energy[Tech description]")&amp;INDIRECT($B$3&amp;"."&amp;$B$267&amp;".energy[Energy description]"),0)),0)</f>
        <v>0</v>
      </c>
      <c r="AU274" s="173">
        <f t="array" aca="1" ref="AU274" ca="1">IFERROR(INDEX(INDIRECT($B$3&amp;"."&amp;$B$267&amp;".energy["&amp;This.year&amp;"]"),MATCH($C274&amp;AU$5,INDIRECT($B$3&amp;"."&amp;$B$267&amp;".energy[Tech description]")&amp;INDIRECT($B$3&amp;"."&amp;$B$267&amp;".energy[Energy description]"),0)),0)</f>
        <v>0</v>
      </c>
      <c r="AV274" s="173">
        <f t="array" aca="1" ref="AV274" ca="1">IFERROR(INDEX(INDIRECT($B$3&amp;"."&amp;$B$267&amp;".energy["&amp;This.year&amp;"]"),MATCH($C274&amp;AV$5,INDIRECT($B$3&amp;"."&amp;$B$267&amp;".energy[Tech description]")&amp;INDIRECT($B$3&amp;"."&amp;$B$267&amp;".energy[Energy description]"),0)),0)</f>
        <v>0</v>
      </c>
      <c r="AW274" s="173">
        <f t="array" aca="1" ref="AW274" ca="1">IFERROR(INDEX(INDIRECT($B$3&amp;"."&amp;$B$267&amp;".energy["&amp;This.year&amp;"]"),MATCH($C274&amp;AW$5,INDIRECT($B$3&amp;"."&amp;$B$267&amp;".energy[Tech description]")&amp;INDIRECT($B$3&amp;"."&amp;$B$267&amp;".energy[Energy description]"),0)),0)</f>
        <v>0</v>
      </c>
      <c r="AX274" s="173">
        <f t="array" aca="1" ref="AX274" ca="1">IFERROR(INDEX(INDIRECT($B$3&amp;"."&amp;$B$267&amp;".energy["&amp;This.year&amp;"]"),MATCH($C274&amp;AX$5,INDIRECT($B$3&amp;"."&amp;$B$267&amp;".energy[Tech description]")&amp;INDIRECT($B$3&amp;"."&amp;$B$267&amp;".energy[Energy description]"),0)),0)</f>
        <v>0</v>
      </c>
      <c r="AY274" s="173">
        <f t="array" aca="1" ref="AY274" ca="1">IFERROR(INDEX(INDIRECT($B$3&amp;"."&amp;$B$267&amp;".energy["&amp;This.year&amp;"]"),MATCH($C274&amp;AY$5,INDIRECT($B$3&amp;"."&amp;$B$267&amp;".energy[Tech description]")&amp;INDIRECT($B$3&amp;"."&amp;$B$267&amp;".energy[Energy description]"),0)),0)</f>
        <v>0</v>
      </c>
      <c r="AZ274" s="173">
        <f t="array" aca="1" ref="AZ274" ca="1">IFERROR(INDEX(INDIRECT($B$3&amp;"."&amp;$B$267&amp;".energy["&amp;This.year&amp;"]"),MATCH($C274&amp;AZ$5,INDIRECT($B$3&amp;"."&amp;$B$267&amp;".energy[Tech description]")&amp;INDIRECT($B$3&amp;"."&amp;$B$267&amp;".energy[Energy description]"),0)),0)</f>
        <v>0</v>
      </c>
      <c r="BA274" s="173">
        <f t="array" aca="1" ref="BA274" ca="1">IFERROR(INDEX(INDIRECT($B$3&amp;"."&amp;$B$267&amp;".energy["&amp;This.year&amp;"]"),MATCH($C274&amp;BA$5,INDIRECT($B$3&amp;"."&amp;$B$267&amp;".energy[Tech description]")&amp;INDIRECT($B$3&amp;"."&amp;$B$267&amp;".energy[Energy description]"),0)),0)</f>
        <v>0</v>
      </c>
      <c r="BB274" s="173">
        <f t="array" aca="1" ref="BB274" ca="1">IFERROR(INDEX(INDIRECT($B$3&amp;"."&amp;$B$267&amp;".energy["&amp;This.year&amp;"]"),MATCH($C274&amp;BB$5,INDIRECT($B$3&amp;"."&amp;$B$267&amp;".energy[Tech description]")&amp;INDIRECT($B$3&amp;"."&amp;$B$267&amp;".energy[Energy description]"),0)),0)</f>
        <v>0</v>
      </c>
      <c r="BC274" s="173">
        <f t="array" aca="1" ref="BC274" ca="1">IFERROR(INDEX(INDIRECT($B$3&amp;"."&amp;$B$267&amp;".energy["&amp;This.year&amp;"]"),MATCH($C274&amp;BC$5,INDIRECT($B$3&amp;"."&amp;$B$267&amp;".energy[Tech description]")&amp;INDIRECT($B$3&amp;"."&amp;$B$267&amp;".energy[Energy description]"),0)),0)</f>
        <v>0</v>
      </c>
      <c r="BD274" s="173">
        <f t="shared" ca="1" si="65"/>
        <v>0</v>
      </c>
      <c r="BF274" s="175">
        <f t="array" aca="1" ref="BF274" ca="1">IFERROR(INDEX(INDIRECT($B$3&amp;"."&amp;$B$267&amp;".energy["&amp;This.year&amp;"]"),MATCH($C274&amp;BF$5,INDIRECT($B$3&amp;"."&amp;$B$267&amp;".energy[Tech description]")&amp;INDIRECT($B$3&amp;"."&amp;$B$267&amp;".energy[Energy description]"),0)),0)</f>
        <v>0</v>
      </c>
      <c r="BG274" s="175">
        <f t="array" aca="1" ref="BG274" ca="1">IFERROR(INDEX(INDIRECT($B$3&amp;"."&amp;$B$267&amp;".energy["&amp;This.year&amp;"]"),MATCH($C274&amp;BG$5,INDIRECT($B$3&amp;"."&amp;$B$267&amp;".energy[Tech description]")&amp;INDIRECT($B$3&amp;"."&amp;$B$267&amp;".energy[Energy description]"),0)),0)</f>
        <v>0</v>
      </c>
      <c r="BH274" s="175">
        <f t="shared" ca="1" si="68"/>
        <v>0</v>
      </c>
      <c r="BI274" s="219">
        <f t="shared" ca="1" si="66"/>
        <v>0</v>
      </c>
      <c r="BJ274" s="58"/>
    </row>
    <row r="275" spans="1:62">
      <c r="A275" s="134"/>
      <c r="B275" s="176" t="s">
        <v>1160</v>
      </c>
      <c r="C275" s="114" t="str">
        <f>INDEX(Regional.Technologies[Description],MATCH($B$3&amp;"."&amp;B275,Regional.Technologies[Code],0))</f>
        <v>Global Unabated open-cycle gas turbine power plant</v>
      </c>
      <c r="E275" s="121">
        <f t="array" aca="1" ref="E275" ca="1">IFERROR(INDEX(INDIRECT($B$3&amp;"."&amp;$B$267&amp;".energy["&amp;This.year&amp;"]"),MATCH($C275&amp;E$5,INDIRECT($B$3&amp;"."&amp;$B$267&amp;".energy[Tech description]")&amp;INDIRECT($B$3&amp;"."&amp;$B$267&amp;".energy[Energy description]"),0)),0)</f>
        <v>0</v>
      </c>
      <c r="F275" s="121">
        <f t="array" aca="1" ref="F275" ca="1">IFERROR(INDEX(INDIRECT($B$3&amp;"."&amp;$B$267&amp;".energy["&amp;This.year&amp;"]"),MATCH($C275&amp;F$5,INDIRECT($B$3&amp;"."&amp;$B$267&amp;".energy[Tech description]")&amp;INDIRECT($B$3&amp;"."&amp;$B$267&amp;".energy[Energy description]"),0)),0)</f>
        <v>0</v>
      </c>
      <c r="G275" s="121">
        <f t="array" aca="1" ref="G275" ca="1">IFERROR(INDEX(INDIRECT($B$3&amp;"."&amp;$B$267&amp;".energy["&amp;This.year&amp;"]"),MATCH($C275&amp;G$5,INDIRECT($B$3&amp;"."&amp;$B$267&amp;".energy[Tech description]")&amp;INDIRECT($B$3&amp;"."&amp;$B$267&amp;".energy[Energy description]"),0)),0)</f>
        <v>0</v>
      </c>
      <c r="H275" s="121">
        <f t="array" aca="1" ref="H275" ca="1">IFERROR(INDEX(INDIRECT($B$3&amp;"."&amp;$B$267&amp;".energy["&amp;This.year&amp;"]"),MATCH($C275&amp;H$5,INDIRECT($B$3&amp;"."&amp;$B$267&amp;".energy[Tech description]")&amp;INDIRECT($B$3&amp;"."&amp;$B$267&amp;".energy[Energy description]"),0)),0)</f>
        <v>0</v>
      </c>
      <c r="I275" s="121">
        <f t="array" aca="1" ref="I275" ca="1">IFERROR(INDEX(INDIRECT($B$3&amp;"."&amp;$B$267&amp;".energy["&amp;This.year&amp;"]"),MATCH($C275&amp;I$5,INDIRECT($B$3&amp;"."&amp;$B$267&amp;".energy[Tech description]")&amp;INDIRECT($B$3&amp;"."&amp;$B$267&amp;".energy[Energy description]"),0)),0)</f>
        <v>0</v>
      </c>
      <c r="J275" s="121">
        <f t="array" aca="1" ref="J275" ca="1">IFERROR(INDEX(INDIRECT($B$3&amp;"."&amp;$B$267&amp;".energy["&amp;This.year&amp;"]"),MATCH($C275&amp;J$5,INDIRECT($B$3&amp;"."&amp;$B$267&amp;".energy[Tech description]")&amp;INDIRECT($B$3&amp;"."&amp;$B$267&amp;".energy[Energy description]"),0)),0)</f>
        <v>0</v>
      </c>
      <c r="K275" s="121">
        <f t="array" aca="1" ref="K275" ca="1">IFERROR(INDEX(INDIRECT($B$3&amp;"."&amp;$B$267&amp;".energy["&amp;This.year&amp;"]"),MATCH($C275&amp;K$5,INDIRECT($B$3&amp;"."&amp;$B$267&amp;".energy[Tech description]")&amp;INDIRECT($B$3&amp;"."&amp;$B$267&amp;".energy[Energy description]"),0)),0)</f>
        <v>0</v>
      </c>
      <c r="L275" s="121">
        <f t="array" aca="1" ref="L275" ca="1">IFERROR(INDEX(INDIRECT($B$3&amp;"."&amp;$B$267&amp;".energy["&amp;This.year&amp;"]"),MATCH($C275&amp;L$5,INDIRECT($B$3&amp;"."&amp;$B$267&amp;".energy[Tech description]")&amp;INDIRECT($B$3&amp;"."&amp;$B$267&amp;".energy[Energy description]"),0)),0)</f>
        <v>0</v>
      </c>
      <c r="M275" s="121">
        <f t="array" aca="1" ref="M275" ca="1">IFERROR(INDEX(INDIRECT($B$3&amp;"."&amp;$B$267&amp;".energy["&amp;This.year&amp;"]"),MATCH($C275&amp;M$5,INDIRECT($B$3&amp;"."&amp;$B$267&amp;".energy[Tech description]")&amp;INDIRECT($B$3&amp;"."&amp;$B$267&amp;".energy[Energy description]"),0)),0)</f>
        <v>0</v>
      </c>
      <c r="N275" s="121">
        <f t="array" aca="1" ref="N275" ca="1">IFERROR(INDEX(INDIRECT($B$3&amp;"."&amp;$B$267&amp;".energy["&amp;This.year&amp;"]"),MATCH($C275&amp;N$5,INDIRECT($B$3&amp;"."&amp;$B$267&amp;".energy[Tech description]")&amp;INDIRECT($B$3&amp;"."&amp;$B$267&amp;".energy[Energy description]"),0)),0)</f>
        <v>0</v>
      </c>
      <c r="O275" s="121">
        <f t="array" aca="1" ref="O275" ca="1">IFERROR(INDEX(INDIRECT($B$3&amp;"."&amp;$B$267&amp;".energy["&amp;This.year&amp;"]"),MATCH($C275&amp;O$5,INDIRECT($B$3&amp;"."&amp;$B$267&amp;".energy[Tech description]")&amp;INDIRECT($B$3&amp;"."&amp;$B$267&amp;".energy[Energy description]"),0)),0)</f>
        <v>0</v>
      </c>
      <c r="P275" s="121">
        <f t="array" aca="1" ref="P275" ca="1">IFERROR(INDEX(INDIRECT($B$3&amp;"."&amp;$B$267&amp;".energy["&amp;This.year&amp;"]"),MATCH($C275&amp;P$5,INDIRECT($B$3&amp;"."&amp;$B$267&amp;".energy[Tech description]")&amp;INDIRECT($B$3&amp;"."&amp;$B$267&amp;".energy[Energy description]"),0)),0)</f>
        <v>0</v>
      </c>
      <c r="Q275" s="121">
        <f t="array" aca="1" ref="Q275" ca="1">IFERROR(INDEX(INDIRECT($B$3&amp;"."&amp;$B$267&amp;".energy["&amp;This.year&amp;"]"),MATCH($C275&amp;Q$5,INDIRECT($B$3&amp;"."&amp;$B$267&amp;".energy[Tech description]")&amp;INDIRECT($B$3&amp;"."&amp;$B$267&amp;".energy[Energy description]"),0)),0)</f>
        <v>0</v>
      </c>
      <c r="R275" s="121">
        <f t="array" aca="1" ref="R275" ca="1">IFERROR(INDEX(INDIRECT($B$3&amp;"."&amp;$B$267&amp;".energy["&amp;This.year&amp;"]"),MATCH($C275&amp;R$5,INDIRECT($B$3&amp;"."&amp;$B$267&amp;".energy[Tech description]")&amp;INDIRECT($B$3&amp;"."&amp;$B$267&amp;".energy[Energy description]"),0)),0)</f>
        <v>0</v>
      </c>
      <c r="S275" s="121">
        <f t="array" aca="1" ref="S275" ca="1">IFERROR(INDEX(INDIRECT($B$3&amp;"."&amp;$B$267&amp;".energy["&amp;This.year&amp;"]"),MATCH($C275&amp;S$5,INDIRECT($B$3&amp;"."&amp;$B$267&amp;".energy[Tech description]")&amp;INDIRECT($B$3&amp;"."&amp;$B$267&amp;".energy[Energy description]"),0)),0)</f>
        <v>0</v>
      </c>
      <c r="T275" s="121">
        <f t="shared" ca="1" si="67"/>
        <v>0</v>
      </c>
      <c r="V275" s="171">
        <f t="array" aca="1" ref="V275" ca="1">IFERROR(INDEX(INDIRECT($B$3&amp;"."&amp;$B$267&amp;".energy["&amp;This.year&amp;"]"),MATCH($C275&amp;V$5,INDIRECT($B$3&amp;"."&amp;$B$267&amp;".energy[Tech description]")&amp;INDIRECT($B$3&amp;"."&amp;$B$267&amp;".energy[Energy description]"),0)),0)</f>
        <v>0</v>
      </c>
      <c r="W275" s="171">
        <f t="array" aca="1" ref="W275" ca="1">IFERROR(INDEX(INDIRECT($B$3&amp;"."&amp;$B$267&amp;".energy["&amp;This.year&amp;"]"),MATCH($C275&amp;W$5,INDIRECT($B$3&amp;"."&amp;$B$267&amp;".energy[Tech description]")&amp;INDIRECT($B$3&amp;"."&amp;$B$267&amp;".energy[Energy description]"),0)),0)</f>
        <v>0</v>
      </c>
      <c r="X275" s="171">
        <f t="array" aca="1" ref="X275" ca="1">IFERROR(INDEX(INDIRECT($B$3&amp;"."&amp;$B$267&amp;".energy["&amp;This.year&amp;"]"),MATCH($C275&amp;X$5,INDIRECT($B$3&amp;"."&amp;$B$267&amp;".energy[Tech description]")&amp;INDIRECT($B$3&amp;"."&amp;$B$267&amp;".energy[Energy description]"),0)),0)</f>
        <v>0</v>
      </c>
      <c r="Y275" s="171">
        <f t="array" aca="1" ref="Y275" ca="1">IFERROR(INDEX(INDIRECT($B$3&amp;"."&amp;$B$267&amp;".energy["&amp;This.year&amp;"]"),MATCH($C275&amp;Y$5,INDIRECT($B$3&amp;"."&amp;$B$267&amp;".energy[Tech description]")&amp;INDIRECT($B$3&amp;"."&amp;$B$267&amp;".energy[Energy description]"),0)),0)</f>
        <v>0</v>
      </c>
      <c r="Z275" s="171">
        <f t="array" aca="1" ref="Z275" ca="1">IFERROR(INDEX(INDIRECT($B$3&amp;"."&amp;$B$267&amp;".energy["&amp;This.year&amp;"]"),MATCH($C275&amp;Z$5,INDIRECT($B$3&amp;"."&amp;$B$267&amp;".energy[Tech description]")&amp;INDIRECT($B$3&amp;"."&amp;$B$267&amp;".energy[Energy description]"),0)),0)</f>
        <v>0</v>
      </c>
      <c r="AA275" s="171">
        <f t="array" aca="1" ref="AA275" ca="1">IFERROR(INDEX(INDIRECT($B$3&amp;"."&amp;$B$267&amp;".energy["&amp;This.year&amp;"]"),MATCH($C275&amp;AA$5,INDIRECT($B$3&amp;"."&amp;$B$267&amp;".energy[Tech description]")&amp;INDIRECT($B$3&amp;"."&amp;$B$267&amp;".energy[Energy description]"),0)),0)</f>
        <v>0</v>
      </c>
      <c r="AB275" s="171">
        <f t="array" aca="1" ref="AB275" ca="1">IFERROR(INDEX(INDIRECT($B$3&amp;"."&amp;$B$267&amp;".energy["&amp;This.year&amp;"]"),MATCH($C275&amp;AB$5,INDIRECT($B$3&amp;"."&amp;$B$267&amp;".energy[Tech description]")&amp;INDIRECT($B$3&amp;"."&amp;$B$267&amp;".energy[Energy description]"),0)),0)</f>
        <v>0</v>
      </c>
      <c r="AC275" s="171">
        <f t="array" aca="1" ref="AC275" ca="1">IFERROR(INDEX(INDIRECT($B$3&amp;"."&amp;$B$267&amp;".energy["&amp;This.year&amp;"]"),MATCH($C275&amp;AC$5,INDIRECT($B$3&amp;"."&amp;$B$267&amp;".energy[Tech description]")&amp;INDIRECT($B$3&amp;"."&amp;$B$267&amp;".energy[Energy description]"),0)),0)</f>
        <v>0</v>
      </c>
      <c r="AD275" s="171">
        <f t="array" aca="1" ref="AD275" ca="1">IFERROR(INDEX(INDIRECT($B$3&amp;"."&amp;$B$267&amp;".energy["&amp;This.year&amp;"]"),MATCH($C275&amp;AD$5,INDIRECT($B$3&amp;"."&amp;$B$267&amp;".energy[Tech description]")&amp;INDIRECT($B$3&amp;"."&amp;$B$267&amp;".energy[Energy description]"),0)),0)</f>
        <v>0</v>
      </c>
      <c r="AE275" s="171">
        <f t="array" aca="1" ref="AE275" ca="1">IFERROR(INDEX(INDIRECT($B$3&amp;"."&amp;$B$267&amp;".energy["&amp;This.year&amp;"]"),MATCH($C275&amp;AE$5,INDIRECT($B$3&amp;"."&amp;$B$267&amp;".energy[Tech description]")&amp;INDIRECT($B$3&amp;"."&amp;$B$267&amp;".energy[Energy description]"),0)),0)</f>
        <v>0</v>
      </c>
      <c r="AF275" s="171">
        <f t="array" aca="1" ref="AF275" ca="1">IFERROR(INDEX(INDIRECT($B$3&amp;"."&amp;$B$267&amp;".energy["&amp;This.year&amp;"]"),MATCH($C275&amp;AF$5,INDIRECT($B$3&amp;"."&amp;$B$267&amp;".energy[Tech description]")&amp;INDIRECT($B$3&amp;"."&amp;$B$267&amp;".energy[Energy description]"),0)),0)</f>
        <v>0</v>
      </c>
      <c r="AG275" s="171">
        <f t="array" aca="1" ref="AG275" ca="1">IFERROR(INDEX(INDIRECT($B$3&amp;"."&amp;$B$267&amp;".energy["&amp;This.year&amp;"]"),MATCH($C275&amp;AG$5,INDIRECT($B$3&amp;"."&amp;$B$267&amp;".energy[Tech description]")&amp;INDIRECT($B$3&amp;"."&amp;$B$267&amp;".energy[Energy description]"),0)),0)</f>
        <v>0</v>
      </c>
      <c r="AH275" s="171">
        <f t="array" aca="1" ref="AH275" ca="1">IFERROR(INDEX(INDIRECT($B$3&amp;"."&amp;$B$267&amp;".energy["&amp;This.year&amp;"]"),MATCH($C275&amp;AH$5,INDIRECT($B$3&amp;"."&amp;$B$267&amp;".energy[Tech description]")&amp;INDIRECT($B$3&amp;"."&amp;$B$267&amp;".energy[Energy description]"),0)),0)</f>
        <v>0</v>
      </c>
      <c r="AI275" s="171">
        <f t="array" aca="1" ref="AI275" ca="1">IFERROR(INDEX(INDIRECT($B$3&amp;"."&amp;$B$267&amp;".energy["&amp;This.year&amp;"]"),MATCH($C275&amp;AI$5,INDIRECT($B$3&amp;"."&amp;$B$267&amp;".energy[Tech description]")&amp;INDIRECT($B$3&amp;"."&amp;$B$267&amp;".energy[Energy description]"),0)),0)</f>
        <v>0</v>
      </c>
      <c r="AJ275" s="171">
        <f t="array" aca="1" ref="AJ275" ca="1">IFERROR(INDEX(INDIRECT($B$3&amp;"."&amp;$B$267&amp;".energy["&amp;This.year&amp;"]"),MATCH($C275&amp;AJ$5,INDIRECT($B$3&amp;"."&amp;$B$267&amp;".energy[Tech description]")&amp;INDIRECT($B$3&amp;"."&amp;$B$267&amp;".energy[Energy description]"),0)),0)</f>
        <v>0</v>
      </c>
      <c r="AK275" s="171">
        <f t="array" aca="1" ref="AK275" ca="1">IFERROR(INDEX(INDIRECT($B$3&amp;"."&amp;$B$267&amp;".energy["&amp;This.year&amp;"]"),MATCH($C275&amp;AK$5,INDIRECT($B$3&amp;"."&amp;$B$267&amp;".energy[Tech description]")&amp;INDIRECT($B$3&amp;"."&amp;$B$267&amp;".energy[Energy description]"),0)),0)</f>
        <v>0</v>
      </c>
      <c r="AL275" s="171">
        <f t="array" aca="1" ref="AL275" ca="1">IFERROR(INDEX(INDIRECT($B$3&amp;"."&amp;$B$267&amp;".energy["&amp;This.year&amp;"]"),MATCH($C275&amp;AL$5,INDIRECT($B$3&amp;"."&amp;$B$267&amp;".energy[Tech description]")&amp;INDIRECT($B$3&amp;"."&amp;$B$267&amp;".energy[Energy description]"),0)),0)</f>
        <v>0</v>
      </c>
      <c r="AM275" s="171">
        <f t="array" aca="1" ref="AM275" ca="1">IFERROR(INDEX(INDIRECT($B$3&amp;"."&amp;$B$267&amp;".energy["&amp;This.year&amp;"]"),MATCH($C275&amp;AM$5,INDIRECT($B$3&amp;"."&amp;$B$267&amp;".energy[Tech description]")&amp;INDIRECT($B$3&amp;"."&amp;$B$267&amp;".energy[Energy description]"),0)),0)</f>
        <v>0</v>
      </c>
      <c r="AN275" s="171">
        <f t="array" aca="1" ref="AN275" ca="1">IFERROR(INDEX(INDIRECT($B$3&amp;"."&amp;$B$267&amp;".energy["&amp;This.year&amp;"]"),MATCH($C275&amp;AN$5,INDIRECT($B$3&amp;"."&amp;$B$267&amp;".energy[Tech description]")&amp;INDIRECT($B$3&amp;"."&amp;$B$267&amp;".energy[Energy description]"),0)),0)</f>
        <v>0</v>
      </c>
      <c r="AO275" s="171">
        <f t="shared" ca="1" si="64"/>
        <v>0</v>
      </c>
      <c r="AQ275" s="173">
        <f t="array" aca="1" ref="AQ275" ca="1">IFERROR(INDEX(INDIRECT($B$3&amp;"."&amp;$B$267&amp;".energy["&amp;This.year&amp;"]"),MATCH($C275&amp;AQ$5,INDIRECT($B$3&amp;"."&amp;$B$267&amp;".energy[Tech description]")&amp;INDIRECT($B$3&amp;"."&amp;$B$267&amp;".energy[Energy description]"),0)),0)</f>
        <v>0</v>
      </c>
      <c r="AR275" s="173">
        <f t="array" aca="1" ref="AR275" ca="1">IFERROR(INDEX(INDIRECT($B$3&amp;"."&amp;$B$267&amp;".energy["&amp;This.year&amp;"]"),MATCH($C275&amp;AR$5,INDIRECT($B$3&amp;"."&amp;$B$267&amp;".energy[Tech description]")&amp;INDIRECT($B$3&amp;"."&amp;$B$267&amp;".energy[Energy description]"),0)),0)</f>
        <v>0</v>
      </c>
      <c r="AS275" s="173">
        <f t="array" aca="1" ref="AS275" ca="1">IFERROR(INDEX(INDIRECT($B$3&amp;"."&amp;$B$267&amp;".energy["&amp;This.year&amp;"]"),MATCH($C275&amp;AS$5,INDIRECT($B$3&amp;"."&amp;$B$267&amp;".energy[Tech description]")&amp;INDIRECT($B$3&amp;"."&amp;$B$267&amp;".energy[Energy description]"),0)),0)</f>
        <v>0</v>
      </c>
      <c r="AT275" s="173">
        <f t="array" aca="1" ref="AT275" ca="1">IFERROR(INDEX(INDIRECT($B$3&amp;"."&amp;$B$267&amp;".energy["&amp;This.year&amp;"]"),MATCH($C275&amp;AT$5,INDIRECT($B$3&amp;"."&amp;$B$267&amp;".energy[Tech description]")&amp;INDIRECT($B$3&amp;"."&amp;$B$267&amp;".energy[Energy description]"),0)),0)</f>
        <v>0</v>
      </c>
      <c r="AU275" s="173">
        <f t="array" aca="1" ref="AU275" ca="1">IFERROR(INDEX(INDIRECT($B$3&amp;"."&amp;$B$267&amp;".energy["&amp;This.year&amp;"]"),MATCH($C275&amp;AU$5,INDIRECT($B$3&amp;"."&amp;$B$267&amp;".energy[Tech description]")&amp;INDIRECT($B$3&amp;"."&amp;$B$267&amp;".energy[Energy description]"),0)),0)</f>
        <v>0</v>
      </c>
      <c r="AV275" s="173">
        <f t="array" aca="1" ref="AV275" ca="1">IFERROR(INDEX(INDIRECT($B$3&amp;"."&amp;$B$267&amp;".energy["&amp;This.year&amp;"]"),MATCH($C275&amp;AV$5,INDIRECT($B$3&amp;"."&amp;$B$267&amp;".energy[Tech description]")&amp;INDIRECT($B$3&amp;"."&amp;$B$267&amp;".energy[Energy description]"),0)),0)</f>
        <v>0</v>
      </c>
      <c r="AW275" s="173">
        <f t="array" aca="1" ref="AW275" ca="1">IFERROR(INDEX(INDIRECT($B$3&amp;"."&amp;$B$267&amp;".energy["&amp;This.year&amp;"]"),MATCH($C275&amp;AW$5,INDIRECT($B$3&amp;"."&amp;$B$267&amp;".energy[Tech description]")&amp;INDIRECT($B$3&amp;"."&amp;$B$267&amp;".energy[Energy description]"),0)),0)</f>
        <v>0</v>
      </c>
      <c r="AX275" s="173">
        <f t="array" aca="1" ref="AX275" ca="1">IFERROR(INDEX(INDIRECT($B$3&amp;"."&amp;$B$267&amp;".energy["&amp;This.year&amp;"]"),MATCH($C275&amp;AX$5,INDIRECT($B$3&amp;"."&amp;$B$267&amp;".energy[Tech description]")&amp;INDIRECT($B$3&amp;"."&amp;$B$267&amp;".energy[Energy description]"),0)),0)</f>
        <v>0</v>
      </c>
      <c r="AY275" s="173">
        <f t="array" aca="1" ref="AY275" ca="1">IFERROR(INDEX(INDIRECT($B$3&amp;"."&amp;$B$267&amp;".energy["&amp;This.year&amp;"]"),MATCH($C275&amp;AY$5,INDIRECT($B$3&amp;"."&amp;$B$267&amp;".energy[Tech description]")&amp;INDIRECT($B$3&amp;"."&amp;$B$267&amp;".energy[Energy description]"),0)),0)</f>
        <v>0</v>
      </c>
      <c r="AZ275" s="173">
        <f t="array" aca="1" ref="AZ275" ca="1">IFERROR(INDEX(INDIRECT($B$3&amp;"."&amp;$B$267&amp;".energy["&amp;This.year&amp;"]"),MATCH($C275&amp;AZ$5,INDIRECT($B$3&amp;"."&amp;$B$267&amp;".energy[Tech description]")&amp;INDIRECT($B$3&amp;"."&amp;$B$267&amp;".energy[Energy description]"),0)),0)</f>
        <v>0</v>
      </c>
      <c r="BA275" s="173">
        <f t="array" aca="1" ref="BA275" ca="1">IFERROR(INDEX(INDIRECT($B$3&amp;"."&amp;$B$267&amp;".energy["&amp;This.year&amp;"]"),MATCH($C275&amp;BA$5,INDIRECT($B$3&amp;"."&amp;$B$267&amp;".energy[Tech description]")&amp;INDIRECT($B$3&amp;"."&amp;$B$267&amp;".energy[Energy description]"),0)),0)</f>
        <v>0</v>
      </c>
      <c r="BB275" s="173">
        <f t="array" aca="1" ref="BB275" ca="1">IFERROR(INDEX(INDIRECT($B$3&amp;"."&amp;$B$267&amp;".energy["&amp;This.year&amp;"]"),MATCH($C275&amp;BB$5,INDIRECT($B$3&amp;"."&amp;$B$267&amp;".energy[Tech description]")&amp;INDIRECT($B$3&amp;"."&amp;$B$267&amp;".energy[Energy description]"),0)),0)</f>
        <v>0</v>
      </c>
      <c r="BC275" s="173">
        <f t="array" aca="1" ref="BC275" ca="1">IFERROR(INDEX(INDIRECT($B$3&amp;"."&amp;$B$267&amp;".energy["&amp;This.year&amp;"]"),MATCH($C275&amp;BC$5,INDIRECT($B$3&amp;"."&amp;$B$267&amp;".energy[Tech description]")&amp;INDIRECT($B$3&amp;"."&amp;$B$267&amp;".energy[Energy description]"),0)),0)</f>
        <v>0</v>
      </c>
      <c r="BD275" s="173">
        <f t="shared" ca="1" si="65"/>
        <v>0</v>
      </c>
      <c r="BF275" s="175">
        <f t="array" aca="1" ref="BF275" ca="1">IFERROR(INDEX(INDIRECT($B$3&amp;"."&amp;$B$267&amp;".energy["&amp;This.year&amp;"]"),MATCH($C275&amp;BF$5,INDIRECT($B$3&amp;"."&amp;$B$267&amp;".energy[Tech description]")&amp;INDIRECT($B$3&amp;"."&amp;$B$267&amp;".energy[Energy description]"),0)),0)</f>
        <v>0</v>
      </c>
      <c r="BG275" s="175">
        <f t="array" aca="1" ref="BG275" ca="1">IFERROR(INDEX(INDIRECT($B$3&amp;"."&amp;$B$267&amp;".energy["&amp;This.year&amp;"]"),MATCH($C275&amp;BG$5,INDIRECT($B$3&amp;"."&amp;$B$267&amp;".energy[Tech description]")&amp;INDIRECT($B$3&amp;"."&amp;$B$267&amp;".energy[Energy description]"),0)),0)</f>
        <v>0</v>
      </c>
      <c r="BH275" s="175">
        <f t="shared" ca="1" si="68"/>
        <v>0</v>
      </c>
      <c r="BI275" s="219">
        <f t="shared" ca="1" si="66"/>
        <v>0</v>
      </c>
      <c r="BJ275" s="58"/>
    </row>
    <row r="276" spans="1:62">
      <c r="A276" s="134"/>
      <c r="B276" s="176" t="s">
        <v>1159</v>
      </c>
      <c r="C276" s="114" t="str">
        <f>INDEX(Regional.Technologies[Description],MATCH($B$3&amp;"."&amp;B276,Regional.Technologies[Code],0))</f>
        <v>Global Unabated combined cycle gas turbine power plant</v>
      </c>
      <c r="E276" s="121">
        <f t="array" aca="1" ref="E276" ca="1">IFERROR(INDEX(INDIRECT($B$3&amp;"."&amp;$B$267&amp;".energy["&amp;This.year&amp;"]"),MATCH($C276&amp;E$5,INDIRECT($B$3&amp;"."&amp;$B$267&amp;".energy[Tech description]")&amp;INDIRECT($B$3&amp;"."&amp;$B$267&amp;".energy[Energy description]"),0)),0)</f>
        <v>0</v>
      </c>
      <c r="F276" s="121">
        <f t="array" aca="1" ref="F276" ca="1">IFERROR(INDEX(INDIRECT($B$3&amp;"."&amp;$B$267&amp;".energy["&amp;This.year&amp;"]"),MATCH($C276&amp;F$5,INDIRECT($B$3&amp;"."&amp;$B$267&amp;".energy[Tech description]")&amp;INDIRECT($B$3&amp;"."&amp;$B$267&amp;".energy[Energy description]"),0)),0)</f>
        <v>0</v>
      </c>
      <c r="G276" s="121">
        <f t="array" aca="1" ref="G276" ca="1">IFERROR(INDEX(INDIRECT($B$3&amp;"."&amp;$B$267&amp;".energy["&amp;This.year&amp;"]"),MATCH($C276&amp;G$5,INDIRECT($B$3&amp;"."&amp;$B$267&amp;".energy[Tech description]")&amp;INDIRECT($B$3&amp;"."&amp;$B$267&amp;".energy[Energy description]"),0)),0)</f>
        <v>0</v>
      </c>
      <c r="H276" s="121">
        <f t="array" aca="1" ref="H276" ca="1">IFERROR(INDEX(INDIRECT($B$3&amp;"."&amp;$B$267&amp;".energy["&amp;This.year&amp;"]"),MATCH($C276&amp;H$5,INDIRECT($B$3&amp;"."&amp;$B$267&amp;".energy[Tech description]")&amp;INDIRECT($B$3&amp;"."&amp;$B$267&amp;".energy[Energy description]"),0)),0)</f>
        <v>0</v>
      </c>
      <c r="I276" s="121">
        <f t="array" aca="1" ref="I276" ca="1">IFERROR(INDEX(INDIRECT($B$3&amp;"."&amp;$B$267&amp;".energy["&amp;This.year&amp;"]"),MATCH($C276&amp;I$5,INDIRECT($B$3&amp;"."&amp;$B$267&amp;".energy[Tech description]")&amp;INDIRECT($B$3&amp;"."&amp;$B$267&amp;".energy[Energy description]"),0)),0)</f>
        <v>0</v>
      </c>
      <c r="J276" s="121">
        <f t="array" aca="1" ref="J276" ca="1">IFERROR(INDEX(INDIRECT($B$3&amp;"."&amp;$B$267&amp;".energy["&amp;This.year&amp;"]"),MATCH($C276&amp;J$5,INDIRECT($B$3&amp;"."&amp;$B$267&amp;".energy[Tech description]")&amp;INDIRECT($B$3&amp;"."&amp;$B$267&amp;".energy[Energy description]"),0)),0)</f>
        <v>0</v>
      </c>
      <c r="K276" s="121">
        <f t="array" aca="1" ref="K276" ca="1">IFERROR(INDEX(INDIRECT($B$3&amp;"."&amp;$B$267&amp;".energy["&amp;This.year&amp;"]"),MATCH($C276&amp;K$5,INDIRECT($B$3&amp;"."&amp;$B$267&amp;".energy[Tech description]")&amp;INDIRECT($B$3&amp;"."&amp;$B$267&amp;".energy[Energy description]"),0)),0)</f>
        <v>0</v>
      </c>
      <c r="L276" s="121">
        <f t="array" aca="1" ref="L276" ca="1">IFERROR(INDEX(INDIRECT($B$3&amp;"."&amp;$B$267&amp;".energy["&amp;This.year&amp;"]"),MATCH($C276&amp;L$5,INDIRECT($B$3&amp;"."&amp;$B$267&amp;".energy[Tech description]")&amp;INDIRECT($B$3&amp;"."&amp;$B$267&amp;".energy[Energy description]"),0)),0)</f>
        <v>0</v>
      </c>
      <c r="M276" s="121">
        <f t="array" aca="1" ref="M276" ca="1">IFERROR(INDEX(INDIRECT($B$3&amp;"."&amp;$B$267&amp;".energy["&amp;This.year&amp;"]"),MATCH($C276&amp;M$5,INDIRECT($B$3&amp;"."&amp;$B$267&amp;".energy[Tech description]")&amp;INDIRECT($B$3&amp;"."&amp;$B$267&amp;".energy[Energy description]"),0)),0)</f>
        <v>0</v>
      </c>
      <c r="N276" s="121">
        <f t="array" aca="1" ref="N276" ca="1">IFERROR(INDEX(INDIRECT($B$3&amp;"."&amp;$B$267&amp;".energy["&amp;This.year&amp;"]"),MATCH($C276&amp;N$5,INDIRECT($B$3&amp;"."&amp;$B$267&amp;".energy[Tech description]")&amp;INDIRECT($B$3&amp;"."&amp;$B$267&amp;".energy[Energy description]"),0)),0)</f>
        <v>0</v>
      </c>
      <c r="O276" s="121">
        <f t="array" aca="1" ref="O276" ca="1">IFERROR(INDEX(INDIRECT($B$3&amp;"."&amp;$B$267&amp;".energy["&amp;This.year&amp;"]"),MATCH($C276&amp;O$5,INDIRECT($B$3&amp;"."&amp;$B$267&amp;".energy[Tech description]")&amp;INDIRECT($B$3&amp;"."&amp;$B$267&amp;".energy[Energy description]"),0)),0)</f>
        <v>0</v>
      </c>
      <c r="P276" s="121">
        <f t="array" aca="1" ref="P276" ca="1">IFERROR(INDEX(INDIRECT($B$3&amp;"."&amp;$B$267&amp;".energy["&amp;This.year&amp;"]"),MATCH($C276&amp;P$5,INDIRECT($B$3&amp;"."&amp;$B$267&amp;".energy[Tech description]")&amp;INDIRECT($B$3&amp;"."&amp;$B$267&amp;".energy[Energy description]"),0)),0)</f>
        <v>0</v>
      </c>
      <c r="Q276" s="121">
        <f t="array" aca="1" ref="Q276" ca="1">IFERROR(INDEX(INDIRECT($B$3&amp;"."&amp;$B$267&amp;".energy["&amp;This.year&amp;"]"),MATCH($C276&amp;Q$5,INDIRECT($B$3&amp;"."&amp;$B$267&amp;".energy[Tech description]")&amp;INDIRECT($B$3&amp;"."&amp;$B$267&amp;".energy[Energy description]"),0)),0)</f>
        <v>0</v>
      </c>
      <c r="R276" s="121">
        <f t="array" aca="1" ref="R276" ca="1">IFERROR(INDEX(INDIRECT($B$3&amp;"."&amp;$B$267&amp;".energy["&amp;This.year&amp;"]"),MATCH($C276&amp;R$5,INDIRECT($B$3&amp;"."&amp;$B$267&amp;".energy[Tech description]")&amp;INDIRECT($B$3&amp;"."&amp;$B$267&amp;".energy[Energy description]"),0)),0)</f>
        <v>0</v>
      </c>
      <c r="S276" s="121">
        <f t="array" aca="1" ref="S276" ca="1">IFERROR(INDEX(INDIRECT($B$3&amp;"."&amp;$B$267&amp;".energy["&amp;This.year&amp;"]"),MATCH($C276&amp;S$5,INDIRECT($B$3&amp;"."&amp;$B$267&amp;".energy[Tech description]")&amp;INDIRECT($B$3&amp;"."&amp;$B$267&amp;".energy[Energy description]"),0)),0)</f>
        <v>0</v>
      </c>
      <c r="T276" s="121">
        <f t="shared" ca="1" si="67"/>
        <v>0</v>
      </c>
      <c r="V276" s="171">
        <f t="array" aca="1" ref="V276" ca="1">IFERROR(INDEX(INDIRECT($B$3&amp;"."&amp;$B$267&amp;".energy["&amp;This.year&amp;"]"),MATCH($C276&amp;V$5,INDIRECT($B$3&amp;"."&amp;$B$267&amp;".energy[Tech description]")&amp;INDIRECT($B$3&amp;"."&amp;$B$267&amp;".energy[Energy description]"),0)),0)</f>
        <v>0</v>
      </c>
      <c r="W276" s="171">
        <f t="array" aca="1" ref="W276" ca="1">IFERROR(INDEX(INDIRECT($B$3&amp;"."&amp;$B$267&amp;".energy["&amp;This.year&amp;"]"),MATCH($C276&amp;W$5,INDIRECT($B$3&amp;"."&amp;$B$267&amp;".energy[Tech description]")&amp;INDIRECT($B$3&amp;"."&amp;$B$267&amp;".energy[Energy description]"),0)),0)</f>
        <v>0</v>
      </c>
      <c r="X276" s="171">
        <f t="array" aca="1" ref="X276" ca="1">IFERROR(INDEX(INDIRECT($B$3&amp;"."&amp;$B$267&amp;".energy["&amp;This.year&amp;"]"),MATCH($C276&amp;X$5,INDIRECT($B$3&amp;"."&amp;$B$267&amp;".energy[Tech description]")&amp;INDIRECT($B$3&amp;"."&amp;$B$267&amp;".energy[Energy description]"),0)),0)</f>
        <v>0</v>
      </c>
      <c r="Y276" s="171">
        <f t="array" aca="1" ref="Y276" ca="1">IFERROR(INDEX(INDIRECT($B$3&amp;"."&amp;$B$267&amp;".energy["&amp;This.year&amp;"]"),MATCH($C276&amp;Y$5,INDIRECT($B$3&amp;"."&amp;$B$267&amp;".energy[Tech description]")&amp;INDIRECT($B$3&amp;"."&amp;$B$267&amp;".energy[Energy description]"),0)),0)</f>
        <v>0</v>
      </c>
      <c r="Z276" s="171">
        <f t="array" aca="1" ref="Z276" ca="1">IFERROR(INDEX(INDIRECT($B$3&amp;"."&amp;$B$267&amp;".energy["&amp;This.year&amp;"]"),MATCH($C276&amp;Z$5,INDIRECT($B$3&amp;"."&amp;$B$267&amp;".energy[Tech description]")&amp;INDIRECT($B$3&amp;"."&amp;$B$267&amp;".energy[Energy description]"),0)),0)</f>
        <v>0</v>
      </c>
      <c r="AA276" s="171">
        <f t="array" aca="1" ref="AA276" ca="1">IFERROR(INDEX(INDIRECT($B$3&amp;"."&amp;$B$267&amp;".energy["&amp;This.year&amp;"]"),MATCH($C276&amp;AA$5,INDIRECT($B$3&amp;"."&amp;$B$267&amp;".energy[Tech description]")&amp;INDIRECT($B$3&amp;"."&amp;$B$267&amp;".energy[Energy description]"),0)),0)</f>
        <v>0</v>
      </c>
      <c r="AB276" s="171">
        <f t="array" aca="1" ref="AB276" ca="1">IFERROR(INDEX(INDIRECT($B$3&amp;"."&amp;$B$267&amp;".energy["&amp;This.year&amp;"]"),MATCH($C276&amp;AB$5,INDIRECT($B$3&amp;"."&amp;$B$267&amp;".energy[Tech description]")&amp;INDIRECT($B$3&amp;"."&amp;$B$267&amp;".energy[Energy description]"),0)),0)</f>
        <v>0</v>
      </c>
      <c r="AC276" s="171">
        <f t="array" aca="1" ref="AC276" ca="1">IFERROR(INDEX(INDIRECT($B$3&amp;"."&amp;$B$267&amp;".energy["&amp;This.year&amp;"]"),MATCH($C276&amp;AC$5,INDIRECT($B$3&amp;"."&amp;$B$267&amp;".energy[Tech description]")&amp;INDIRECT($B$3&amp;"."&amp;$B$267&amp;".energy[Energy description]"),0)),0)</f>
        <v>0</v>
      </c>
      <c r="AD276" s="171">
        <f t="array" aca="1" ref="AD276" ca="1">IFERROR(INDEX(INDIRECT($B$3&amp;"."&amp;$B$267&amp;".energy["&amp;This.year&amp;"]"),MATCH($C276&amp;AD$5,INDIRECT($B$3&amp;"."&amp;$B$267&amp;".energy[Tech description]")&amp;INDIRECT($B$3&amp;"."&amp;$B$267&amp;".energy[Energy description]"),0)),0)</f>
        <v>0</v>
      </c>
      <c r="AE276" s="171">
        <f t="array" aca="1" ref="AE276" ca="1">IFERROR(INDEX(INDIRECT($B$3&amp;"."&amp;$B$267&amp;".energy["&amp;This.year&amp;"]"),MATCH($C276&amp;AE$5,INDIRECT($B$3&amp;"."&amp;$B$267&amp;".energy[Tech description]")&amp;INDIRECT($B$3&amp;"."&amp;$B$267&amp;".energy[Energy description]"),0)),0)</f>
        <v>0</v>
      </c>
      <c r="AF276" s="171">
        <f t="array" aca="1" ref="AF276" ca="1">IFERROR(INDEX(INDIRECT($B$3&amp;"."&amp;$B$267&amp;".energy["&amp;This.year&amp;"]"),MATCH($C276&amp;AF$5,INDIRECT($B$3&amp;"."&amp;$B$267&amp;".energy[Tech description]")&amp;INDIRECT($B$3&amp;"."&amp;$B$267&amp;".energy[Energy description]"),0)),0)</f>
        <v>0</v>
      </c>
      <c r="AG276" s="171">
        <f t="array" aca="1" ref="AG276" ca="1">IFERROR(INDEX(INDIRECT($B$3&amp;"."&amp;$B$267&amp;".energy["&amp;This.year&amp;"]"),MATCH($C276&amp;AG$5,INDIRECT($B$3&amp;"."&amp;$B$267&amp;".energy[Tech description]")&amp;INDIRECT($B$3&amp;"."&amp;$B$267&amp;".energy[Energy description]"),0)),0)</f>
        <v>0</v>
      </c>
      <c r="AH276" s="171">
        <f t="array" aca="1" ref="AH276" ca="1">IFERROR(INDEX(INDIRECT($B$3&amp;"."&amp;$B$267&amp;".energy["&amp;This.year&amp;"]"),MATCH($C276&amp;AH$5,INDIRECT($B$3&amp;"."&amp;$B$267&amp;".energy[Tech description]")&amp;INDIRECT($B$3&amp;"."&amp;$B$267&amp;".energy[Energy description]"),0)),0)</f>
        <v>0</v>
      </c>
      <c r="AI276" s="171">
        <f t="array" aca="1" ref="AI276" ca="1">IFERROR(INDEX(INDIRECT($B$3&amp;"."&amp;$B$267&amp;".energy["&amp;This.year&amp;"]"),MATCH($C276&amp;AI$5,INDIRECT($B$3&amp;"."&amp;$B$267&amp;".energy[Tech description]")&amp;INDIRECT($B$3&amp;"."&amp;$B$267&amp;".energy[Energy description]"),0)),0)</f>
        <v>0</v>
      </c>
      <c r="AJ276" s="171">
        <f t="array" aca="1" ref="AJ276" ca="1">IFERROR(INDEX(INDIRECT($B$3&amp;"."&amp;$B$267&amp;".energy["&amp;This.year&amp;"]"),MATCH($C276&amp;AJ$5,INDIRECT($B$3&amp;"."&amp;$B$267&amp;".energy[Tech description]")&amp;INDIRECT($B$3&amp;"."&amp;$B$267&amp;".energy[Energy description]"),0)),0)</f>
        <v>0</v>
      </c>
      <c r="AK276" s="171">
        <f t="array" aca="1" ref="AK276" ca="1">IFERROR(INDEX(INDIRECT($B$3&amp;"."&amp;$B$267&amp;".energy["&amp;This.year&amp;"]"),MATCH($C276&amp;AK$5,INDIRECT($B$3&amp;"."&amp;$B$267&amp;".energy[Tech description]")&amp;INDIRECT($B$3&amp;"."&amp;$B$267&amp;".energy[Energy description]"),0)),0)</f>
        <v>0</v>
      </c>
      <c r="AL276" s="171">
        <f t="array" aca="1" ref="AL276" ca="1">IFERROR(INDEX(INDIRECT($B$3&amp;"."&amp;$B$267&amp;".energy["&amp;This.year&amp;"]"),MATCH($C276&amp;AL$5,INDIRECT($B$3&amp;"."&amp;$B$267&amp;".energy[Tech description]")&amp;INDIRECT($B$3&amp;"."&amp;$B$267&amp;".energy[Energy description]"),0)),0)</f>
        <v>0</v>
      </c>
      <c r="AM276" s="171">
        <f t="array" aca="1" ref="AM276" ca="1">IFERROR(INDEX(INDIRECT($B$3&amp;"."&amp;$B$267&amp;".energy["&amp;This.year&amp;"]"),MATCH($C276&amp;AM$5,INDIRECT($B$3&amp;"."&amp;$B$267&amp;".energy[Tech description]")&amp;INDIRECT($B$3&amp;"."&amp;$B$267&amp;".energy[Energy description]"),0)),0)</f>
        <v>0</v>
      </c>
      <c r="AN276" s="171">
        <f t="array" aca="1" ref="AN276" ca="1">IFERROR(INDEX(INDIRECT($B$3&amp;"."&amp;$B$267&amp;".energy["&amp;This.year&amp;"]"),MATCH($C276&amp;AN$5,INDIRECT($B$3&amp;"."&amp;$B$267&amp;".energy[Tech description]")&amp;INDIRECT($B$3&amp;"."&amp;$B$267&amp;".energy[Energy description]"),0)),0)</f>
        <v>0</v>
      </c>
      <c r="AO276" s="171">
        <f t="shared" ca="1" si="64"/>
        <v>0</v>
      </c>
      <c r="AQ276" s="173">
        <f t="array" aca="1" ref="AQ276" ca="1">IFERROR(INDEX(INDIRECT($B$3&amp;"."&amp;$B$267&amp;".energy["&amp;This.year&amp;"]"),MATCH($C276&amp;AQ$5,INDIRECT($B$3&amp;"."&amp;$B$267&amp;".energy[Tech description]")&amp;INDIRECT($B$3&amp;"."&amp;$B$267&amp;".energy[Energy description]"),0)),0)</f>
        <v>0</v>
      </c>
      <c r="AR276" s="173">
        <f t="array" aca="1" ref="AR276" ca="1">IFERROR(INDEX(INDIRECT($B$3&amp;"."&amp;$B$267&amp;".energy["&amp;This.year&amp;"]"),MATCH($C276&amp;AR$5,INDIRECT($B$3&amp;"."&amp;$B$267&amp;".energy[Tech description]")&amp;INDIRECT($B$3&amp;"."&amp;$B$267&amp;".energy[Energy description]"),0)),0)</f>
        <v>0</v>
      </c>
      <c r="AS276" s="173">
        <f t="array" aca="1" ref="AS276" ca="1">IFERROR(INDEX(INDIRECT($B$3&amp;"."&amp;$B$267&amp;".energy["&amp;This.year&amp;"]"),MATCH($C276&amp;AS$5,INDIRECT($B$3&amp;"."&amp;$B$267&amp;".energy[Tech description]")&amp;INDIRECT($B$3&amp;"."&amp;$B$267&amp;".energy[Energy description]"),0)),0)</f>
        <v>0</v>
      </c>
      <c r="AT276" s="173">
        <f t="array" aca="1" ref="AT276" ca="1">IFERROR(INDEX(INDIRECT($B$3&amp;"."&amp;$B$267&amp;".energy["&amp;This.year&amp;"]"),MATCH($C276&amp;AT$5,INDIRECT($B$3&amp;"."&amp;$B$267&amp;".energy[Tech description]")&amp;INDIRECT($B$3&amp;"."&amp;$B$267&amp;".energy[Energy description]"),0)),0)</f>
        <v>0</v>
      </c>
      <c r="AU276" s="173">
        <f t="array" aca="1" ref="AU276" ca="1">IFERROR(INDEX(INDIRECT($B$3&amp;"."&amp;$B$267&amp;".energy["&amp;This.year&amp;"]"),MATCH($C276&amp;AU$5,INDIRECT($B$3&amp;"."&amp;$B$267&amp;".energy[Tech description]")&amp;INDIRECT($B$3&amp;"."&amp;$B$267&amp;".energy[Energy description]"),0)),0)</f>
        <v>0</v>
      </c>
      <c r="AV276" s="173">
        <f t="array" aca="1" ref="AV276" ca="1">IFERROR(INDEX(INDIRECT($B$3&amp;"."&amp;$B$267&amp;".energy["&amp;This.year&amp;"]"),MATCH($C276&amp;AV$5,INDIRECT($B$3&amp;"."&amp;$B$267&amp;".energy[Tech description]")&amp;INDIRECT($B$3&amp;"."&amp;$B$267&amp;".energy[Energy description]"),0)),0)</f>
        <v>0</v>
      </c>
      <c r="AW276" s="173">
        <f t="array" aca="1" ref="AW276" ca="1">IFERROR(INDEX(INDIRECT($B$3&amp;"."&amp;$B$267&amp;".energy["&amp;This.year&amp;"]"),MATCH($C276&amp;AW$5,INDIRECT($B$3&amp;"."&amp;$B$267&amp;".energy[Tech description]")&amp;INDIRECT($B$3&amp;"."&amp;$B$267&amp;".energy[Energy description]"),0)),0)</f>
        <v>0</v>
      </c>
      <c r="AX276" s="173">
        <f t="array" aca="1" ref="AX276" ca="1">IFERROR(INDEX(INDIRECT($B$3&amp;"."&amp;$B$267&amp;".energy["&amp;This.year&amp;"]"),MATCH($C276&amp;AX$5,INDIRECT($B$3&amp;"."&amp;$B$267&amp;".energy[Tech description]")&amp;INDIRECT($B$3&amp;"."&amp;$B$267&amp;".energy[Energy description]"),0)),0)</f>
        <v>0</v>
      </c>
      <c r="AY276" s="173">
        <f t="array" aca="1" ref="AY276" ca="1">IFERROR(INDEX(INDIRECT($B$3&amp;"."&amp;$B$267&amp;".energy["&amp;This.year&amp;"]"),MATCH($C276&amp;AY$5,INDIRECT($B$3&amp;"."&amp;$B$267&amp;".energy[Tech description]")&amp;INDIRECT($B$3&amp;"."&amp;$B$267&amp;".energy[Energy description]"),0)),0)</f>
        <v>0</v>
      </c>
      <c r="AZ276" s="173">
        <f t="array" aca="1" ref="AZ276" ca="1">IFERROR(INDEX(INDIRECT($B$3&amp;"."&amp;$B$267&amp;".energy["&amp;This.year&amp;"]"),MATCH($C276&amp;AZ$5,INDIRECT($B$3&amp;"."&amp;$B$267&amp;".energy[Tech description]")&amp;INDIRECT($B$3&amp;"."&amp;$B$267&amp;".energy[Energy description]"),0)),0)</f>
        <v>0</v>
      </c>
      <c r="BA276" s="173">
        <f t="array" aca="1" ref="BA276" ca="1">IFERROR(INDEX(INDIRECT($B$3&amp;"."&amp;$B$267&amp;".energy["&amp;This.year&amp;"]"),MATCH($C276&amp;BA$5,INDIRECT($B$3&amp;"."&amp;$B$267&amp;".energy[Tech description]")&amp;INDIRECT($B$3&amp;"."&amp;$B$267&amp;".energy[Energy description]"),0)),0)</f>
        <v>0</v>
      </c>
      <c r="BB276" s="173">
        <f t="array" aca="1" ref="BB276" ca="1">IFERROR(INDEX(INDIRECT($B$3&amp;"."&amp;$B$267&amp;".energy["&amp;This.year&amp;"]"),MATCH($C276&amp;BB$5,INDIRECT($B$3&amp;"."&amp;$B$267&amp;".energy[Tech description]")&amp;INDIRECT($B$3&amp;"."&amp;$B$267&amp;".energy[Energy description]"),0)),0)</f>
        <v>0</v>
      </c>
      <c r="BC276" s="173">
        <f t="array" aca="1" ref="BC276" ca="1">IFERROR(INDEX(INDIRECT($B$3&amp;"."&amp;$B$267&amp;".energy["&amp;This.year&amp;"]"),MATCH($C276&amp;BC$5,INDIRECT($B$3&amp;"."&amp;$B$267&amp;".energy[Tech description]")&amp;INDIRECT($B$3&amp;"."&amp;$B$267&amp;".energy[Energy description]"),0)),0)</f>
        <v>0</v>
      </c>
      <c r="BD276" s="173">
        <f t="shared" ca="1" si="65"/>
        <v>0</v>
      </c>
      <c r="BF276" s="175">
        <f t="array" aca="1" ref="BF276" ca="1">IFERROR(INDEX(INDIRECT($B$3&amp;"."&amp;$B$267&amp;".energy["&amp;This.year&amp;"]"),MATCH($C276&amp;BF$5,INDIRECT($B$3&amp;"."&amp;$B$267&amp;".energy[Tech description]")&amp;INDIRECT($B$3&amp;"."&amp;$B$267&amp;".energy[Energy description]"),0)),0)</f>
        <v>0</v>
      </c>
      <c r="BG276" s="175">
        <f t="array" aca="1" ref="BG276" ca="1">IFERROR(INDEX(INDIRECT($B$3&amp;"."&amp;$B$267&amp;".energy["&amp;This.year&amp;"]"),MATCH($C276&amp;BG$5,INDIRECT($B$3&amp;"."&amp;$B$267&amp;".energy[Tech description]")&amp;INDIRECT($B$3&amp;"."&amp;$B$267&amp;".energy[Energy description]"),0)),0)</f>
        <v>0</v>
      </c>
      <c r="BH276" s="175">
        <f t="shared" ca="1" si="68"/>
        <v>0</v>
      </c>
      <c r="BI276" s="219">
        <f t="shared" ca="1" si="66"/>
        <v>0</v>
      </c>
      <c r="BJ276" s="58"/>
    </row>
    <row r="277" spans="1:62" s="54" customFormat="1">
      <c r="A277" s="106"/>
      <c r="B277" s="176"/>
      <c r="C277" s="219"/>
      <c r="D277" s="106"/>
      <c r="E277" s="121"/>
      <c r="F277" s="121"/>
      <c r="G277" s="121"/>
      <c r="H277" s="121"/>
      <c r="I277" s="121"/>
      <c r="J277" s="121"/>
      <c r="K277" s="121"/>
      <c r="L277" s="121"/>
      <c r="M277" s="121"/>
      <c r="N277" s="121"/>
      <c r="O277" s="121"/>
      <c r="P277" s="121"/>
      <c r="Q277" s="121"/>
      <c r="R277" s="121"/>
      <c r="S277" s="121"/>
      <c r="T277" s="121"/>
      <c r="V277" s="152"/>
      <c r="W277" s="152"/>
      <c r="X277" s="152"/>
      <c r="Y277" s="152"/>
      <c r="Z277" s="152"/>
      <c r="AA277" s="152"/>
      <c r="AB277" s="152"/>
      <c r="AC277" s="152"/>
      <c r="AD277" s="152"/>
      <c r="AE277" s="152"/>
      <c r="AF277" s="152"/>
      <c r="AG277" s="152"/>
      <c r="AH277" s="152"/>
      <c r="AI277" s="152"/>
      <c r="AJ277" s="152"/>
      <c r="AK277" s="152"/>
      <c r="AL277" s="152"/>
      <c r="AM277" s="152"/>
      <c r="AN277" s="152"/>
      <c r="AO277" s="152"/>
      <c r="AQ277" s="21"/>
      <c r="AR277" s="21"/>
      <c r="AS277" s="21"/>
      <c r="AT277" s="21"/>
      <c r="AU277" s="21"/>
      <c r="AV277" s="21"/>
      <c r="AW277" s="21"/>
      <c r="AX277" s="21"/>
      <c r="AY277" s="21"/>
      <c r="AZ277" s="21"/>
      <c r="BA277" s="21"/>
      <c r="BB277" s="21"/>
      <c r="BC277" s="21"/>
      <c r="BD277" s="21"/>
      <c r="BF277" s="49"/>
      <c r="BG277" s="49"/>
      <c r="BH277" s="49"/>
      <c r="BI277" s="219"/>
      <c r="BJ277" s="108"/>
    </row>
    <row r="278" spans="1:62">
      <c r="B278" s="167"/>
      <c r="C278" s="219" t="s">
        <v>755</v>
      </c>
      <c r="D278" s="219" t="s">
        <v>414</v>
      </c>
      <c r="E278" s="121">
        <f ca="1">SUM(E279:E285)</f>
        <v>0</v>
      </c>
      <c r="F278" s="121">
        <f t="shared" ref="F278:BI278" ca="1" si="69">SUM(F279:F285)</f>
        <v>0</v>
      </c>
      <c r="G278" s="121">
        <f t="shared" ca="1" si="69"/>
        <v>0</v>
      </c>
      <c r="H278" s="121">
        <f t="shared" ca="1" si="69"/>
        <v>0</v>
      </c>
      <c r="I278" s="121">
        <f t="shared" ca="1" si="69"/>
        <v>0</v>
      </c>
      <c r="J278" s="121">
        <f t="shared" ca="1" si="69"/>
        <v>0</v>
      </c>
      <c r="K278" s="121">
        <f t="shared" ca="1" si="69"/>
        <v>0</v>
      </c>
      <c r="L278" s="121">
        <f t="shared" ca="1" si="69"/>
        <v>0</v>
      </c>
      <c r="M278" s="121">
        <f t="shared" ca="1" si="69"/>
        <v>0</v>
      </c>
      <c r="N278" s="121">
        <f t="shared" ca="1" si="69"/>
        <v>0</v>
      </c>
      <c r="O278" s="121">
        <f t="shared" ref="O278" ca="1" si="70">SUM(O279:O285)</f>
        <v>0</v>
      </c>
      <c r="P278" s="121">
        <f t="shared" ca="1" si="69"/>
        <v>0</v>
      </c>
      <c r="Q278" s="121">
        <f t="shared" ca="1" si="69"/>
        <v>0</v>
      </c>
      <c r="R278" s="121">
        <f t="shared" ca="1" si="69"/>
        <v>0</v>
      </c>
      <c r="S278" s="121">
        <f t="shared" ca="1" si="69"/>
        <v>0</v>
      </c>
      <c r="T278" s="121">
        <f t="shared" ca="1" si="69"/>
        <v>0</v>
      </c>
      <c r="V278" s="152">
        <f t="shared" ca="1" si="69"/>
        <v>0</v>
      </c>
      <c r="W278" s="152">
        <f t="shared" ca="1" si="69"/>
        <v>0</v>
      </c>
      <c r="X278" s="152">
        <f t="shared" ca="1" si="69"/>
        <v>0</v>
      </c>
      <c r="Y278" s="152">
        <f t="shared" ca="1" si="69"/>
        <v>0</v>
      </c>
      <c r="Z278" s="152">
        <f t="shared" ca="1" si="69"/>
        <v>0</v>
      </c>
      <c r="AA278" s="152">
        <f t="shared" ca="1" si="69"/>
        <v>0</v>
      </c>
      <c r="AB278" s="152">
        <f t="shared" ca="1" si="69"/>
        <v>0</v>
      </c>
      <c r="AC278" s="152">
        <f t="shared" ca="1" si="69"/>
        <v>0</v>
      </c>
      <c r="AD278" s="152">
        <f t="shared" ca="1" si="69"/>
        <v>0</v>
      </c>
      <c r="AE278" s="152">
        <f t="shared" ca="1" si="69"/>
        <v>0</v>
      </c>
      <c r="AF278" s="152">
        <f t="shared" ca="1" si="69"/>
        <v>0</v>
      </c>
      <c r="AG278" s="152">
        <f t="shared" ca="1" si="69"/>
        <v>0</v>
      </c>
      <c r="AH278" s="152">
        <f t="shared" ca="1" si="69"/>
        <v>0</v>
      </c>
      <c r="AI278" s="152">
        <f t="shared" ca="1" si="69"/>
        <v>0</v>
      </c>
      <c r="AJ278" s="152">
        <f t="shared" ca="1" si="69"/>
        <v>0</v>
      </c>
      <c r="AK278" s="152">
        <f t="shared" ca="1" si="69"/>
        <v>0</v>
      </c>
      <c r="AL278" s="152">
        <f ca="1">SUM(AL279:AL285)</f>
        <v>0</v>
      </c>
      <c r="AM278" s="152">
        <f t="shared" ca="1" si="69"/>
        <v>0</v>
      </c>
      <c r="AN278" s="152">
        <f t="shared" ca="1" si="69"/>
        <v>0</v>
      </c>
      <c r="AO278" s="152">
        <f t="shared" ca="1" si="69"/>
        <v>0</v>
      </c>
      <c r="AQ278" s="21">
        <f t="shared" ca="1" si="69"/>
        <v>0</v>
      </c>
      <c r="AR278" s="21">
        <f t="shared" ca="1" si="69"/>
        <v>0</v>
      </c>
      <c r="AS278" s="21">
        <f t="shared" ca="1" si="69"/>
        <v>0</v>
      </c>
      <c r="AT278" s="21">
        <f t="shared" ca="1" si="69"/>
        <v>0</v>
      </c>
      <c r="AU278" s="21">
        <f t="shared" ca="1" si="69"/>
        <v>0</v>
      </c>
      <c r="AV278" s="21">
        <f t="shared" ca="1" si="69"/>
        <v>0</v>
      </c>
      <c r="AW278" s="21">
        <f t="shared" ca="1" si="69"/>
        <v>0</v>
      </c>
      <c r="AX278" s="21">
        <f t="shared" ca="1" si="69"/>
        <v>0</v>
      </c>
      <c r="AY278" s="21">
        <f t="shared" ca="1" si="69"/>
        <v>0</v>
      </c>
      <c r="AZ278" s="21">
        <f t="shared" ca="1" si="69"/>
        <v>0</v>
      </c>
      <c r="BA278" s="21">
        <f t="shared" ca="1" si="69"/>
        <v>0</v>
      </c>
      <c r="BB278" s="21">
        <f t="shared" ca="1" si="69"/>
        <v>0</v>
      </c>
      <c r="BC278" s="21">
        <f t="shared" ca="1" si="69"/>
        <v>0</v>
      </c>
      <c r="BD278" s="21">
        <f t="shared" ca="1" si="69"/>
        <v>0</v>
      </c>
      <c r="BF278" s="49">
        <f t="shared" ca="1" si="69"/>
        <v>0</v>
      </c>
      <c r="BG278" s="49">
        <f t="shared" ca="1" si="69"/>
        <v>0</v>
      </c>
      <c r="BH278" s="49">
        <f t="shared" ca="1" si="69"/>
        <v>0</v>
      </c>
      <c r="BI278" s="219">
        <f t="shared" ca="1" si="69"/>
        <v>0</v>
      </c>
      <c r="BJ278" s="58"/>
    </row>
    <row r="279" spans="1:62">
      <c r="B279" s="176" t="s">
        <v>1163</v>
      </c>
      <c r="C279" s="114" t="str">
        <f>INDEX(Regional.Technologies[Description],MATCH($B$3&amp;"."&amp;B279,Regional.Technologies[Code],0))</f>
        <v>Global Carbon capture solid-fuel ultrasupercritical power plant</v>
      </c>
      <c r="E279" s="121">
        <f t="array" aca="1" ref="E279" ca="1">IFERROR(INDEX(INDIRECT($B$3&amp;"."&amp;$B$267&amp;".energy["&amp;This.year&amp;"]"),MATCH($C279&amp;E$5,INDIRECT($B$3&amp;"."&amp;$B$267&amp;".energy[Tech description]")&amp;INDIRECT($B$3&amp;"."&amp;$B$267&amp;".energy[Energy description]"),0)),0)</f>
        <v>0</v>
      </c>
      <c r="F279" s="121">
        <f t="array" aca="1" ref="F279" ca="1">IFERROR(INDEX(INDIRECT($B$3&amp;"."&amp;$B$267&amp;".energy["&amp;This.year&amp;"]"),MATCH($C279&amp;F$5,INDIRECT($B$3&amp;"."&amp;$B$267&amp;".energy[Tech description]")&amp;INDIRECT($B$3&amp;"."&amp;$B$267&amp;".energy[Energy description]"),0)),0)</f>
        <v>0</v>
      </c>
      <c r="G279" s="121">
        <f t="array" aca="1" ref="G279" ca="1">IFERROR(INDEX(INDIRECT($B$3&amp;"."&amp;$B$267&amp;".energy["&amp;This.year&amp;"]"),MATCH($C279&amp;G$5,INDIRECT($B$3&amp;"."&amp;$B$267&amp;".energy[Tech description]")&amp;INDIRECT($B$3&amp;"."&amp;$B$267&amp;".energy[Energy description]"),0)),0)</f>
        <v>0</v>
      </c>
      <c r="H279" s="121">
        <f t="array" aca="1" ref="H279" ca="1">IFERROR(INDEX(INDIRECT($B$3&amp;"."&amp;$B$267&amp;".energy["&amp;This.year&amp;"]"),MATCH($C279&amp;H$5,INDIRECT($B$3&amp;"."&amp;$B$267&amp;".energy[Tech description]")&amp;INDIRECT($B$3&amp;"."&amp;$B$267&amp;".energy[Energy description]"),0)),0)</f>
        <v>0</v>
      </c>
      <c r="I279" s="121">
        <f t="array" aca="1" ref="I279" ca="1">IFERROR(INDEX(INDIRECT($B$3&amp;"."&amp;$B$267&amp;".energy["&amp;This.year&amp;"]"),MATCH($C279&amp;I$5,INDIRECT($B$3&amp;"."&amp;$B$267&amp;".energy[Tech description]")&amp;INDIRECT($B$3&amp;"."&amp;$B$267&amp;".energy[Energy description]"),0)),0)</f>
        <v>0</v>
      </c>
      <c r="J279" s="121">
        <f t="array" aca="1" ref="J279" ca="1">IFERROR(INDEX(INDIRECT($B$3&amp;"."&amp;$B$267&amp;".energy["&amp;This.year&amp;"]"),MATCH($C279&amp;J$5,INDIRECT($B$3&amp;"."&amp;$B$267&amp;".energy[Tech description]")&amp;INDIRECT($B$3&amp;"."&amp;$B$267&amp;".energy[Energy description]"),0)),0)</f>
        <v>0</v>
      </c>
      <c r="K279" s="121">
        <f t="array" aca="1" ref="K279" ca="1">IFERROR(INDEX(INDIRECT($B$3&amp;"."&amp;$B$267&amp;".energy["&amp;This.year&amp;"]"),MATCH($C279&amp;K$5,INDIRECT($B$3&amp;"."&amp;$B$267&amp;".energy[Tech description]")&amp;INDIRECT($B$3&amp;"."&amp;$B$267&amp;".energy[Energy description]"),0)),0)</f>
        <v>0</v>
      </c>
      <c r="L279" s="121">
        <f t="array" aca="1" ref="L279" ca="1">IFERROR(INDEX(INDIRECT($B$3&amp;"."&amp;$B$267&amp;".energy["&amp;This.year&amp;"]"),MATCH($C279&amp;L$5,INDIRECT($B$3&amp;"."&amp;$B$267&amp;".energy[Tech description]")&amp;INDIRECT($B$3&amp;"."&amp;$B$267&amp;".energy[Energy description]"),0)),0)</f>
        <v>0</v>
      </c>
      <c r="M279" s="121">
        <f t="array" aca="1" ref="M279" ca="1">IFERROR(INDEX(INDIRECT($B$3&amp;"."&amp;$B$267&amp;".energy["&amp;This.year&amp;"]"),MATCH($C279&amp;M$5,INDIRECT($B$3&amp;"."&amp;$B$267&amp;".energy[Tech description]")&amp;INDIRECT($B$3&amp;"."&amp;$B$267&amp;".energy[Energy description]"),0)),0)</f>
        <v>0</v>
      </c>
      <c r="N279" s="121">
        <f t="array" aca="1" ref="N279" ca="1">IFERROR(INDEX(INDIRECT($B$3&amp;"."&amp;$B$267&amp;".energy["&amp;This.year&amp;"]"),MATCH($C279&amp;N$5,INDIRECT($B$3&amp;"."&amp;$B$267&amp;".energy[Tech description]")&amp;INDIRECT($B$3&amp;"."&amp;$B$267&amp;".energy[Energy description]"),0)),0)</f>
        <v>0</v>
      </c>
      <c r="O279" s="121">
        <f t="array" aca="1" ref="O279" ca="1">IFERROR(INDEX(INDIRECT($B$3&amp;"."&amp;$B$267&amp;".energy["&amp;This.year&amp;"]"),MATCH($C279&amp;O$5,INDIRECT($B$3&amp;"."&amp;$B$267&amp;".energy[Tech description]")&amp;INDIRECT($B$3&amp;"."&amp;$B$267&amp;".energy[Energy description]"),0)),0)</f>
        <v>0</v>
      </c>
      <c r="P279" s="121">
        <f t="array" aca="1" ref="P279" ca="1">IFERROR(INDEX(INDIRECT($B$3&amp;"."&amp;$B$267&amp;".energy["&amp;This.year&amp;"]"),MATCH($C279&amp;P$5,INDIRECT($B$3&amp;"."&amp;$B$267&amp;".energy[Tech description]")&amp;INDIRECT($B$3&amp;"."&amp;$B$267&amp;".energy[Energy description]"),0)),0)</f>
        <v>0</v>
      </c>
      <c r="Q279" s="121">
        <f t="array" aca="1" ref="Q279" ca="1">IFERROR(INDEX(INDIRECT($B$3&amp;"."&amp;$B$267&amp;".energy["&amp;This.year&amp;"]"),MATCH($C279&amp;Q$5,INDIRECT($B$3&amp;"."&amp;$B$267&amp;".energy[Tech description]")&amp;INDIRECT($B$3&amp;"."&amp;$B$267&amp;".energy[Energy description]"),0)),0)</f>
        <v>0</v>
      </c>
      <c r="R279" s="121">
        <f t="array" aca="1" ref="R279" ca="1">IFERROR(INDEX(INDIRECT($B$3&amp;"."&amp;$B$267&amp;".energy["&amp;This.year&amp;"]"),MATCH($C279&amp;R$5,INDIRECT($B$3&amp;"."&amp;$B$267&amp;".energy[Tech description]")&amp;INDIRECT($B$3&amp;"."&amp;$B$267&amp;".energy[Energy description]"),0)),0)</f>
        <v>0</v>
      </c>
      <c r="S279" s="121">
        <f t="array" aca="1" ref="S279" ca="1">IFERROR(INDEX(INDIRECT($B$3&amp;"."&amp;$B$267&amp;".energy["&amp;This.year&amp;"]"),MATCH($C279&amp;S$5,INDIRECT($B$3&amp;"."&amp;$B$267&amp;".energy[Tech description]")&amp;INDIRECT($B$3&amp;"."&amp;$B$267&amp;".energy[Energy description]"),0)),0)</f>
        <v>0</v>
      </c>
      <c r="T279" s="121">
        <f t="shared" ref="T279:T285" ca="1" si="71">SUM(E279:S279)</f>
        <v>0</v>
      </c>
      <c r="V279" s="171">
        <f t="array" aca="1" ref="V279" ca="1">IFERROR(INDEX(INDIRECT($B$3&amp;"."&amp;$B$267&amp;".energy["&amp;This.year&amp;"]"),MATCH($C279&amp;V$5,INDIRECT($B$3&amp;"."&amp;$B$267&amp;".energy[Tech description]")&amp;INDIRECT($B$3&amp;"."&amp;$B$267&amp;".energy[Energy description]"),0)),0)</f>
        <v>0</v>
      </c>
      <c r="W279" s="171">
        <f t="array" aca="1" ref="W279" ca="1">IFERROR(INDEX(INDIRECT($B$3&amp;"."&amp;$B$267&amp;".energy["&amp;This.year&amp;"]"),MATCH($C279&amp;W$5,INDIRECT($B$3&amp;"."&amp;$B$267&amp;".energy[Tech description]")&amp;INDIRECT($B$3&amp;"."&amp;$B$267&amp;".energy[Energy description]"),0)),0)</f>
        <v>0</v>
      </c>
      <c r="X279" s="171">
        <f t="array" aca="1" ref="X279" ca="1">IFERROR(INDEX(INDIRECT($B$3&amp;"."&amp;$B$267&amp;".energy["&amp;This.year&amp;"]"),MATCH($C279&amp;X$5,INDIRECT($B$3&amp;"."&amp;$B$267&amp;".energy[Tech description]")&amp;INDIRECT($B$3&amp;"."&amp;$B$267&amp;".energy[Energy description]"),0)),0)</f>
        <v>0</v>
      </c>
      <c r="Y279" s="171">
        <f t="array" aca="1" ref="Y279" ca="1">IFERROR(INDEX(INDIRECT($B$3&amp;"."&amp;$B$267&amp;".energy["&amp;This.year&amp;"]"),MATCH($C279&amp;Y$5,INDIRECT($B$3&amp;"."&amp;$B$267&amp;".energy[Tech description]")&amp;INDIRECT($B$3&amp;"."&amp;$B$267&amp;".energy[Energy description]"),0)),0)</f>
        <v>0</v>
      </c>
      <c r="Z279" s="171">
        <f t="array" aca="1" ref="Z279" ca="1">IFERROR(INDEX(INDIRECT($B$3&amp;"."&amp;$B$267&amp;".energy["&amp;This.year&amp;"]"),MATCH($C279&amp;Z$5,INDIRECT($B$3&amp;"."&amp;$B$267&amp;".energy[Tech description]")&amp;INDIRECT($B$3&amp;"."&amp;$B$267&amp;".energy[Energy description]"),0)),0)</f>
        <v>0</v>
      </c>
      <c r="AA279" s="171">
        <f t="array" aca="1" ref="AA279" ca="1">IFERROR(INDEX(INDIRECT($B$3&amp;"."&amp;$B$267&amp;".energy["&amp;This.year&amp;"]"),MATCH($C279&amp;AA$5,INDIRECT($B$3&amp;"."&amp;$B$267&amp;".energy[Tech description]")&amp;INDIRECT($B$3&amp;"."&amp;$B$267&amp;".energy[Energy description]"),0)),0)</f>
        <v>0</v>
      </c>
      <c r="AB279" s="171">
        <f t="array" aca="1" ref="AB279" ca="1">IFERROR(INDEX(INDIRECT($B$3&amp;"."&amp;$B$267&amp;".energy["&amp;This.year&amp;"]"),MATCH($C279&amp;AB$5,INDIRECT($B$3&amp;"."&amp;$B$267&amp;".energy[Tech description]")&amp;INDIRECT($B$3&amp;"."&amp;$B$267&amp;".energy[Energy description]"),0)),0)</f>
        <v>0</v>
      </c>
      <c r="AC279" s="171">
        <f t="array" aca="1" ref="AC279" ca="1">IFERROR(INDEX(INDIRECT($B$3&amp;"."&amp;$B$267&amp;".energy["&amp;This.year&amp;"]"),MATCH($C279&amp;AC$5,INDIRECT($B$3&amp;"."&amp;$B$267&amp;".energy[Tech description]")&amp;INDIRECT($B$3&amp;"."&amp;$B$267&amp;".energy[Energy description]"),0)),0)</f>
        <v>0</v>
      </c>
      <c r="AD279" s="171">
        <f t="array" aca="1" ref="AD279" ca="1">IFERROR(INDEX(INDIRECT($B$3&amp;"."&amp;$B$267&amp;".energy["&amp;This.year&amp;"]"),MATCH($C279&amp;AD$5,INDIRECT($B$3&amp;"."&amp;$B$267&amp;".energy[Tech description]")&amp;INDIRECT($B$3&amp;"."&amp;$B$267&amp;".energy[Energy description]"),0)),0)</f>
        <v>0</v>
      </c>
      <c r="AE279" s="171">
        <f t="array" aca="1" ref="AE279" ca="1">IFERROR(INDEX(INDIRECT($B$3&amp;"."&amp;$B$267&amp;".energy["&amp;This.year&amp;"]"),MATCH($C279&amp;AE$5,INDIRECT($B$3&amp;"."&amp;$B$267&amp;".energy[Tech description]")&amp;INDIRECT($B$3&amp;"."&amp;$B$267&amp;".energy[Energy description]"),0)),0)</f>
        <v>0</v>
      </c>
      <c r="AF279" s="171">
        <f t="array" aca="1" ref="AF279" ca="1">IFERROR(INDEX(INDIRECT($B$3&amp;"."&amp;$B$267&amp;".energy["&amp;This.year&amp;"]"),MATCH($C279&amp;AF$5,INDIRECT($B$3&amp;"."&amp;$B$267&amp;".energy[Tech description]")&amp;INDIRECT($B$3&amp;"."&amp;$B$267&amp;".energy[Energy description]"),0)),0)</f>
        <v>0</v>
      </c>
      <c r="AG279" s="171">
        <f t="array" aca="1" ref="AG279" ca="1">IFERROR(INDEX(INDIRECT($B$3&amp;"."&amp;$B$267&amp;".energy["&amp;This.year&amp;"]"),MATCH($C279&amp;AG$5,INDIRECT($B$3&amp;"."&amp;$B$267&amp;".energy[Tech description]")&amp;INDIRECT($B$3&amp;"."&amp;$B$267&amp;".energy[Energy description]"),0)),0)</f>
        <v>0</v>
      </c>
      <c r="AH279" s="171">
        <f t="array" aca="1" ref="AH279" ca="1">IFERROR(INDEX(INDIRECT($B$3&amp;"."&amp;$B$267&amp;".energy["&amp;This.year&amp;"]"),MATCH($C279&amp;AH$5,INDIRECT($B$3&amp;"."&amp;$B$267&amp;".energy[Tech description]")&amp;INDIRECT($B$3&amp;"."&amp;$B$267&amp;".energy[Energy description]"),0)),0)</f>
        <v>0</v>
      </c>
      <c r="AI279" s="171">
        <f t="array" aca="1" ref="AI279" ca="1">IFERROR(INDEX(INDIRECT($B$3&amp;"."&amp;$B$267&amp;".energy["&amp;This.year&amp;"]"),MATCH($C279&amp;AI$5,INDIRECT($B$3&amp;"."&amp;$B$267&amp;".energy[Tech description]")&amp;INDIRECT($B$3&amp;"."&amp;$B$267&amp;".energy[Energy description]"),0)),0)</f>
        <v>0</v>
      </c>
      <c r="AJ279" s="171">
        <f t="array" aca="1" ref="AJ279" ca="1">IFERROR(INDEX(INDIRECT($B$3&amp;"."&amp;$B$267&amp;".energy["&amp;This.year&amp;"]"),MATCH($C279&amp;AJ$5,INDIRECT($B$3&amp;"."&amp;$B$267&amp;".energy[Tech description]")&amp;INDIRECT($B$3&amp;"."&amp;$B$267&amp;".energy[Energy description]"),0)),0)</f>
        <v>0</v>
      </c>
      <c r="AK279" s="171">
        <f t="array" aca="1" ref="AK279" ca="1">IFERROR(INDEX(INDIRECT($B$3&amp;"."&amp;$B$267&amp;".energy["&amp;This.year&amp;"]"),MATCH($C279&amp;AK$5,INDIRECT($B$3&amp;"."&amp;$B$267&amp;".energy[Tech description]")&amp;INDIRECT($B$3&amp;"."&amp;$B$267&amp;".energy[Energy description]"),0)),0)</f>
        <v>0</v>
      </c>
      <c r="AL279" s="171">
        <f t="array" aca="1" ref="AL279" ca="1">IFERROR(INDEX(INDIRECT($B$3&amp;"."&amp;$B$267&amp;".energy["&amp;This.year&amp;"]"),MATCH($C279&amp;AL$5,INDIRECT($B$3&amp;"."&amp;$B$267&amp;".energy[Tech description]")&amp;INDIRECT($B$3&amp;"."&amp;$B$267&amp;".energy[Energy description]"),0)),0)</f>
        <v>0</v>
      </c>
      <c r="AM279" s="171">
        <f t="array" aca="1" ref="AM279" ca="1">IFERROR(INDEX(INDIRECT($B$3&amp;"."&amp;$B$267&amp;".energy["&amp;This.year&amp;"]"),MATCH($C279&amp;AM$5,INDIRECT($B$3&amp;"."&amp;$B$267&amp;".energy[Tech description]")&amp;INDIRECT($B$3&amp;"."&amp;$B$267&amp;".energy[Energy description]"),0)),0)</f>
        <v>0</v>
      </c>
      <c r="AN279" s="171">
        <f t="array" aca="1" ref="AN279" ca="1">IFERROR(INDEX(INDIRECT($B$3&amp;"."&amp;$B$267&amp;".energy["&amp;This.year&amp;"]"),MATCH($C279&amp;AN$5,INDIRECT($B$3&amp;"."&amp;$B$267&amp;".energy[Tech description]")&amp;INDIRECT($B$3&amp;"."&amp;$B$267&amp;".energy[Energy description]"),0)),0)</f>
        <v>0</v>
      </c>
      <c r="AO279" s="171">
        <f ca="1">SUM(V279:AN279)</f>
        <v>0</v>
      </c>
      <c r="AQ279" s="173">
        <f t="array" aca="1" ref="AQ279" ca="1">IFERROR(INDEX(INDIRECT($B$3&amp;"."&amp;$B$267&amp;".energy["&amp;This.year&amp;"]"),MATCH($C279&amp;AQ$5,INDIRECT($B$3&amp;"."&amp;$B$267&amp;".energy[Tech description]")&amp;INDIRECT($B$3&amp;"."&amp;$B$267&amp;".energy[Energy description]"),0)),0)</f>
        <v>0</v>
      </c>
      <c r="AR279" s="173">
        <f t="array" aca="1" ref="AR279" ca="1">IFERROR(INDEX(INDIRECT($B$3&amp;"."&amp;$B$267&amp;".energy["&amp;This.year&amp;"]"),MATCH($C279&amp;AR$5,INDIRECT($B$3&amp;"."&amp;$B$267&amp;".energy[Tech description]")&amp;INDIRECT($B$3&amp;"."&amp;$B$267&amp;".energy[Energy description]"),0)),0)</f>
        <v>0</v>
      </c>
      <c r="AS279" s="173">
        <f t="array" aca="1" ref="AS279" ca="1">IFERROR(INDEX(INDIRECT($B$3&amp;"."&amp;$B$267&amp;".energy["&amp;This.year&amp;"]"),MATCH($C279&amp;AS$5,INDIRECT($B$3&amp;"."&amp;$B$267&amp;".energy[Tech description]")&amp;INDIRECT($B$3&amp;"."&amp;$B$267&amp;".energy[Energy description]"),0)),0)</f>
        <v>0</v>
      </c>
      <c r="AT279" s="173">
        <f t="array" aca="1" ref="AT279" ca="1">IFERROR(INDEX(INDIRECT($B$3&amp;"."&amp;$B$267&amp;".energy["&amp;This.year&amp;"]"),MATCH($C279&amp;AT$5,INDIRECT($B$3&amp;"."&amp;$B$267&amp;".energy[Tech description]")&amp;INDIRECT($B$3&amp;"."&amp;$B$267&amp;".energy[Energy description]"),0)),0)</f>
        <v>0</v>
      </c>
      <c r="AU279" s="173">
        <f t="array" aca="1" ref="AU279" ca="1">IFERROR(INDEX(INDIRECT($B$3&amp;"."&amp;$B$267&amp;".energy["&amp;This.year&amp;"]"),MATCH($C279&amp;AU$5,INDIRECT($B$3&amp;"."&amp;$B$267&amp;".energy[Tech description]")&amp;INDIRECT($B$3&amp;"."&amp;$B$267&amp;".energy[Energy description]"),0)),0)</f>
        <v>0</v>
      </c>
      <c r="AV279" s="173">
        <f t="array" aca="1" ref="AV279" ca="1">IFERROR(INDEX(INDIRECT($B$3&amp;"."&amp;$B$267&amp;".energy["&amp;This.year&amp;"]"),MATCH($C279&amp;AV$5,INDIRECT($B$3&amp;"."&amp;$B$267&amp;".energy[Tech description]")&amp;INDIRECT($B$3&amp;"."&amp;$B$267&amp;".energy[Energy description]"),0)),0)</f>
        <v>0</v>
      </c>
      <c r="AW279" s="173">
        <f t="array" aca="1" ref="AW279" ca="1">IFERROR(INDEX(INDIRECT($B$3&amp;"."&amp;$B$267&amp;".energy["&amp;This.year&amp;"]"),MATCH($C279&amp;AW$5,INDIRECT($B$3&amp;"."&amp;$B$267&amp;".energy[Tech description]")&amp;INDIRECT($B$3&amp;"."&amp;$B$267&amp;".energy[Energy description]"),0)),0)</f>
        <v>0</v>
      </c>
      <c r="AX279" s="173">
        <f t="array" aca="1" ref="AX279" ca="1">IFERROR(INDEX(INDIRECT($B$3&amp;"."&amp;$B$267&amp;".energy["&amp;This.year&amp;"]"),MATCH($C279&amp;AX$5,INDIRECT($B$3&amp;"."&amp;$B$267&amp;".energy[Tech description]")&amp;INDIRECT($B$3&amp;"."&amp;$B$267&amp;".energy[Energy description]"),0)),0)</f>
        <v>0</v>
      </c>
      <c r="AY279" s="173">
        <f t="array" aca="1" ref="AY279" ca="1">IFERROR(INDEX(INDIRECT($B$3&amp;"."&amp;$B$267&amp;".energy["&amp;This.year&amp;"]"),MATCH($C279&amp;AY$5,INDIRECT($B$3&amp;"."&amp;$B$267&amp;".energy[Tech description]")&amp;INDIRECT($B$3&amp;"."&amp;$B$267&amp;".energy[Energy description]"),0)),0)</f>
        <v>0</v>
      </c>
      <c r="AZ279" s="173">
        <f t="array" aca="1" ref="AZ279" ca="1">IFERROR(INDEX(INDIRECT($B$3&amp;"."&amp;$B$267&amp;".energy["&amp;This.year&amp;"]"),MATCH($C279&amp;AZ$5,INDIRECT($B$3&amp;"."&amp;$B$267&amp;".energy[Tech description]")&amp;INDIRECT($B$3&amp;"."&amp;$B$267&amp;".energy[Energy description]"),0)),0)</f>
        <v>0</v>
      </c>
      <c r="BA279" s="173">
        <f t="array" aca="1" ref="BA279" ca="1">IFERROR(INDEX(INDIRECT($B$3&amp;"."&amp;$B$267&amp;".energy["&amp;This.year&amp;"]"),MATCH($C279&amp;BA$5,INDIRECT($B$3&amp;"."&amp;$B$267&amp;".energy[Tech description]")&amp;INDIRECT($B$3&amp;"."&amp;$B$267&amp;".energy[Energy description]"),0)),0)</f>
        <v>0</v>
      </c>
      <c r="BB279" s="173">
        <f t="array" aca="1" ref="BB279" ca="1">IFERROR(INDEX(INDIRECT($B$3&amp;"."&amp;$B$267&amp;".energy["&amp;This.year&amp;"]"),MATCH($C279&amp;BB$5,INDIRECT($B$3&amp;"."&amp;$B$267&amp;".energy[Tech description]")&amp;INDIRECT($B$3&amp;"."&amp;$B$267&amp;".energy[Energy description]"),0)),0)</f>
        <v>0</v>
      </c>
      <c r="BC279" s="173">
        <f t="array" aca="1" ref="BC279" ca="1">IFERROR(INDEX(INDIRECT($B$3&amp;"."&amp;$B$267&amp;".energy["&amp;This.year&amp;"]"),MATCH($C279&amp;BC$5,INDIRECT($B$3&amp;"."&amp;$B$267&amp;".energy[Tech description]")&amp;INDIRECT($B$3&amp;"."&amp;$B$267&amp;".energy[Energy description]"),0)),0)</f>
        <v>0</v>
      </c>
      <c r="BD279" s="173">
        <f t="shared" ref="BD279:BD285" ca="1" si="72">SUM(AQ279:BB279)</f>
        <v>0</v>
      </c>
      <c r="BF279" s="175">
        <f t="array" aca="1" ref="BF279" ca="1">IFERROR(INDEX(INDIRECT($B$3&amp;"."&amp;$B$267&amp;".energy["&amp;This.year&amp;"]"),MATCH($C279&amp;BF$5,INDIRECT($B$3&amp;"."&amp;$B$267&amp;".energy[Tech description]")&amp;INDIRECT($B$3&amp;"."&amp;$B$267&amp;".energy[Energy description]"),0)),0)</f>
        <v>0</v>
      </c>
      <c r="BG279" s="175">
        <f t="array" aca="1" ref="BG279" ca="1">IFERROR(INDEX(INDIRECT($B$3&amp;"."&amp;$B$267&amp;".energy["&amp;This.year&amp;"]"),MATCH($C279&amp;BG$5,INDIRECT($B$3&amp;"."&amp;$B$267&amp;".energy[Tech description]")&amp;INDIRECT($B$3&amp;"."&amp;$B$267&amp;".energy[Energy description]"),0)),0)</f>
        <v>0</v>
      </c>
      <c r="BH279" s="175">
        <f t="shared" ref="BH279:BH285" ca="1" si="73">SUM(BF279:BG279)</f>
        <v>0</v>
      </c>
      <c r="BI279" s="219">
        <f t="shared" ref="BI279:BI285" ca="1" si="74">SUM(T279,AO279,BD279,BH279)</f>
        <v>0</v>
      </c>
      <c r="BJ279" s="58"/>
    </row>
    <row r="280" spans="1:62">
      <c r="B280" s="176" t="s">
        <v>1164</v>
      </c>
      <c r="C280" s="114" t="str">
        <f>INDEX(Regional.Technologies[Description],MATCH($B$3&amp;"."&amp;B280,Regional.Technologies[Code],0))</f>
        <v>Global Carbon capture solid-fuel supercritical power plant</v>
      </c>
      <c r="E280" s="121">
        <f t="array" aca="1" ref="E280" ca="1">IFERROR(INDEX(INDIRECT($B$3&amp;"."&amp;$B$267&amp;".energy["&amp;This.year&amp;"]"),MATCH($C280&amp;E$5,INDIRECT($B$3&amp;"."&amp;$B$267&amp;".energy[Tech description]")&amp;INDIRECT($B$3&amp;"."&amp;$B$267&amp;".energy[Energy description]"),0)),0)</f>
        <v>0</v>
      </c>
      <c r="F280" s="121">
        <f t="array" aca="1" ref="F280" ca="1">IFERROR(INDEX(INDIRECT($B$3&amp;"."&amp;$B$267&amp;".energy["&amp;This.year&amp;"]"),MATCH($C280&amp;F$5,INDIRECT($B$3&amp;"."&amp;$B$267&amp;".energy[Tech description]")&amp;INDIRECT($B$3&amp;"."&amp;$B$267&amp;".energy[Energy description]"),0)),0)</f>
        <v>0</v>
      </c>
      <c r="G280" s="121">
        <f t="array" aca="1" ref="G280" ca="1">IFERROR(INDEX(INDIRECT($B$3&amp;"."&amp;$B$267&amp;".energy["&amp;This.year&amp;"]"),MATCH($C280&amp;G$5,INDIRECT($B$3&amp;"."&amp;$B$267&amp;".energy[Tech description]")&amp;INDIRECT($B$3&amp;"."&amp;$B$267&amp;".energy[Energy description]"),0)),0)</f>
        <v>0</v>
      </c>
      <c r="H280" s="121">
        <f t="array" aca="1" ref="H280" ca="1">IFERROR(INDEX(INDIRECT($B$3&amp;"."&amp;$B$267&amp;".energy["&amp;This.year&amp;"]"),MATCH($C280&amp;H$5,INDIRECT($B$3&amp;"."&amp;$B$267&amp;".energy[Tech description]")&amp;INDIRECT($B$3&amp;"."&amp;$B$267&amp;".energy[Energy description]"),0)),0)</f>
        <v>0</v>
      </c>
      <c r="I280" s="121">
        <f t="array" aca="1" ref="I280" ca="1">IFERROR(INDEX(INDIRECT($B$3&amp;"."&amp;$B$267&amp;".energy["&amp;This.year&amp;"]"),MATCH($C280&amp;I$5,INDIRECT($B$3&amp;"."&amp;$B$267&amp;".energy[Tech description]")&amp;INDIRECT($B$3&amp;"."&amp;$B$267&amp;".energy[Energy description]"),0)),0)</f>
        <v>0</v>
      </c>
      <c r="J280" s="121">
        <f t="array" aca="1" ref="J280" ca="1">IFERROR(INDEX(INDIRECT($B$3&amp;"."&amp;$B$267&amp;".energy["&amp;This.year&amp;"]"),MATCH($C280&amp;J$5,INDIRECT($B$3&amp;"."&amp;$B$267&amp;".energy[Tech description]")&amp;INDIRECT($B$3&amp;"."&amp;$B$267&amp;".energy[Energy description]"),0)),0)</f>
        <v>0</v>
      </c>
      <c r="K280" s="121">
        <f t="array" aca="1" ref="K280" ca="1">IFERROR(INDEX(INDIRECT($B$3&amp;"."&amp;$B$267&amp;".energy["&amp;This.year&amp;"]"),MATCH($C280&amp;K$5,INDIRECT($B$3&amp;"."&amp;$B$267&amp;".energy[Tech description]")&amp;INDIRECT($B$3&amp;"."&amp;$B$267&amp;".energy[Energy description]"),0)),0)</f>
        <v>0</v>
      </c>
      <c r="L280" s="121">
        <f t="array" aca="1" ref="L280" ca="1">IFERROR(INDEX(INDIRECT($B$3&amp;"."&amp;$B$267&amp;".energy["&amp;This.year&amp;"]"),MATCH($C280&amp;L$5,INDIRECT($B$3&amp;"."&amp;$B$267&amp;".energy[Tech description]")&amp;INDIRECT($B$3&amp;"."&amp;$B$267&amp;".energy[Energy description]"),0)),0)</f>
        <v>0</v>
      </c>
      <c r="M280" s="121">
        <f t="array" aca="1" ref="M280" ca="1">IFERROR(INDEX(INDIRECT($B$3&amp;"."&amp;$B$267&amp;".energy["&amp;This.year&amp;"]"),MATCH($C280&amp;M$5,INDIRECT($B$3&amp;"."&amp;$B$267&amp;".energy[Tech description]")&amp;INDIRECT($B$3&amp;"."&amp;$B$267&amp;".energy[Energy description]"),0)),0)</f>
        <v>0</v>
      </c>
      <c r="N280" s="121">
        <f t="array" aca="1" ref="N280" ca="1">IFERROR(INDEX(INDIRECT($B$3&amp;"."&amp;$B$267&amp;".energy["&amp;This.year&amp;"]"),MATCH($C280&amp;N$5,INDIRECT($B$3&amp;"."&amp;$B$267&amp;".energy[Tech description]")&amp;INDIRECT($B$3&amp;"."&amp;$B$267&amp;".energy[Energy description]"),0)),0)</f>
        <v>0</v>
      </c>
      <c r="O280" s="121">
        <f t="array" aca="1" ref="O280" ca="1">IFERROR(INDEX(INDIRECT($B$3&amp;"."&amp;$B$267&amp;".energy["&amp;This.year&amp;"]"),MATCH($C280&amp;O$5,INDIRECT($B$3&amp;"."&amp;$B$267&amp;".energy[Tech description]")&amp;INDIRECT($B$3&amp;"."&amp;$B$267&amp;".energy[Energy description]"),0)),0)</f>
        <v>0</v>
      </c>
      <c r="P280" s="121">
        <f t="array" aca="1" ref="P280" ca="1">IFERROR(INDEX(INDIRECT($B$3&amp;"."&amp;$B$267&amp;".energy["&amp;This.year&amp;"]"),MATCH($C280&amp;P$5,INDIRECT($B$3&amp;"."&amp;$B$267&amp;".energy[Tech description]")&amp;INDIRECT($B$3&amp;"."&amp;$B$267&amp;".energy[Energy description]"),0)),0)</f>
        <v>0</v>
      </c>
      <c r="Q280" s="121">
        <f t="array" aca="1" ref="Q280" ca="1">IFERROR(INDEX(INDIRECT($B$3&amp;"."&amp;$B$267&amp;".energy["&amp;This.year&amp;"]"),MATCH($C280&amp;Q$5,INDIRECT($B$3&amp;"."&amp;$B$267&amp;".energy[Tech description]")&amp;INDIRECT($B$3&amp;"."&amp;$B$267&amp;".energy[Energy description]"),0)),0)</f>
        <v>0</v>
      </c>
      <c r="R280" s="121">
        <f t="array" aca="1" ref="R280" ca="1">IFERROR(INDEX(INDIRECT($B$3&amp;"."&amp;$B$267&amp;".energy["&amp;This.year&amp;"]"),MATCH($C280&amp;R$5,INDIRECT($B$3&amp;"."&amp;$B$267&amp;".energy[Tech description]")&amp;INDIRECT($B$3&amp;"."&amp;$B$267&amp;".energy[Energy description]"),0)),0)</f>
        <v>0</v>
      </c>
      <c r="S280" s="121">
        <f t="array" aca="1" ref="S280" ca="1">IFERROR(INDEX(INDIRECT($B$3&amp;"."&amp;$B$267&amp;".energy["&amp;This.year&amp;"]"),MATCH($C280&amp;S$5,INDIRECT($B$3&amp;"."&amp;$B$267&amp;".energy[Tech description]")&amp;INDIRECT($B$3&amp;"."&amp;$B$267&amp;".energy[Energy description]"),0)),0)</f>
        <v>0</v>
      </c>
      <c r="T280" s="121">
        <f t="shared" ca="1" si="71"/>
        <v>0</v>
      </c>
      <c r="V280" s="171">
        <f t="array" aca="1" ref="V280" ca="1">IFERROR(INDEX(INDIRECT($B$3&amp;"."&amp;$B$267&amp;".energy["&amp;This.year&amp;"]"),MATCH($C280&amp;V$5,INDIRECT($B$3&amp;"."&amp;$B$267&amp;".energy[Tech description]")&amp;INDIRECT($B$3&amp;"."&amp;$B$267&amp;".energy[Energy description]"),0)),0)</f>
        <v>0</v>
      </c>
      <c r="W280" s="171">
        <f t="array" aca="1" ref="W280" ca="1">IFERROR(INDEX(INDIRECT($B$3&amp;"."&amp;$B$267&amp;".energy["&amp;This.year&amp;"]"),MATCH($C280&amp;W$5,INDIRECT($B$3&amp;"."&amp;$B$267&amp;".energy[Tech description]")&amp;INDIRECT($B$3&amp;"."&amp;$B$267&amp;".energy[Energy description]"),0)),0)</f>
        <v>0</v>
      </c>
      <c r="X280" s="171">
        <f t="array" aca="1" ref="X280" ca="1">IFERROR(INDEX(INDIRECT($B$3&amp;"."&amp;$B$267&amp;".energy["&amp;This.year&amp;"]"),MATCH($C280&amp;X$5,INDIRECT($B$3&amp;"."&amp;$B$267&amp;".energy[Tech description]")&amp;INDIRECT($B$3&amp;"."&amp;$B$267&amp;".energy[Energy description]"),0)),0)</f>
        <v>0</v>
      </c>
      <c r="Y280" s="171">
        <f t="array" aca="1" ref="Y280" ca="1">IFERROR(INDEX(INDIRECT($B$3&amp;"."&amp;$B$267&amp;".energy["&amp;This.year&amp;"]"),MATCH($C280&amp;Y$5,INDIRECT($B$3&amp;"."&amp;$B$267&amp;".energy[Tech description]")&amp;INDIRECT($B$3&amp;"."&amp;$B$267&amp;".energy[Energy description]"),0)),0)</f>
        <v>0</v>
      </c>
      <c r="Z280" s="171">
        <f t="array" aca="1" ref="Z280" ca="1">IFERROR(INDEX(INDIRECT($B$3&amp;"."&amp;$B$267&amp;".energy["&amp;This.year&amp;"]"),MATCH($C280&amp;Z$5,INDIRECT($B$3&amp;"."&amp;$B$267&amp;".energy[Tech description]")&amp;INDIRECT($B$3&amp;"."&amp;$B$267&amp;".energy[Energy description]"),0)),0)</f>
        <v>0</v>
      </c>
      <c r="AA280" s="171">
        <f t="array" aca="1" ref="AA280" ca="1">IFERROR(INDEX(INDIRECT($B$3&amp;"."&amp;$B$267&amp;".energy["&amp;This.year&amp;"]"),MATCH($C280&amp;AA$5,INDIRECT($B$3&amp;"."&amp;$B$267&amp;".energy[Tech description]")&amp;INDIRECT($B$3&amp;"."&amp;$B$267&amp;".energy[Energy description]"),0)),0)</f>
        <v>0</v>
      </c>
      <c r="AB280" s="171">
        <f t="array" aca="1" ref="AB280" ca="1">IFERROR(INDEX(INDIRECT($B$3&amp;"."&amp;$B$267&amp;".energy["&amp;This.year&amp;"]"),MATCH($C280&amp;AB$5,INDIRECT($B$3&amp;"."&amp;$B$267&amp;".energy[Tech description]")&amp;INDIRECT($B$3&amp;"."&amp;$B$267&amp;".energy[Energy description]"),0)),0)</f>
        <v>0</v>
      </c>
      <c r="AC280" s="171">
        <f t="array" aca="1" ref="AC280" ca="1">IFERROR(INDEX(INDIRECT($B$3&amp;"."&amp;$B$267&amp;".energy["&amp;This.year&amp;"]"),MATCH($C280&amp;AC$5,INDIRECT($B$3&amp;"."&amp;$B$267&amp;".energy[Tech description]")&amp;INDIRECT($B$3&amp;"."&amp;$B$267&amp;".energy[Energy description]"),0)),0)</f>
        <v>0</v>
      </c>
      <c r="AD280" s="171">
        <f t="array" aca="1" ref="AD280" ca="1">IFERROR(INDEX(INDIRECT($B$3&amp;"."&amp;$B$267&amp;".energy["&amp;This.year&amp;"]"),MATCH($C280&amp;AD$5,INDIRECT($B$3&amp;"."&amp;$B$267&amp;".energy[Tech description]")&amp;INDIRECT($B$3&amp;"."&amp;$B$267&amp;".energy[Energy description]"),0)),0)</f>
        <v>0</v>
      </c>
      <c r="AE280" s="171">
        <f t="array" aca="1" ref="AE280" ca="1">IFERROR(INDEX(INDIRECT($B$3&amp;"."&amp;$B$267&amp;".energy["&amp;This.year&amp;"]"),MATCH($C280&amp;AE$5,INDIRECT($B$3&amp;"."&amp;$B$267&amp;".energy[Tech description]")&amp;INDIRECT($B$3&amp;"."&amp;$B$267&amp;".energy[Energy description]"),0)),0)</f>
        <v>0</v>
      </c>
      <c r="AF280" s="171">
        <f t="array" aca="1" ref="AF280" ca="1">IFERROR(INDEX(INDIRECT($B$3&amp;"."&amp;$B$267&amp;".energy["&amp;This.year&amp;"]"),MATCH($C280&amp;AF$5,INDIRECT($B$3&amp;"."&amp;$B$267&amp;".energy[Tech description]")&amp;INDIRECT($B$3&amp;"."&amp;$B$267&amp;".energy[Energy description]"),0)),0)</f>
        <v>0</v>
      </c>
      <c r="AG280" s="171">
        <f t="array" aca="1" ref="AG280" ca="1">IFERROR(INDEX(INDIRECT($B$3&amp;"."&amp;$B$267&amp;".energy["&amp;This.year&amp;"]"),MATCH($C280&amp;AG$5,INDIRECT($B$3&amp;"."&amp;$B$267&amp;".energy[Tech description]")&amp;INDIRECT($B$3&amp;"."&amp;$B$267&amp;".energy[Energy description]"),0)),0)</f>
        <v>0</v>
      </c>
      <c r="AH280" s="171">
        <f t="array" aca="1" ref="AH280" ca="1">IFERROR(INDEX(INDIRECT($B$3&amp;"."&amp;$B$267&amp;".energy["&amp;This.year&amp;"]"),MATCH($C280&amp;AH$5,INDIRECT($B$3&amp;"."&amp;$B$267&amp;".energy[Tech description]")&amp;INDIRECT($B$3&amp;"."&amp;$B$267&amp;".energy[Energy description]"),0)),0)</f>
        <v>0</v>
      </c>
      <c r="AI280" s="171">
        <f t="array" aca="1" ref="AI280" ca="1">IFERROR(INDEX(INDIRECT($B$3&amp;"."&amp;$B$267&amp;".energy["&amp;This.year&amp;"]"),MATCH($C280&amp;AI$5,INDIRECT($B$3&amp;"."&amp;$B$267&amp;".energy[Tech description]")&amp;INDIRECT($B$3&amp;"."&amp;$B$267&amp;".energy[Energy description]"),0)),0)</f>
        <v>0</v>
      </c>
      <c r="AJ280" s="171">
        <f t="array" aca="1" ref="AJ280" ca="1">IFERROR(INDEX(INDIRECT($B$3&amp;"."&amp;$B$267&amp;".energy["&amp;This.year&amp;"]"),MATCH($C280&amp;AJ$5,INDIRECT($B$3&amp;"."&amp;$B$267&amp;".energy[Tech description]")&amp;INDIRECT($B$3&amp;"."&amp;$B$267&amp;".energy[Energy description]"),0)),0)</f>
        <v>0</v>
      </c>
      <c r="AK280" s="171">
        <f t="array" aca="1" ref="AK280" ca="1">IFERROR(INDEX(INDIRECT($B$3&amp;"."&amp;$B$267&amp;".energy["&amp;This.year&amp;"]"),MATCH($C280&amp;AK$5,INDIRECT($B$3&amp;"."&amp;$B$267&amp;".energy[Tech description]")&amp;INDIRECT($B$3&amp;"."&amp;$B$267&amp;".energy[Energy description]"),0)),0)</f>
        <v>0</v>
      </c>
      <c r="AL280" s="171">
        <f t="array" aca="1" ref="AL280" ca="1">IFERROR(INDEX(INDIRECT($B$3&amp;"."&amp;$B$267&amp;".energy["&amp;This.year&amp;"]"),MATCH($C280&amp;AL$5,INDIRECT($B$3&amp;"."&amp;$B$267&amp;".energy[Tech description]")&amp;INDIRECT($B$3&amp;"."&amp;$B$267&amp;".energy[Energy description]"),0)),0)</f>
        <v>0</v>
      </c>
      <c r="AM280" s="171">
        <f t="array" aca="1" ref="AM280" ca="1">IFERROR(INDEX(INDIRECT($B$3&amp;"."&amp;$B$267&amp;".energy["&amp;This.year&amp;"]"),MATCH($C280&amp;AM$5,INDIRECT($B$3&amp;"."&amp;$B$267&amp;".energy[Tech description]")&amp;INDIRECT($B$3&amp;"."&amp;$B$267&amp;".energy[Energy description]"),0)),0)</f>
        <v>0</v>
      </c>
      <c r="AN280" s="171">
        <f t="array" aca="1" ref="AN280" ca="1">IFERROR(INDEX(INDIRECT($B$3&amp;"."&amp;$B$267&amp;".energy["&amp;This.year&amp;"]"),MATCH($C280&amp;AN$5,INDIRECT($B$3&amp;"."&amp;$B$267&amp;".energy[Tech description]")&amp;INDIRECT($B$3&amp;"."&amp;$B$267&amp;".energy[Energy description]"),0)),0)</f>
        <v>0</v>
      </c>
      <c r="AO280" s="171">
        <f t="shared" ref="AO280:AO285" ca="1" si="75">SUM(V280:AN280)</f>
        <v>0</v>
      </c>
      <c r="AQ280" s="173">
        <f t="array" aca="1" ref="AQ280" ca="1">IFERROR(INDEX(INDIRECT($B$3&amp;"."&amp;$B$267&amp;".energy["&amp;This.year&amp;"]"),MATCH($C280&amp;AQ$5,INDIRECT($B$3&amp;"."&amp;$B$267&amp;".energy[Tech description]")&amp;INDIRECT($B$3&amp;"."&amp;$B$267&amp;".energy[Energy description]"),0)),0)</f>
        <v>0</v>
      </c>
      <c r="AR280" s="173">
        <f t="array" aca="1" ref="AR280" ca="1">IFERROR(INDEX(INDIRECT($B$3&amp;"."&amp;$B$267&amp;".energy["&amp;This.year&amp;"]"),MATCH($C280&amp;AR$5,INDIRECT($B$3&amp;"."&amp;$B$267&amp;".energy[Tech description]")&amp;INDIRECT($B$3&amp;"."&amp;$B$267&amp;".energy[Energy description]"),0)),0)</f>
        <v>0</v>
      </c>
      <c r="AS280" s="173">
        <f t="array" aca="1" ref="AS280" ca="1">IFERROR(INDEX(INDIRECT($B$3&amp;"."&amp;$B$267&amp;".energy["&amp;This.year&amp;"]"),MATCH($C280&amp;AS$5,INDIRECT($B$3&amp;"."&amp;$B$267&amp;".energy[Tech description]")&amp;INDIRECT($B$3&amp;"."&amp;$B$267&amp;".energy[Energy description]"),0)),0)</f>
        <v>0</v>
      </c>
      <c r="AT280" s="173">
        <f t="array" aca="1" ref="AT280" ca="1">IFERROR(INDEX(INDIRECT($B$3&amp;"."&amp;$B$267&amp;".energy["&amp;This.year&amp;"]"),MATCH($C280&amp;AT$5,INDIRECT($B$3&amp;"."&amp;$B$267&amp;".energy[Tech description]")&amp;INDIRECT($B$3&amp;"."&amp;$B$267&amp;".energy[Energy description]"),0)),0)</f>
        <v>0</v>
      </c>
      <c r="AU280" s="173">
        <f t="array" aca="1" ref="AU280" ca="1">IFERROR(INDEX(INDIRECT($B$3&amp;"."&amp;$B$267&amp;".energy["&amp;This.year&amp;"]"),MATCH($C280&amp;AU$5,INDIRECT($B$3&amp;"."&amp;$B$267&amp;".energy[Tech description]")&amp;INDIRECT($B$3&amp;"."&amp;$B$267&amp;".energy[Energy description]"),0)),0)</f>
        <v>0</v>
      </c>
      <c r="AV280" s="173">
        <f t="array" aca="1" ref="AV280" ca="1">IFERROR(INDEX(INDIRECT($B$3&amp;"."&amp;$B$267&amp;".energy["&amp;This.year&amp;"]"),MATCH($C280&amp;AV$5,INDIRECT($B$3&amp;"."&amp;$B$267&amp;".energy[Tech description]")&amp;INDIRECT($B$3&amp;"."&amp;$B$267&amp;".energy[Energy description]"),0)),0)</f>
        <v>0</v>
      </c>
      <c r="AW280" s="173">
        <f t="array" aca="1" ref="AW280" ca="1">IFERROR(INDEX(INDIRECT($B$3&amp;"."&amp;$B$267&amp;".energy["&amp;This.year&amp;"]"),MATCH($C280&amp;AW$5,INDIRECT($B$3&amp;"."&amp;$B$267&amp;".energy[Tech description]")&amp;INDIRECT($B$3&amp;"."&amp;$B$267&amp;".energy[Energy description]"),0)),0)</f>
        <v>0</v>
      </c>
      <c r="AX280" s="173">
        <f t="array" aca="1" ref="AX280" ca="1">IFERROR(INDEX(INDIRECT($B$3&amp;"."&amp;$B$267&amp;".energy["&amp;This.year&amp;"]"),MATCH($C280&amp;AX$5,INDIRECT($B$3&amp;"."&amp;$B$267&amp;".energy[Tech description]")&amp;INDIRECT($B$3&amp;"."&amp;$B$267&amp;".energy[Energy description]"),0)),0)</f>
        <v>0</v>
      </c>
      <c r="AY280" s="173">
        <f t="array" aca="1" ref="AY280" ca="1">IFERROR(INDEX(INDIRECT($B$3&amp;"."&amp;$B$267&amp;".energy["&amp;This.year&amp;"]"),MATCH($C280&amp;AY$5,INDIRECT($B$3&amp;"."&amp;$B$267&amp;".energy[Tech description]")&amp;INDIRECT($B$3&amp;"."&amp;$B$267&amp;".energy[Energy description]"),0)),0)</f>
        <v>0</v>
      </c>
      <c r="AZ280" s="173">
        <f t="array" aca="1" ref="AZ280" ca="1">IFERROR(INDEX(INDIRECT($B$3&amp;"."&amp;$B$267&amp;".energy["&amp;This.year&amp;"]"),MATCH($C280&amp;AZ$5,INDIRECT($B$3&amp;"."&amp;$B$267&amp;".energy[Tech description]")&amp;INDIRECT($B$3&amp;"."&amp;$B$267&amp;".energy[Energy description]"),0)),0)</f>
        <v>0</v>
      </c>
      <c r="BA280" s="173">
        <f t="array" aca="1" ref="BA280" ca="1">IFERROR(INDEX(INDIRECT($B$3&amp;"."&amp;$B$267&amp;".energy["&amp;This.year&amp;"]"),MATCH($C280&amp;BA$5,INDIRECT($B$3&amp;"."&amp;$B$267&amp;".energy[Tech description]")&amp;INDIRECT($B$3&amp;"."&amp;$B$267&amp;".energy[Energy description]"),0)),0)</f>
        <v>0</v>
      </c>
      <c r="BB280" s="173">
        <f t="array" aca="1" ref="BB280" ca="1">IFERROR(INDEX(INDIRECT($B$3&amp;"."&amp;$B$267&amp;".energy["&amp;This.year&amp;"]"),MATCH($C280&amp;BB$5,INDIRECT($B$3&amp;"."&amp;$B$267&amp;".energy[Tech description]")&amp;INDIRECT($B$3&amp;"."&amp;$B$267&amp;".energy[Energy description]"),0)),0)</f>
        <v>0</v>
      </c>
      <c r="BC280" s="173">
        <f t="array" aca="1" ref="BC280" ca="1">IFERROR(INDEX(INDIRECT($B$3&amp;"."&amp;$B$267&amp;".energy["&amp;This.year&amp;"]"),MATCH($C280&amp;BC$5,INDIRECT($B$3&amp;"."&amp;$B$267&amp;".energy[Tech description]")&amp;INDIRECT($B$3&amp;"."&amp;$B$267&amp;".energy[Energy description]"),0)),0)</f>
        <v>0</v>
      </c>
      <c r="BD280" s="173">
        <f t="shared" ca="1" si="72"/>
        <v>0</v>
      </c>
      <c r="BF280" s="175">
        <f t="array" aca="1" ref="BF280" ca="1">IFERROR(INDEX(INDIRECT($B$3&amp;"."&amp;$B$267&amp;".energy["&amp;This.year&amp;"]"),MATCH($C280&amp;BF$5,INDIRECT($B$3&amp;"."&amp;$B$267&amp;".energy[Tech description]")&amp;INDIRECT($B$3&amp;"."&amp;$B$267&amp;".energy[Energy description]"),0)),0)</f>
        <v>0</v>
      </c>
      <c r="BG280" s="175">
        <f t="array" aca="1" ref="BG280" ca="1">IFERROR(INDEX(INDIRECT($B$3&amp;"."&amp;$B$267&amp;".energy["&amp;This.year&amp;"]"),MATCH($C280&amp;BG$5,INDIRECT($B$3&amp;"."&amp;$B$267&amp;".energy[Tech description]")&amp;INDIRECT($B$3&amp;"."&amp;$B$267&amp;".energy[Energy description]"),0)),0)</f>
        <v>0</v>
      </c>
      <c r="BH280" s="175">
        <f t="shared" ca="1" si="73"/>
        <v>0</v>
      </c>
      <c r="BI280" s="219">
        <f t="shared" ca="1" si="74"/>
        <v>0</v>
      </c>
      <c r="BJ280" s="58"/>
    </row>
    <row r="281" spans="1:62">
      <c r="B281" s="176" t="s">
        <v>1165</v>
      </c>
      <c r="C281" s="114" t="str">
        <f>INDEX(Regional.Technologies[Description],MATCH($B$3&amp;"."&amp;B281,Regional.Technologies[Code],0))</f>
        <v>Global Carbon capture solid-fuel subcritical power plant</v>
      </c>
      <c r="E281" s="121">
        <f t="array" aca="1" ref="E281" ca="1">IFERROR(INDEX(INDIRECT($B$3&amp;"."&amp;$B$267&amp;".energy["&amp;This.year&amp;"]"),MATCH($C281&amp;E$5,INDIRECT($B$3&amp;"."&amp;$B$267&amp;".energy[Tech description]")&amp;INDIRECT($B$3&amp;"."&amp;$B$267&amp;".energy[Energy description]"),0)),0)</f>
        <v>0</v>
      </c>
      <c r="F281" s="121">
        <f t="array" aca="1" ref="F281" ca="1">IFERROR(INDEX(INDIRECT($B$3&amp;"."&amp;$B$267&amp;".energy["&amp;This.year&amp;"]"),MATCH($C281&amp;F$5,INDIRECT($B$3&amp;"."&amp;$B$267&amp;".energy[Tech description]")&amp;INDIRECT($B$3&amp;"."&amp;$B$267&amp;".energy[Energy description]"),0)),0)</f>
        <v>0</v>
      </c>
      <c r="G281" s="121">
        <f t="array" aca="1" ref="G281" ca="1">IFERROR(INDEX(INDIRECT($B$3&amp;"."&amp;$B$267&amp;".energy["&amp;This.year&amp;"]"),MATCH($C281&amp;G$5,INDIRECT($B$3&amp;"."&amp;$B$267&amp;".energy[Tech description]")&amp;INDIRECT($B$3&amp;"."&amp;$B$267&amp;".energy[Energy description]"),0)),0)</f>
        <v>0</v>
      </c>
      <c r="H281" s="121">
        <f t="array" aca="1" ref="H281" ca="1">IFERROR(INDEX(INDIRECT($B$3&amp;"."&amp;$B$267&amp;".energy["&amp;This.year&amp;"]"),MATCH($C281&amp;H$5,INDIRECT($B$3&amp;"."&amp;$B$267&amp;".energy[Tech description]")&amp;INDIRECT($B$3&amp;"."&amp;$B$267&amp;".energy[Energy description]"),0)),0)</f>
        <v>0</v>
      </c>
      <c r="I281" s="121">
        <f t="array" aca="1" ref="I281" ca="1">IFERROR(INDEX(INDIRECT($B$3&amp;"."&amp;$B$267&amp;".energy["&amp;This.year&amp;"]"),MATCH($C281&amp;I$5,INDIRECT($B$3&amp;"."&amp;$B$267&amp;".energy[Tech description]")&amp;INDIRECT($B$3&amp;"."&amp;$B$267&amp;".energy[Energy description]"),0)),0)</f>
        <v>0</v>
      </c>
      <c r="J281" s="121">
        <f t="array" aca="1" ref="J281" ca="1">IFERROR(INDEX(INDIRECT($B$3&amp;"."&amp;$B$267&amp;".energy["&amp;This.year&amp;"]"),MATCH($C281&amp;J$5,INDIRECT($B$3&amp;"."&amp;$B$267&amp;".energy[Tech description]")&amp;INDIRECT($B$3&amp;"."&amp;$B$267&amp;".energy[Energy description]"),0)),0)</f>
        <v>0</v>
      </c>
      <c r="K281" s="121">
        <f t="array" aca="1" ref="K281" ca="1">IFERROR(INDEX(INDIRECT($B$3&amp;"."&amp;$B$267&amp;".energy["&amp;This.year&amp;"]"),MATCH($C281&amp;K$5,INDIRECT($B$3&amp;"."&amp;$B$267&amp;".energy[Tech description]")&amp;INDIRECT($B$3&amp;"."&amp;$B$267&amp;".energy[Energy description]"),0)),0)</f>
        <v>0</v>
      </c>
      <c r="L281" s="121">
        <f t="array" aca="1" ref="L281" ca="1">IFERROR(INDEX(INDIRECT($B$3&amp;"."&amp;$B$267&amp;".energy["&amp;This.year&amp;"]"),MATCH($C281&amp;L$5,INDIRECT($B$3&amp;"."&amp;$B$267&amp;".energy[Tech description]")&amp;INDIRECT($B$3&amp;"."&amp;$B$267&amp;".energy[Energy description]"),0)),0)</f>
        <v>0</v>
      </c>
      <c r="M281" s="121">
        <f t="array" aca="1" ref="M281" ca="1">IFERROR(INDEX(INDIRECT($B$3&amp;"."&amp;$B$267&amp;".energy["&amp;This.year&amp;"]"),MATCH($C281&amp;M$5,INDIRECT($B$3&amp;"."&amp;$B$267&amp;".energy[Tech description]")&amp;INDIRECT($B$3&amp;"."&amp;$B$267&amp;".energy[Energy description]"),0)),0)</f>
        <v>0</v>
      </c>
      <c r="N281" s="121">
        <f t="array" aca="1" ref="N281" ca="1">IFERROR(INDEX(INDIRECT($B$3&amp;"."&amp;$B$267&amp;".energy["&amp;This.year&amp;"]"),MATCH($C281&amp;N$5,INDIRECT($B$3&amp;"."&amp;$B$267&amp;".energy[Tech description]")&amp;INDIRECT($B$3&amp;"."&amp;$B$267&amp;".energy[Energy description]"),0)),0)</f>
        <v>0</v>
      </c>
      <c r="O281" s="121">
        <f t="array" aca="1" ref="O281" ca="1">IFERROR(INDEX(INDIRECT($B$3&amp;"."&amp;$B$267&amp;".energy["&amp;This.year&amp;"]"),MATCH($C281&amp;O$5,INDIRECT($B$3&amp;"."&amp;$B$267&amp;".energy[Tech description]")&amp;INDIRECT($B$3&amp;"."&amp;$B$267&amp;".energy[Energy description]"),0)),0)</f>
        <v>0</v>
      </c>
      <c r="P281" s="121">
        <f t="array" aca="1" ref="P281" ca="1">IFERROR(INDEX(INDIRECT($B$3&amp;"."&amp;$B$267&amp;".energy["&amp;This.year&amp;"]"),MATCH($C281&amp;P$5,INDIRECT($B$3&amp;"."&amp;$B$267&amp;".energy[Tech description]")&amp;INDIRECT($B$3&amp;"."&amp;$B$267&amp;".energy[Energy description]"),0)),0)</f>
        <v>0</v>
      </c>
      <c r="Q281" s="121">
        <f t="array" aca="1" ref="Q281" ca="1">IFERROR(INDEX(INDIRECT($B$3&amp;"."&amp;$B$267&amp;".energy["&amp;This.year&amp;"]"),MATCH($C281&amp;Q$5,INDIRECT($B$3&amp;"."&amp;$B$267&amp;".energy[Tech description]")&amp;INDIRECT($B$3&amp;"."&amp;$B$267&amp;".energy[Energy description]"),0)),0)</f>
        <v>0</v>
      </c>
      <c r="R281" s="121">
        <f t="array" aca="1" ref="R281" ca="1">IFERROR(INDEX(INDIRECT($B$3&amp;"."&amp;$B$267&amp;".energy["&amp;This.year&amp;"]"),MATCH($C281&amp;R$5,INDIRECT($B$3&amp;"."&amp;$B$267&amp;".energy[Tech description]")&amp;INDIRECT($B$3&amp;"."&amp;$B$267&amp;".energy[Energy description]"),0)),0)</f>
        <v>0</v>
      </c>
      <c r="S281" s="121">
        <f t="array" aca="1" ref="S281" ca="1">IFERROR(INDEX(INDIRECT($B$3&amp;"."&amp;$B$267&amp;".energy["&amp;This.year&amp;"]"),MATCH($C281&amp;S$5,INDIRECT($B$3&amp;"."&amp;$B$267&amp;".energy[Tech description]")&amp;INDIRECT($B$3&amp;"."&amp;$B$267&amp;".energy[Energy description]"),0)),0)</f>
        <v>0</v>
      </c>
      <c r="T281" s="121">
        <f t="shared" ca="1" si="71"/>
        <v>0</v>
      </c>
      <c r="V281" s="171">
        <f t="array" aca="1" ref="V281" ca="1">IFERROR(INDEX(INDIRECT($B$3&amp;"."&amp;$B$267&amp;".energy["&amp;This.year&amp;"]"),MATCH($C281&amp;V$5,INDIRECT($B$3&amp;"."&amp;$B$267&amp;".energy[Tech description]")&amp;INDIRECT($B$3&amp;"."&amp;$B$267&amp;".energy[Energy description]"),0)),0)</f>
        <v>0</v>
      </c>
      <c r="W281" s="171">
        <f t="array" aca="1" ref="W281" ca="1">IFERROR(INDEX(INDIRECT($B$3&amp;"."&amp;$B$267&amp;".energy["&amp;This.year&amp;"]"),MATCH($C281&amp;W$5,INDIRECT($B$3&amp;"."&amp;$B$267&amp;".energy[Tech description]")&amp;INDIRECT($B$3&amp;"."&amp;$B$267&amp;".energy[Energy description]"),0)),0)</f>
        <v>0</v>
      </c>
      <c r="X281" s="171">
        <f t="array" aca="1" ref="X281" ca="1">IFERROR(INDEX(INDIRECT($B$3&amp;"."&amp;$B$267&amp;".energy["&amp;This.year&amp;"]"),MATCH($C281&amp;X$5,INDIRECT($B$3&amp;"."&amp;$B$267&amp;".energy[Tech description]")&amp;INDIRECT($B$3&amp;"."&amp;$B$267&amp;".energy[Energy description]"),0)),0)</f>
        <v>0</v>
      </c>
      <c r="Y281" s="171">
        <f t="array" aca="1" ref="Y281" ca="1">IFERROR(INDEX(INDIRECT($B$3&amp;"."&amp;$B$267&amp;".energy["&amp;This.year&amp;"]"),MATCH($C281&amp;Y$5,INDIRECT($B$3&amp;"."&amp;$B$267&amp;".energy[Tech description]")&amp;INDIRECT($B$3&amp;"."&amp;$B$267&amp;".energy[Energy description]"),0)),0)</f>
        <v>0</v>
      </c>
      <c r="Z281" s="171">
        <f t="array" aca="1" ref="Z281" ca="1">IFERROR(INDEX(INDIRECT($B$3&amp;"."&amp;$B$267&amp;".energy["&amp;This.year&amp;"]"),MATCH($C281&amp;Z$5,INDIRECT($B$3&amp;"."&amp;$B$267&amp;".energy[Tech description]")&amp;INDIRECT($B$3&amp;"."&amp;$B$267&amp;".energy[Energy description]"),0)),0)</f>
        <v>0</v>
      </c>
      <c r="AA281" s="171">
        <f t="array" aca="1" ref="AA281" ca="1">IFERROR(INDEX(INDIRECT($B$3&amp;"."&amp;$B$267&amp;".energy["&amp;This.year&amp;"]"),MATCH($C281&amp;AA$5,INDIRECT($B$3&amp;"."&amp;$B$267&amp;".energy[Tech description]")&amp;INDIRECT($B$3&amp;"."&amp;$B$267&amp;".energy[Energy description]"),0)),0)</f>
        <v>0</v>
      </c>
      <c r="AB281" s="171">
        <f t="array" aca="1" ref="AB281" ca="1">IFERROR(INDEX(INDIRECT($B$3&amp;"."&amp;$B$267&amp;".energy["&amp;This.year&amp;"]"),MATCH($C281&amp;AB$5,INDIRECT($B$3&amp;"."&amp;$B$267&amp;".energy[Tech description]")&amp;INDIRECT($B$3&amp;"."&amp;$B$267&amp;".energy[Energy description]"),0)),0)</f>
        <v>0</v>
      </c>
      <c r="AC281" s="171">
        <f t="array" aca="1" ref="AC281" ca="1">IFERROR(INDEX(INDIRECT($B$3&amp;"."&amp;$B$267&amp;".energy["&amp;This.year&amp;"]"),MATCH($C281&amp;AC$5,INDIRECT($B$3&amp;"."&amp;$B$267&amp;".energy[Tech description]")&amp;INDIRECT($B$3&amp;"."&amp;$B$267&amp;".energy[Energy description]"),0)),0)</f>
        <v>0</v>
      </c>
      <c r="AD281" s="171">
        <f t="array" aca="1" ref="AD281" ca="1">IFERROR(INDEX(INDIRECT($B$3&amp;"."&amp;$B$267&amp;".energy["&amp;This.year&amp;"]"),MATCH($C281&amp;AD$5,INDIRECT($B$3&amp;"."&amp;$B$267&amp;".energy[Tech description]")&amp;INDIRECT($B$3&amp;"."&amp;$B$267&amp;".energy[Energy description]"),0)),0)</f>
        <v>0</v>
      </c>
      <c r="AE281" s="171">
        <f t="array" aca="1" ref="AE281" ca="1">IFERROR(INDEX(INDIRECT($B$3&amp;"."&amp;$B$267&amp;".energy["&amp;This.year&amp;"]"),MATCH($C281&amp;AE$5,INDIRECT($B$3&amp;"."&amp;$B$267&amp;".energy[Tech description]")&amp;INDIRECT($B$3&amp;"."&amp;$B$267&amp;".energy[Energy description]"),0)),0)</f>
        <v>0</v>
      </c>
      <c r="AF281" s="171">
        <f t="array" aca="1" ref="AF281" ca="1">IFERROR(INDEX(INDIRECT($B$3&amp;"."&amp;$B$267&amp;".energy["&amp;This.year&amp;"]"),MATCH($C281&amp;AF$5,INDIRECT($B$3&amp;"."&amp;$B$267&amp;".energy[Tech description]")&amp;INDIRECT($B$3&amp;"."&amp;$B$267&amp;".energy[Energy description]"),0)),0)</f>
        <v>0</v>
      </c>
      <c r="AG281" s="171">
        <f t="array" aca="1" ref="AG281" ca="1">IFERROR(INDEX(INDIRECT($B$3&amp;"."&amp;$B$267&amp;".energy["&amp;This.year&amp;"]"),MATCH($C281&amp;AG$5,INDIRECT($B$3&amp;"."&amp;$B$267&amp;".energy[Tech description]")&amp;INDIRECT($B$3&amp;"."&amp;$B$267&amp;".energy[Energy description]"),0)),0)</f>
        <v>0</v>
      </c>
      <c r="AH281" s="171">
        <f t="array" aca="1" ref="AH281" ca="1">IFERROR(INDEX(INDIRECT($B$3&amp;"."&amp;$B$267&amp;".energy["&amp;This.year&amp;"]"),MATCH($C281&amp;AH$5,INDIRECT($B$3&amp;"."&amp;$B$267&amp;".energy[Tech description]")&amp;INDIRECT($B$3&amp;"."&amp;$B$267&amp;".energy[Energy description]"),0)),0)</f>
        <v>0</v>
      </c>
      <c r="AI281" s="171">
        <f t="array" aca="1" ref="AI281" ca="1">IFERROR(INDEX(INDIRECT($B$3&amp;"."&amp;$B$267&amp;".energy["&amp;This.year&amp;"]"),MATCH($C281&amp;AI$5,INDIRECT($B$3&amp;"."&amp;$B$267&amp;".energy[Tech description]")&amp;INDIRECT($B$3&amp;"."&amp;$B$267&amp;".energy[Energy description]"),0)),0)</f>
        <v>0</v>
      </c>
      <c r="AJ281" s="171">
        <f t="array" aca="1" ref="AJ281" ca="1">IFERROR(INDEX(INDIRECT($B$3&amp;"."&amp;$B$267&amp;".energy["&amp;This.year&amp;"]"),MATCH($C281&amp;AJ$5,INDIRECT($B$3&amp;"."&amp;$B$267&amp;".energy[Tech description]")&amp;INDIRECT($B$3&amp;"."&amp;$B$267&amp;".energy[Energy description]"),0)),0)</f>
        <v>0</v>
      </c>
      <c r="AK281" s="171">
        <f t="array" aca="1" ref="AK281" ca="1">IFERROR(INDEX(INDIRECT($B$3&amp;"."&amp;$B$267&amp;".energy["&amp;This.year&amp;"]"),MATCH($C281&amp;AK$5,INDIRECT($B$3&amp;"."&amp;$B$267&amp;".energy[Tech description]")&amp;INDIRECT($B$3&amp;"."&amp;$B$267&amp;".energy[Energy description]"),0)),0)</f>
        <v>0</v>
      </c>
      <c r="AL281" s="171">
        <f t="array" aca="1" ref="AL281" ca="1">IFERROR(INDEX(INDIRECT($B$3&amp;"."&amp;$B$267&amp;".energy["&amp;This.year&amp;"]"),MATCH($C281&amp;AL$5,INDIRECT($B$3&amp;"."&amp;$B$267&amp;".energy[Tech description]")&amp;INDIRECT($B$3&amp;"."&amp;$B$267&amp;".energy[Energy description]"),0)),0)</f>
        <v>0</v>
      </c>
      <c r="AM281" s="171">
        <f t="array" aca="1" ref="AM281" ca="1">IFERROR(INDEX(INDIRECT($B$3&amp;"."&amp;$B$267&amp;".energy["&amp;This.year&amp;"]"),MATCH($C281&amp;AM$5,INDIRECT($B$3&amp;"."&amp;$B$267&amp;".energy[Tech description]")&amp;INDIRECT($B$3&amp;"."&amp;$B$267&amp;".energy[Energy description]"),0)),0)</f>
        <v>0</v>
      </c>
      <c r="AN281" s="171">
        <f t="array" aca="1" ref="AN281" ca="1">IFERROR(INDEX(INDIRECT($B$3&amp;"."&amp;$B$267&amp;".energy["&amp;This.year&amp;"]"),MATCH($C281&amp;AN$5,INDIRECT($B$3&amp;"."&amp;$B$267&amp;".energy[Tech description]")&amp;INDIRECT($B$3&amp;"."&amp;$B$267&amp;".energy[Energy description]"),0)),0)</f>
        <v>0</v>
      </c>
      <c r="AO281" s="171">
        <f t="shared" ca="1" si="75"/>
        <v>0</v>
      </c>
      <c r="AQ281" s="173">
        <f t="array" aca="1" ref="AQ281" ca="1">IFERROR(INDEX(INDIRECT($B$3&amp;"."&amp;$B$267&amp;".energy["&amp;This.year&amp;"]"),MATCH($C281&amp;AQ$5,INDIRECT($B$3&amp;"."&amp;$B$267&amp;".energy[Tech description]")&amp;INDIRECT($B$3&amp;"."&amp;$B$267&amp;".energy[Energy description]"),0)),0)</f>
        <v>0</v>
      </c>
      <c r="AR281" s="173">
        <f t="array" aca="1" ref="AR281" ca="1">IFERROR(INDEX(INDIRECT($B$3&amp;"."&amp;$B$267&amp;".energy["&amp;This.year&amp;"]"),MATCH($C281&amp;AR$5,INDIRECT($B$3&amp;"."&amp;$B$267&amp;".energy[Tech description]")&amp;INDIRECT($B$3&amp;"."&amp;$B$267&amp;".energy[Energy description]"),0)),0)</f>
        <v>0</v>
      </c>
      <c r="AS281" s="173">
        <f t="array" aca="1" ref="AS281" ca="1">IFERROR(INDEX(INDIRECT($B$3&amp;"."&amp;$B$267&amp;".energy["&amp;This.year&amp;"]"),MATCH($C281&amp;AS$5,INDIRECT($B$3&amp;"."&amp;$B$267&amp;".energy[Tech description]")&amp;INDIRECT($B$3&amp;"."&amp;$B$267&amp;".energy[Energy description]"),0)),0)</f>
        <v>0</v>
      </c>
      <c r="AT281" s="173">
        <f t="array" aca="1" ref="AT281" ca="1">IFERROR(INDEX(INDIRECT($B$3&amp;"."&amp;$B$267&amp;".energy["&amp;This.year&amp;"]"),MATCH($C281&amp;AT$5,INDIRECT($B$3&amp;"."&amp;$B$267&amp;".energy[Tech description]")&amp;INDIRECT($B$3&amp;"."&amp;$B$267&amp;".energy[Energy description]"),0)),0)</f>
        <v>0</v>
      </c>
      <c r="AU281" s="173">
        <f t="array" aca="1" ref="AU281" ca="1">IFERROR(INDEX(INDIRECT($B$3&amp;"."&amp;$B$267&amp;".energy["&amp;This.year&amp;"]"),MATCH($C281&amp;AU$5,INDIRECT($B$3&amp;"."&amp;$B$267&amp;".energy[Tech description]")&amp;INDIRECT($B$3&amp;"."&amp;$B$267&amp;".energy[Energy description]"),0)),0)</f>
        <v>0</v>
      </c>
      <c r="AV281" s="173">
        <f t="array" aca="1" ref="AV281" ca="1">IFERROR(INDEX(INDIRECT($B$3&amp;"."&amp;$B$267&amp;".energy["&amp;This.year&amp;"]"),MATCH($C281&amp;AV$5,INDIRECT($B$3&amp;"."&amp;$B$267&amp;".energy[Tech description]")&amp;INDIRECT($B$3&amp;"."&amp;$B$267&amp;".energy[Energy description]"),0)),0)</f>
        <v>0</v>
      </c>
      <c r="AW281" s="173">
        <f t="array" aca="1" ref="AW281" ca="1">IFERROR(INDEX(INDIRECT($B$3&amp;"."&amp;$B$267&amp;".energy["&amp;This.year&amp;"]"),MATCH($C281&amp;AW$5,INDIRECT($B$3&amp;"."&amp;$B$267&amp;".energy[Tech description]")&amp;INDIRECT($B$3&amp;"."&amp;$B$267&amp;".energy[Energy description]"),0)),0)</f>
        <v>0</v>
      </c>
      <c r="AX281" s="173">
        <f t="array" aca="1" ref="AX281" ca="1">IFERROR(INDEX(INDIRECT($B$3&amp;"."&amp;$B$267&amp;".energy["&amp;This.year&amp;"]"),MATCH($C281&amp;AX$5,INDIRECT($B$3&amp;"."&amp;$B$267&amp;".energy[Tech description]")&amp;INDIRECT($B$3&amp;"."&amp;$B$267&amp;".energy[Energy description]"),0)),0)</f>
        <v>0</v>
      </c>
      <c r="AY281" s="173">
        <f t="array" aca="1" ref="AY281" ca="1">IFERROR(INDEX(INDIRECT($B$3&amp;"."&amp;$B$267&amp;".energy["&amp;This.year&amp;"]"),MATCH($C281&amp;AY$5,INDIRECT($B$3&amp;"."&amp;$B$267&amp;".energy[Tech description]")&amp;INDIRECT($B$3&amp;"."&amp;$B$267&amp;".energy[Energy description]"),0)),0)</f>
        <v>0</v>
      </c>
      <c r="AZ281" s="173">
        <f t="array" aca="1" ref="AZ281" ca="1">IFERROR(INDEX(INDIRECT($B$3&amp;"."&amp;$B$267&amp;".energy["&amp;This.year&amp;"]"),MATCH($C281&amp;AZ$5,INDIRECT($B$3&amp;"."&amp;$B$267&amp;".energy[Tech description]")&amp;INDIRECT($B$3&amp;"."&amp;$B$267&amp;".energy[Energy description]"),0)),0)</f>
        <v>0</v>
      </c>
      <c r="BA281" s="173">
        <f t="array" aca="1" ref="BA281" ca="1">IFERROR(INDEX(INDIRECT($B$3&amp;"."&amp;$B$267&amp;".energy["&amp;This.year&amp;"]"),MATCH($C281&amp;BA$5,INDIRECT($B$3&amp;"."&amp;$B$267&amp;".energy[Tech description]")&amp;INDIRECT($B$3&amp;"."&amp;$B$267&amp;".energy[Energy description]"),0)),0)</f>
        <v>0</v>
      </c>
      <c r="BB281" s="173">
        <f t="array" aca="1" ref="BB281" ca="1">IFERROR(INDEX(INDIRECT($B$3&amp;"."&amp;$B$267&amp;".energy["&amp;This.year&amp;"]"),MATCH($C281&amp;BB$5,INDIRECT($B$3&amp;"."&amp;$B$267&amp;".energy[Tech description]")&amp;INDIRECT($B$3&amp;"."&amp;$B$267&amp;".energy[Energy description]"),0)),0)</f>
        <v>0</v>
      </c>
      <c r="BC281" s="173">
        <f t="array" aca="1" ref="BC281" ca="1">IFERROR(INDEX(INDIRECT($B$3&amp;"."&amp;$B$267&amp;".energy["&amp;This.year&amp;"]"),MATCH($C281&amp;BC$5,INDIRECT($B$3&amp;"."&amp;$B$267&amp;".energy[Tech description]")&amp;INDIRECT($B$3&amp;"."&amp;$B$267&amp;".energy[Energy description]"),0)),0)</f>
        <v>0</v>
      </c>
      <c r="BD281" s="173">
        <f t="shared" ca="1" si="72"/>
        <v>0</v>
      </c>
      <c r="BF281" s="175">
        <f t="array" aca="1" ref="BF281" ca="1">IFERROR(INDEX(INDIRECT($B$3&amp;"."&amp;$B$267&amp;".energy["&amp;This.year&amp;"]"),MATCH($C281&amp;BF$5,INDIRECT($B$3&amp;"."&amp;$B$267&amp;".energy[Tech description]")&amp;INDIRECT($B$3&amp;"."&amp;$B$267&amp;".energy[Energy description]"),0)),0)</f>
        <v>0</v>
      </c>
      <c r="BG281" s="175">
        <f t="array" aca="1" ref="BG281" ca="1">IFERROR(INDEX(INDIRECT($B$3&amp;"."&amp;$B$267&amp;".energy["&amp;This.year&amp;"]"),MATCH($C281&amp;BG$5,INDIRECT($B$3&amp;"."&amp;$B$267&amp;".energy[Tech description]")&amp;INDIRECT($B$3&amp;"."&amp;$B$267&amp;".energy[Energy description]"),0)),0)</f>
        <v>0</v>
      </c>
      <c r="BH281" s="175">
        <f t="shared" ca="1" si="73"/>
        <v>0</v>
      </c>
      <c r="BI281" s="219">
        <f t="shared" ca="1" si="74"/>
        <v>0</v>
      </c>
      <c r="BJ281" s="58"/>
    </row>
    <row r="282" spans="1:62">
      <c r="B282" s="176" t="s">
        <v>1166</v>
      </c>
      <c r="C282" s="114" t="str">
        <f>INDEX(Regional.Technologies[Description],MATCH($B$3&amp;"."&amp;B282,Regional.Technologies[Code],0))</f>
        <v>Global Carbon capture liquid-fuel efficient power plant</v>
      </c>
      <c r="E282" s="121">
        <f t="array" aca="1" ref="E282" ca="1">IFERROR(INDEX(INDIRECT($B$3&amp;"."&amp;$B$267&amp;".energy["&amp;This.year&amp;"]"),MATCH($C282&amp;E$5,INDIRECT($B$3&amp;"."&amp;$B$267&amp;".energy[Tech description]")&amp;INDIRECT($B$3&amp;"."&amp;$B$267&amp;".energy[Energy description]"),0)),0)</f>
        <v>0</v>
      </c>
      <c r="F282" s="121">
        <f t="array" aca="1" ref="F282" ca="1">IFERROR(INDEX(INDIRECT($B$3&amp;"."&amp;$B$267&amp;".energy["&amp;This.year&amp;"]"),MATCH($C282&amp;F$5,INDIRECT($B$3&amp;"."&amp;$B$267&amp;".energy[Tech description]")&amp;INDIRECT($B$3&amp;"."&amp;$B$267&amp;".energy[Energy description]"),0)),0)</f>
        <v>0</v>
      </c>
      <c r="G282" s="121">
        <f t="array" aca="1" ref="G282" ca="1">IFERROR(INDEX(INDIRECT($B$3&amp;"."&amp;$B$267&amp;".energy["&amp;This.year&amp;"]"),MATCH($C282&amp;G$5,INDIRECT($B$3&amp;"."&amp;$B$267&amp;".energy[Tech description]")&amp;INDIRECT($B$3&amp;"."&amp;$B$267&amp;".energy[Energy description]"),0)),0)</f>
        <v>0</v>
      </c>
      <c r="H282" s="121">
        <f t="array" aca="1" ref="H282" ca="1">IFERROR(INDEX(INDIRECT($B$3&amp;"."&amp;$B$267&amp;".energy["&amp;This.year&amp;"]"),MATCH($C282&amp;H$5,INDIRECT($B$3&amp;"."&amp;$B$267&amp;".energy[Tech description]")&amp;INDIRECT($B$3&amp;"."&amp;$B$267&amp;".energy[Energy description]"),0)),0)</f>
        <v>0</v>
      </c>
      <c r="I282" s="121">
        <f t="array" aca="1" ref="I282" ca="1">IFERROR(INDEX(INDIRECT($B$3&amp;"."&amp;$B$267&amp;".energy["&amp;This.year&amp;"]"),MATCH($C282&amp;I$5,INDIRECT($B$3&amp;"."&amp;$B$267&amp;".energy[Tech description]")&amp;INDIRECT($B$3&amp;"."&amp;$B$267&amp;".energy[Energy description]"),0)),0)</f>
        <v>0</v>
      </c>
      <c r="J282" s="121">
        <f t="array" aca="1" ref="J282" ca="1">IFERROR(INDEX(INDIRECT($B$3&amp;"."&amp;$B$267&amp;".energy["&amp;This.year&amp;"]"),MATCH($C282&amp;J$5,INDIRECT($B$3&amp;"."&amp;$B$267&amp;".energy[Tech description]")&amp;INDIRECT($B$3&amp;"."&amp;$B$267&amp;".energy[Energy description]"),0)),0)</f>
        <v>0</v>
      </c>
      <c r="K282" s="121">
        <f t="array" aca="1" ref="K282" ca="1">IFERROR(INDEX(INDIRECT($B$3&amp;"."&amp;$B$267&amp;".energy["&amp;This.year&amp;"]"),MATCH($C282&amp;K$5,INDIRECT($B$3&amp;"."&amp;$B$267&amp;".energy[Tech description]")&amp;INDIRECT($B$3&amp;"."&amp;$B$267&amp;".energy[Energy description]"),0)),0)</f>
        <v>0</v>
      </c>
      <c r="L282" s="121">
        <f t="array" aca="1" ref="L282" ca="1">IFERROR(INDEX(INDIRECT($B$3&amp;"."&amp;$B$267&amp;".energy["&amp;This.year&amp;"]"),MATCH($C282&amp;L$5,INDIRECT($B$3&amp;"."&amp;$B$267&amp;".energy[Tech description]")&amp;INDIRECT($B$3&amp;"."&amp;$B$267&amp;".energy[Energy description]"),0)),0)</f>
        <v>0</v>
      </c>
      <c r="M282" s="121">
        <f t="array" aca="1" ref="M282" ca="1">IFERROR(INDEX(INDIRECT($B$3&amp;"."&amp;$B$267&amp;".energy["&amp;This.year&amp;"]"),MATCH($C282&amp;M$5,INDIRECT($B$3&amp;"."&amp;$B$267&amp;".energy[Tech description]")&amp;INDIRECT($B$3&amp;"."&amp;$B$267&amp;".energy[Energy description]"),0)),0)</f>
        <v>0</v>
      </c>
      <c r="N282" s="121">
        <f t="array" aca="1" ref="N282" ca="1">IFERROR(INDEX(INDIRECT($B$3&amp;"."&amp;$B$267&amp;".energy["&amp;This.year&amp;"]"),MATCH($C282&amp;N$5,INDIRECT($B$3&amp;"."&amp;$B$267&amp;".energy[Tech description]")&amp;INDIRECT($B$3&amp;"."&amp;$B$267&amp;".energy[Energy description]"),0)),0)</f>
        <v>0</v>
      </c>
      <c r="O282" s="121">
        <f t="array" aca="1" ref="O282" ca="1">IFERROR(INDEX(INDIRECT($B$3&amp;"."&amp;$B$267&amp;".energy["&amp;This.year&amp;"]"),MATCH($C282&amp;O$5,INDIRECT($B$3&amp;"."&amp;$B$267&amp;".energy[Tech description]")&amp;INDIRECT($B$3&amp;"."&amp;$B$267&amp;".energy[Energy description]"),0)),0)</f>
        <v>0</v>
      </c>
      <c r="P282" s="121">
        <f t="array" aca="1" ref="P282" ca="1">IFERROR(INDEX(INDIRECT($B$3&amp;"."&amp;$B$267&amp;".energy["&amp;This.year&amp;"]"),MATCH($C282&amp;P$5,INDIRECT($B$3&amp;"."&amp;$B$267&amp;".energy[Tech description]")&amp;INDIRECT($B$3&amp;"."&amp;$B$267&amp;".energy[Energy description]"),0)),0)</f>
        <v>0</v>
      </c>
      <c r="Q282" s="121">
        <f t="array" aca="1" ref="Q282" ca="1">IFERROR(INDEX(INDIRECT($B$3&amp;"."&amp;$B$267&amp;".energy["&amp;This.year&amp;"]"),MATCH($C282&amp;Q$5,INDIRECT($B$3&amp;"."&amp;$B$267&amp;".energy[Tech description]")&amp;INDIRECT($B$3&amp;"."&amp;$B$267&amp;".energy[Energy description]"),0)),0)</f>
        <v>0</v>
      </c>
      <c r="R282" s="121">
        <f t="array" aca="1" ref="R282" ca="1">IFERROR(INDEX(INDIRECT($B$3&amp;"."&amp;$B$267&amp;".energy["&amp;This.year&amp;"]"),MATCH($C282&amp;R$5,INDIRECT($B$3&amp;"."&amp;$B$267&amp;".energy[Tech description]")&amp;INDIRECT($B$3&amp;"."&amp;$B$267&amp;".energy[Energy description]"),0)),0)</f>
        <v>0</v>
      </c>
      <c r="S282" s="121">
        <f t="array" aca="1" ref="S282" ca="1">IFERROR(INDEX(INDIRECT($B$3&amp;"."&amp;$B$267&amp;".energy["&amp;This.year&amp;"]"),MATCH($C282&amp;S$5,INDIRECT($B$3&amp;"."&amp;$B$267&amp;".energy[Tech description]")&amp;INDIRECT($B$3&amp;"."&amp;$B$267&amp;".energy[Energy description]"),0)),0)</f>
        <v>0</v>
      </c>
      <c r="T282" s="121">
        <f t="shared" ca="1" si="71"/>
        <v>0</v>
      </c>
      <c r="V282" s="171">
        <f t="array" aca="1" ref="V282" ca="1">IFERROR(INDEX(INDIRECT($B$3&amp;"."&amp;$B$267&amp;".energy["&amp;This.year&amp;"]"),MATCH($C282&amp;V$5,INDIRECT($B$3&amp;"."&amp;$B$267&amp;".energy[Tech description]")&amp;INDIRECT($B$3&amp;"."&amp;$B$267&amp;".energy[Energy description]"),0)),0)</f>
        <v>0</v>
      </c>
      <c r="W282" s="171">
        <f t="array" aca="1" ref="W282" ca="1">IFERROR(INDEX(INDIRECT($B$3&amp;"."&amp;$B$267&amp;".energy["&amp;This.year&amp;"]"),MATCH($C282&amp;W$5,INDIRECT($B$3&amp;"."&amp;$B$267&amp;".energy[Tech description]")&amp;INDIRECT($B$3&amp;"."&amp;$B$267&amp;".energy[Energy description]"),0)),0)</f>
        <v>0</v>
      </c>
      <c r="X282" s="171">
        <f t="array" aca="1" ref="X282" ca="1">IFERROR(INDEX(INDIRECT($B$3&amp;"."&amp;$B$267&amp;".energy["&amp;This.year&amp;"]"),MATCH($C282&amp;X$5,INDIRECT($B$3&amp;"."&amp;$B$267&amp;".energy[Tech description]")&amp;INDIRECT($B$3&amp;"."&amp;$B$267&amp;".energy[Energy description]"),0)),0)</f>
        <v>0</v>
      </c>
      <c r="Y282" s="171">
        <f t="array" aca="1" ref="Y282" ca="1">IFERROR(INDEX(INDIRECT($B$3&amp;"."&amp;$B$267&amp;".energy["&amp;This.year&amp;"]"),MATCH($C282&amp;Y$5,INDIRECT($B$3&amp;"."&amp;$B$267&amp;".energy[Tech description]")&amp;INDIRECT($B$3&amp;"."&amp;$B$267&amp;".energy[Energy description]"),0)),0)</f>
        <v>0</v>
      </c>
      <c r="Z282" s="171">
        <f t="array" aca="1" ref="Z282" ca="1">IFERROR(INDEX(INDIRECT($B$3&amp;"."&amp;$B$267&amp;".energy["&amp;This.year&amp;"]"),MATCH($C282&amp;Z$5,INDIRECT($B$3&amp;"."&amp;$B$267&amp;".energy[Tech description]")&amp;INDIRECT($B$3&amp;"."&amp;$B$267&amp;".energy[Energy description]"),0)),0)</f>
        <v>0</v>
      </c>
      <c r="AA282" s="171">
        <f t="array" aca="1" ref="AA282" ca="1">IFERROR(INDEX(INDIRECT($B$3&amp;"."&amp;$B$267&amp;".energy["&amp;This.year&amp;"]"),MATCH($C282&amp;AA$5,INDIRECT($B$3&amp;"."&amp;$B$267&amp;".energy[Tech description]")&amp;INDIRECT($B$3&amp;"."&amp;$B$267&amp;".energy[Energy description]"),0)),0)</f>
        <v>0</v>
      </c>
      <c r="AB282" s="171">
        <f t="array" aca="1" ref="AB282" ca="1">IFERROR(INDEX(INDIRECT($B$3&amp;"."&amp;$B$267&amp;".energy["&amp;This.year&amp;"]"),MATCH($C282&amp;AB$5,INDIRECT($B$3&amp;"."&amp;$B$267&amp;".energy[Tech description]")&amp;INDIRECT($B$3&amp;"."&amp;$B$267&amp;".energy[Energy description]"),0)),0)</f>
        <v>0</v>
      </c>
      <c r="AC282" s="171">
        <f t="array" aca="1" ref="AC282" ca="1">IFERROR(INDEX(INDIRECT($B$3&amp;"."&amp;$B$267&amp;".energy["&amp;This.year&amp;"]"),MATCH($C282&amp;AC$5,INDIRECT($B$3&amp;"."&amp;$B$267&amp;".energy[Tech description]")&amp;INDIRECT($B$3&amp;"."&amp;$B$267&amp;".energy[Energy description]"),0)),0)</f>
        <v>0</v>
      </c>
      <c r="AD282" s="171">
        <f t="array" aca="1" ref="AD282" ca="1">IFERROR(INDEX(INDIRECT($B$3&amp;"."&amp;$B$267&amp;".energy["&amp;This.year&amp;"]"),MATCH($C282&amp;AD$5,INDIRECT($B$3&amp;"."&amp;$B$267&amp;".energy[Tech description]")&amp;INDIRECT($B$3&amp;"."&amp;$B$267&amp;".energy[Energy description]"),0)),0)</f>
        <v>0</v>
      </c>
      <c r="AE282" s="171">
        <f t="array" aca="1" ref="AE282" ca="1">IFERROR(INDEX(INDIRECT($B$3&amp;"."&amp;$B$267&amp;".energy["&amp;This.year&amp;"]"),MATCH($C282&amp;AE$5,INDIRECT($B$3&amp;"."&amp;$B$267&amp;".energy[Tech description]")&amp;INDIRECT($B$3&amp;"."&amp;$B$267&amp;".energy[Energy description]"),0)),0)</f>
        <v>0</v>
      </c>
      <c r="AF282" s="171">
        <f t="array" aca="1" ref="AF282" ca="1">IFERROR(INDEX(INDIRECT($B$3&amp;"."&amp;$B$267&amp;".energy["&amp;This.year&amp;"]"),MATCH($C282&amp;AF$5,INDIRECT($B$3&amp;"."&amp;$B$267&amp;".energy[Tech description]")&amp;INDIRECT($B$3&amp;"."&amp;$B$267&amp;".energy[Energy description]"),0)),0)</f>
        <v>0</v>
      </c>
      <c r="AG282" s="171">
        <f t="array" aca="1" ref="AG282" ca="1">IFERROR(INDEX(INDIRECT($B$3&amp;"."&amp;$B$267&amp;".energy["&amp;This.year&amp;"]"),MATCH($C282&amp;AG$5,INDIRECT($B$3&amp;"."&amp;$B$267&amp;".energy[Tech description]")&amp;INDIRECT($B$3&amp;"."&amp;$B$267&amp;".energy[Energy description]"),0)),0)</f>
        <v>0</v>
      </c>
      <c r="AH282" s="171">
        <f t="array" aca="1" ref="AH282" ca="1">IFERROR(INDEX(INDIRECT($B$3&amp;"."&amp;$B$267&amp;".energy["&amp;This.year&amp;"]"),MATCH($C282&amp;AH$5,INDIRECT($B$3&amp;"."&amp;$B$267&amp;".energy[Tech description]")&amp;INDIRECT($B$3&amp;"."&amp;$B$267&amp;".energy[Energy description]"),0)),0)</f>
        <v>0</v>
      </c>
      <c r="AI282" s="171">
        <f t="array" aca="1" ref="AI282" ca="1">IFERROR(INDEX(INDIRECT($B$3&amp;"."&amp;$B$267&amp;".energy["&amp;This.year&amp;"]"),MATCH($C282&amp;AI$5,INDIRECT($B$3&amp;"."&amp;$B$267&amp;".energy[Tech description]")&amp;INDIRECT($B$3&amp;"."&amp;$B$267&amp;".energy[Energy description]"),0)),0)</f>
        <v>0</v>
      </c>
      <c r="AJ282" s="171">
        <f t="array" aca="1" ref="AJ282" ca="1">IFERROR(INDEX(INDIRECT($B$3&amp;"."&amp;$B$267&amp;".energy["&amp;This.year&amp;"]"),MATCH($C282&amp;AJ$5,INDIRECT($B$3&amp;"."&amp;$B$267&amp;".energy[Tech description]")&amp;INDIRECT($B$3&amp;"."&amp;$B$267&amp;".energy[Energy description]"),0)),0)</f>
        <v>0</v>
      </c>
      <c r="AK282" s="171">
        <f t="array" aca="1" ref="AK282" ca="1">IFERROR(INDEX(INDIRECT($B$3&amp;"."&amp;$B$267&amp;".energy["&amp;This.year&amp;"]"),MATCH($C282&amp;AK$5,INDIRECT($B$3&amp;"."&amp;$B$267&amp;".energy[Tech description]")&amp;INDIRECT($B$3&amp;"."&amp;$B$267&amp;".energy[Energy description]"),0)),0)</f>
        <v>0</v>
      </c>
      <c r="AL282" s="171">
        <f t="array" aca="1" ref="AL282" ca="1">IFERROR(INDEX(INDIRECT($B$3&amp;"."&amp;$B$267&amp;".energy["&amp;This.year&amp;"]"),MATCH($C282&amp;AL$5,INDIRECT($B$3&amp;"."&amp;$B$267&amp;".energy[Tech description]")&amp;INDIRECT($B$3&amp;"."&amp;$B$267&amp;".energy[Energy description]"),0)),0)</f>
        <v>0</v>
      </c>
      <c r="AM282" s="171">
        <f t="array" aca="1" ref="AM282" ca="1">IFERROR(INDEX(INDIRECT($B$3&amp;"."&amp;$B$267&amp;".energy["&amp;This.year&amp;"]"),MATCH($C282&amp;AM$5,INDIRECT($B$3&amp;"."&amp;$B$267&amp;".energy[Tech description]")&amp;INDIRECT($B$3&amp;"."&amp;$B$267&amp;".energy[Energy description]"),0)),0)</f>
        <v>0</v>
      </c>
      <c r="AN282" s="171">
        <f t="array" aca="1" ref="AN282" ca="1">IFERROR(INDEX(INDIRECT($B$3&amp;"."&amp;$B$267&amp;".energy["&amp;This.year&amp;"]"),MATCH($C282&amp;AN$5,INDIRECT($B$3&amp;"."&amp;$B$267&amp;".energy[Tech description]")&amp;INDIRECT($B$3&amp;"."&amp;$B$267&amp;".energy[Energy description]"),0)),0)</f>
        <v>0</v>
      </c>
      <c r="AO282" s="171">
        <f t="shared" ca="1" si="75"/>
        <v>0</v>
      </c>
      <c r="AQ282" s="173">
        <f t="array" aca="1" ref="AQ282" ca="1">IFERROR(INDEX(INDIRECT($B$3&amp;"."&amp;$B$267&amp;".energy["&amp;This.year&amp;"]"),MATCH($C282&amp;AQ$5,INDIRECT($B$3&amp;"."&amp;$B$267&amp;".energy[Tech description]")&amp;INDIRECT($B$3&amp;"."&amp;$B$267&amp;".energy[Energy description]"),0)),0)</f>
        <v>0</v>
      </c>
      <c r="AR282" s="173">
        <f t="array" aca="1" ref="AR282" ca="1">IFERROR(INDEX(INDIRECT($B$3&amp;"."&amp;$B$267&amp;".energy["&amp;This.year&amp;"]"),MATCH($C282&amp;AR$5,INDIRECT($B$3&amp;"."&amp;$B$267&amp;".energy[Tech description]")&amp;INDIRECT($B$3&amp;"."&amp;$B$267&amp;".energy[Energy description]"),0)),0)</f>
        <v>0</v>
      </c>
      <c r="AS282" s="173">
        <f t="array" aca="1" ref="AS282" ca="1">IFERROR(INDEX(INDIRECT($B$3&amp;"."&amp;$B$267&amp;".energy["&amp;This.year&amp;"]"),MATCH($C282&amp;AS$5,INDIRECT($B$3&amp;"."&amp;$B$267&amp;".energy[Tech description]")&amp;INDIRECT($B$3&amp;"."&amp;$B$267&amp;".energy[Energy description]"),0)),0)</f>
        <v>0</v>
      </c>
      <c r="AT282" s="173">
        <f t="array" aca="1" ref="AT282" ca="1">IFERROR(INDEX(INDIRECT($B$3&amp;"."&amp;$B$267&amp;".energy["&amp;This.year&amp;"]"),MATCH($C282&amp;AT$5,INDIRECT($B$3&amp;"."&amp;$B$267&amp;".energy[Tech description]")&amp;INDIRECT($B$3&amp;"."&amp;$B$267&amp;".energy[Energy description]"),0)),0)</f>
        <v>0</v>
      </c>
      <c r="AU282" s="173">
        <f t="array" aca="1" ref="AU282" ca="1">IFERROR(INDEX(INDIRECT($B$3&amp;"."&amp;$B$267&amp;".energy["&amp;This.year&amp;"]"),MATCH($C282&amp;AU$5,INDIRECT($B$3&amp;"."&amp;$B$267&amp;".energy[Tech description]")&amp;INDIRECT($B$3&amp;"."&amp;$B$267&amp;".energy[Energy description]"),0)),0)</f>
        <v>0</v>
      </c>
      <c r="AV282" s="173">
        <f t="array" aca="1" ref="AV282" ca="1">IFERROR(INDEX(INDIRECT($B$3&amp;"."&amp;$B$267&amp;".energy["&amp;This.year&amp;"]"),MATCH($C282&amp;AV$5,INDIRECT($B$3&amp;"."&amp;$B$267&amp;".energy[Tech description]")&amp;INDIRECT($B$3&amp;"."&amp;$B$267&amp;".energy[Energy description]"),0)),0)</f>
        <v>0</v>
      </c>
      <c r="AW282" s="173">
        <f t="array" aca="1" ref="AW282" ca="1">IFERROR(INDEX(INDIRECT($B$3&amp;"."&amp;$B$267&amp;".energy["&amp;This.year&amp;"]"),MATCH($C282&amp;AW$5,INDIRECT($B$3&amp;"."&amp;$B$267&amp;".energy[Tech description]")&amp;INDIRECT($B$3&amp;"."&amp;$B$267&amp;".energy[Energy description]"),0)),0)</f>
        <v>0</v>
      </c>
      <c r="AX282" s="173">
        <f t="array" aca="1" ref="AX282" ca="1">IFERROR(INDEX(INDIRECT($B$3&amp;"."&amp;$B$267&amp;".energy["&amp;This.year&amp;"]"),MATCH($C282&amp;AX$5,INDIRECT($B$3&amp;"."&amp;$B$267&amp;".energy[Tech description]")&amp;INDIRECT($B$3&amp;"."&amp;$B$267&amp;".energy[Energy description]"),0)),0)</f>
        <v>0</v>
      </c>
      <c r="AY282" s="173">
        <f t="array" aca="1" ref="AY282" ca="1">IFERROR(INDEX(INDIRECT($B$3&amp;"."&amp;$B$267&amp;".energy["&amp;This.year&amp;"]"),MATCH($C282&amp;AY$5,INDIRECT($B$3&amp;"."&amp;$B$267&amp;".energy[Tech description]")&amp;INDIRECT($B$3&amp;"."&amp;$B$267&amp;".energy[Energy description]"),0)),0)</f>
        <v>0</v>
      </c>
      <c r="AZ282" s="173">
        <f t="array" aca="1" ref="AZ282" ca="1">IFERROR(INDEX(INDIRECT($B$3&amp;"."&amp;$B$267&amp;".energy["&amp;This.year&amp;"]"),MATCH($C282&amp;AZ$5,INDIRECT($B$3&amp;"."&amp;$B$267&amp;".energy[Tech description]")&amp;INDIRECT($B$3&amp;"."&amp;$B$267&amp;".energy[Energy description]"),0)),0)</f>
        <v>0</v>
      </c>
      <c r="BA282" s="173">
        <f t="array" aca="1" ref="BA282" ca="1">IFERROR(INDEX(INDIRECT($B$3&amp;"."&amp;$B$267&amp;".energy["&amp;This.year&amp;"]"),MATCH($C282&amp;BA$5,INDIRECT($B$3&amp;"."&amp;$B$267&amp;".energy[Tech description]")&amp;INDIRECT($B$3&amp;"."&amp;$B$267&amp;".energy[Energy description]"),0)),0)</f>
        <v>0</v>
      </c>
      <c r="BB282" s="173">
        <f t="array" aca="1" ref="BB282" ca="1">IFERROR(INDEX(INDIRECT($B$3&amp;"."&amp;$B$267&amp;".energy["&amp;This.year&amp;"]"),MATCH($C282&amp;BB$5,INDIRECT($B$3&amp;"."&amp;$B$267&amp;".energy[Tech description]")&amp;INDIRECT($B$3&amp;"."&amp;$B$267&amp;".energy[Energy description]"),0)),0)</f>
        <v>0</v>
      </c>
      <c r="BC282" s="173">
        <f t="array" aca="1" ref="BC282" ca="1">IFERROR(INDEX(INDIRECT($B$3&amp;"."&amp;$B$267&amp;".energy["&amp;This.year&amp;"]"),MATCH($C282&amp;BC$5,INDIRECT($B$3&amp;"."&amp;$B$267&amp;".energy[Tech description]")&amp;INDIRECT($B$3&amp;"."&amp;$B$267&amp;".energy[Energy description]"),0)),0)</f>
        <v>0</v>
      </c>
      <c r="BD282" s="173">
        <f t="shared" ca="1" si="72"/>
        <v>0</v>
      </c>
      <c r="BF282" s="175">
        <f t="array" aca="1" ref="BF282" ca="1">IFERROR(INDEX(INDIRECT($B$3&amp;"."&amp;$B$267&amp;".energy["&amp;This.year&amp;"]"),MATCH($C282&amp;BF$5,INDIRECT($B$3&amp;"."&amp;$B$267&amp;".energy[Tech description]")&amp;INDIRECT($B$3&amp;"."&amp;$B$267&amp;".energy[Energy description]"),0)),0)</f>
        <v>0</v>
      </c>
      <c r="BG282" s="175">
        <f t="array" aca="1" ref="BG282" ca="1">IFERROR(INDEX(INDIRECT($B$3&amp;"."&amp;$B$267&amp;".energy["&amp;This.year&amp;"]"),MATCH($C282&amp;BG$5,INDIRECT($B$3&amp;"."&amp;$B$267&amp;".energy[Tech description]")&amp;INDIRECT($B$3&amp;"."&amp;$B$267&amp;".energy[Energy description]"),0)),0)</f>
        <v>0</v>
      </c>
      <c r="BH282" s="175">
        <f t="shared" ca="1" si="73"/>
        <v>0</v>
      </c>
      <c r="BI282" s="219">
        <f t="shared" ca="1" si="74"/>
        <v>0</v>
      </c>
      <c r="BJ282" s="58"/>
    </row>
    <row r="283" spans="1:62">
      <c r="B283" s="176" t="s">
        <v>1167</v>
      </c>
      <c r="C283" s="114" t="str">
        <f>INDEX(Regional.Technologies[Description],MATCH($B$3&amp;"."&amp;B283,Regional.Technologies[Code],0))</f>
        <v>Global Carbon capture liquid-fuel inefficient power plant</v>
      </c>
      <c r="E283" s="121">
        <f t="array" aca="1" ref="E283" ca="1">IFERROR(INDEX(INDIRECT($B$3&amp;"."&amp;$B$267&amp;".energy["&amp;This.year&amp;"]"),MATCH($C283&amp;E$5,INDIRECT($B$3&amp;"."&amp;$B$267&amp;".energy[Tech description]")&amp;INDIRECT($B$3&amp;"."&amp;$B$267&amp;".energy[Energy description]"),0)),0)</f>
        <v>0</v>
      </c>
      <c r="F283" s="121">
        <f t="array" aca="1" ref="F283" ca="1">IFERROR(INDEX(INDIRECT($B$3&amp;"."&amp;$B$267&amp;".energy["&amp;This.year&amp;"]"),MATCH($C283&amp;F$5,INDIRECT($B$3&amp;"."&amp;$B$267&amp;".energy[Tech description]")&amp;INDIRECT($B$3&amp;"."&amp;$B$267&amp;".energy[Energy description]"),0)),0)</f>
        <v>0</v>
      </c>
      <c r="G283" s="121">
        <f t="array" aca="1" ref="G283" ca="1">IFERROR(INDEX(INDIRECT($B$3&amp;"."&amp;$B$267&amp;".energy["&amp;This.year&amp;"]"),MATCH($C283&amp;G$5,INDIRECT($B$3&amp;"."&amp;$B$267&amp;".energy[Tech description]")&amp;INDIRECT($B$3&amp;"."&amp;$B$267&amp;".energy[Energy description]"),0)),0)</f>
        <v>0</v>
      </c>
      <c r="H283" s="121">
        <f t="array" aca="1" ref="H283" ca="1">IFERROR(INDEX(INDIRECT($B$3&amp;"."&amp;$B$267&amp;".energy["&amp;This.year&amp;"]"),MATCH($C283&amp;H$5,INDIRECT($B$3&amp;"."&amp;$B$267&amp;".energy[Tech description]")&amp;INDIRECT($B$3&amp;"."&amp;$B$267&amp;".energy[Energy description]"),0)),0)</f>
        <v>0</v>
      </c>
      <c r="I283" s="121">
        <f t="array" aca="1" ref="I283" ca="1">IFERROR(INDEX(INDIRECT($B$3&amp;"."&amp;$B$267&amp;".energy["&amp;This.year&amp;"]"),MATCH($C283&amp;I$5,INDIRECT($B$3&amp;"."&amp;$B$267&amp;".energy[Tech description]")&amp;INDIRECT($B$3&amp;"."&amp;$B$267&amp;".energy[Energy description]"),0)),0)</f>
        <v>0</v>
      </c>
      <c r="J283" s="121">
        <f t="array" aca="1" ref="J283" ca="1">IFERROR(INDEX(INDIRECT($B$3&amp;"."&amp;$B$267&amp;".energy["&amp;This.year&amp;"]"),MATCH($C283&amp;J$5,INDIRECT($B$3&amp;"."&amp;$B$267&amp;".energy[Tech description]")&amp;INDIRECT($B$3&amp;"."&amp;$B$267&amp;".energy[Energy description]"),0)),0)</f>
        <v>0</v>
      </c>
      <c r="K283" s="121">
        <f t="array" aca="1" ref="K283" ca="1">IFERROR(INDEX(INDIRECT($B$3&amp;"."&amp;$B$267&amp;".energy["&amp;This.year&amp;"]"),MATCH($C283&amp;K$5,INDIRECT($B$3&amp;"."&amp;$B$267&amp;".energy[Tech description]")&amp;INDIRECT($B$3&amp;"."&amp;$B$267&amp;".energy[Energy description]"),0)),0)</f>
        <v>0</v>
      </c>
      <c r="L283" s="121">
        <f t="array" aca="1" ref="L283" ca="1">IFERROR(INDEX(INDIRECT($B$3&amp;"."&amp;$B$267&amp;".energy["&amp;This.year&amp;"]"),MATCH($C283&amp;L$5,INDIRECT($B$3&amp;"."&amp;$B$267&amp;".energy[Tech description]")&amp;INDIRECT($B$3&amp;"."&amp;$B$267&amp;".energy[Energy description]"),0)),0)</f>
        <v>0</v>
      </c>
      <c r="M283" s="121">
        <f t="array" aca="1" ref="M283" ca="1">IFERROR(INDEX(INDIRECT($B$3&amp;"."&amp;$B$267&amp;".energy["&amp;This.year&amp;"]"),MATCH($C283&amp;M$5,INDIRECT($B$3&amp;"."&amp;$B$267&amp;".energy[Tech description]")&amp;INDIRECT($B$3&amp;"."&amp;$B$267&amp;".energy[Energy description]"),0)),0)</f>
        <v>0</v>
      </c>
      <c r="N283" s="121">
        <f t="array" aca="1" ref="N283" ca="1">IFERROR(INDEX(INDIRECT($B$3&amp;"."&amp;$B$267&amp;".energy["&amp;This.year&amp;"]"),MATCH($C283&amp;N$5,INDIRECT($B$3&amp;"."&amp;$B$267&amp;".energy[Tech description]")&amp;INDIRECT($B$3&amp;"."&amp;$B$267&amp;".energy[Energy description]"),0)),0)</f>
        <v>0</v>
      </c>
      <c r="O283" s="121">
        <f t="array" aca="1" ref="O283" ca="1">IFERROR(INDEX(INDIRECT($B$3&amp;"."&amp;$B$267&amp;".energy["&amp;This.year&amp;"]"),MATCH($C283&amp;O$5,INDIRECT($B$3&amp;"."&amp;$B$267&amp;".energy[Tech description]")&amp;INDIRECT($B$3&amp;"."&amp;$B$267&amp;".energy[Energy description]"),0)),0)</f>
        <v>0</v>
      </c>
      <c r="P283" s="121">
        <f t="array" aca="1" ref="P283" ca="1">IFERROR(INDEX(INDIRECT($B$3&amp;"."&amp;$B$267&amp;".energy["&amp;This.year&amp;"]"),MATCH($C283&amp;P$5,INDIRECT($B$3&amp;"."&amp;$B$267&amp;".energy[Tech description]")&amp;INDIRECT($B$3&amp;"."&amp;$B$267&amp;".energy[Energy description]"),0)),0)</f>
        <v>0</v>
      </c>
      <c r="Q283" s="121">
        <f t="array" aca="1" ref="Q283" ca="1">IFERROR(INDEX(INDIRECT($B$3&amp;"."&amp;$B$267&amp;".energy["&amp;This.year&amp;"]"),MATCH($C283&amp;Q$5,INDIRECT($B$3&amp;"."&amp;$B$267&amp;".energy[Tech description]")&amp;INDIRECT($B$3&amp;"."&amp;$B$267&amp;".energy[Energy description]"),0)),0)</f>
        <v>0</v>
      </c>
      <c r="R283" s="121">
        <f t="array" aca="1" ref="R283" ca="1">IFERROR(INDEX(INDIRECT($B$3&amp;"."&amp;$B$267&amp;".energy["&amp;This.year&amp;"]"),MATCH($C283&amp;R$5,INDIRECT($B$3&amp;"."&amp;$B$267&amp;".energy[Tech description]")&amp;INDIRECT($B$3&amp;"."&amp;$B$267&amp;".energy[Energy description]"),0)),0)</f>
        <v>0</v>
      </c>
      <c r="S283" s="121">
        <f t="array" aca="1" ref="S283" ca="1">IFERROR(INDEX(INDIRECT($B$3&amp;"."&amp;$B$267&amp;".energy["&amp;This.year&amp;"]"),MATCH($C283&amp;S$5,INDIRECT($B$3&amp;"."&amp;$B$267&amp;".energy[Tech description]")&amp;INDIRECT($B$3&amp;"."&amp;$B$267&amp;".energy[Energy description]"),0)),0)</f>
        <v>0</v>
      </c>
      <c r="T283" s="121">
        <f t="shared" ca="1" si="71"/>
        <v>0</v>
      </c>
      <c r="V283" s="171">
        <f t="array" aca="1" ref="V283" ca="1">IFERROR(INDEX(INDIRECT($B$3&amp;"."&amp;$B$267&amp;".energy["&amp;This.year&amp;"]"),MATCH($C283&amp;V$5,INDIRECT($B$3&amp;"."&amp;$B$267&amp;".energy[Tech description]")&amp;INDIRECT($B$3&amp;"."&amp;$B$267&amp;".energy[Energy description]"),0)),0)</f>
        <v>0</v>
      </c>
      <c r="W283" s="171">
        <f t="array" aca="1" ref="W283" ca="1">IFERROR(INDEX(INDIRECT($B$3&amp;"."&amp;$B$267&amp;".energy["&amp;This.year&amp;"]"),MATCH($C283&amp;W$5,INDIRECT($B$3&amp;"."&amp;$B$267&amp;".energy[Tech description]")&amp;INDIRECT($B$3&amp;"."&amp;$B$267&amp;".energy[Energy description]"),0)),0)</f>
        <v>0</v>
      </c>
      <c r="X283" s="171">
        <f t="array" aca="1" ref="X283" ca="1">IFERROR(INDEX(INDIRECT($B$3&amp;"."&amp;$B$267&amp;".energy["&amp;This.year&amp;"]"),MATCH($C283&amp;X$5,INDIRECT($B$3&amp;"."&amp;$B$267&amp;".energy[Tech description]")&amp;INDIRECT($B$3&amp;"."&amp;$B$267&amp;".energy[Energy description]"),0)),0)</f>
        <v>0</v>
      </c>
      <c r="Y283" s="171">
        <f t="array" aca="1" ref="Y283" ca="1">IFERROR(INDEX(INDIRECT($B$3&amp;"."&amp;$B$267&amp;".energy["&amp;This.year&amp;"]"),MATCH($C283&amp;Y$5,INDIRECT($B$3&amp;"."&amp;$B$267&amp;".energy[Tech description]")&amp;INDIRECT($B$3&amp;"."&amp;$B$267&amp;".energy[Energy description]"),0)),0)</f>
        <v>0</v>
      </c>
      <c r="Z283" s="171">
        <f t="array" aca="1" ref="Z283" ca="1">IFERROR(INDEX(INDIRECT($B$3&amp;"."&amp;$B$267&amp;".energy["&amp;This.year&amp;"]"),MATCH($C283&amp;Z$5,INDIRECT($B$3&amp;"."&amp;$B$267&amp;".energy[Tech description]")&amp;INDIRECT($B$3&amp;"."&amp;$B$267&amp;".energy[Energy description]"),0)),0)</f>
        <v>0</v>
      </c>
      <c r="AA283" s="171">
        <f t="array" aca="1" ref="AA283" ca="1">IFERROR(INDEX(INDIRECT($B$3&amp;"."&amp;$B$267&amp;".energy["&amp;This.year&amp;"]"),MATCH($C283&amp;AA$5,INDIRECT($B$3&amp;"."&amp;$B$267&amp;".energy[Tech description]")&amp;INDIRECT($B$3&amp;"."&amp;$B$267&amp;".energy[Energy description]"),0)),0)</f>
        <v>0</v>
      </c>
      <c r="AB283" s="171">
        <f t="array" aca="1" ref="AB283" ca="1">IFERROR(INDEX(INDIRECT($B$3&amp;"."&amp;$B$267&amp;".energy["&amp;This.year&amp;"]"),MATCH($C283&amp;AB$5,INDIRECT($B$3&amp;"."&amp;$B$267&amp;".energy[Tech description]")&amp;INDIRECT($B$3&amp;"."&amp;$B$267&amp;".energy[Energy description]"),0)),0)</f>
        <v>0</v>
      </c>
      <c r="AC283" s="171">
        <f t="array" aca="1" ref="AC283" ca="1">IFERROR(INDEX(INDIRECT($B$3&amp;"."&amp;$B$267&amp;".energy["&amp;This.year&amp;"]"),MATCH($C283&amp;AC$5,INDIRECT($B$3&amp;"."&amp;$B$267&amp;".energy[Tech description]")&amp;INDIRECT($B$3&amp;"."&amp;$B$267&amp;".energy[Energy description]"),0)),0)</f>
        <v>0</v>
      </c>
      <c r="AD283" s="171">
        <f t="array" aca="1" ref="AD283" ca="1">IFERROR(INDEX(INDIRECT($B$3&amp;"."&amp;$B$267&amp;".energy["&amp;This.year&amp;"]"),MATCH($C283&amp;AD$5,INDIRECT($B$3&amp;"."&amp;$B$267&amp;".energy[Tech description]")&amp;INDIRECT($B$3&amp;"."&amp;$B$267&amp;".energy[Energy description]"),0)),0)</f>
        <v>0</v>
      </c>
      <c r="AE283" s="171">
        <f t="array" aca="1" ref="AE283" ca="1">IFERROR(INDEX(INDIRECT($B$3&amp;"."&amp;$B$267&amp;".energy["&amp;This.year&amp;"]"),MATCH($C283&amp;AE$5,INDIRECT($B$3&amp;"."&amp;$B$267&amp;".energy[Tech description]")&amp;INDIRECT($B$3&amp;"."&amp;$B$267&amp;".energy[Energy description]"),0)),0)</f>
        <v>0</v>
      </c>
      <c r="AF283" s="171">
        <f t="array" aca="1" ref="AF283" ca="1">IFERROR(INDEX(INDIRECT($B$3&amp;"."&amp;$B$267&amp;".energy["&amp;This.year&amp;"]"),MATCH($C283&amp;AF$5,INDIRECT($B$3&amp;"."&amp;$B$267&amp;".energy[Tech description]")&amp;INDIRECT($B$3&amp;"."&amp;$B$267&amp;".energy[Energy description]"),0)),0)</f>
        <v>0</v>
      </c>
      <c r="AG283" s="171">
        <f t="array" aca="1" ref="AG283" ca="1">IFERROR(INDEX(INDIRECT($B$3&amp;"."&amp;$B$267&amp;".energy["&amp;This.year&amp;"]"),MATCH($C283&amp;AG$5,INDIRECT($B$3&amp;"."&amp;$B$267&amp;".energy[Tech description]")&amp;INDIRECT($B$3&amp;"."&amp;$B$267&amp;".energy[Energy description]"),0)),0)</f>
        <v>0</v>
      </c>
      <c r="AH283" s="171">
        <f t="array" aca="1" ref="AH283" ca="1">IFERROR(INDEX(INDIRECT($B$3&amp;"."&amp;$B$267&amp;".energy["&amp;This.year&amp;"]"),MATCH($C283&amp;AH$5,INDIRECT($B$3&amp;"."&amp;$B$267&amp;".energy[Tech description]")&amp;INDIRECT($B$3&amp;"."&amp;$B$267&amp;".energy[Energy description]"),0)),0)</f>
        <v>0</v>
      </c>
      <c r="AI283" s="171">
        <f t="array" aca="1" ref="AI283" ca="1">IFERROR(INDEX(INDIRECT($B$3&amp;"."&amp;$B$267&amp;".energy["&amp;This.year&amp;"]"),MATCH($C283&amp;AI$5,INDIRECT($B$3&amp;"."&amp;$B$267&amp;".energy[Tech description]")&amp;INDIRECT($B$3&amp;"."&amp;$B$267&amp;".energy[Energy description]"),0)),0)</f>
        <v>0</v>
      </c>
      <c r="AJ283" s="171">
        <f t="array" aca="1" ref="AJ283" ca="1">IFERROR(INDEX(INDIRECT($B$3&amp;"."&amp;$B$267&amp;".energy["&amp;This.year&amp;"]"),MATCH($C283&amp;AJ$5,INDIRECT($B$3&amp;"."&amp;$B$267&amp;".energy[Tech description]")&amp;INDIRECT($B$3&amp;"."&amp;$B$267&amp;".energy[Energy description]"),0)),0)</f>
        <v>0</v>
      </c>
      <c r="AK283" s="171">
        <f t="array" aca="1" ref="AK283" ca="1">IFERROR(INDEX(INDIRECT($B$3&amp;"."&amp;$B$267&amp;".energy["&amp;This.year&amp;"]"),MATCH($C283&amp;AK$5,INDIRECT($B$3&amp;"."&amp;$B$267&amp;".energy[Tech description]")&amp;INDIRECT($B$3&amp;"."&amp;$B$267&amp;".energy[Energy description]"),0)),0)</f>
        <v>0</v>
      </c>
      <c r="AL283" s="171">
        <f t="array" aca="1" ref="AL283" ca="1">IFERROR(INDEX(INDIRECT($B$3&amp;"."&amp;$B$267&amp;".energy["&amp;This.year&amp;"]"),MATCH($C283&amp;AL$5,INDIRECT($B$3&amp;"."&amp;$B$267&amp;".energy[Tech description]")&amp;INDIRECT($B$3&amp;"."&amp;$B$267&amp;".energy[Energy description]"),0)),0)</f>
        <v>0</v>
      </c>
      <c r="AM283" s="171">
        <f t="array" aca="1" ref="AM283" ca="1">IFERROR(INDEX(INDIRECT($B$3&amp;"."&amp;$B$267&amp;".energy["&amp;This.year&amp;"]"),MATCH($C283&amp;AM$5,INDIRECT($B$3&amp;"."&amp;$B$267&amp;".energy[Tech description]")&amp;INDIRECT($B$3&amp;"."&amp;$B$267&amp;".energy[Energy description]"),0)),0)</f>
        <v>0</v>
      </c>
      <c r="AN283" s="171">
        <f t="array" aca="1" ref="AN283" ca="1">IFERROR(INDEX(INDIRECT($B$3&amp;"."&amp;$B$267&amp;".energy["&amp;This.year&amp;"]"),MATCH($C283&amp;AN$5,INDIRECT($B$3&amp;"."&amp;$B$267&amp;".energy[Tech description]")&amp;INDIRECT($B$3&amp;"."&amp;$B$267&amp;".energy[Energy description]"),0)),0)</f>
        <v>0</v>
      </c>
      <c r="AO283" s="171">
        <f t="shared" ca="1" si="75"/>
        <v>0</v>
      </c>
      <c r="AQ283" s="173">
        <f t="array" aca="1" ref="AQ283" ca="1">IFERROR(INDEX(INDIRECT($B$3&amp;"."&amp;$B$267&amp;".energy["&amp;This.year&amp;"]"),MATCH($C283&amp;AQ$5,INDIRECT($B$3&amp;"."&amp;$B$267&amp;".energy[Tech description]")&amp;INDIRECT($B$3&amp;"."&amp;$B$267&amp;".energy[Energy description]"),0)),0)</f>
        <v>0</v>
      </c>
      <c r="AR283" s="173">
        <f t="array" aca="1" ref="AR283" ca="1">IFERROR(INDEX(INDIRECT($B$3&amp;"."&amp;$B$267&amp;".energy["&amp;This.year&amp;"]"),MATCH($C283&amp;AR$5,INDIRECT($B$3&amp;"."&amp;$B$267&amp;".energy[Tech description]")&amp;INDIRECT($B$3&amp;"."&amp;$B$267&amp;".energy[Energy description]"),0)),0)</f>
        <v>0</v>
      </c>
      <c r="AS283" s="173">
        <f t="array" aca="1" ref="AS283" ca="1">IFERROR(INDEX(INDIRECT($B$3&amp;"."&amp;$B$267&amp;".energy["&amp;This.year&amp;"]"),MATCH($C283&amp;AS$5,INDIRECT($B$3&amp;"."&amp;$B$267&amp;".energy[Tech description]")&amp;INDIRECT($B$3&amp;"."&amp;$B$267&amp;".energy[Energy description]"),0)),0)</f>
        <v>0</v>
      </c>
      <c r="AT283" s="173">
        <f t="array" aca="1" ref="AT283" ca="1">IFERROR(INDEX(INDIRECT($B$3&amp;"."&amp;$B$267&amp;".energy["&amp;This.year&amp;"]"),MATCH($C283&amp;AT$5,INDIRECT($B$3&amp;"."&amp;$B$267&amp;".energy[Tech description]")&amp;INDIRECT($B$3&amp;"."&amp;$B$267&amp;".energy[Energy description]"),0)),0)</f>
        <v>0</v>
      </c>
      <c r="AU283" s="173">
        <f t="array" aca="1" ref="AU283" ca="1">IFERROR(INDEX(INDIRECT($B$3&amp;"."&amp;$B$267&amp;".energy["&amp;This.year&amp;"]"),MATCH($C283&amp;AU$5,INDIRECT($B$3&amp;"."&amp;$B$267&amp;".energy[Tech description]")&amp;INDIRECT($B$3&amp;"."&amp;$B$267&amp;".energy[Energy description]"),0)),0)</f>
        <v>0</v>
      </c>
      <c r="AV283" s="173">
        <f t="array" aca="1" ref="AV283" ca="1">IFERROR(INDEX(INDIRECT($B$3&amp;"."&amp;$B$267&amp;".energy["&amp;This.year&amp;"]"),MATCH($C283&amp;AV$5,INDIRECT($B$3&amp;"."&amp;$B$267&amp;".energy[Tech description]")&amp;INDIRECT($B$3&amp;"."&amp;$B$267&amp;".energy[Energy description]"),0)),0)</f>
        <v>0</v>
      </c>
      <c r="AW283" s="173">
        <f t="array" aca="1" ref="AW283" ca="1">IFERROR(INDEX(INDIRECT($B$3&amp;"."&amp;$B$267&amp;".energy["&amp;This.year&amp;"]"),MATCH($C283&amp;AW$5,INDIRECT($B$3&amp;"."&amp;$B$267&amp;".energy[Tech description]")&amp;INDIRECT($B$3&amp;"."&amp;$B$267&amp;".energy[Energy description]"),0)),0)</f>
        <v>0</v>
      </c>
      <c r="AX283" s="173">
        <f t="array" aca="1" ref="AX283" ca="1">IFERROR(INDEX(INDIRECT($B$3&amp;"."&amp;$B$267&amp;".energy["&amp;This.year&amp;"]"),MATCH($C283&amp;AX$5,INDIRECT($B$3&amp;"."&amp;$B$267&amp;".energy[Tech description]")&amp;INDIRECT($B$3&amp;"."&amp;$B$267&amp;".energy[Energy description]"),0)),0)</f>
        <v>0</v>
      </c>
      <c r="AY283" s="173">
        <f t="array" aca="1" ref="AY283" ca="1">IFERROR(INDEX(INDIRECT($B$3&amp;"."&amp;$B$267&amp;".energy["&amp;This.year&amp;"]"),MATCH($C283&amp;AY$5,INDIRECT($B$3&amp;"."&amp;$B$267&amp;".energy[Tech description]")&amp;INDIRECT($B$3&amp;"."&amp;$B$267&amp;".energy[Energy description]"),0)),0)</f>
        <v>0</v>
      </c>
      <c r="AZ283" s="173">
        <f t="array" aca="1" ref="AZ283" ca="1">IFERROR(INDEX(INDIRECT($B$3&amp;"."&amp;$B$267&amp;".energy["&amp;This.year&amp;"]"),MATCH($C283&amp;AZ$5,INDIRECT($B$3&amp;"."&amp;$B$267&amp;".energy[Tech description]")&amp;INDIRECT($B$3&amp;"."&amp;$B$267&amp;".energy[Energy description]"),0)),0)</f>
        <v>0</v>
      </c>
      <c r="BA283" s="173">
        <f t="array" aca="1" ref="BA283" ca="1">IFERROR(INDEX(INDIRECT($B$3&amp;"."&amp;$B$267&amp;".energy["&amp;This.year&amp;"]"),MATCH($C283&amp;BA$5,INDIRECT($B$3&amp;"."&amp;$B$267&amp;".energy[Tech description]")&amp;INDIRECT($B$3&amp;"."&amp;$B$267&amp;".energy[Energy description]"),0)),0)</f>
        <v>0</v>
      </c>
      <c r="BB283" s="173">
        <f t="array" aca="1" ref="BB283" ca="1">IFERROR(INDEX(INDIRECT($B$3&amp;"."&amp;$B$267&amp;".energy["&amp;This.year&amp;"]"),MATCH($C283&amp;BB$5,INDIRECT($B$3&amp;"."&amp;$B$267&amp;".energy[Tech description]")&amp;INDIRECT($B$3&amp;"."&amp;$B$267&amp;".energy[Energy description]"),0)),0)</f>
        <v>0</v>
      </c>
      <c r="BC283" s="173">
        <f t="array" aca="1" ref="BC283" ca="1">IFERROR(INDEX(INDIRECT($B$3&amp;"."&amp;$B$267&amp;".energy["&amp;This.year&amp;"]"),MATCH($C283&amp;BC$5,INDIRECT($B$3&amp;"."&amp;$B$267&amp;".energy[Tech description]")&amp;INDIRECT($B$3&amp;"."&amp;$B$267&amp;".energy[Energy description]"),0)),0)</f>
        <v>0</v>
      </c>
      <c r="BD283" s="173">
        <f t="shared" ca="1" si="72"/>
        <v>0</v>
      </c>
      <c r="BF283" s="175">
        <f t="array" aca="1" ref="BF283" ca="1">IFERROR(INDEX(INDIRECT($B$3&amp;"."&amp;$B$267&amp;".energy["&amp;This.year&amp;"]"),MATCH($C283&amp;BF$5,INDIRECT($B$3&amp;"."&amp;$B$267&amp;".energy[Tech description]")&amp;INDIRECT($B$3&amp;"."&amp;$B$267&amp;".energy[Energy description]"),0)),0)</f>
        <v>0</v>
      </c>
      <c r="BG283" s="175">
        <f t="array" aca="1" ref="BG283" ca="1">IFERROR(INDEX(INDIRECT($B$3&amp;"."&amp;$B$267&amp;".energy["&amp;This.year&amp;"]"),MATCH($C283&amp;BG$5,INDIRECT($B$3&amp;"."&amp;$B$267&amp;".energy[Tech description]")&amp;INDIRECT($B$3&amp;"."&amp;$B$267&amp;".energy[Energy description]"),0)),0)</f>
        <v>0</v>
      </c>
      <c r="BH283" s="175">
        <f t="shared" ca="1" si="73"/>
        <v>0</v>
      </c>
      <c r="BI283" s="219">
        <f t="shared" ca="1" si="74"/>
        <v>0</v>
      </c>
      <c r="BJ283" s="58"/>
    </row>
    <row r="284" spans="1:62">
      <c r="B284" s="176" t="s">
        <v>1168</v>
      </c>
      <c r="C284" s="114" t="str">
        <f>INDEX(Regional.Technologies[Description],MATCH($B$3&amp;"."&amp;B284,Regional.Technologies[Code],0))</f>
        <v>Global Carbon capture open-cycle gas turbine power plant</v>
      </c>
      <c r="E284" s="121">
        <f t="array" aca="1" ref="E284" ca="1">IFERROR(INDEX(INDIRECT($B$3&amp;"."&amp;$B$267&amp;".energy["&amp;This.year&amp;"]"),MATCH($C284&amp;E$5,INDIRECT($B$3&amp;"."&amp;$B$267&amp;".energy[Tech description]")&amp;INDIRECT($B$3&amp;"."&amp;$B$267&amp;".energy[Energy description]"),0)),0)</f>
        <v>0</v>
      </c>
      <c r="F284" s="121">
        <f t="array" aca="1" ref="F284" ca="1">IFERROR(INDEX(INDIRECT($B$3&amp;"."&amp;$B$267&amp;".energy["&amp;This.year&amp;"]"),MATCH($C284&amp;F$5,INDIRECT($B$3&amp;"."&amp;$B$267&amp;".energy[Tech description]")&amp;INDIRECT($B$3&amp;"."&amp;$B$267&amp;".energy[Energy description]"),0)),0)</f>
        <v>0</v>
      </c>
      <c r="G284" s="121">
        <f t="array" aca="1" ref="G284" ca="1">IFERROR(INDEX(INDIRECT($B$3&amp;"."&amp;$B$267&amp;".energy["&amp;This.year&amp;"]"),MATCH($C284&amp;G$5,INDIRECT($B$3&amp;"."&amp;$B$267&amp;".energy[Tech description]")&amp;INDIRECT($B$3&amp;"."&amp;$B$267&amp;".energy[Energy description]"),0)),0)</f>
        <v>0</v>
      </c>
      <c r="H284" s="121">
        <f t="array" aca="1" ref="H284" ca="1">IFERROR(INDEX(INDIRECT($B$3&amp;"."&amp;$B$267&amp;".energy["&amp;This.year&amp;"]"),MATCH($C284&amp;H$5,INDIRECT($B$3&amp;"."&amp;$B$267&amp;".energy[Tech description]")&amp;INDIRECT($B$3&amp;"."&amp;$B$267&amp;".energy[Energy description]"),0)),0)</f>
        <v>0</v>
      </c>
      <c r="I284" s="121">
        <f t="array" aca="1" ref="I284" ca="1">IFERROR(INDEX(INDIRECT($B$3&amp;"."&amp;$B$267&amp;".energy["&amp;This.year&amp;"]"),MATCH($C284&amp;I$5,INDIRECT($B$3&amp;"."&amp;$B$267&amp;".energy[Tech description]")&amp;INDIRECT($B$3&amp;"."&amp;$B$267&amp;".energy[Energy description]"),0)),0)</f>
        <v>0</v>
      </c>
      <c r="J284" s="121">
        <f t="array" aca="1" ref="J284" ca="1">IFERROR(INDEX(INDIRECT($B$3&amp;"."&amp;$B$267&amp;".energy["&amp;This.year&amp;"]"),MATCH($C284&amp;J$5,INDIRECT($B$3&amp;"."&amp;$B$267&amp;".energy[Tech description]")&amp;INDIRECT($B$3&amp;"."&amp;$B$267&amp;".energy[Energy description]"),0)),0)</f>
        <v>0</v>
      </c>
      <c r="K284" s="121">
        <f t="array" aca="1" ref="K284" ca="1">IFERROR(INDEX(INDIRECT($B$3&amp;"."&amp;$B$267&amp;".energy["&amp;This.year&amp;"]"),MATCH($C284&amp;K$5,INDIRECT($B$3&amp;"."&amp;$B$267&amp;".energy[Tech description]")&amp;INDIRECT($B$3&amp;"."&amp;$B$267&amp;".energy[Energy description]"),0)),0)</f>
        <v>0</v>
      </c>
      <c r="L284" s="121">
        <f t="array" aca="1" ref="L284" ca="1">IFERROR(INDEX(INDIRECT($B$3&amp;"."&amp;$B$267&amp;".energy["&amp;This.year&amp;"]"),MATCH($C284&amp;L$5,INDIRECT($B$3&amp;"."&amp;$B$267&amp;".energy[Tech description]")&amp;INDIRECT($B$3&amp;"."&amp;$B$267&amp;".energy[Energy description]"),0)),0)</f>
        <v>0</v>
      </c>
      <c r="M284" s="121">
        <f t="array" aca="1" ref="M284" ca="1">IFERROR(INDEX(INDIRECT($B$3&amp;"."&amp;$B$267&amp;".energy["&amp;This.year&amp;"]"),MATCH($C284&amp;M$5,INDIRECT($B$3&amp;"."&amp;$B$267&amp;".energy[Tech description]")&amp;INDIRECT($B$3&amp;"."&amp;$B$267&amp;".energy[Energy description]"),0)),0)</f>
        <v>0</v>
      </c>
      <c r="N284" s="121">
        <f t="array" aca="1" ref="N284" ca="1">IFERROR(INDEX(INDIRECT($B$3&amp;"."&amp;$B$267&amp;".energy["&amp;This.year&amp;"]"),MATCH($C284&amp;N$5,INDIRECT($B$3&amp;"."&amp;$B$267&amp;".energy[Tech description]")&amp;INDIRECT($B$3&amp;"."&amp;$B$267&amp;".energy[Energy description]"),0)),0)</f>
        <v>0</v>
      </c>
      <c r="O284" s="121">
        <f t="array" aca="1" ref="O284" ca="1">IFERROR(INDEX(INDIRECT($B$3&amp;"."&amp;$B$267&amp;".energy["&amp;This.year&amp;"]"),MATCH($C284&amp;O$5,INDIRECT($B$3&amp;"."&amp;$B$267&amp;".energy[Tech description]")&amp;INDIRECT($B$3&amp;"."&amp;$B$267&amp;".energy[Energy description]"),0)),0)</f>
        <v>0</v>
      </c>
      <c r="P284" s="121">
        <f t="array" aca="1" ref="P284" ca="1">IFERROR(INDEX(INDIRECT($B$3&amp;"."&amp;$B$267&amp;".energy["&amp;This.year&amp;"]"),MATCH($C284&amp;P$5,INDIRECT($B$3&amp;"."&amp;$B$267&amp;".energy[Tech description]")&amp;INDIRECT($B$3&amp;"."&amp;$B$267&amp;".energy[Energy description]"),0)),0)</f>
        <v>0</v>
      </c>
      <c r="Q284" s="121">
        <f t="array" aca="1" ref="Q284" ca="1">IFERROR(INDEX(INDIRECT($B$3&amp;"."&amp;$B$267&amp;".energy["&amp;This.year&amp;"]"),MATCH($C284&amp;Q$5,INDIRECT($B$3&amp;"."&amp;$B$267&amp;".energy[Tech description]")&amp;INDIRECT($B$3&amp;"."&amp;$B$267&amp;".energy[Energy description]"),0)),0)</f>
        <v>0</v>
      </c>
      <c r="R284" s="121">
        <f t="array" aca="1" ref="R284" ca="1">IFERROR(INDEX(INDIRECT($B$3&amp;"."&amp;$B$267&amp;".energy["&amp;This.year&amp;"]"),MATCH($C284&amp;R$5,INDIRECT($B$3&amp;"."&amp;$B$267&amp;".energy[Tech description]")&amp;INDIRECT($B$3&amp;"."&amp;$B$267&amp;".energy[Energy description]"),0)),0)</f>
        <v>0</v>
      </c>
      <c r="S284" s="121">
        <f t="array" aca="1" ref="S284" ca="1">IFERROR(INDEX(INDIRECT($B$3&amp;"."&amp;$B$267&amp;".energy["&amp;This.year&amp;"]"),MATCH($C284&amp;S$5,INDIRECT($B$3&amp;"."&amp;$B$267&amp;".energy[Tech description]")&amp;INDIRECT($B$3&amp;"."&amp;$B$267&amp;".energy[Energy description]"),0)),0)</f>
        <v>0</v>
      </c>
      <c r="T284" s="121">
        <f t="shared" ca="1" si="71"/>
        <v>0</v>
      </c>
      <c r="V284" s="171">
        <f t="array" aca="1" ref="V284" ca="1">IFERROR(INDEX(INDIRECT($B$3&amp;"."&amp;$B$267&amp;".energy["&amp;This.year&amp;"]"),MATCH($C284&amp;V$5,INDIRECT($B$3&amp;"."&amp;$B$267&amp;".energy[Tech description]")&amp;INDIRECT($B$3&amp;"."&amp;$B$267&amp;".energy[Energy description]"),0)),0)</f>
        <v>0</v>
      </c>
      <c r="W284" s="171">
        <f t="array" aca="1" ref="W284" ca="1">IFERROR(INDEX(INDIRECT($B$3&amp;"."&amp;$B$267&amp;".energy["&amp;This.year&amp;"]"),MATCH($C284&amp;W$5,INDIRECT($B$3&amp;"."&amp;$B$267&amp;".energy[Tech description]")&amp;INDIRECT($B$3&amp;"."&amp;$B$267&amp;".energy[Energy description]"),0)),0)</f>
        <v>0</v>
      </c>
      <c r="X284" s="171">
        <f t="array" aca="1" ref="X284" ca="1">IFERROR(INDEX(INDIRECT($B$3&amp;"."&amp;$B$267&amp;".energy["&amp;This.year&amp;"]"),MATCH($C284&amp;X$5,INDIRECT($B$3&amp;"."&amp;$B$267&amp;".energy[Tech description]")&amp;INDIRECT($B$3&amp;"."&amp;$B$267&amp;".energy[Energy description]"),0)),0)</f>
        <v>0</v>
      </c>
      <c r="Y284" s="171">
        <f t="array" aca="1" ref="Y284" ca="1">IFERROR(INDEX(INDIRECT($B$3&amp;"."&amp;$B$267&amp;".energy["&amp;This.year&amp;"]"),MATCH($C284&amp;Y$5,INDIRECT($B$3&amp;"."&amp;$B$267&amp;".energy[Tech description]")&amp;INDIRECT($B$3&amp;"."&amp;$B$267&amp;".energy[Energy description]"),0)),0)</f>
        <v>0</v>
      </c>
      <c r="Z284" s="171">
        <f t="array" aca="1" ref="Z284" ca="1">IFERROR(INDEX(INDIRECT($B$3&amp;"."&amp;$B$267&amp;".energy["&amp;This.year&amp;"]"),MATCH($C284&amp;Z$5,INDIRECT($B$3&amp;"."&amp;$B$267&amp;".energy[Tech description]")&amp;INDIRECT($B$3&amp;"."&amp;$B$267&amp;".energy[Energy description]"),0)),0)</f>
        <v>0</v>
      </c>
      <c r="AA284" s="171">
        <f t="array" aca="1" ref="AA284" ca="1">IFERROR(INDEX(INDIRECT($B$3&amp;"."&amp;$B$267&amp;".energy["&amp;This.year&amp;"]"),MATCH($C284&amp;AA$5,INDIRECT($B$3&amp;"."&amp;$B$267&amp;".energy[Tech description]")&amp;INDIRECT($B$3&amp;"."&amp;$B$267&amp;".energy[Energy description]"),0)),0)</f>
        <v>0</v>
      </c>
      <c r="AB284" s="171">
        <f t="array" aca="1" ref="AB284" ca="1">IFERROR(INDEX(INDIRECT($B$3&amp;"."&amp;$B$267&amp;".energy["&amp;This.year&amp;"]"),MATCH($C284&amp;AB$5,INDIRECT($B$3&amp;"."&amp;$B$267&amp;".energy[Tech description]")&amp;INDIRECT($B$3&amp;"."&amp;$B$267&amp;".energy[Energy description]"),0)),0)</f>
        <v>0</v>
      </c>
      <c r="AC284" s="171">
        <f t="array" aca="1" ref="AC284" ca="1">IFERROR(INDEX(INDIRECT($B$3&amp;"."&amp;$B$267&amp;".energy["&amp;This.year&amp;"]"),MATCH($C284&amp;AC$5,INDIRECT($B$3&amp;"."&amp;$B$267&amp;".energy[Tech description]")&amp;INDIRECT($B$3&amp;"."&amp;$B$267&amp;".energy[Energy description]"),0)),0)</f>
        <v>0</v>
      </c>
      <c r="AD284" s="171">
        <f t="array" aca="1" ref="AD284" ca="1">IFERROR(INDEX(INDIRECT($B$3&amp;"."&amp;$B$267&amp;".energy["&amp;This.year&amp;"]"),MATCH($C284&amp;AD$5,INDIRECT($B$3&amp;"."&amp;$B$267&amp;".energy[Tech description]")&amp;INDIRECT($B$3&amp;"."&amp;$B$267&amp;".energy[Energy description]"),0)),0)</f>
        <v>0</v>
      </c>
      <c r="AE284" s="171">
        <f t="array" aca="1" ref="AE284" ca="1">IFERROR(INDEX(INDIRECT($B$3&amp;"."&amp;$B$267&amp;".energy["&amp;This.year&amp;"]"),MATCH($C284&amp;AE$5,INDIRECT($B$3&amp;"."&amp;$B$267&amp;".energy[Tech description]")&amp;INDIRECT($B$3&amp;"."&amp;$B$267&amp;".energy[Energy description]"),0)),0)</f>
        <v>0</v>
      </c>
      <c r="AF284" s="171">
        <f t="array" aca="1" ref="AF284" ca="1">IFERROR(INDEX(INDIRECT($B$3&amp;"."&amp;$B$267&amp;".energy["&amp;This.year&amp;"]"),MATCH($C284&amp;AF$5,INDIRECT($B$3&amp;"."&amp;$B$267&amp;".energy[Tech description]")&amp;INDIRECT($B$3&amp;"."&amp;$B$267&amp;".energy[Energy description]"),0)),0)</f>
        <v>0</v>
      </c>
      <c r="AG284" s="171">
        <f t="array" aca="1" ref="AG284" ca="1">IFERROR(INDEX(INDIRECT($B$3&amp;"."&amp;$B$267&amp;".energy["&amp;This.year&amp;"]"),MATCH($C284&amp;AG$5,INDIRECT($B$3&amp;"."&amp;$B$267&amp;".energy[Tech description]")&amp;INDIRECT($B$3&amp;"."&amp;$B$267&amp;".energy[Energy description]"),0)),0)</f>
        <v>0</v>
      </c>
      <c r="AH284" s="171">
        <f t="array" aca="1" ref="AH284" ca="1">IFERROR(INDEX(INDIRECT($B$3&amp;"."&amp;$B$267&amp;".energy["&amp;This.year&amp;"]"),MATCH($C284&amp;AH$5,INDIRECT($B$3&amp;"."&amp;$B$267&amp;".energy[Tech description]")&amp;INDIRECT($B$3&amp;"."&amp;$B$267&amp;".energy[Energy description]"),0)),0)</f>
        <v>0</v>
      </c>
      <c r="AI284" s="171">
        <f t="array" aca="1" ref="AI284" ca="1">IFERROR(INDEX(INDIRECT($B$3&amp;"."&amp;$B$267&amp;".energy["&amp;This.year&amp;"]"),MATCH($C284&amp;AI$5,INDIRECT($B$3&amp;"."&amp;$B$267&amp;".energy[Tech description]")&amp;INDIRECT($B$3&amp;"."&amp;$B$267&amp;".energy[Energy description]"),0)),0)</f>
        <v>0</v>
      </c>
      <c r="AJ284" s="171">
        <f t="array" aca="1" ref="AJ284" ca="1">IFERROR(INDEX(INDIRECT($B$3&amp;"."&amp;$B$267&amp;".energy["&amp;This.year&amp;"]"),MATCH($C284&amp;AJ$5,INDIRECT($B$3&amp;"."&amp;$B$267&amp;".energy[Tech description]")&amp;INDIRECT($B$3&amp;"."&amp;$B$267&amp;".energy[Energy description]"),0)),0)</f>
        <v>0</v>
      </c>
      <c r="AK284" s="171">
        <f t="array" aca="1" ref="AK284" ca="1">IFERROR(INDEX(INDIRECT($B$3&amp;"."&amp;$B$267&amp;".energy["&amp;This.year&amp;"]"),MATCH($C284&amp;AK$5,INDIRECT($B$3&amp;"."&amp;$B$267&amp;".energy[Tech description]")&amp;INDIRECT($B$3&amp;"."&amp;$B$267&amp;".energy[Energy description]"),0)),0)</f>
        <v>0</v>
      </c>
      <c r="AL284" s="171">
        <f t="array" aca="1" ref="AL284" ca="1">IFERROR(INDEX(INDIRECT($B$3&amp;"."&amp;$B$267&amp;".energy["&amp;This.year&amp;"]"),MATCH($C284&amp;AL$5,INDIRECT($B$3&amp;"."&amp;$B$267&amp;".energy[Tech description]")&amp;INDIRECT($B$3&amp;"."&amp;$B$267&amp;".energy[Energy description]"),0)),0)</f>
        <v>0</v>
      </c>
      <c r="AM284" s="171">
        <f t="array" aca="1" ref="AM284" ca="1">IFERROR(INDEX(INDIRECT($B$3&amp;"."&amp;$B$267&amp;".energy["&amp;This.year&amp;"]"),MATCH($C284&amp;AM$5,INDIRECT($B$3&amp;"."&amp;$B$267&amp;".energy[Tech description]")&amp;INDIRECT($B$3&amp;"."&amp;$B$267&amp;".energy[Energy description]"),0)),0)</f>
        <v>0</v>
      </c>
      <c r="AN284" s="171">
        <f t="array" aca="1" ref="AN284" ca="1">IFERROR(INDEX(INDIRECT($B$3&amp;"."&amp;$B$267&amp;".energy["&amp;This.year&amp;"]"),MATCH($C284&amp;AN$5,INDIRECT($B$3&amp;"."&amp;$B$267&amp;".energy[Tech description]")&amp;INDIRECT($B$3&amp;"."&amp;$B$267&amp;".energy[Energy description]"),0)),0)</f>
        <v>0</v>
      </c>
      <c r="AO284" s="171">
        <f t="shared" ca="1" si="75"/>
        <v>0</v>
      </c>
      <c r="AQ284" s="173">
        <f t="array" aca="1" ref="AQ284" ca="1">IFERROR(INDEX(INDIRECT($B$3&amp;"."&amp;$B$267&amp;".energy["&amp;This.year&amp;"]"),MATCH($C284&amp;AQ$5,INDIRECT($B$3&amp;"."&amp;$B$267&amp;".energy[Tech description]")&amp;INDIRECT($B$3&amp;"."&amp;$B$267&amp;".energy[Energy description]"),0)),0)</f>
        <v>0</v>
      </c>
      <c r="AR284" s="173">
        <f t="array" aca="1" ref="AR284" ca="1">IFERROR(INDEX(INDIRECT($B$3&amp;"."&amp;$B$267&amp;".energy["&amp;This.year&amp;"]"),MATCH($C284&amp;AR$5,INDIRECT($B$3&amp;"."&amp;$B$267&amp;".energy[Tech description]")&amp;INDIRECT($B$3&amp;"."&amp;$B$267&amp;".energy[Energy description]"),0)),0)</f>
        <v>0</v>
      </c>
      <c r="AS284" s="173">
        <f t="array" aca="1" ref="AS284" ca="1">IFERROR(INDEX(INDIRECT($B$3&amp;"."&amp;$B$267&amp;".energy["&amp;This.year&amp;"]"),MATCH($C284&amp;AS$5,INDIRECT($B$3&amp;"."&amp;$B$267&amp;".energy[Tech description]")&amp;INDIRECT($B$3&amp;"."&amp;$B$267&amp;".energy[Energy description]"),0)),0)</f>
        <v>0</v>
      </c>
      <c r="AT284" s="173">
        <f t="array" aca="1" ref="AT284" ca="1">IFERROR(INDEX(INDIRECT($B$3&amp;"."&amp;$B$267&amp;".energy["&amp;This.year&amp;"]"),MATCH($C284&amp;AT$5,INDIRECT($B$3&amp;"."&amp;$B$267&amp;".energy[Tech description]")&amp;INDIRECT($B$3&amp;"."&amp;$B$267&amp;".energy[Energy description]"),0)),0)</f>
        <v>0</v>
      </c>
      <c r="AU284" s="173">
        <f t="array" aca="1" ref="AU284" ca="1">IFERROR(INDEX(INDIRECT($B$3&amp;"."&amp;$B$267&amp;".energy["&amp;This.year&amp;"]"),MATCH($C284&amp;AU$5,INDIRECT($B$3&amp;"."&amp;$B$267&amp;".energy[Tech description]")&amp;INDIRECT($B$3&amp;"."&amp;$B$267&amp;".energy[Energy description]"),0)),0)</f>
        <v>0</v>
      </c>
      <c r="AV284" s="173">
        <f t="array" aca="1" ref="AV284" ca="1">IFERROR(INDEX(INDIRECT($B$3&amp;"."&amp;$B$267&amp;".energy["&amp;This.year&amp;"]"),MATCH($C284&amp;AV$5,INDIRECT($B$3&amp;"."&amp;$B$267&amp;".energy[Tech description]")&amp;INDIRECT($B$3&amp;"."&amp;$B$267&amp;".energy[Energy description]"),0)),0)</f>
        <v>0</v>
      </c>
      <c r="AW284" s="173">
        <f t="array" aca="1" ref="AW284" ca="1">IFERROR(INDEX(INDIRECT($B$3&amp;"."&amp;$B$267&amp;".energy["&amp;This.year&amp;"]"),MATCH($C284&amp;AW$5,INDIRECT($B$3&amp;"."&amp;$B$267&amp;".energy[Tech description]")&amp;INDIRECT($B$3&amp;"."&amp;$B$267&amp;".energy[Energy description]"),0)),0)</f>
        <v>0</v>
      </c>
      <c r="AX284" s="173">
        <f t="array" aca="1" ref="AX284" ca="1">IFERROR(INDEX(INDIRECT($B$3&amp;"."&amp;$B$267&amp;".energy["&amp;This.year&amp;"]"),MATCH($C284&amp;AX$5,INDIRECT($B$3&amp;"."&amp;$B$267&amp;".energy[Tech description]")&amp;INDIRECT($B$3&amp;"."&amp;$B$267&amp;".energy[Energy description]"),0)),0)</f>
        <v>0</v>
      </c>
      <c r="AY284" s="173">
        <f t="array" aca="1" ref="AY284" ca="1">IFERROR(INDEX(INDIRECT($B$3&amp;"."&amp;$B$267&amp;".energy["&amp;This.year&amp;"]"),MATCH($C284&amp;AY$5,INDIRECT($B$3&amp;"."&amp;$B$267&amp;".energy[Tech description]")&amp;INDIRECT($B$3&amp;"."&amp;$B$267&amp;".energy[Energy description]"),0)),0)</f>
        <v>0</v>
      </c>
      <c r="AZ284" s="173">
        <f t="array" aca="1" ref="AZ284" ca="1">IFERROR(INDEX(INDIRECT($B$3&amp;"."&amp;$B$267&amp;".energy["&amp;This.year&amp;"]"),MATCH($C284&amp;AZ$5,INDIRECT($B$3&amp;"."&amp;$B$267&amp;".energy[Tech description]")&amp;INDIRECT($B$3&amp;"."&amp;$B$267&amp;".energy[Energy description]"),0)),0)</f>
        <v>0</v>
      </c>
      <c r="BA284" s="173">
        <f t="array" aca="1" ref="BA284" ca="1">IFERROR(INDEX(INDIRECT($B$3&amp;"."&amp;$B$267&amp;".energy["&amp;This.year&amp;"]"),MATCH($C284&amp;BA$5,INDIRECT($B$3&amp;"."&amp;$B$267&amp;".energy[Tech description]")&amp;INDIRECT($B$3&amp;"."&amp;$B$267&amp;".energy[Energy description]"),0)),0)</f>
        <v>0</v>
      </c>
      <c r="BB284" s="173">
        <f t="array" aca="1" ref="BB284" ca="1">IFERROR(INDEX(INDIRECT($B$3&amp;"."&amp;$B$267&amp;".energy["&amp;This.year&amp;"]"),MATCH($C284&amp;BB$5,INDIRECT($B$3&amp;"."&amp;$B$267&amp;".energy[Tech description]")&amp;INDIRECT($B$3&amp;"."&amp;$B$267&amp;".energy[Energy description]"),0)),0)</f>
        <v>0</v>
      </c>
      <c r="BC284" s="173">
        <f t="array" aca="1" ref="BC284" ca="1">IFERROR(INDEX(INDIRECT($B$3&amp;"."&amp;$B$267&amp;".energy["&amp;This.year&amp;"]"),MATCH($C284&amp;BC$5,INDIRECT($B$3&amp;"."&amp;$B$267&amp;".energy[Tech description]")&amp;INDIRECT($B$3&amp;"."&amp;$B$267&amp;".energy[Energy description]"),0)),0)</f>
        <v>0</v>
      </c>
      <c r="BD284" s="173">
        <f t="shared" ca="1" si="72"/>
        <v>0</v>
      </c>
      <c r="BF284" s="175">
        <f t="array" aca="1" ref="BF284" ca="1">IFERROR(INDEX(INDIRECT($B$3&amp;"."&amp;$B$267&amp;".energy["&amp;This.year&amp;"]"),MATCH($C284&amp;BF$5,INDIRECT($B$3&amp;"."&amp;$B$267&amp;".energy[Tech description]")&amp;INDIRECT($B$3&amp;"."&amp;$B$267&amp;".energy[Energy description]"),0)),0)</f>
        <v>0</v>
      </c>
      <c r="BG284" s="175">
        <f t="array" aca="1" ref="BG284" ca="1">IFERROR(INDEX(INDIRECT($B$3&amp;"."&amp;$B$267&amp;".energy["&amp;This.year&amp;"]"),MATCH($C284&amp;BG$5,INDIRECT($B$3&amp;"."&amp;$B$267&amp;".energy[Tech description]")&amp;INDIRECT($B$3&amp;"."&amp;$B$267&amp;".energy[Energy description]"),0)),0)</f>
        <v>0</v>
      </c>
      <c r="BH284" s="175">
        <f t="shared" ca="1" si="73"/>
        <v>0</v>
      </c>
      <c r="BI284" s="219">
        <f t="shared" ca="1" si="74"/>
        <v>0</v>
      </c>
      <c r="BJ284" s="58"/>
    </row>
    <row r="285" spans="1:62">
      <c r="B285" s="176" t="s">
        <v>1169</v>
      </c>
      <c r="C285" s="114" t="str">
        <f>INDEX(Regional.Technologies[Description],MATCH($B$3&amp;"."&amp;B285,Regional.Technologies[Code],0))</f>
        <v>Global Carbon capture combined cycle gas turbine power plant</v>
      </c>
      <c r="E285" s="121">
        <f t="array" aca="1" ref="E285" ca="1">IFERROR(INDEX(INDIRECT($B$3&amp;"."&amp;$B$267&amp;".energy["&amp;This.year&amp;"]"),MATCH($C285&amp;E$5,INDIRECT($B$3&amp;"."&amp;$B$267&amp;".energy[Tech description]")&amp;INDIRECT($B$3&amp;"."&amp;$B$267&amp;".energy[Energy description]"),0)),0)</f>
        <v>0</v>
      </c>
      <c r="F285" s="121">
        <f t="array" aca="1" ref="F285" ca="1">IFERROR(INDEX(INDIRECT($B$3&amp;"."&amp;$B$267&amp;".energy["&amp;This.year&amp;"]"),MATCH($C285&amp;F$5,INDIRECT($B$3&amp;"."&amp;$B$267&amp;".energy[Tech description]")&amp;INDIRECT($B$3&amp;"."&amp;$B$267&amp;".energy[Energy description]"),0)),0)</f>
        <v>0</v>
      </c>
      <c r="G285" s="121">
        <f t="array" aca="1" ref="G285" ca="1">IFERROR(INDEX(INDIRECT($B$3&amp;"."&amp;$B$267&amp;".energy["&amp;This.year&amp;"]"),MATCH($C285&amp;G$5,INDIRECT($B$3&amp;"."&amp;$B$267&amp;".energy[Tech description]")&amp;INDIRECT($B$3&amp;"."&amp;$B$267&amp;".energy[Energy description]"),0)),0)</f>
        <v>0</v>
      </c>
      <c r="H285" s="121">
        <f t="array" aca="1" ref="H285" ca="1">IFERROR(INDEX(INDIRECT($B$3&amp;"."&amp;$B$267&amp;".energy["&amp;This.year&amp;"]"),MATCH($C285&amp;H$5,INDIRECT($B$3&amp;"."&amp;$B$267&amp;".energy[Tech description]")&amp;INDIRECT($B$3&amp;"."&amp;$B$267&amp;".energy[Energy description]"),0)),0)</f>
        <v>0</v>
      </c>
      <c r="I285" s="121">
        <f t="array" aca="1" ref="I285" ca="1">IFERROR(INDEX(INDIRECT($B$3&amp;"."&amp;$B$267&amp;".energy["&amp;This.year&amp;"]"),MATCH($C285&amp;I$5,INDIRECT($B$3&amp;"."&amp;$B$267&amp;".energy[Tech description]")&amp;INDIRECT($B$3&amp;"."&amp;$B$267&amp;".energy[Energy description]"),0)),0)</f>
        <v>0</v>
      </c>
      <c r="J285" s="121">
        <f t="array" aca="1" ref="J285" ca="1">IFERROR(INDEX(INDIRECT($B$3&amp;"."&amp;$B$267&amp;".energy["&amp;This.year&amp;"]"),MATCH($C285&amp;J$5,INDIRECT($B$3&amp;"."&amp;$B$267&amp;".energy[Tech description]")&amp;INDIRECT($B$3&amp;"."&amp;$B$267&amp;".energy[Energy description]"),0)),0)</f>
        <v>0</v>
      </c>
      <c r="K285" s="121">
        <f t="array" aca="1" ref="K285" ca="1">IFERROR(INDEX(INDIRECT($B$3&amp;"."&amp;$B$267&amp;".energy["&amp;This.year&amp;"]"),MATCH($C285&amp;K$5,INDIRECT($B$3&amp;"."&amp;$B$267&amp;".energy[Tech description]")&amp;INDIRECT($B$3&amp;"."&amp;$B$267&amp;".energy[Energy description]"),0)),0)</f>
        <v>0</v>
      </c>
      <c r="L285" s="121">
        <f t="array" aca="1" ref="L285" ca="1">IFERROR(INDEX(INDIRECT($B$3&amp;"."&amp;$B$267&amp;".energy["&amp;This.year&amp;"]"),MATCH($C285&amp;L$5,INDIRECT($B$3&amp;"."&amp;$B$267&amp;".energy[Tech description]")&amp;INDIRECT($B$3&amp;"."&amp;$B$267&amp;".energy[Energy description]"),0)),0)</f>
        <v>0</v>
      </c>
      <c r="M285" s="121">
        <f t="array" aca="1" ref="M285" ca="1">IFERROR(INDEX(INDIRECT($B$3&amp;"."&amp;$B$267&amp;".energy["&amp;This.year&amp;"]"),MATCH($C285&amp;M$5,INDIRECT($B$3&amp;"."&amp;$B$267&amp;".energy[Tech description]")&amp;INDIRECT($B$3&amp;"."&amp;$B$267&amp;".energy[Energy description]"),0)),0)</f>
        <v>0</v>
      </c>
      <c r="N285" s="121">
        <f t="array" aca="1" ref="N285" ca="1">IFERROR(INDEX(INDIRECT($B$3&amp;"."&amp;$B$267&amp;".energy["&amp;This.year&amp;"]"),MATCH($C285&amp;N$5,INDIRECT($B$3&amp;"."&amp;$B$267&amp;".energy[Tech description]")&amp;INDIRECT($B$3&amp;"."&amp;$B$267&amp;".energy[Energy description]"),0)),0)</f>
        <v>0</v>
      </c>
      <c r="O285" s="121">
        <f t="array" aca="1" ref="O285" ca="1">IFERROR(INDEX(INDIRECT($B$3&amp;"."&amp;$B$267&amp;".energy["&amp;This.year&amp;"]"),MATCH($C285&amp;O$5,INDIRECT($B$3&amp;"."&amp;$B$267&amp;".energy[Tech description]")&amp;INDIRECT($B$3&amp;"."&amp;$B$267&amp;".energy[Energy description]"),0)),0)</f>
        <v>0</v>
      </c>
      <c r="P285" s="121">
        <f t="array" aca="1" ref="P285" ca="1">IFERROR(INDEX(INDIRECT($B$3&amp;"."&amp;$B$267&amp;".energy["&amp;This.year&amp;"]"),MATCH($C285&amp;P$5,INDIRECT($B$3&amp;"."&amp;$B$267&amp;".energy[Tech description]")&amp;INDIRECT($B$3&amp;"."&amp;$B$267&amp;".energy[Energy description]"),0)),0)</f>
        <v>0</v>
      </c>
      <c r="Q285" s="121">
        <f t="array" aca="1" ref="Q285" ca="1">IFERROR(INDEX(INDIRECT($B$3&amp;"."&amp;$B$267&amp;".energy["&amp;This.year&amp;"]"),MATCH($C285&amp;Q$5,INDIRECT($B$3&amp;"."&amp;$B$267&amp;".energy[Tech description]")&amp;INDIRECT($B$3&amp;"."&amp;$B$267&amp;".energy[Energy description]"),0)),0)</f>
        <v>0</v>
      </c>
      <c r="R285" s="121">
        <f t="array" aca="1" ref="R285" ca="1">IFERROR(INDEX(INDIRECT($B$3&amp;"."&amp;$B$267&amp;".energy["&amp;This.year&amp;"]"),MATCH($C285&amp;R$5,INDIRECT($B$3&amp;"."&amp;$B$267&amp;".energy[Tech description]")&amp;INDIRECT($B$3&amp;"."&amp;$B$267&amp;".energy[Energy description]"),0)),0)</f>
        <v>0</v>
      </c>
      <c r="S285" s="121">
        <f t="array" aca="1" ref="S285" ca="1">IFERROR(INDEX(INDIRECT($B$3&amp;"."&amp;$B$267&amp;".energy["&amp;This.year&amp;"]"),MATCH($C285&amp;S$5,INDIRECT($B$3&amp;"."&amp;$B$267&amp;".energy[Tech description]")&amp;INDIRECT($B$3&amp;"."&amp;$B$267&amp;".energy[Energy description]"),0)),0)</f>
        <v>0</v>
      </c>
      <c r="T285" s="121">
        <f t="shared" ca="1" si="71"/>
        <v>0</v>
      </c>
      <c r="V285" s="171">
        <f t="array" aca="1" ref="V285" ca="1">IFERROR(INDEX(INDIRECT($B$3&amp;"."&amp;$B$267&amp;".energy["&amp;This.year&amp;"]"),MATCH($C285&amp;V$5,INDIRECT($B$3&amp;"."&amp;$B$267&amp;".energy[Tech description]")&amp;INDIRECT($B$3&amp;"."&amp;$B$267&amp;".energy[Energy description]"),0)),0)</f>
        <v>0</v>
      </c>
      <c r="W285" s="171">
        <f t="array" aca="1" ref="W285" ca="1">IFERROR(INDEX(INDIRECT($B$3&amp;"."&amp;$B$267&amp;".energy["&amp;This.year&amp;"]"),MATCH($C285&amp;W$5,INDIRECT($B$3&amp;"."&amp;$B$267&amp;".energy[Tech description]")&amp;INDIRECT($B$3&amp;"."&amp;$B$267&amp;".energy[Energy description]"),0)),0)</f>
        <v>0</v>
      </c>
      <c r="X285" s="171">
        <f t="array" aca="1" ref="X285" ca="1">IFERROR(INDEX(INDIRECT($B$3&amp;"."&amp;$B$267&amp;".energy["&amp;This.year&amp;"]"),MATCH($C285&amp;X$5,INDIRECT($B$3&amp;"."&amp;$B$267&amp;".energy[Tech description]")&amp;INDIRECT($B$3&amp;"."&amp;$B$267&amp;".energy[Energy description]"),0)),0)</f>
        <v>0</v>
      </c>
      <c r="Y285" s="171">
        <f t="array" aca="1" ref="Y285" ca="1">IFERROR(INDEX(INDIRECT($B$3&amp;"."&amp;$B$267&amp;".energy["&amp;This.year&amp;"]"),MATCH($C285&amp;Y$5,INDIRECT($B$3&amp;"."&amp;$B$267&amp;".energy[Tech description]")&amp;INDIRECT($B$3&amp;"."&amp;$B$267&amp;".energy[Energy description]"),0)),0)</f>
        <v>0</v>
      </c>
      <c r="Z285" s="171">
        <f t="array" aca="1" ref="Z285" ca="1">IFERROR(INDEX(INDIRECT($B$3&amp;"."&amp;$B$267&amp;".energy["&amp;This.year&amp;"]"),MATCH($C285&amp;Z$5,INDIRECT($B$3&amp;"."&amp;$B$267&amp;".energy[Tech description]")&amp;INDIRECT($B$3&amp;"."&amp;$B$267&amp;".energy[Energy description]"),0)),0)</f>
        <v>0</v>
      </c>
      <c r="AA285" s="171">
        <f t="array" aca="1" ref="AA285" ca="1">IFERROR(INDEX(INDIRECT($B$3&amp;"."&amp;$B$267&amp;".energy["&amp;This.year&amp;"]"),MATCH($C285&amp;AA$5,INDIRECT($B$3&amp;"."&amp;$B$267&amp;".energy[Tech description]")&amp;INDIRECT($B$3&amp;"."&amp;$B$267&amp;".energy[Energy description]"),0)),0)</f>
        <v>0</v>
      </c>
      <c r="AB285" s="171">
        <f t="array" aca="1" ref="AB285" ca="1">IFERROR(INDEX(INDIRECT($B$3&amp;"."&amp;$B$267&amp;".energy["&amp;This.year&amp;"]"),MATCH($C285&amp;AB$5,INDIRECT($B$3&amp;"."&amp;$B$267&amp;".energy[Tech description]")&amp;INDIRECT($B$3&amp;"."&amp;$B$267&amp;".energy[Energy description]"),0)),0)</f>
        <v>0</v>
      </c>
      <c r="AC285" s="171">
        <f t="array" aca="1" ref="AC285" ca="1">IFERROR(INDEX(INDIRECT($B$3&amp;"."&amp;$B$267&amp;".energy["&amp;This.year&amp;"]"),MATCH($C285&amp;AC$5,INDIRECT($B$3&amp;"."&amp;$B$267&amp;".energy[Tech description]")&amp;INDIRECT($B$3&amp;"."&amp;$B$267&amp;".energy[Energy description]"),0)),0)</f>
        <v>0</v>
      </c>
      <c r="AD285" s="171">
        <f t="array" aca="1" ref="AD285" ca="1">IFERROR(INDEX(INDIRECT($B$3&amp;"."&amp;$B$267&amp;".energy["&amp;This.year&amp;"]"),MATCH($C285&amp;AD$5,INDIRECT($B$3&amp;"."&amp;$B$267&amp;".energy[Tech description]")&amp;INDIRECT($B$3&amp;"."&amp;$B$267&amp;".energy[Energy description]"),0)),0)</f>
        <v>0</v>
      </c>
      <c r="AE285" s="171">
        <f t="array" aca="1" ref="AE285" ca="1">IFERROR(INDEX(INDIRECT($B$3&amp;"."&amp;$B$267&amp;".energy["&amp;This.year&amp;"]"),MATCH($C285&amp;AE$5,INDIRECT($B$3&amp;"."&amp;$B$267&amp;".energy[Tech description]")&amp;INDIRECT($B$3&amp;"."&amp;$B$267&amp;".energy[Energy description]"),0)),0)</f>
        <v>0</v>
      </c>
      <c r="AF285" s="171">
        <f t="array" aca="1" ref="AF285" ca="1">IFERROR(INDEX(INDIRECT($B$3&amp;"."&amp;$B$267&amp;".energy["&amp;This.year&amp;"]"),MATCH($C285&amp;AF$5,INDIRECT($B$3&amp;"."&amp;$B$267&amp;".energy[Tech description]")&amp;INDIRECT($B$3&amp;"."&amp;$B$267&amp;".energy[Energy description]"),0)),0)</f>
        <v>0</v>
      </c>
      <c r="AG285" s="171">
        <f t="array" aca="1" ref="AG285" ca="1">IFERROR(INDEX(INDIRECT($B$3&amp;"."&amp;$B$267&amp;".energy["&amp;This.year&amp;"]"),MATCH($C285&amp;AG$5,INDIRECT($B$3&amp;"."&amp;$B$267&amp;".energy[Tech description]")&amp;INDIRECT($B$3&amp;"."&amp;$B$267&amp;".energy[Energy description]"),0)),0)</f>
        <v>0</v>
      </c>
      <c r="AH285" s="171">
        <f t="array" aca="1" ref="AH285" ca="1">IFERROR(INDEX(INDIRECT($B$3&amp;"."&amp;$B$267&amp;".energy["&amp;This.year&amp;"]"),MATCH($C285&amp;AH$5,INDIRECT($B$3&amp;"."&amp;$B$267&amp;".energy[Tech description]")&amp;INDIRECT($B$3&amp;"."&amp;$B$267&amp;".energy[Energy description]"),0)),0)</f>
        <v>0</v>
      </c>
      <c r="AI285" s="171">
        <f t="array" aca="1" ref="AI285" ca="1">IFERROR(INDEX(INDIRECT($B$3&amp;"."&amp;$B$267&amp;".energy["&amp;This.year&amp;"]"),MATCH($C285&amp;AI$5,INDIRECT($B$3&amp;"."&amp;$B$267&amp;".energy[Tech description]")&amp;INDIRECT($B$3&amp;"."&amp;$B$267&amp;".energy[Energy description]"),0)),0)</f>
        <v>0</v>
      </c>
      <c r="AJ285" s="171">
        <f t="array" aca="1" ref="AJ285" ca="1">IFERROR(INDEX(INDIRECT($B$3&amp;"."&amp;$B$267&amp;".energy["&amp;This.year&amp;"]"),MATCH($C285&amp;AJ$5,INDIRECT($B$3&amp;"."&amp;$B$267&amp;".energy[Tech description]")&amp;INDIRECT($B$3&amp;"."&amp;$B$267&amp;".energy[Energy description]"),0)),0)</f>
        <v>0</v>
      </c>
      <c r="AK285" s="171">
        <f t="array" aca="1" ref="AK285" ca="1">IFERROR(INDEX(INDIRECT($B$3&amp;"."&amp;$B$267&amp;".energy["&amp;This.year&amp;"]"),MATCH($C285&amp;AK$5,INDIRECT($B$3&amp;"."&amp;$B$267&amp;".energy[Tech description]")&amp;INDIRECT($B$3&amp;"."&amp;$B$267&amp;".energy[Energy description]"),0)),0)</f>
        <v>0</v>
      </c>
      <c r="AL285" s="171">
        <f t="array" aca="1" ref="AL285" ca="1">IFERROR(INDEX(INDIRECT($B$3&amp;"."&amp;$B$267&amp;".energy["&amp;This.year&amp;"]"),MATCH($C285&amp;AL$5,INDIRECT($B$3&amp;"."&amp;$B$267&amp;".energy[Tech description]")&amp;INDIRECT($B$3&amp;"."&amp;$B$267&amp;".energy[Energy description]"),0)),0)</f>
        <v>0</v>
      </c>
      <c r="AM285" s="171">
        <f t="array" aca="1" ref="AM285" ca="1">IFERROR(INDEX(INDIRECT($B$3&amp;"."&amp;$B$267&amp;".energy["&amp;This.year&amp;"]"),MATCH($C285&amp;AM$5,INDIRECT($B$3&amp;"."&amp;$B$267&amp;".energy[Tech description]")&amp;INDIRECT($B$3&amp;"."&amp;$B$267&amp;".energy[Energy description]"),0)),0)</f>
        <v>0</v>
      </c>
      <c r="AN285" s="171">
        <f t="array" aca="1" ref="AN285" ca="1">IFERROR(INDEX(INDIRECT($B$3&amp;"."&amp;$B$267&amp;".energy["&amp;This.year&amp;"]"),MATCH($C285&amp;AN$5,INDIRECT($B$3&amp;"."&amp;$B$267&amp;".energy[Tech description]")&amp;INDIRECT($B$3&amp;"."&amp;$B$267&amp;".energy[Energy description]"),0)),0)</f>
        <v>0</v>
      </c>
      <c r="AO285" s="171">
        <f t="shared" ca="1" si="75"/>
        <v>0</v>
      </c>
      <c r="AQ285" s="173">
        <f t="array" aca="1" ref="AQ285" ca="1">IFERROR(INDEX(INDIRECT($B$3&amp;"."&amp;$B$267&amp;".energy["&amp;This.year&amp;"]"),MATCH($C285&amp;AQ$5,INDIRECT($B$3&amp;"."&amp;$B$267&amp;".energy[Tech description]")&amp;INDIRECT($B$3&amp;"."&amp;$B$267&amp;".energy[Energy description]"),0)),0)</f>
        <v>0</v>
      </c>
      <c r="AR285" s="173">
        <f t="array" aca="1" ref="AR285" ca="1">IFERROR(INDEX(INDIRECT($B$3&amp;"."&amp;$B$267&amp;".energy["&amp;This.year&amp;"]"),MATCH($C285&amp;AR$5,INDIRECT($B$3&amp;"."&amp;$B$267&amp;".energy[Tech description]")&amp;INDIRECT($B$3&amp;"."&amp;$B$267&amp;".energy[Energy description]"),0)),0)</f>
        <v>0</v>
      </c>
      <c r="AS285" s="173">
        <f t="array" aca="1" ref="AS285" ca="1">IFERROR(INDEX(INDIRECT($B$3&amp;"."&amp;$B$267&amp;".energy["&amp;This.year&amp;"]"),MATCH($C285&amp;AS$5,INDIRECT($B$3&amp;"."&amp;$B$267&amp;".energy[Tech description]")&amp;INDIRECT($B$3&amp;"."&amp;$B$267&amp;".energy[Energy description]"),0)),0)</f>
        <v>0</v>
      </c>
      <c r="AT285" s="173">
        <f t="array" aca="1" ref="AT285" ca="1">IFERROR(INDEX(INDIRECT($B$3&amp;"."&amp;$B$267&amp;".energy["&amp;This.year&amp;"]"),MATCH($C285&amp;AT$5,INDIRECT($B$3&amp;"."&amp;$B$267&amp;".energy[Tech description]")&amp;INDIRECT($B$3&amp;"."&amp;$B$267&amp;".energy[Energy description]"),0)),0)</f>
        <v>0</v>
      </c>
      <c r="AU285" s="173">
        <f t="array" aca="1" ref="AU285" ca="1">IFERROR(INDEX(INDIRECT($B$3&amp;"."&amp;$B$267&amp;".energy["&amp;This.year&amp;"]"),MATCH($C285&amp;AU$5,INDIRECT($B$3&amp;"."&amp;$B$267&amp;".energy[Tech description]")&amp;INDIRECT($B$3&amp;"."&amp;$B$267&amp;".energy[Energy description]"),0)),0)</f>
        <v>0</v>
      </c>
      <c r="AV285" s="173">
        <f t="array" aca="1" ref="AV285" ca="1">IFERROR(INDEX(INDIRECT($B$3&amp;"."&amp;$B$267&amp;".energy["&amp;This.year&amp;"]"),MATCH($C285&amp;AV$5,INDIRECT($B$3&amp;"."&amp;$B$267&amp;".energy[Tech description]")&amp;INDIRECT($B$3&amp;"."&amp;$B$267&amp;".energy[Energy description]"),0)),0)</f>
        <v>0</v>
      </c>
      <c r="AW285" s="173">
        <f t="array" aca="1" ref="AW285" ca="1">IFERROR(INDEX(INDIRECT($B$3&amp;"."&amp;$B$267&amp;".energy["&amp;This.year&amp;"]"),MATCH($C285&amp;AW$5,INDIRECT($B$3&amp;"."&amp;$B$267&amp;".energy[Tech description]")&amp;INDIRECT($B$3&amp;"."&amp;$B$267&amp;".energy[Energy description]"),0)),0)</f>
        <v>0</v>
      </c>
      <c r="AX285" s="173">
        <f t="array" aca="1" ref="AX285" ca="1">IFERROR(INDEX(INDIRECT($B$3&amp;"."&amp;$B$267&amp;".energy["&amp;This.year&amp;"]"),MATCH($C285&amp;AX$5,INDIRECT($B$3&amp;"."&amp;$B$267&amp;".energy[Tech description]")&amp;INDIRECT($B$3&amp;"."&amp;$B$267&amp;".energy[Energy description]"),0)),0)</f>
        <v>0</v>
      </c>
      <c r="AY285" s="173">
        <f t="array" aca="1" ref="AY285" ca="1">IFERROR(INDEX(INDIRECT($B$3&amp;"."&amp;$B$267&amp;".energy["&amp;This.year&amp;"]"),MATCH($C285&amp;AY$5,INDIRECT($B$3&amp;"."&amp;$B$267&amp;".energy[Tech description]")&amp;INDIRECT($B$3&amp;"."&amp;$B$267&amp;".energy[Energy description]"),0)),0)</f>
        <v>0</v>
      </c>
      <c r="AZ285" s="173">
        <f t="array" aca="1" ref="AZ285" ca="1">IFERROR(INDEX(INDIRECT($B$3&amp;"."&amp;$B$267&amp;".energy["&amp;This.year&amp;"]"),MATCH($C285&amp;AZ$5,INDIRECT($B$3&amp;"."&amp;$B$267&amp;".energy[Tech description]")&amp;INDIRECT($B$3&amp;"."&amp;$B$267&amp;".energy[Energy description]"),0)),0)</f>
        <v>0</v>
      </c>
      <c r="BA285" s="173">
        <f t="array" aca="1" ref="BA285" ca="1">IFERROR(INDEX(INDIRECT($B$3&amp;"."&amp;$B$267&amp;".energy["&amp;This.year&amp;"]"),MATCH($C285&amp;BA$5,INDIRECT($B$3&amp;"."&amp;$B$267&amp;".energy[Tech description]")&amp;INDIRECT($B$3&amp;"."&amp;$B$267&amp;".energy[Energy description]"),0)),0)</f>
        <v>0</v>
      </c>
      <c r="BB285" s="173">
        <f t="array" aca="1" ref="BB285" ca="1">IFERROR(INDEX(INDIRECT($B$3&amp;"."&amp;$B$267&amp;".energy["&amp;This.year&amp;"]"),MATCH($C285&amp;BB$5,INDIRECT($B$3&amp;"."&amp;$B$267&amp;".energy[Tech description]")&amp;INDIRECT($B$3&amp;"."&amp;$B$267&amp;".energy[Energy description]"),0)),0)</f>
        <v>0</v>
      </c>
      <c r="BC285" s="173">
        <f t="array" aca="1" ref="BC285" ca="1">IFERROR(INDEX(INDIRECT($B$3&amp;"."&amp;$B$267&amp;".energy["&amp;This.year&amp;"]"),MATCH($C285&amp;BC$5,INDIRECT($B$3&amp;"."&amp;$B$267&amp;".energy[Tech description]")&amp;INDIRECT($B$3&amp;"."&amp;$B$267&amp;".energy[Energy description]"),0)),0)</f>
        <v>0</v>
      </c>
      <c r="BD285" s="173">
        <f t="shared" ca="1" si="72"/>
        <v>0</v>
      </c>
      <c r="BF285" s="175">
        <f t="array" aca="1" ref="BF285" ca="1">IFERROR(INDEX(INDIRECT($B$3&amp;"."&amp;$B$267&amp;".energy["&amp;This.year&amp;"]"),MATCH($C285&amp;BF$5,INDIRECT($B$3&amp;"."&amp;$B$267&amp;".energy[Tech description]")&amp;INDIRECT($B$3&amp;"."&amp;$B$267&amp;".energy[Energy description]"),0)),0)</f>
        <v>0</v>
      </c>
      <c r="BG285" s="175">
        <f t="array" aca="1" ref="BG285" ca="1">IFERROR(INDEX(INDIRECT($B$3&amp;"."&amp;$B$267&amp;".energy["&amp;This.year&amp;"]"),MATCH($C285&amp;BG$5,INDIRECT($B$3&amp;"."&amp;$B$267&amp;".energy[Tech description]")&amp;INDIRECT($B$3&amp;"."&amp;$B$267&amp;".energy[Energy description]"),0)),0)</f>
        <v>0</v>
      </c>
      <c r="BH285" s="175">
        <f t="shared" ca="1" si="73"/>
        <v>0</v>
      </c>
      <c r="BI285" s="219">
        <f t="shared" ca="1" si="74"/>
        <v>0</v>
      </c>
      <c r="BJ285" s="58"/>
    </row>
    <row r="286" spans="1:62" s="54" customFormat="1">
      <c r="A286" s="106"/>
      <c r="B286" s="176"/>
      <c r="E286" s="121"/>
      <c r="F286" s="121"/>
      <c r="G286" s="121"/>
      <c r="H286" s="121"/>
      <c r="I286" s="121"/>
      <c r="J286" s="121"/>
      <c r="K286" s="121"/>
      <c r="L286" s="121"/>
      <c r="M286" s="121"/>
      <c r="N286" s="121"/>
      <c r="O286" s="121"/>
      <c r="P286" s="121"/>
      <c r="Q286" s="121"/>
      <c r="R286" s="121"/>
      <c r="S286" s="121"/>
      <c r="T286" s="121"/>
      <c r="U286" s="108"/>
      <c r="V286" s="152"/>
      <c r="W286" s="152"/>
      <c r="X286" s="152"/>
      <c r="Y286" s="152"/>
      <c r="Z286" s="152"/>
      <c r="AA286" s="152"/>
      <c r="AB286" s="152"/>
      <c r="AC286" s="152"/>
      <c r="AD286" s="152"/>
      <c r="AE286" s="152"/>
      <c r="AF286" s="152"/>
      <c r="AG286" s="152"/>
      <c r="AH286" s="152"/>
      <c r="AI286" s="152"/>
      <c r="AJ286" s="152"/>
      <c r="AK286" s="152"/>
      <c r="AL286" s="152"/>
      <c r="AM286" s="152"/>
      <c r="AN286" s="152"/>
      <c r="AO286" s="152"/>
      <c r="AP286" s="108"/>
      <c r="AQ286" s="21"/>
      <c r="AR286" s="21"/>
      <c r="AS286" s="21"/>
      <c r="AT286" s="21"/>
      <c r="AU286" s="21"/>
      <c r="AV286" s="21"/>
      <c r="AW286" s="21"/>
      <c r="AX286" s="21"/>
      <c r="AY286" s="21"/>
      <c r="AZ286" s="21"/>
      <c r="BA286" s="21"/>
      <c r="BB286" s="21"/>
      <c r="BC286" s="21"/>
      <c r="BD286" s="21"/>
      <c r="BE286" s="108"/>
      <c r="BF286" s="49"/>
      <c r="BG286" s="49"/>
      <c r="BH286" s="49"/>
      <c r="BI286" s="219"/>
      <c r="BJ286" s="108"/>
    </row>
    <row r="287" spans="1:62">
      <c r="B287" s="176"/>
      <c r="C287" s="219" t="s">
        <v>273</v>
      </c>
      <c r="D287" s="219" t="s">
        <v>414</v>
      </c>
      <c r="E287" s="121">
        <f t="shared" ref="E287" ca="1" si="76">SUM(E288)</f>
        <v>0</v>
      </c>
      <c r="F287" s="121">
        <f t="shared" ref="F287:T287" ca="1" si="77">SUM(F288)</f>
        <v>0</v>
      </c>
      <c r="G287" s="121">
        <f t="shared" ca="1" si="77"/>
        <v>0</v>
      </c>
      <c r="H287" s="121">
        <f t="shared" ca="1" si="77"/>
        <v>0</v>
      </c>
      <c r="I287" s="121">
        <f t="shared" ca="1" si="77"/>
        <v>0</v>
      </c>
      <c r="J287" s="121">
        <f t="shared" ca="1" si="77"/>
        <v>0</v>
      </c>
      <c r="K287" s="121">
        <f t="shared" ca="1" si="77"/>
        <v>0</v>
      </c>
      <c r="L287" s="121">
        <f t="shared" ca="1" si="77"/>
        <v>0</v>
      </c>
      <c r="M287" s="121">
        <f t="shared" ca="1" si="77"/>
        <v>0</v>
      </c>
      <c r="N287" s="121">
        <f t="shared" ca="1" si="77"/>
        <v>0</v>
      </c>
      <c r="O287" s="121">
        <f t="shared" ca="1" si="77"/>
        <v>0</v>
      </c>
      <c r="P287" s="121">
        <f t="shared" ca="1" si="77"/>
        <v>0</v>
      </c>
      <c r="Q287" s="121">
        <f t="shared" ca="1" si="77"/>
        <v>0</v>
      </c>
      <c r="R287" s="121">
        <f t="shared" ca="1" si="77"/>
        <v>0</v>
      </c>
      <c r="S287" s="121">
        <f t="shared" ca="1" si="77"/>
        <v>0</v>
      </c>
      <c r="T287" s="121">
        <f t="shared" ca="1" si="77"/>
        <v>0</v>
      </c>
      <c r="V287" s="152">
        <f t="shared" ref="V287:AO287" ca="1" si="78">SUM(V288)</f>
        <v>0</v>
      </c>
      <c r="W287" s="152">
        <f t="shared" ca="1" si="78"/>
        <v>0</v>
      </c>
      <c r="X287" s="152">
        <f t="shared" ca="1" si="78"/>
        <v>0</v>
      </c>
      <c r="Y287" s="152">
        <f t="shared" ca="1" si="78"/>
        <v>0</v>
      </c>
      <c r="Z287" s="152">
        <f t="shared" ca="1" si="78"/>
        <v>0</v>
      </c>
      <c r="AA287" s="152">
        <f t="shared" ca="1" si="78"/>
        <v>0</v>
      </c>
      <c r="AB287" s="152">
        <f t="shared" ca="1" si="78"/>
        <v>0</v>
      </c>
      <c r="AC287" s="152">
        <f t="shared" ca="1" si="78"/>
        <v>0</v>
      </c>
      <c r="AD287" s="152">
        <f t="shared" ca="1" si="78"/>
        <v>0</v>
      </c>
      <c r="AE287" s="152">
        <f t="shared" ca="1" si="78"/>
        <v>0</v>
      </c>
      <c r="AF287" s="152">
        <f t="shared" ca="1" si="78"/>
        <v>0</v>
      </c>
      <c r="AG287" s="152">
        <f t="shared" ca="1" si="78"/>
        <v>0</v>
      </c>
      <c r="AH287" s="152">
        <f t="shared" ca="1" si="78"/>
        <v>0</v>
      </c>
      <c r="AI287" s="152">
        <f t="shared" ca="1" si="78"/>
        <v>0</v>
      </c>
      <c r="AJ287" s="152">
        <f t="shared" ca="1" si="78"/>
        <v>0</v>
      </c>
      <c r="AK287" s="152">
        <f t="shared" ca="1" si="78"/>
        <v>0</v>
      </c>
      <c r="AL287" s="152">
        <f t="shared" ca="1" si="78"/>
        <v>0</v>
      </c>
      <c r="AM287" s="152">
        <f t="shared" ca="1" si="78"/>
        <v>0</v>
      </c>
      <c r="AN287" s="152">
        <f t="shared" ca="1" si="78"/>
        <v>0</v>
      </c>
      <c r="AO287" s="152">
        <f t="shared" ca="1" si="78"/>
        <v>0</v>
      </c>
      <c r="AQ287" s="21">
        <f t="shared" ref="AQ287:BD287" ca="1" si="79">SUM(AQ288)</f>
        <v>0</v>
      </c>
      <c r="AR287" s="21">
        <f t="shared" ca="1" si="79"/>
        <v>0</v>
      </c>
      <c r="AS287" s="21">
        <f t="shared" ca="1" si="79"/>
        <v>0</v>
      </c>
      <c r="AT287" s="21">
        <f t="shared" ca="1" si="79"/>
        <v>0</v>
      </c>
      <c r="AU287" s="21">
        <f t="shared" ca="1" si="79"/>
        <v>0</v>
      </c>
      <c r="AV287" s="21">
        <f t="shared" ca="1" si="79"/>
        <v>0</v>
      </c>
      <c r="AW287" s="21">
        <f t="shared" ca="1" si="79"/>
        <v>0</v>
      </c>
      <c r="AX287" s="21">
        <f t="shared" ca="1" si="79"/>
        <v>0</v>
      </c>
      <c r="AY287" s="21">
        <f t="shared" ca="1" si="79"/>
        <v>0</v>
      </c>
      <c r="AZ287" s="21">
        <f t="shared" ca="1" si="79"/>
        <v>0</v>
      </c>
      <c r="BA287" s="21">
        <f t="shared" ca="1" si="79"/>
        <v>0</v>
      </c>
      <c r="BB287" s="21">
        <f t="shared" ca="1" si="79"/>
        <v>0</v>
      </c>
      <c r="BC287" s="21">
        <f t="shared" ca="1" si="79"/>
        <v>0</v>
      </c>
      <c r="BD287" s="21">
        <f t="shared" ca="1" si="79"/>
        <v>0</v>
      </c>
      <c r="BF287" s="49">
        <f t="shared" ref="BF287:BI287" ca="1" si="80">SUM(BF288)</f>
        <v>0</v>
      </c>
      <c r="BG287" s="49">
        <f t="shared" ca="1" si="80"/>
        <v>0</v>
      </c>
      <c r="BH287" s="49">
        <f t="shared" ca="1" si="80"/>
        <v>0</v>
      </c>
      <c r="BI287" s="219">
        <f t="shared" ca="1" si="80"/>
        <v>0</v>
      </c>
      <c r="BJ287" s="58"/>
    </row>
    <row r="288" spans="1:62">
      <c r="B288" s="176" t="s">
        <v>737</v>
      </c>
      <c r="C288" s="114" t="str">
        <f>INDEX(Regional.Technologies[Description],MATCH($B$3&amp;"."&amp;B288,Regional.Technologies[Code],0))</f>
        <v>Global Nuclear power stations</v>
      </c>
      <c r="E288" s="121">
        <f t="array" aca="1" ref="E288" ca="1">IFERROR(INDEX(INDIRECT($B$3&amp;"."&amp;$B$267&amp;".energy["&amp;This.year&amp;"]"),MATCH($C288&amp;E$5,INDIRECT($B$3&amp;"."&amp;$B$267&amp;".energy[Tech description]")&amp;INDIRECT($B$3&amp;"."&amp;$B$267&amp;".energy[Energy description]"),0)),0)</f>
        <v>0</v>
      </c>
      <c r="F288" s="121">
        <f t="array" aca="1" ref="F288" ca="1">IFERROR(INDEX(INDIRECT($B$3&amp;"."&amp;$B$267&amp;".energy["&amp;This.year&amp;"]"),MATCH($C288&amp;F$5,INDIRECT($B$3&amp;"."&amp;$B$267&amp;".energy[Tech description]")&amp;INDIRECT($B$3&amp;"."&amp;$B$267&amp;".energy[Energy description]"),0)),0)</f>
        <v>0</v>
      </c>
      <c r="G288" s="121">
        <f t="array" aca="1" ref="G288" ca="1">IFERROR(INDEX(INDIRECT($B$3&amp;"."&amp;$B$267&amp;".energy["&amp;This.year&amp;"]"),MATCH($C288&amp;G$5,INDIRECT($B$3&amp;"."&amp;$B$267&amp;".energy[Tech description]")&amp;INDIRECT($B$3&amp;"."&amp;$B$267&amp;".energy[Energy description]"),0)),0)</f>
        <v>0</v>
      </c>
      <c r="H288" s="121">
        <f t="array" aca="1" ref="H288" ca="1">IFERROR(INDEX(INDIRECT($B$3&amp;"."&amp;$B$267&amp;".energy["&amp;This.year&amp;"]"),MATCH($C288&amp;H$5,INDIRECT($B$3&amp;"."&amp;$B$267&amp;".energy[Tech description]")&amp;INDIRECT($B$3&amp;"."&amp;$B$267&amp;".energy[Energy description]"),0)),0)</f>
        <v>0</v>
      </c>
      <c r="I288" s="121">
        <f t="array" aca="1" ref="I288" ca="1">IFERROR(INDEX(INDIRECT($B$3&amp;"."&amp;$B$267&amp;".energy["&amp;This.year&amp;"]"),MATCH($C288&amp;I$5,INDIRECT($B$3&amp;"."&amp;$B$267&amp;".energy[Tech description]")&amp;INDIRECT($B$3&amp;"."&amp;$B$267&amp;".energy[Energy description]"),0)),0)</f>
        <v>0</v>
      </c>
      <c r="J288" s="121">
        <f t="array" aca="1" ref="J288" ca="1">IFERROR(INDEX(INDIRECT($B$3&amp;"."&amp;$B$267&amp;".energy["&amp;This.year&amp;"]"),MATCH($C288&amp;J$5,INDIRECT($B$3&amp;"."&amp;$B$267&amp;".energy[Tech description]")&amp;INDIRECT($B$3&amp;"."&amp;$B$267&amp;".energy[Energy description]"),0)),0)</f>
        <v>0</v>
      </c>
      <c r="K288" s="121">
        <f t="array" aca="1" ref="K288" ca="1">IFERROR(INDEX(INDIRECT($B$3&amp;"."&amp;$B$267&amp;".energy["&amp;This.year&amp;"]"),MATCH($C288&amp;K$5,INDIRECT($B$3&amp;"."&amp;$B$267&amp;".energy[Tech description]")&amp;INDIRECT($B$3&amp;"."&amp;$B$267&amp;".energy[Energy description]"),0)),0)</f>
        <v>0</v>
      </c>
      <c r="L288" s="121">
        <f t="array" aca="1" ref="L288" ca="1">IFERROR(INDEX(INDIRECT($B$3&amp;"."&amp;$B$267&amp;".energy["&amp;This.year&amp;"]"),MATCH($C288&amp;L$5,INDIRECT($B$3&amp;"."&amp;$B$267&amp;".energy[Tech description]")&amp;INDIRECT($B$3&amp;"."&amp;$B$267&amp;".energy[Energy description]"),0)),0)</f>
        <v>0</v>
      </c>
      <c r="M288" s="121">
        <f t="array" aca="1" ref="M288" ca="1">IFERROR(INDEX(INDIRECT($B$3&amp;"."&amp;$B$267&amp;".energy["&amp;This.year&amp;"]"),MATCH($C288&amp;M$5,INDIRECT($B$3&amp;"."&amp;$B$267&amp;".energy[Tech description]")&amp;INDIRECT($B$3&amp;"."&amp;$B$267&amp;".energy[Energy description]"),0)),0)</f>
        <v>0</v>
      </c>
      <c r="N288" s="121">
        <f t="array" aca="1" ref="N288" ca="1">IFERROR(INDEX(INDIRECT($B$3&amp;"."&amp;$B$267&amp;".energy["&amp;This.year&amp;"]"),MATCH($C288&amp;N$5,INDIRECT($B$3&amp;"."&amp;$B$267&amp;".energy[Tech description]")&amp;INDIRECT($B$3&amp;"."&amp;$B$267&amp;".energy[Energy description]"),0)),0)</f>
        <v>0</v>
      </c>
      <c r="O288" s="121">
        <f t="array" aca="1" ref="O288" ca="1">IFERROR(INDEX(INDIRECT($B$3&amp;"."&amp;$B$267&amp;".energy["&amp;This.year&amp;"]"),MATCH($C288&amp;O$5,INDIRECT($B$3&amp;"."&amp;$B$267&amp;".energy[Tech description]")&amp;INDIRECT($B$3&amp;"."&amp;$B$267&amp;".energy[Energy description]"),0)),0)</f>
        <v>0</v>
      </c>
      <c r="P288" s="121">
        <f t="array" aca="1" ref="P288" ca="1">IFERROR(INDEX(INDIRECT($B$3&amp;"."&amp;$B$267&amp;".energy["&amp;This.year&amp;"]"),MATCH($C288&amp;P$5,INDIRECT($B$3&amp;"."&amp;$B$267&amp;".energy[Tech description]")&amp;INDIRECT($B$3&amp;"."&amp;$B$267&amp;".energy[Energy description]"),0)),0)</f>
        <v>0</v>
      </c>
      <c r="Q288" s="121">
        <f t="array" aca="1" ref="Q288" ca="1">IFERROR(INDEX(INDIRECT($B$3&amp;"."&amp;$B$267&amp;".energy["&amp;This.year&amp;"]"),MATCH($C288&amp;Q$5,INDIRECT($B$3&amp;"."&amp;$B$267&amp;".energy[Tech description]")&amp;INDIRECT($B$3&amp;"."&amp;$B$267&amp;".energy[Energy description]"),0)),0)</f>
        <v>0</v>
      </c>
      <c r="R288" s="121">
        <f t="array" aca="1" ref="R288" ca="1">IFERROR(INDEX(INDIRECT($B$3&amp;"."&amp;$B$267&amp;".energy["&amp;This.year&amp;"]"),MATCH($C288&amp;R$5,INDIRECT($B$3&amp;"."&amp;$B$267&amp;".energy[Tech description]")&amp;INDIRECT($B$3&amp;"."&amp;$B$267&amp;".energy[Energy description]"),0)),0)</f>
        <v>0</v>
      </c>
      <c r="S288" s="121">
        <f t="array" aca="1" ref="S288" ca="1">IFERROR(INDEX(INDIRECT($B$3&amp;"."&amp;$B$267&amp;".energy["&amp;This.year&amp;"]"),MATCH($C288&amp;S$5,INDIRECT($B$3&amp;"."&amp;$B$267&amp;".energy[Tech description]")&amp;INDIRECT($B$3&amp;"."&amp;$B$267&amp;".energy[Energy description]"),0)),0)</f>
        <v>0</v>
      </c>
      <c r="T288" s="121">
        <f t="shared" ref="T288" ca="1" si="81">SUM(E288:S288)</f>
        <v>0</v>
      </c>
      <c r="V288" s="171">
        <f t="array" aca="1" ref="V288" ca="1">IFERROR(INDEX(INDIRECT($B$3&amp;"."&amp;$B$267&amp;".energy["&amp;This.year&amp;"]"),MATCH($C288&amp;V$5,INDIRECT($B$3&amp;"."&amp;$B$267&amp;".energy[Tech description]")&amp;INDIRECT($B$3&amp;"."&amp;$B$267&amp;".energy[Energy description]"),0)),0)</f>
        <v>0</v>
      </c>
      <c r="W288" s="171">
        <f t="array" aca="1" ref="W288" ca="1">IFERROR(INDEX(INDIRECT($B$3&amp;"."&amp;$B$267&amp;".energy["&amp;This.year&amp;"]"),MATCH($C288&amp;W$5,INDIRECT($B$3&amp;"."&amp;$B$267&amp;".energy[Tech description]")&amp;INDIRECT($B$3&amp;"."&amp;$B$267&amp;".energy[Energy description]"),0)),0)</f>
        <v>0</v>
      </c>
      <c r="X288" s="171">
        <f t="array" aca="1" ref="X288" ca="1">IFERROR(INDEX(INDIRECT($B$3&amp;"."&amp;$B$267&amp;".energy["&amp;This.year&amp;"]"),MATCH($C288&amp;X$5,INDIRECT($B$3&amp;"."&amp;$B$267&amp;".energy[Tech description]")&amp;INDIRECT($B$3&amp;"."&amp;$B$267&amp;".energy[Energy description]"),0)),0)</f>
        <v>0</v>
      </c>
      <c r="Y288" s="171">
        <f t="array" aca="1" ref="Y288" ca="1">IFERROR(INDEX(INDIRECT($B$3&amp;"."&amp;$B$267&amp;".energy["&amp;This.year&amp;"]"),MATCH($C288&amp;Y$5,INDIRECT($B$3&amp;"."&amp;$B$267&amp;".energy[Tech description]")&amp;INDIRECT($B$3&amp;"."&amp;$B$267&amp;".energy[Energy description]"),0)),0)</f>
        <v>0</v>
      </c>
      <c r="Z288" s="171">
        <f t="array" aca="1" ref="Z288" ca="1">IFERROR(INDEX(INDIRECT($B$3&amp;"."&amp;$B$267&amp;".energy["&amp;This.year&amp;"]"),MATCH($C288&amp;Z$5,INDIRECT($B$3&amp;"."&amp;$B$267&amp;".energy[Tech description]")&amp;INDIRECT($B$3&amp;"."&amp;$B$267&amp;".energy[Energy description]"),0)),0)</f>
        <v>0</v>
      </c>
      <c r="AA288" s="171">
        <f t="array" aca="1" ref="AA288" ca="1">IFERROR(INDEX(INDIRECT($B$3&amp;"."&amp;$B$267&amp;".energy["&amp;This.year&amp;"]"),MATCH($C288&amp;AA$5,INDIRECT($B$3&amp;"."&amp;$B$267&amp;".energy[Tech description]")&amp;INDIRECT($B$3&amp;"."&amp;$B$267&amp;".energy[Energy description]"),0)),0)</f>
        <v>0</v>
      </c>
      <c r="AB288" s="171">
        <f t="array" aca="1" ref="AB288" ca="1">IFERROR(INDEX(INDIRECT($B$3&amp;"."&amp;$B$267&amp;".energy["&amp;This.year&amp;"]"),MATCH($C288&amp;AB$5,INDIRECT($B$3&amp;"."&amp;$B$267&amp;".energy[Tech description]")&amp;INDIRECT($B$3&amp;"."&amp;$B$267&amp;".energy[Energy description]"),0)),0)</f>
        <v>0</v>
      </c>
      <c r="AC288" s="171">
        <f t="array" aca="1" ref="AC288" ca="1">IFERROR(INDEX(INDIRECT($B$3&amp;"."&amp;$B$267&amp;".energy["&amp;This.year&amp;"]"),MATCH($C288&amp;AC$5,INDIRECT($B$3&amp;"."&amp;$B$267&amp;".energy[Tech description]")&amp;INDIRECT($B$3&amp;"."&amp;$B$267&amp;".energy[Energy description]"),0)),0)</f>
        <v>0</v>
      </c>
      <c r="AD288" s="171">
        <f t="array" aca="1" ref="AD288" ca="1">IFERROR(INDEX(INDIRECT($B$3&amp;"."&amp;$B$267&amp;".energy["&amp;This.year&amp;"]"),MATCH($C288&amp;AD$5,INDIRECT($B$3&amp;"."&amp;$B$267&amp;".energy[Tech description]")&amp;INDIRECT($B$3&amp;"."&amp;$B$267&amp;".energy[Energy description]"),0)),0)</f>
        <v>0</v>
      </c>
      <c r="AE288" s="171">
        <f t="array" aca="1" ref="AE288" ca="1">IFERROR(INDEX(INDIRECT($B$3&amp;"."&amp;$B$267&amp;".energy["&amp;This.year&amp;"]"),MATCH($C288&amp;AE$5,INDIRECT($B$3&amp;"."&amp;$B$267&amp;".energy[Tech description]")&amp;INDIRECT($B$3&amp;"."&amp;$B$267&amp;".energy[Energy description]"),0)),0)</f>
        <v>0</v>
      </c>
      <c r="AF288" s="171">
        <f t="array" aca="1" ref="AF288" ca="1">IFERROR(INDEX(INDIRECT($B$3&amp;"."&amp;$B$267&amp;".energy["&amp;This.year&amp;"]"),MATCH($C288&amp;AF$5,INDIRECT($B$3&amp;"."&amp;$B$267&amp;".energy[Tech description]")&amp;INDIRECT($B$3&amp;"."&amp;$B$267&amp;".energy[Energy description]"),0)),0)</f>
        <v>0</v>
      </c>
      <c r="AG288" s="171">
        <f t="array" aca="1" ref="AG288" ca="1">IFERROR(INDEX(INDIRECT($B$3&amp;"."&amp;$B$267&amp;".energy["&amp;This.year&amp;"]"),MATCH($C288&amp;AG$5,INDIRECT($B$3&amp;"."&amp;$B$267&amp;".energy[Tech description]")&amp;INDIRECT($B$3&amp;"."&amp;$B$267&amp;".energy[Energy description]"),0)),0)</f>
        <v>0</v>
      </c>
      <c r="AH288" s="171">
        <f t="array" aca="1" ref="AH288" ca="1">IFERROR(INDEX(INDIRECT($B$3&amp;"."&amp;$B$267&amp;".energy["&amp;This.year&amp;"]"),MATCH($C288&amp;AH$5,INDIRECT($B$3&amp;"."&amp;$B$267&amp;".energy[Tech description]")&amp;INDIRECT($B$3&amp;"."&amp;$B$267&amp;".energy[Energy description]"),0)),0)</f>
        <v>0</v>
      </c>
      <c r="AI288" s="171">
        <f t="array" aca="1" ref="AI288" ca="1">IFERROR(INDEX(INDIRECT($B$3&amp;"."&amp;$B$267&amp;".energy["&amp;This.year&amp;"]"),MATCH($C288&amp;AI$5,INDIRECT($B$3&amp;"."&amp;$B$267&amp;".energy[Tech description]")&amp;INDIRECT($B$3&amp;"."&amp;$B$267&amp;".energy[Energy description]"),0)),0)</f>
        <v>0</v>
      </c>
      <c r="AJ288" s="171">
        <f t="array" aca="1" ref="AJ288" ca="1">IFERROR(INDEX(INDIRECT($B$3&amp;"."&amp;$B$267&amp;".energy["&amp;This.year&amp;"]"),MATCH($C288&amp;AJ$5,INDIRECT($B$3&amp;"."&amp;$B$267&amp;".energy[Tech description]")&amp;INDIRECT($B$3&amp;"."&amp;$B$267&amp;".energy[Energy description]"),0)),0)</f>
        <v>0</v>
      </c>
      <c r="AK288" s="171">
        <f t="array" aca="1" ref="AK288" ca="1">IFERROR(INDEX(INDIRECT($B$3&amp;"."&amp;$B$267&amp;".energy["&amp;This.year&amp;"]"),MATCH($C288&amp;AK$5,INDIRECT($B$3&amp;"."&amp;$B$267&amp;".energy[Tech description]")&amp;INDIRECT($B$3&amp;"."&amp;$B$267&amp;".energy[Energy description]"),0)),0)</f>
        <v>0</v>
      </c>
      <c r="AL288" s="171">
        <f t="array" aca="1" ref="AL288" ca="1">IFERROR(INDEX(INDIRECT($B$3&amp;"."&amp;$B$267&amp;".energy["&amp;This.year&amp;"]"),MATCH($C288&amp;AL$5,INDIRECT($B$3&amp;"."&amp;$B$267&amp;".energy[Tech description]")&amp;INDIRECT($B$3&amp;"."&amp;$B$267&amp;".energy[Energy description]"),0)),0)</f>
        <v>0</v>
      </c>
      <c r="AM288" s="171">
        <f t="array" aca="1" ref="AM288" ca="1">IFERROR(INDEX(INDIRECT($B$3&amp;"."&amp;$B$267&amp;".energy["&amp;This.year&amp;"]"),MATCH($C288&amp;AM$5,INDIRECT($B$3&amp;"."&amp;$B$267&amp;".energy[Tech description]")&amp;INDIRECT($B$3&amp;"."&amp;$B$267&amp;".energy[Energy description]"),0)),0)</f>
        <v>0</v>
      </c>
      <c r="AN288" s="171">
        <f t="array" aca="1" ref="AN288" ca="1">IFERROR(INDEX(INDIRECT($B$3&amp;"."&amp;$B$267&amp;".energy["&amp;This.year&amp;"]"),MATCH($C288&amp;AN$5,INDIRECT($B$3&amp;"."&amp;$B$267&amp;".energy[Tech description]")&amp;INDIRECT($B$3&amp;"."&amp;$B$267&amp;".energy[Energy description]"),0)),0)</f>
        <v>0</v>
      </c>
      <c r="AO288" s="171">
        <f ca="1">SUM(V288:AN288)</f>
        <v>0</v>
      </c>
      <c r="AQ288" s="173">
        <f t="array" aca="1" ref="AQ288" ca="1">IFERROR(INDEX(INDIRECT($B$3&amp;"."&amp;$B$267&amp;".energy["&amp;This.year&amp;"]"),MATCH($C288&amp;AQ$5,INDIRECT($B$3&amp;"."&amp;$B$267&amp;".energy[Tech description]")&amp;INDIRECT($B$3&amp;"."&amp;$B$267&amp;".energy[Energy description]"),0)),0)</f>
        <v>0</v>
      </c>
      <c r="AR288" s="173">
        <f t="array" aca="1" ref="AR288" ca="1">IFERROR(INDEX(INDIRECT($B$3&amp;"."&amp;$B$267&amp;".energy["&amp;This.year&amp;"]"),MATCH($C288&amp;AR$5,INDIRECT($B$3&amp;"."&amp;$B$267&amp;".energy[Tech description]")&amp;INDIRECT($B$3&amp;"."&amp;$B$267&amp;".energy[Energy description]"),0)),0)</f>
        <v>0</v>
      </c>
      <c r="AS288" s="173">
        <f t="array" aca="1" ref="AS288" ca="1">IFERROR(INDEX(INDIRECT($B$3&amp;"."&amp;$B$267&amp;".energy["&amp;This.year&amp;"]"),MATCH($C288&amp;AS$5,INDIRECT($B$3&amp;"."&amp;$B$267&amp;".energy[Tech description]")&amp;INDIRECT($B$3&amp;"."&amp;$B$267&amp;".energy[Energy description]"),0)),0)</f>
        <v>0</v>
      </c>
      <c r="AT288" s="173">
        <f t="array" aca="1" ref="AT288" ca="1">IFERROR(INDEX(INDIRECT($B$3&amp;"."&amp;$B$267&amp;".energy["&amp;This.year&amp;"]"),MATCH($C288&amp;AT$5,INDIRECT($B$3&amp;"."&amp;$B$267&amp;".energy[Tech description]")&amp;INDIRECT($B$3&amp;"."&amp;$B$267&amp;".energy[Energy description]"),0)),0)</f>
        <v>0</v>
      </c>
      <c r="AU288" s="173">
        <f t="array" aca="1" ref="AU288" ca="1">IFERROR(INDEX(INDIRECT($B$3&amp;"."&amp;$B$267&amp;".energy["&amp;This.year&amp;"]"),MATCH($C288&amp;AU$5,INDIRECT($B$3&amp;"."&amp;$B$267&amp;".energy[Tech description]")&amp;INDIRECT($B$3&amp;"."&amp;$B$267&amp;".energy[Energy description]"),0)),0)</f>
        <v>0</v>
      </c>
      <c r="AV288" s="173">
        <f t="array" aca="1" ref="AV288" ca="1">IFERROR(INDEX(INDIRECT($B$3&amp;"."&amp;$B$267&amp;".energy["&amp;This.year&amp;"]"),MATCH($C288&amp;AV$5,INDIRECT($B$3&amp;"."&amp;$B$267&amp;".energy[Tech description]")&amp;INDIRECT($B$3&amp;"."&amp;$B$267&amp;".energy[Energy description]"),0)),0)</f>
        <v>0</v>
      </c>
      <c r="AW288" s="173">
        <f t="array" aca="1" ref="AW288" ca="1">IFERROR(INDEX(INDIRECT($B$3&amp;"."&amp;$B$267&amp;".energy["&amp;This.year&amp;"]"),MATCH($C288&amp;AW$5,INDIRECT($B$3&amp;"."&amp;$B$267&amp;".energy[Tech description]")&amp;INDIRECT($B$3&amp;"."&amp;$B$267&amp;".energy[Energy description]"),0)),0)</f>
        <v>0</v>
      </c>
      <c r="AX288" s="173">
        <f t="array" aca="1" ref="AX288" ca="1">IFERROR(INDEX(INDIRECT($B$3&amp;"."&amp;$B$267&amp;".energy["&amp;This.year&amp;"]"),MATCH($C288&amp;AX$5,INDIRECT($B$3&amp;"."&amp;$B$267&amp;".energy[Tech description]")&amp;INDIRECT($B$3&amp;"."&amp;$B$267&amp;".energy[Energy description]"),0)),0)</f>
        <v>0</v>
      </c>
      <c r="AY288" s="173">
        <f t="array" aca="1" ref="AY288" ca="1">IFERROR(INDEX(INDIRECT($B$3&amp;"."&amp;$B$267&amp;".energy["&amp;This.year&amp;"]"),MATCH($C288&amp;AY$5,INDIRECT($B$3&amp;"."&amp;$B$267&amp;".energy[Tech description]")&amp;INDIRECT($B$3&amp;"."&amp;$B$267&amp;".energy[Energy description]"),0)),0)</f>
        <v>0</v>
      </c>
      <c r="AZ288" s="173">
        <f t="array" aca="1" ref="AZ288" ca="1">IFERROR(INDEX(INDIRECT($B$3&amp;"."&amp;$B$267&amp;".energy["&amp;This.year&amp;"]"),MATCH($C288&amp;AZ$5,INDIRECT($B$3&amp;"."&amp;$B$267&amp;".energy[Tech description]")&amp;INDIRECT($B$3&amp;"."&amp;$B$267&amp;".energy[Energy description]"),0)),0)</f>
        <v>0</v>
      </c>
      <c r="BA288" s="173">
        <f t="array" aca="1" ref="BA288" ca="1">IFERROR(INDEX(INDIRECT($B$3&amp;"."&amp;$B$267&amp;".energy["&amp;This.year&amp;"]"),MATCH($C288&amp;BA$5,INDIRECT($B$3&amp;"."&amp;$B$267&amp;".energy[Tech description]")&amp;INDIRECT($B$3&amp;"."&amp;$B$267&amp;".energy[Energy description]"),0)),0)</f>
        <v>0</v>
      </c>
      <c r="BB288" s="173">
        <f t="array" aca="1" ref="BB288" ca="1">IFERROR(INDEX(INDIRECT($B$3&amp;"."&amp;$B$267&amp;".energy["&amp;This.year&amp;"]"),MATCH($C288&amp;BB$5,INDIRECT($B$3&amp;"."&amp;$B$267&amp;".energy[Tech description]")&amp;INDIRECT($B$3&amp;"."&amp;$B$267&amp;".energy[Energy description]"),0)),0)</f>
        <v>0</v>
      </c>
      <c r="BC288" s="173">
        <f t="array" aca="1" ref="BC288" ca="1">IFERROR(INDEX(INDIRECT($B$3&amp;"."&amp;$B$267&amp;".energy["&amp;This.year&amp;"]"),MATCH($C288&amp;BC$5,INDIRECT($B$3&amp;"."&amp;$B$267&amp;".energy[Tech description]")&amp;INDIRECT($B$3&amp;"."&amp;$B$267&amp;".energy[Energy description]"),0)),0)</f>
        <v>0</v>
      </c>
      <c r="BD288" s="173">
        <f ca="1">SUM(AQ288:BB288)</f>
        <v>0</v>
      </c>
      <c r="BF288" s="175">
        <f t="array" aca="1" ref="BF288" ca="1">IFERROR(INDEX(INDIRECT($B$3&amp;"."&amp;$B$267&amp;".energy["&amp;This.year&amp;"]"),MATCH($C288&amp;BF$5,INDIRECT($B$3&amp;"."&amp;$B$267&amp;".energy[Tech description]")&amp;INDIRECT($B$3&amp;"."&amp;$B$267&amp;".energy[Energy description]"),0)),0)</f>
        <v>0</v>
      </c>
      <c r="BG288" s="175">
        <f t="array" aca="1" ref="BG288" ca="1">IFERROR(INDEX(INDIRECT($B$3&amp;"."&amp;$B$267&amp;".energy["&amp;This.year&amp;"]"),MATCH($C288&amp;BG$5,INDIRECT($B$3&amp;"."&amp;$B$267&amp;".energy[Tech description]")&amp;INDIRECT($B$3&amp;"."&amp;$B$267&amp;".energy[Energy description]"),0)),0)</f>
        <v>0</v>
      </c>
      <c r="BH288" s="175">
        <f t="shared" ref="BH288" ca="1" si="82">SUM(BF288:BG288)</f>
        <v>0</v>
      </c>
      <c r="BI288" s="219">
        <f ca="1">SUM(T288,AO288,BD288,BH288)</f>
        <v>0</v>
      </c>
      <c r="BJ288" s="58"/>
    </row>
    <row r="289" spans="1:62" s="54" customFormat="1">
      <c r="A289" s="106"/>
      <c r="B289" s="176"/>
      <c r="E289" s="121"/>
      <c r="F289" s="121"/>
      <c r="G289" s="121"/>
      <c r="H289" s="121"/>
      <c r="I289" s="121"/>
      <c r="J289" s="121"/>
      <c r="K289" s="121"/>
      <c r="L289" s="121"/>
      <c r="M289" s="121"/>
      <c r="N289" s="121"/>
      <c r="O289" s="121"/>
      <c r="P289" s="121"/>
      <c r="Q289" s="121"/>
      <c r="R289" s="121"/>
      <c r="S289" s="121"/>
      <c r="T289" s="121"/>
      <c r="U289" s="108"/>
      <c r="V289" s="152"/>
      <c r="W289" s="152"/>
      <c r="X289" s="152"/>
      <c r="Y289" s="152"/>
      <c r="Z289" s="152"/>
      <c r="AA289" s="152"/>
      <c r="AB289" s="152"/>
      <c r="AC289" s="152"/>
      <c r="AD289" s="152"/>
      <c r="AE289" s="152"/>
      <c r="AF289" s="152"/>
      <c r="AG289" s="152"/>
      <c r="AH289" s="152"/>
      <c r="AI289" s="152"/>
      <c r="AJ289" s="152"/>
      <c r="AK289" s="152"/>
      <c r="AL289" s="152"/>
      <c r="AM289" s="152"/>
      <c r="AN289" s="152"/>
      <c r="AO289" s="152"/>
      <c r="AP289" s="108"/>
      <c r="AQ289" s="21"/>
      <c r="AR289" s="21"/>
      <c r="AS289" s="21"/>
      <c r="AT289" s="21"/>
      <c r="AU289" s="21"/>
      <c r="AV289" s="21"/>
      <c r="AW289" s="21"/>
      <c r="AX289" s="21"/>
      <c r="AY289" s="21"/>
      <c r="AZ289" s="21"/>
      <c r="BA289" s="21"/>
      <c r="BB289" s="21"/>
      <c r="BC289" s="21"/>
      <c r="BD289" s="21"/>
      <c r="BE289" s="108"/>
      <c r="BF289" s="49"/>
      <c r="BG289" s="49"/>
      <c r="BH289" s="49"/>
      <c r="BI289" s="219"/>
      <c r="BJ289" s="108"/>
    </row>
    <row r="290" spans="1:62">
      <c r="B290" s="167"/>
      <c r="C290" s="219" t="s">
        <v>255</v>
      </c>
      <c r="D290" s="219" t="s">
        <v>414</v>
      </c>
      <c r="E290" s="121">
        <f ca="1">SUM(E291,E292)</f>
        <v>0</v>
      </c>
      <c r="F290" s="121">
        <f t="shared" ref="F290:BI290" ca="1" si="83">SUM(F291,F292)</f>
        <v>0</v>
      </c>
      <c r="G290" s="121">
        <f t="shared" ca="1" si="83"/>
        <v>0</v>
      </c>
      <c r="H290" s="121">
        <f t="shared" ca="1" si="83"/>
        <v>0</v>
      </c>
      <c r="I290" s="121">
        <f t="shared" ca="1" si="83"/>
        <v>0</v>
      </c>
      <c r="J290" s="121">
        <f t="shared" ca="1" si="83"/>
        <v>0</v>
      </c>
      <c r="K290" s="121">
        <f t="shared" ca="1" si="83"/>
        <v>0</v>
      </c>
      <c r="L290" s="121">
        <f t="shared" ca="1" si="83"/>
        <v>0</v>
      </c>
      <c r="M290" s="121">
        <f t="shared" ca="1" si="83"/>
        <v>0</v>
      </c>
      <c r="N290" s="121">
        <f t="shared" ca="1" si="83"/>
        <v>0</v>
      </c>
      <c r="O290" s="121">
        <f t="shared" ref="O290" ca="1" si="84">SUM(O291,O292)</f>
        <v>0</v>
      </c>
      <c r="P290" s="121">
        <f t="shared" ca="1" si="83"/>
        <v>0</v>
      </c>
      <c r="Q290" s="121">
        <f t="shared" ca="1" si="83"/>
        <v>0</v>
      </c>
      <c r="R290" s="121">
        <f t="shared" ca="1" si="83"/>
        <v>0</v>
      </c>
      <c r="S290" s="121">
        <f t="shared" ca="1" si="83"/>
        <v>0</v>
      </c>
      <c r="T290" s="121">
        <f t="shared" ca="1" si="83"/>
        <v>0</v>
      </c>
      <c r="V290" s="152">
        <f t="shared" ca="1" si="83"/>
        <v>0</v>
      </c>
      <c r="W290" s="152">
        <f t="shared" ca="1" si="83"/>
        <v>0</v>
      </c>
      <c r="X290" s="152">
        <f t="shared" ca="1" si="83"/>
        <v>0</v>
      </c>
      <c r="Y290" s="152">
        <f t="shared" ca="1" si="83"/>
        <v>0</v>
      </c>
      <c r="Z290" s="152">
        <f t="shared" ca="1" si="83"/>
        <v>0</v>
      </c>
      <c r="AA290" s="152">
        <f t="shared" ca="1" si="83"/>
        <v>0</v>
      </c>
      <c r="AB290" s="152">
        <f t="shared" ca="1" si="83"/>
        <v>0</v>
      </c>
      <c r="AC290" s="152">
        <f t="shared" ca="1" si="83"/>
        <v>0</v>
      </c>
      <c r="AD290" s="152">
        <f t="shared" ca="1" si="83"/>
        <v>0</v>
      </c>
      <c r="AE290" s="152">
        <f t="shared" ca="1" si="83"/>
        <v>0</v>
      </c>
      <c r="AF290" s="152">
        <f t="shared" ca="1" si="83"/>
        <v>0</v>
      </c>
      <c r="AG290" s="152">
        <f t="shared" ca="1" si="83"/>
        <v>0</v>
      </c>
      <c r="AH290" s="152">
        <f t="shared" ca="1" si="83"/>
        <v>0</v>
      </c>
      <c r="AI290" s="152">
        <f t="shared" ca="1" si="83"/>
        <v>0</v>
      </c>
      <c r="AJ290" s="152">
        <f t="shared" ca="1" si="83"/>
        <v>0</v>
      </c>
      <c r="AK290" s="152">
        <f t="shared" ca="1" si="83"/>
        <v>0</v>
      </c>
      <c r="AL290" s="152">
        <f ca="1">SUM(AL291,AL292)</f>
        <v>0</v>
      </c>
      <c r="AM290" s="152">
        <f t="shared" ca="1" si="83"/>
        <v>0</v>
      </c>
      <c r="AN290" s="152">
        <f t="shared" ca="1" si="83"/>
        <v>0</v>
      </c>
      <c r="AO290" s="152">
        <f t="shared" ca="1" si="83"/>
        <v>0</v>
      </c>
      <c r="AQ290" s="21">
        <f t="shared" ca="1" si="83"/>
        <v>0</v>
      </c>
      <c r="AR290" s="21">
        <f t="shared" ca="1" si="83"/>
        <v>0</v>
      </c>
      <c r="AS290" s="21">
        <f t="shared" ca="1" si="83"/>
        <v>0</v>
      </c>
      <c r="AT290" s="21">
        <f t="shared" ca="1" si="83"/>
        <v>0</v>
      </c>
      <c r="AU290" s="21">
        <f t="shared" ca="1" si="83"/>
        <v>0</v>
      </c>
      <c r="AV290" s="21">
        <f t="shared" ca="1" si="83"/>
        <v>0</v>
      </c>
      <c r="AW290" s="21">
        <f t="shared" ca="1" si="83"/>
        <v>0</v>
      </c>
      <c r="AX290" s="21">
        <f t="shared" ca="1" si="83"/>
        <v>0</v>
      </c>
      <c r="AY290" s="21">
        <f t="shared" ca="1" si="83"/>
        <v>0</v>
      </c>
      <c r="AZ290" s="21">
        <f t="shared" ca="1" si="83"/>
        <v>0</v>
      </c>
      <c r="BA290" s="21">
        <f t="shared" ca="1" si="83"/>
        <v>0</v>
      </c>
      <c r="BB290" s="21">
        <f t="shared" ca="1" si="83"/>
        <v>0</v>
      </c>
      <c r="BC290" s="21">
        <f t="shared" ca="1" si="83"/>
        <v>0</v>
      </c>
      <c r="BD290" s="21">
        <f t="shared" ca="1" si="83"/>
        <v>0</v>
      </c>
      <c r="BF290" s="49">
        <f t="shared" ca="1" si="83"/>
        <v>0</v>
      </c>
      <c r="BG290" s="49">
        <f t="shared" ca="1" si="83"/>
        <v>0</v>
      </c>
      <c r="BH290" s="49">
        <f t="shared" ca="1" si="83"/>
        <v>0</v>
      </c>
      <c r="BI290" s="219">
        <f t="shared" ca="1" si="83"/>
        <v>0</v>
      </c>
      <c r="BJ290" s="58"/>
    </row>
    <row r="291" spans="1:62">
      <c r="B291" s="176" t="s">
        <v>738</v>
      </c>
      <c r="C291" s="114" t="str">
        <f>INDEX(Regional.Technologies[Description],MATCH($B$3&amp;"."&amp;B291,Regional.Technologies[Code],0))</f>
        <v>Global On shore wind turbines</v>
      </c>
      <c r="E291" s="121">
        <f t="array" aca="1" ref="E291" ca="1">IFERROR(INDEX(INDIRECT($B$3&amp;"."&amp;$B$267&amp;".energy["&amp;This.year&amp;"]"),MATCH($C291&amp;E$5,INDIRECT($B$3&amp;"."&amp;$B$267&amp;".energy[Tech description]")&amp;INDIRECT($B$3&amp;"."&amp;$B$267&amp;".energy[Energy description]"),0)),0)</f>
        <v>0</v>
      </c>
      <c r="F291" s="121">
        <f t="array" aca="1" ref="F291" ca="1">IFERROR(INDEX(INDIRECT($B$3&amp;"."&amp;$B$267&amp;".energy["&amp;This.year&amp;"]"),MATCH($C291&amp;F$5,INDIRECT($B$3&amp;"."&amp;$B$267&amp;".energy[Tech description]")&amp;INDIRECT($B$3&amp;"."&amp;$B$267&amp;".energy[Energy description]"),0)),0)</f>
        <v>0</v>
      </c>
      <c r="G291" s="121">
        <f t="array" aca="1" ref="G291" ca="1">IFERROR(INDEX(INDIRECT($B$3&amp;"."&amp;$B$267&amp;".energy["&amp;This.year&amp;"]"),MATCH($C291&amp;G$5,INDIRECT($B$3&amp;"."&amp;$B$267&amp;".energy[Tech description]")&amp;INDIRECT($B$3&amp;"."&amp;$B$267&amp;".energy[Energy description]"),0)),0)</f>
        <v>0</v>
      </c>
      <c r="H291" s="121">
        <f t="array" aca="1" ref="H291" ca="1">IFERROR(INDEX(INDIRECT($B$3&amp;"."&amp;$B$267&amp;".energy["&amp;This.year&amp;"]"),MATCH($C291&amp;H$5,INDIRECT($B$3&amp;"."&amp;$B$267&amp;".energy[Tech description]")&amp;INDIRECT($B$3&amp;"."&amp;$B$267&amp;".energy[Energy description]"),0)),0)</f>
        <v>0</v>
      </c>
      <c r="I291" s="121">
        <f t="array" aca="1" ref="I291" ca="1">IFERROR(INDEX(INDIRECT($B$3&amp;"."&amp;$B$267&amp;".energy["&amp;This.year&amp;"]"),MATCH($C291&amp;I$5,INDIRECT($B$3&amp;"."&amp;$B$267&amp;".energy[Tech description]")&amp;INDIRECT($B$3&amp;"."&amp;$B$267&amp;".energy[Energy description]"),0)),0)</f>
        <v>0</v>
      </c>
      <c r="J291" s="121">
        <f t="array" aca="1" ref="J291" ca="1">IFERROR(INDEX(INDIRECT($B$3&amp;"."&amp;$B$267&amp;".energy["&amp;This.year&amp;"]"),MATCH($C291&amp;J$5,INDIRECT($B$3&amp;"."&amp;$B$267&amp;".energy[Tech description]")&amp;INDIRECT($B$3&amp;"."&amp;$B$267&amp;".energy[Energy description]"),0)),0)</f>
        <v>0</v>
      </c>
      <c r="K291" s="121">
        <f t="array" aca="1" ref="K291" ca="1">IFERROR(INDEX(INDIRECT($B$3&amp;"."&amp;$B$267&amp;".energy["&amp;This.year&amp;"]"),MATCH($C291&amp;K$5,INDIRECT($B$3&amp;"."&amp;$B$267&amp;".energy[Tech description]")&amp;INDIRECT($B$3&amp;"."&amp;$B$267&amp;".energy[Energy description]"),0)),0)</f>
        <v>0</v>
      </c>
      <c r="L291" s="121">
        <f t="array" aca="1" ref="L291" ca="1">IFERROR(INDEX(INDIRECT($B$3&amp;"."&amp;$B$267&amp;".energy["&amp;This.year&amp;"]"),MATCH($C291&amp;L$5,INDIRECT($B$3&amp;"."&amp;$B$267&amp;".energy[Tech description]")&amp;INDIRECT($B$3&amp;"."&amp;$B$267&amp;".energy[Energy description]"),0)),0)</f>
        <v>0</v>
      </c>
      <c r="M291" s="121">
        <f t="array" aca="1" ref="M291" ca="1">IFERROR(INDEX(INDIRECT($B$3&amp;"."&amp;$B$267&amp;".energy["&amp;This.year&amp;"]"),MATCH($C291&amp;M$5,INDIRECT($B$3&amp;"."&amp;$B$267&amp;".energy[Tech description]")&amp;INDIRECT($B$3&amp;"."&amp;$B$267&amp;".energy[Energy description]"),0)),0)</f>
        <v>0</v>
      </c>
      <c r="N291" s="121">
        <f t="array" aca="1" ref="N291" ca="1">IFERROR(INDEX(INDIRECT($B$3&amp;"."&amp;$B$267&amp;".energy["&amp;This.year&amp;"]"),MATCH($C291&amp;N$5,INDIRECT($B$3&amp;"."&amp;$B$267&amp;".energy[Tech description]")&amp;INDIRECT($B$3&amp;"."&amp;$B$267&amp;".energy[Energy description]"),0)),0)</f>
        <v>0</v>
      </c>
      <c r="O291" s="121">
        <f t="array" aca="1" ref="O291" ca="1">IFERROR(INDEX(INDIRECT($B$3&amp;"."&amp;$B$267&amp;".energy["&amp;This.year&amp;"]"),MATCH($C291&amp;O$5,INDIRECT($B$3&amp;"."&amp;$B$267&amp;".energy[Tech description]")&amp;INDIRECT($B$3&amp;"."&amp;$B$267&amp;".energy[Energy description]"),0)),0)</f>
        <v>0</v>
      </c>
      <c r="P291" s="121">
        <f t="array" aca="1" ref="P291" ca="1">IFERROR(INDEX(INDIRECT($B$3&amp;"."&amp;$B$267&amp;".energy["&amp;This.year&amp;"]"),MATCH($C291&amp;P$5,INDIRECT($B$3&amp;"."&amp;$B$267&amp;".energy[Tech description]")&amp;INDIRECT($B$3&amp;"."&amp;$B$267&amp;".energy[Energy description]"),0)),0)</f>
        <v>0</v>
      </c>
      <c r="Q291" s="121">
        <f t="array" aca="1" ref="Q291" ca="1">IFERROR(INDEX(INDIRECT($B$3&amp;"."&amp;$B$267&amp;".energy["&amp;This.year&amp;"]"),MATCH($C291&amp;Q$5,INDIRECT($B$3&amp;"."&amp;$B$267&amp;".energy[Tech description]")&amp;INDIRECT($B$3&amp;"."&amp;$B$267&amp;".energy[Energy description]"),0)),0)</f>
        <v>0</v>
      </c>
      <c r="R291" s="121">
        <f t="array" aca="1" ref="R291" ca="1">IFERROR(INDEX(INDIRECT($B$3&amp;"."&amp;$B$267&amp;".energy["&amp;This.year&amp;"]"),MATCH($C291&amp;R$5,INDIRECT($B$3&amp;"."&amp;$B$267&amp;".energy[Tech description]")&amp;INDIRECT($B$3&amp;"."&amp;$B$267&amp;".energy[Energy description]"),0)),0)</f>
        <v>0</v>
      </c>
      <c r="S291" s="121">
        <f t="array" aca="1" ref="S291" ca="1">IFERROR(INDEX(INDIRECT($B$3&amp;"."&amp;$B$267&amp;".energy["&amp;This.year&amp;"]"),MATCH($C291&amp;S$5,INDIRECT($B$3&amp;"."&amp;$B$267&amp;".energy[Tech description]")&amp;INDIRECT($B$3&amp;"."&amp;$B$267&amp;".energy[Energy description]"),0)),0)</f>
        <v>0</v>
      </c>
      <c r="T291" s="121">
        <f t="shared" ref="T291:T292" ca="1" si="85">SUM(E291:S291)</f>
        <v>0</v>
      </c>
      <c r="V291" s="171">
        <f t="array" aca="1" ref="V291" ca="1">IFERROR(INDEX(INDIRECT($B$3&amp;"."&amp;$B$267&amp;".energy["&amp;This.year&amp;"]"),MATCH($C291&amp;V$5,INDIRECT($B$3&amp;"."&amp;$B$267&amp;".energy[Tech description]")&amp;INDIRECT($B$3&amp;"."&amp;$B$267&amp;".energy[Energy description]"),0)),0)</f>
        <v>0</v>
      </c>
      <c r="W291" s="171">
        <f t="array" aca="1" ref="W291" ca="1">IFERROR(INDEX(INDIRECT($B$3&amp;"."&amp;$B$267&amp;".energy["&amp;This.year&amp;"]"),MATCH($C291&amp;W$5,INDIRECT($B$3&amp;"."&amp;$B$267&amp;".energy[Tech description]")&amp;INDIRECT($B$3&amp;"."&amp;$B$267&amp;".energy[Energy description]"),0)),0)</f>
        <v>0</v>
      </c>
      <c r="X291" s="171">
        <f t="array" aca="1" ref="X291" ca="1">IFERROR(INDEX(INDIRECT($B$3&amp;"."&amp;$B$267&amp;".energy["&amp;This.year&amp;"]"),MATCH($C291&amp;X$5,INDIRECT($B$3&amp;"."&amp;$B$267&amp;".energy[Tech description]")&amp;INDIRECT($B$3&amp;"."&amp;$B$267&amp;".energy[Energy description]"),0)),0)</f>
        <v>0</v>
      </c>
      <c r="Y291" s="171">
        <f t="array" aca="1" ref="Y291" ca="1">IFERROR(INDEX(INDIRECT($B$3&amp;"."&amp;$B$267&amp;".energy["&amp;This.year&amp;"]"),MATCH($C291&amp;Y$5,INDIRECT($B$3&amp;"."&amp;$B$267&amp;".energy[Tech description]")&amp;INDIRECT($B$3&amp;"."&amp;$B$267&amp;".energy[Energy description]"),0)),0)</f>
        <v>0</v>
      </c>
      <c r="Z291" s="171">
        <f t="array" aca="1" ref="Z291" ca="1">IFERROR(INDEX(INDIRECT($B$3&amp;"."&amp;$B$267&amp;".energy["&amp;This.year&amp;"]"),MATCH($C291&amp;Z$5,INDIRECT($B$3&amp;"."&amp;$B$267&amp;".energy[Tech description]")&amp;INDIRECT($B$3&amp;"."&amp;$B$267&amp;".energy[Energy description]"),0)),0)</f>
        <v>0</v>
      </c>
      <c r="AA291" s="171">
        <f t="array" aca="1" ref="AA291" ca="1">IFERROR(INDEX(INDIRECT($B$3&amp;"."&amp;$B$267&amp;".energy["&amp;This.year&amp;"]"),MATCH($C291&amp;AA$5,INDIRECT($B$3&amp;"."&amp;$B$267&amp;".energy[Tech description]")&amp;INDIRECT($B$3&amp;"."&amp;$B$267&amp;".energy[Energy description]"),0)),0)</f>
        <v>0</v>
      </c>
      <c r="AB291" s="171">
        <f t="array" aca="1" ref="AB291" ca="1">IFERROR(INDEX(INDIRECT($B$3&amp;"."&amp;$B$267&amp;".energy["&amp;This.year&amp;"]"),MATCH($C291&amp;AB$5,INDIRECT($B$3&amp;"."&amp;$B$267&amp;".energy[Tech description]")&amp;INDIRECT($B$3&amp;"."&amp;$B$267&amp;".energy[Energy description]"),0)),0)</f>
        <v>0</v>
      </c>
      <c r="AC291" s="171">
        <f t="array" aca="1" ref="AC291" ca="1">IFERROR(INDEX(INDIRECT($B$3&amp;"."&amp;$B$267&amp;".energy["&amp;This.year&amp;"]"),MATCH($C291&amp;AC$5,INDIRECT($B$3&amp;"."&amp;$B$267&amp;".energy[Tech description]")&amp;INDIRECT($B$3&amp;"."&amp;$B$267&amp;".energy[Energy description]"),0)),0)</f>
        <v>0</v>
      </c>
      <c r="AD291" s="171">
        <f t="array" aca="1" ref="AD291" ca="1">IFERROR(INDEX(INDIRECT($B$3&amp;"."&amp;$B$267&amp;".energy["&amp;This.year&amp;"]"),MATCH($C291&amp;AD$5,INDIRECT($B$3&amp;"."&amp;$B$267&amp;".energy[Tech description]")&amp;INDIRECT($B$3&amp;"."&amp;$B$267&amp;".energy[Energy description]"),0)),0)</f>
        <v>0</v>
      </c>
      <c r="AE291" s="171">
        <f t="array" aca="1" ref="AE291" ca="1">IFERROR(INDEX(INDIRECT($B$3&amp;"."&amp;$B$267&amp;".energy["&amp;This.year&amp;"]"),MATCH($C291&amp;AE$5,INDIRECT($B$3&amp;"."&amp;$B$267&amp;".energy[Tech description]")&amp;INDIRECT($B$3&amp;"."&amp;$B$267&amp;".energy[Energy description]"),0)),0)</f>
        <v>0</v>
      </c>
      <c r="AF291" s="171">
        <f t="array" aca="1" ref="AF291" ca="1">IFERROR(INDEX(INDIRECT($B$3&amp;"."&amp;$B$267&amp;".energy["&amp;This.year&amp;"]"),MATCH($C291&amp;AF$5,INDIRECT($B$3&amp;"."&amp;$B$267&amp;".energy[Tech description]")&amp;INDIRECT($B$3&amp;"."&amp;$B$267&amp;".energy[Energy description]"),0)),0)</f>
        <v>0</v>
      </c>
      <c r="AG291" s="171">
        <f t="array" aca="1" ref="AG291" ca="1">IFERROR(INDEX(INDIRECT($B$3&amp;"."&amp;$B$267&amp;".energy["&amp;This.year&amp;"]"),MATCH($C291&amp;AG$5,INDIRECT($B$3&amp;"."&amp;$B$267&amp;".energy[Tech description]")&amp;INDIRECT($B$3&amp;"."&amp;$B$267&amp;".energy[Energy description]"),0)),0)</f>
        <v>0</v>
      </c>
      <c r="AH291" s="171">
        <f t="array" aca="1" ref="AH291" ca="1">IFERROR(INDEX(INDIRECT($B$3&amp;"."&amp;$B$267&amp;".energy["&amp;This.year&amp;"]"),MATCH($C291&amp;AH$5,INDIRECT($B$3&amp;"."&amp;$B$267&amp;".energy[Tech description]")&amp;INDIRECT($B$3&amp;"."&amp;$B$267&amp;".energy[Energy description]"),0)),0)</f>
        <v>0</v>
      </c>
      <c r="AI291" s="171">
        <f t="array" aca="1" ref="AI291" ca="1">IFERROR(INDEX(INDIRECT($B$3&amp;"."&amp;$B$267&amp;".energy["&amp;This.year&amp;"]"),MATCH($C291&amp;AI$5,INDIRECT($B$3&amp;"."&amp;$B$267&amp;".energy[Tech description]")&amp;INDIRECT($B$3&amp;"."&amp;$B$267&amp;".energy[Energy description]"),0)),0)</f>
        <v>0</v>
      </c>
      <c r="AJ291" s="171">
        <f t="array" aca="1" ref="AJ291" ca="1">IFERROR(INDEX(INDIRECT($B$3&amp;"."&amp;$B$267&amp;".energy["&amp;This.year&amp;"]"),MATCH($C291&amp;AJ$5,INDIRECT($B$3&amp;"."&amp;$B$267&amp;".energy[Tech description]")&amp;INDIRECT($B$3&amp;"."&amp;$B$267&amp;".energy[Energy description]"),0)),0)</f>
        <v>0</v>
      </c>
      <c r="AK291" s="171">
        <f t="array" aca="1" ref="AK291" ca="1">IFERROR(INDEX(INDIRECT($B$3&amp;"."&amp;$B$267&amp;".energy["&amp;This.year&amp;"]"),MATCH($C291&amp;AK$5,INDIRECT($B$3&amp;"."&amp;$B$267&amp;".energy[Tech description]")&amp;INDIRECT($B$3&amp;"."&amp;$B$267&amp;".energy[Energy description]"),0)),0)</f>
        <v>0</v>
      </c>
      <c r="AL291" s="171">
        <f t="array" aca="1" ref="AL291" ca="1">IFERROR(INDEX(INDIRECT($B$3&amp;"."&amp;$B$267&amp;".energy["&amp;This.year&amp;"]"),MATCH($C291&amp;AL$5,INDIRECT($B$3&amp;"."&amp;$B$267&amp;".energy[Tech description]")&amp;INDIRECT($B$3&amp;"."&amp;$B$267&amp;".energy[Energy description]"),0)),0)</f>
        <v>0</v>
      </c>
      <c r="AM291" s="171">
        <f t="array" aca="1" ref="AM291" ca="1">IFERROR(INDEX(INDIRECT($B$3&amp;"."&amp;$B$267&amp;".energy["&amp;This.year&amp;"]"),MATCH($C291&amp;AM$5,INDIRECT($B$3&amp;"."&amp;$B$267&amp;".energy[Tech description]")&amp;INDIRECT($B$3&amp;"."&amp;$B$267&amp;".energy[Energy description]"),0)),0)</f>
        <v>0</v>
      </c>
      <c r="AN291" s="171">
        <f t="array" aca="1" ref="AN291" ca="1">IFERROR(INDEX(INDIRECT($B$3&amp;"."&amp;$B$267&amp;".energy["&amp;This.year&amp;"]"),MATCH($C291&amp;AN$5,INDIRECT($B$3&amp;"."&amp;$B$267&amp;".energy[Tech description]")&amp;INDIRECT($B$3&amp;"."&amp;$B$267&amp;".energy[Energy description]"),0)),0)</f>
        <v>0</v>
      </c>
      <c r="AO291" s="171">
        <f ca="1">SUM(V291:AN291)</f>
        <v>0</v>
      </c>
      <c r="AQ291" s="173">
        <f t="array" aca="1" ref="AQ291" ca="1">IFERROR(INDEX(INDIRECT($B$3&amp;"."&amp;$B$267&amp;".energy["&amp;This.year&amp;"]"),MATCH($C291&amp;AQ$5,INDIRECT($B$3&amp;"."&amp;$B$267&amp;".energy[Tech description]")&amp;INDIRECT($B$3&amp;"."&amp;$B$267&amp;".energy[Energy description]"),0)),0)</f>
        <v>0</v>
      </c>
      <c r="AR291" s="173">
        <f t="array" aca="1" ref="AR291" ca="1">IFERROR(INDEX(INDIRECT($B$3&amp;"."&amp;$B$267&amp;".energy["&amp;This.year&amp;"]"),MATCH($C291&amp;AR$5,INDIRECT($B$3&amp;"."&amp;$B$267&amp;".energy[Tech description]")&amp;INDIRECT($B$3&amp;"."&amp;$B$267&amp;".energy[Energy description]"),0)),0)</f>
        <v>0</v>
      </c>
      <c r="AS291" s="173">
        <f t="array" aca="1" ref="AS291" ca="1">IFERROR(INDEX(INDIRECT($B$3&amp;"."&amp;$B$267&amp;".energy["&amp;This.year&amp;"]"),MATCH($C291&amp;AS$5,INDIRECT($B$3&amp;"."&amp;$B$267&amp;".energy[Tech description]")&amp;INDIRECT($B$3&amp;"."&amp;$B$267&amp;".energy[Energy description]"),0)),0)</f>
        <v>0</v>
      </c>
      <c r="AT291" s="173">
        <f t="array" aca="1" ref="AT291" ca="1">IFERROR(INDEX(INDIRECT($B$3&amp;"."&amp;$B$267&amp;".energy["&amp;This.year&amp;"]"),MATCH($C291&amp;AT$5,INDIRECT($B$3&amp;"."&amp;$B$267&amp;".energy[Tech description]")&amp;INDIRECT($B$3&amp;"."&amp;$B$267&amp;".energy[Energy description]"),0)),0)</f>
        <v>0</v>
      </c>
      <c r="AU291" s="173">
        <f t="array" aca="1" ref="AU291" ca="1">IFERROR(INDEX(INDIRECT($B$3&amp;"."&amp;$B$267&amp;".energy["&amp;This.year&amp;"]"),MATCH($C291&amp;AU$5,INDIRECT($B$3&amp;"."&amp;$B$267&amp;".energy[Tech description]")&amp;INDIRECT($B$3&amp;"."&amp;$B$267&amp;".energy[Energy description]"),0)),0)</f>
        <v>0</v>
      </c>
      <c r="AV291" s="173">
        <f t="array" aca="1" ref="AV291" ca="1">IFERROR(INDEX(INDIRECT($B$3&amp;"."&amp;$B$267&amp;".energy["&amp;This.year&amp;"]"),MATCH($C291&amp;AV$5,INDIRECT($B$3&amp;"."&amp;$B$267&amp;".energy[Tech description]")&amp;INDIRECT($B$3&amp;"."&amp;$B$267&amp;".energy[Energy description]"),0)),0)</f>
        <v>0</v>
      </c>
      <c r="AW291" s="173">
        <f t="array" aca="1" ref="AW291" ca="1">IFERROR(INDEX(INDIRECT($B$3&amp;"."&amp;$B$267&amp;".energy["&amp;This.year&amp;"]"),MATCH($C291&amp;AW$5,INDIRECT($B$3&amp;"."&amp;$B$267&amp;".energy[Tech description]")&amp;INDIRECT($B$3&amp;"."&amp;$B$267&amp;".energy[Energy description]"),0)),0)</f>
        <v>0</v>
      </c>
      <c r="AX291" s="173">
        <f t="array" aca="1" ref="AX291" ca="1">IFERROR(INDEX(INDIRECT($B$3&amp;"."&amp;$B$267&amp;".energy["&amp;This.year&amp;"]"),MATCH($C291&amp;AX$5,INDIRECT($B$3&amp;"."&amp;$B$267&amp;".energy[Tech description]")&amp;INDIRECT($B$3&amp;"."&amp;$B$267&amp;".energy[Energy description]"),0)),0)</f>
        <v>0</v>
      </c>
      <c r="AY291" s="173">
        <f t="array" aca="1" ref="AY291" ca="1">IFERROR(INDEX(INDIRECT($B$3&amp;"."&amp;$B$267&amp;".energy["&amp;This.year&amp;"]"),MATCH($C291&amp;AY$5,INDIRECT($B$3&amp;"."&amp;$B$267&amp;".energy[Tech description]")&amp;INDIRECT($B$3&amp;"."&amp;$B$267&amp;".energy[Energy description]"),0)),0)</f>
        <v>0</v>
      </c>
      <c r="AZ291" s="173">
        <f t="array" aca="1" ref="AZ291" ca="1">IFERROR(INDEX(INDIRECT($B$3&amp;"."&amp;$B$267&amp;".energy["&amp;This.year&amp;"]"),MATCH($C291&amp;AZ$5,INDIRECT($B$3&amp;"."&amp;$B$267&amp;".energy[Tech description]")&amp;INDIRECT($B$3&amp;"."&amp;$B$267&amp;".energy[Energy description]"),0)),0)</f>
        <v>0</v>
      </c>
      <c r="BA291" s="173">
        <f t="array" aca="1" ref="BA291" ca="1">IFERROR(INDEX(INDIRECT($B$3&amp;"."&amp;$B$267&amp;".energy["&amp;This.year&amp;"]"),MATCH($C291&amp;BA$5,INDIRECT($B$3&amp;"."&amp;$B$267&amp;".energy[Tech description]")&amp;INDIRECT($B$3&amp;"."&amp;$B$267&amp;".energy[Energy description]"),0)),0)</f>
        <v>0</v>
      </c>
      <c r="BB291" s="173">
        <f t="array" aca="1" ref="BB291" ca="1">IFERROR(INDEX(INDIRECT($B$3&amp;"."&amp;$B$267&amp;".energy["&amp;This.year&amp;"]"),MATCH($C291&amp;BB$5,INDIRECT($B$3&amp;"."&amp;$B$267&amp;".energy[Tech description]")&amp;INDIRECT($B$3&amp;"."&amp;$B$267&amp;".energy[Energy description]"),0)),0)</f>
        <v>0</v>
      </c>
      <c r="BC291" s="173">
        <f t="array" aca="1" ref="BC291" ca="1">IFERROR(INDEX(INDIRECT($B$3&amp;"."&amp;$B$267&amp;".energy["&amp;This.year&amp;"]"),MATCH($C291&amp;BC$5,INDIRECT($B$3&amp;"."&amp;$B$267&amp;".energy[Tech description]")&amp;INDIRECT($B$3&amp;"."&amp;$B$267&amp;".energy[Energy description]"),0)),0)</f>
        <v>0</v>
      </c>
      <c r="BD291" s="173">
        <f ca="1">SUM(AQ291:BB291)</f>
        <v>0</v>
      </c>
      <c r="BF291" s="175">
        <f t="array" aca="1" ref="BF291" ca="1">IFERROR(INDEX(INDIRECT($B$3&amp;"."&amp;$B$267&amp;".energy["&amp;This.year&amp;"]"),MATCH($C291&amp;BF$5,INDIRECT($B$3&amp;"."&amp;$B$267&amp;".energy[Tech description]")&amp;INDIRECT($B$3&amp;"."&amp;$B$267&amp;".energy[Energy description]"),0)),0)</f>
        <v>0</v>
      </c>
      <c r="BG291" s="175">
        <f t="array" aca="1" ref="BG291" ca="1">IFERROR(INDEX(INDIRECT($B$3&amp;"."&amp;$B$267&amp;".energy["&amp;This.year&amp;"]"),MATCH($C291&amp;BG$5,INDIRECT($B$3&amp;"."&amp;$B$267&amp;".energy[Tech description]")&amp;INDIRECT($B$3&amp;"."&amp;$B$267&amp;".energy[Energy description]"),0)),0)</f>
        <v>0</v>
      </c>
      <c r="BH291" s="175">
        <f t="shared" ref="BH291:BH292" ca="1" si="86">SUM(BF291:BG291)</f>
        <v>0</v>
      </c>
      <c r="BI291" s="219">
        <f ca="1">SUM(T291,AO291,BD291,BH291)</f>
        <v>0</v>
      </c>
      <c r="BJ291" s="58"/>
    </row>
    <row r="292" spans="1:62">
      <c r="B292" s="176" t="s">
        <v>739</v>
      </c>
      <c r="C292" s="114" t="str">
        <f>INDEX(Regional.Technologies[Description],MATCH($B$3&amp;"."&amp;B292,Regional.Technologies[Code],0))</f>
        <v>Global Off shore wind turbines</v>
      </c>
      <c r="E292" s="121">
        <f t="array" aca="1" ref="E292" ca="1">IFERROR(INDEX(INDIRECT($B$3&amp;"."&amp;$B$267&amp;".energy["&amp;This.year&amp;"]"),MATCH($C292&amp;E$5,INDIRECT($B$3&amp;"."&amp;$B$267&amp;".energy[Tech description]")&amp;INDIRECT($B$3&amp;"."&amp;$B$267&amp;".energy[Energy description]"),0)),0)</f>
        <v>0</v>
      </c>
      <c r="F292" s="121">
        <f t="array" aca="1" ref="F292" ca="1">IFERROR(INDEX(INDIRECT($B$3&amp;"."&amp;$B$267&amp;".energy["&amp;This.year&amp;"]"),MATCH($C292&amp;F$5,INDIRECT($B$3&amp;"."&amp;$B$267&amp;".energy[Tech description]")&amp;INDIRECT($B$3&amp;"."&amp;$B$267&amp;".energy[Energy description]"),0)),0)</f>
        <v>0</v>
      </c>
      <c r="G292" s="121">
        <f t="array" aca="1" ref="G292" ca="1">IFERROR(INDEX(INDIRECT($B$3&amp;"."&amp;$B$267&amp;".energy["&amp;This.year&amp;"]"),MATCH($C292&amp;G$5,INDIRECT($B$3&amp;"."&amp;$B$267&amp;".energy[Tech description]")&amp;INDIRECT($B$3&amp;"."&amp;$B$267&amp;".energy[Energy description]"),0)),0)</f>
        <v>0</v>
      </c>
      <c r="H292" s="121">
        <f t="array" aca="1" ref="H292" ca="1">IFERROR(INDEX(INDIRECT($B$3&amp;"."&amp;$B$267&amp;".energy["&amp;This.year&amp;"]"),MATCH($C292&amp;H$5,INDIRECT($B$3&amp;"."&amp;$B$267&amp;".energy[Tech description]")&amp;INDIRECT($B$3&amp;"."&amp;$B$267&amp;".energy[Energy description]"),0)),0)</f>
        <v>0</v>
      </c>
      <c r="I292" s="121">
        <f t="array" aca="1" ref="I292" ca="1">IFERROR(INDEX(INDIRECT($B$3&amp;"."&amp;$B$267&amp;".energy["&amp;This.year&amp;"]"),MATCH($C292&amp;I$5,INDIRECT($B$3&amp;"."&amp;$B$267&amp;".energy[Tech description]")&amp;INDIRECT($B$3&amp;"."&amp;$B$267&amp;".energy[Energy description]"),0)),0)</f>
        <v>0</v>
      </c>
      <c r="J292" s="121">
        <f t="array" aca="1" ref="J292" ca="1">IFERROR(INDEX(INDIRECT($B$3&amp;"."&amp;$B$267&amp;".energy["&amp;This.year&amp;"]"),MATCH($C292&amp;J$5,INDIRECT($B$3&amp;"."&amp;$B$267&amp;".energy[Tech description]")&amp;INDIRECT($B$3&amp;"."&amp;$B$267&amp;".energy[Energy description]"),0)),0)</f>
        <v>0</v>
      </c>
      <c r="K292" s="121">
        <f t="array" aca="1" ref="K292" ca="1">IFERROR(INDEX(INDIRECT($B$3&amp;"."&amp;$B$267&amp;".energy["&amp;This.year&amp;"]"),MATCH($C292&amp;K$5,INDIRECT($B$3&amp;"."&amp;$B$267&amp;".energy[Tech description]")&amp;INDIRECT($B$3&amp;"."&amp;$B$267&amp;".energy[Energy description]"),0)),0)</f>
        <v>0</v>
      </c>
      <c r="L292" s="121">
        <f t="array" aca="1" ref="L292" ca="1">IFERROR(INDEX(INDIRECT($B$3&amp;"."&amp;$B$267&amp;".energy["&amp;This.year&amp;"]"),MATCH($C292&amp;L$5,INDIRECT($B$3&amp;"."&amp;$B$267&amp;".energy[Tech description]")&amp;INDIRECT($B$3&amp;"."&amp;$B$267&amp;".energy[Energy description]"),0)),0)</f>
        <v>0</v>
      </c>
      <c r="M292" s="121">
        <f t="array" aca="1" ref="M292" ca="1">IFERROR(INDEX(INDIRECT($B$3&amp;"."&amp;$B$267&amp;".energy["&amp;This.year&amp;"]"),MATCH($C292&amp;M$5,INDIRECT($B$3&amp;"."&amp;$B$267&amp;".energy[Tech description]")&amp;INDIRECT($B$3&amp;"."&amp;$B$267&amp;".energy[Energy description]"),0)),0)</f>
        <v>0</v>
      </c>
      <c r="N292" s="121">
        <f t="array" aca="1" ref="N292" ca="1">IFERROR(INDEX(INDIRECT($B$3&amp;"."&amp;$B$267&amp;".energy["&amp;This.year&amp;"]"),MATCH($C292&amp;N$5,INDIRECT($B$3&amp;"."&amp;$B$267&amp;".energy[Tech description]")&amp;INDIRECT($B$3&amp;"."&amp;$B$267&amp;".energy[Energy description]"),0)),0)</f>
        <v>0</v>
      </c>
      <c r="O292" s="121">
        <f t="array" aca="1" ref="O292" ca="1">IFERROR(INDEX(INDIRECT($B$3&amp;"."&amp;$B$267&amp;".energy["&amp;This.year&amp;"]"),MATCH($C292&amp;O$5,INDIRECT($B$3&amp;"."&amp;$B$267&amp;".energy[Tech description]")&amp;INDIRECT($B$3&amp;"."&amp;$B$267&amp;".energy[Energy description]"),0)),0)</f>
        <v>0</v>
      </c>
      <c r="P292" s="121">
        <f t="array" aca="1" ref="P292" ca="1">IFERROR(INDEX(INDIRECT($B$3&amp;"."&amp;$B$267&amp;".energy["&amp;This.year&amp;"]"),MATCH($C292&amp;P$5,INDIRECT($B$3&amp;"."&amp;$B$267&amp;".energy[Tech description]")&amp;INDIRECT($B$3&amp;"."&amp;$B$267&amp;".energy[Energy description]"),0)),0)</f>
        <v>0</v>
      </c>
      <c r="Q292" s="121">
        <f t="array" aca="1" ref="Q292" ca="1">IFERROR(INDEX(INDIRECT($B$3&amp;"."&amp;$B$267&amp;".energy["&amp;This.year&amp;"]"),MATCH($C292&amp;Q$5,INDIRECT($B$3&amp;"."&amp;$B$267&amp;".energy[Tech description]")&amp;INDIRECT($B$3&amp;"."&amp;$B$267&amp;".energy[Energy description]"),0)),0)</f>
        <v>0</v>
      </c>
      <c r="R292" s="121">
        <f t="array" aca="1" ref="R292" ca="1">IFERROR(INDEX(INDIRECT($B$3&amp;"."&amp;$B$267&amp;".energy["&amp;This.year&amp;"]"),MATCH($C292&amp;R$5,INDIRECT($B$3&amp;"."&amp;$B$267&amp;".energy[Tech description]")&amp;INDIRECT($B$3&amp;"."&amp;$B$267&amp;".energy[Energy description]"),0)),0)</f>
        <v>0</v>
      </c>
      <c r="S292" s="121">
        <f t="array" aca="1" ref="S292" ca="1">IFERROR(INDEX(INDIRECT($B$3&amp;"."&amp;$B$267&amp;".energy["&amp;This.year&amp;"]"),MATCH($C292&amp;S$5,INDIRECT($B$3&amp;"."&amp;$B$267&amp;".energy[Tech description]")&amp;INDIRECT($B$3&amp;"."&amp;$B$267&amp;".energy[Energy description]"),0)),0)</f>
        <v>0</v>
      </c>
      <c r="T292" s="121">
        <f t="shared" ca="1" si="85"/>
        <v>0</v>
      </c>
      <c r="V292" s="171">
        <f t="array" aca="1" ref="V292" ca="1">IFERROR(INDEX(INDIRECT($B$3&amp;"."&amp;$B$267&amp;".energy["&amp;This.year&amp;"]"),MATCH($C292&amp;V$5,INDIRECT($B$3&amp;"."&amp;$B$267&amp;".energy[Tech description]")&amp;INDIRECT($B$3&amp;"."&amp;$B$267&amp;".energy[Energy description]"),0)),0)</f>
        <v>0</v>
      </c>
      <c r="W292" s="171">
        <f t="array" aca="1" ref="W292" ca="1">IFERROR(INDEX(INDIRECT($B$3&amp;"."&amp;$B$267&amp;".energy["&amp;This.year&amp;"]"),MATCH($C292&amp;W$5,INDIRECT($B$3&amp;"."&amp;$B$267&amp;".energy[Tech description]")&amp;INDIRECT($B$3&amp;"."&amp;$B$267&amp;".energy[Energy description]"),0)),0)</f>
        <v>0</v>
      </c>
      <c r="X292" s="171">
        <f t="array" aca="1" ref="X292" ca="1">IFERROR(INDEX(INDIRECT($B$3&amp;"."&amp;$B$267&amp;".energy["&amp;This.year&amp;"]"),MATCH($C292&amp;X$5,INDIRECT($B$3&amp;"."&amp;$B$267&amp;".energy[Tech description]")&amp;INDIRECT($B$3&amp;"."&amp;$B$267&amp;".energy[Energy description]"),0)),0)</f>
        <v>0</v>
      </c>
      <c r="Y292" s="171">
        <f t="array" aca="1" ref="Y292" ca="1">IFERROR(INDEX(INDIRECT($B$3&amp;"."&amp;$B$267&amp;".energy["&amp;This.year&amp;"]"),MATCH($C292&amp;Y$5,INDIRECT($B$3&amp;"."&amp;$B$267&amp;".energy[Tech description]")&amp;INDIRECT($B$3&amp;"."&amp;$B$267&amp;".energy[Energy description]"),0)),0)</f>
        <v>0</v>
      </c>
      <c r="Z292" s="171">
        <f t="array" aca="1" ref="Z292" ca="1">IFERROR(INDEX(INDIRECT($B$3&amp;"."&amp;$B$267&amp;".energy["&amp;This.year&amp;"]"),MATCH($C292&amp;Z$5,INDIRECT($B$3&amp;"."&amp;$B$267&amp;".energy[Tech description]")&amp;INDIRECT($B$3&amp;"."&amp;$B$267&amp;".energy[Energy description]"),0)),0)</f>
        <v>0</v>
      </c>
      <c r="AA292" s="171">
        <f t="array" aca="1" ref="AA292" ca="1">IFERROR(INDEX(INDIRECT($B$3&amp;"."&amp;$B$267&amp;".energy["&amp;This.year&amp;"]"),MATCH($C292&amp;AA$5,INDIRECT($B$3&amp;"."&amp;$B$267&amp;".energy[Tech description]")&amp;INDIRECT($B$3&amp;"."&amp;$B$267&amp;".energy[Energy description]"),0)),0)</f>
        <v>0</v>
      </c>
      <c r="AB292" s="171">
        <f t="array" aca="1" ref="AB292" ca="1">IFERROR(INDEX(INDIRECT($B$3&amp;"."&amp;$B$267&amp;".energy["&amp;This.year&amp;"]"),MATCH($C292&amp;AB$5,INDIRECT($B$3&amp;"."&amp;$B$267&amp;".energy[Tech description]")&amp;INDIRECT($B$3&amp;"."&amp;$B$267&amp;".energy[Energy description]"),0)),0)</f>
        <v>0</v>
      </c>
      <c r="AC292" s="171">
        <f t="array" aca="1" ref="AC292" ca="1">IFERROR(INDEX(INDIRECT($B$3&amp;"."&amp;$B$267&amp;".energy["&amp;This.year&amp;"]"),MATCH($C292&amp;AC$5,INDIRECT($B$3&amp;"."&amp;$B$267&amp;".energy[Tech description]")&amp;INDIRECT($B$3&amp;"."&amp;$B$267&amp;".energy[Energy description]"),0)),0)</f>
        <v>0</v>
      </c>
      <c r="AD292" s="171">
        <f t="array" aca="1" ref="AD292" ca="1">IFERROR(INDEX(INDIRECT($B$3&amp;"."&amp;$B$267&amp;".energy["&amp;This.year&amp;"]"),MATCH($C292&amp;AD$5,INDIRECT($B$3&amp;"."&amp;$B$267&amp;".energy[Tech description]")&amp;INDIRECT($B$3&amp;"."&amp;$B$267&amp;".energy[Energy description]"),0)),0)</f>
        <v>0</v>
      </c>
      <c r="AE292" s="171">
        <f t="array" aca="1" ref="AE292" ca="1">IFERROR(INDEX(INDIRECT($B$3&amp;"."&amp;$B$267&amp;".energy["&amp;This.year&amp;"]"),MATCH($C292&amp;AE$5,INDIRECT($B$3&amp;"."&amp;$B$267&amp;".energy[Tech description]")&amp;INDIRECT($B$3&amp;"."&amp;$B$267&amp;".energy[Energy description]"),0)),0)</f>
        <v>0</v>
      </c>
      <c r="AF292" s="171">
        <f t="array" aca="1" ref="AF292" ca="1">IFERROR(INDEX(INDIRECT($B$3&amp;"."&amp;$B$267&amp;".energy["&amp;This.year&amp;"]"),MATCH($C292&amp;AF$5,INDIRECT($B$3&amp;"."&amp;$B$267&amp;".energy[Tech description]")&amp;INDIRECT($B$3&amp;"."&amp;$B$267&amp;".energy[Energy description]"),0)),0)</f>
        <v>0</v>
      </c>
      <c r="AG292" s="171">
        <f t="array" aca="1" ref="AG292" ca="1">IFERROR(INDEX(INDIRECT($B$3&amp;"."&amp;$B$267&amp;".energy["&amp;This.year&amp;"]"),MATCH($C292&amp;AG$5,INDIRECT($B$3&amp;"."&amp;$B$267&amp;".energy[Tech description]")&amp;INDIRECT($B$3&amp;"."&amp;$B$267&amp;".energy[Energy description]"),0)),0)</f>
        <v>0</v>
      </c>
      <c r="AH292" s="171">
        <f t="array" aca="1" ref="AH292" ca="1">IFERROR(INDEX(INDIRECT($B$3&amp;"."&amp;$B$267&amp;".energy["&amp;This.year&amp;"]"),MATCH($C292&amp;AH$5,INDIRECT($B$3&amp;"."&amp;$B$267&amp;".energy[Tech description]")&amp;INDIRECT($B$3&amp;"."&amp;$B$267&amp;".energy[Energy description]"),0)),0)</f>
        <v>0</v>
      </c>
      <c r="AI292" s="171">
        <f t="array" aca="1" ref="AI292" ca="1">IFERROR(INDEX(INDIRECT($B$3&amp;"."&amp;$B$267&amp;".energy["&amp;This.year&amp;"]"),MATCH($C292&amp;AI$5,INDIRECT($B$3&amp;"."&amp;$B$267&amp;".energy[Tech description]")&amp;INDIRECT($B$3&amp;"."&amp;$B$267&amp;".energy[Energy description]"),0)),0)</f>
        <v>0</v>
      </c>
      <c r="AJ292" s="171">
        <f t="array" aca="1" ref="AJ292" ca="1">IFERROR(INDEX(INDIRECT($B$3&amp;"."&amp;$B$267&amp;".energy["&amp;This.year&amp;"]"),MATCH($C292&amp;AJ$5,INDIRECT($B$3&amp;"."&amp;$B$267&amp;".energy[Tech description]")&amp;INDIRECT($B$3&amp;"."&amp;$B$267&amp;".energy[Energy description]"),0)),0)</f>
        <v>0</v>
      </c>
      <c r="AK292" s="171">
        <f t="array" aca="1" ref="AK292" ca="1">IFERROR(INDEX(INDIRECT($B$3&amp;"."&amp;$B$267&amp;".energy["&amp;This.year&amp;"]"),MATCH($C292&amp;AK$5,INDIRECT($B$3&amp;"."&amp;$B$267&amp;".energy[Tech description]")&amp;INDIRECT($B$3&amp;"."&amp;$B$267&amp;".energy[Energy description]"),0)),0)</f>
        <v>0</v>
      </c>
      <c r="AL292" s="171">
        <f t="array" aca="1" ref="AL292" ca="1">IFERROR(INDEX(INDIRECT($B$3&amp;"."&amp;$B$267&amp;".energy["&amp;This.year&amp;"]"),MATCH($C292&amp;AL$5,INDIRECT($B$3&amp;"."&amp;$B$267&amp;".energy[Tech description]")&amp;INDIRECT($B$3&amp;"."&amp;$B$267&amp;".energy[Energy description]"),0)),0)</f>
        <v>0</v>
      </c>
      <c r="AM292" s="171">
        <f t="array" aca="1" ref="AM292" ca="1">IFERROR(INDEX(INDIRECT($B$3&amp;"."&amp;$B$267&amp;".energy["&amp;This.year&amp;"]"),MATCH($C292&amp;AM$5,INDIRECT($B$3&amp;"."&amp;$B$267&amp;".energy[Tech description]")&amp;INDIRECT($B$3&amp;"."&amp;$B$267&amp;".energy[Energy description]"),0)),0)</f>
        <v>0</v>
      </c>
      <c r="AN292" s="171">
        <f t="array" aca="1" ref="AN292" ca="1">IFERROR(INDEX(INDIRECT($B$3&amp;"."&amp;$B$267&amp;".energy["&amp;This.year&amp;"]"),MATCH($C292&amp;AN$5,INDIRECT($B$3&amp;"."&amp;$B$267&amp;".energy[Tech description]")&amp;INDIRECT($B$3&amp;"."&amp;$B$267&amp;".energy[Energy description]"),0)),0)</f>
        <v>0</v>
      </c>
      <c r="AO292" s="171">
        <f ca="1">SUM(V292:AN292)</f>
        <v>0</v>
      </c>
      <c r="AQ292" s="173">
        <f t="array" aca="1" ref="AQ292" ca="1">IFERROR(INDEX(INDIRECT($B$3&amp;"."&amp;$B$267&amp;".energy["&amp;This.year&amp;"]"),MATCH($C292&amp;AQ$5,INDIRECT($B$3&amp;"."&amp;$B$267&amp;".energy[Tech description]")&amp;INDIRECT($B$3&amp;"."&amp;$B$267&amp;".energy[Energy description]"),0)),0)</f>
        <v>0</v>
      </c>
      <c r="AR292" s="173">
        <f t="array" aca="1" ref="AR292" ca="1">IFERROR(INDEX(INDIRECT($B$3&amp;"."&amp;$B$267&amp;".energy["&amp;This.year&amp;"]"),MATCH($C292&amp;AR$5,INDIRECT($B$3&amp;"."&amp;$B$267&amp;".energy[Tech description]")&amp;INDIRECT($B$3&amp;"."&amp;$B$267&amp;".energy[Energy description]"),0)),0)</f>
        <v>0</v>
      </c>
      <c r="AS292" s="173">
        <f t="array" aca="1" ref="AS292" ca="1">IFERROR(INDEX(INDIRECT($B$3&amp;"."&amp;$B$267&amp;".energy["&amp;This.year&amp;"]"),MATCH($C292&amp;AS$5,INDIRECT($B$3&amp;"."&amp;$B$267&amp;".energy[Tech description]")&amp;INDIRECT($B$3&amp;"."&amp;$B$267&amp;".energy[Energy description]"),0)),0)</f>
        <v>0</v>
      </c>
      <c r="AT292" s="173">
        <f t="array" aca="1" ref="AT292" ca="1">IFERROR(INDEX(INDIRECT($B$3&amp;"."&amp;$B$267&amp;".energy["&amp;This.year&amp;"]"),MATCH($C292&amp;AT$5,INDIRECT($B$3&amp;"."&amp;$B$267&amp;".energy[Tech description]")&amp;INDIRECT($B$3&amp;"."&amp;$B$267&amp;".energy[Energy description]"),0)),0)</f>
        <v>0</v>
      </c>
      <c r="AU292" s="173">
        <f t="array" aca="1" ref="AU292" ca="1">IFERROR(INDEX(INDIRECT($B$3&amp;"."&amp;$B$267&amp;".energy["&amp;This.year&amp;"]"),MATCH($C292&amp;AU$5,INDIRECT($B$3&amp;"."&amp;$B$267&amp;".energy[Tech description]")&amp;INDIRECT($B$3&amp;"."&amp;$B$267&amp;".energy[Energy description]"),0)),0)</f>
        <v>0</v>
      </c>
      <c r="AV292" s="173">
        <f t="array" aca="1" ref="AV292" ca="1">IFERROR(INDEX(INDIRECT($B$3&amp;"."&amp;$B$267&amp;".energy["&amp;This.year&amp;"]"),MATCH($C292&amp;AV$5,INDIRECT($B$3&amp;"."&amp;$B$267&amp;".energy[Tech description]")&amp;INDIRECT($B$3&amp;"."&amp;$B$267&amp;".energy[Energy description]"),0)),0)</f>
        <v>0</v>
      </c>
      <c r="AW292" s="173">
        <f t="array" aca="1" ref="AW292" ca="1">IFERROR(INDEX(INDIRECT($B$3&amp;"."&amp;$B$267&amp;".energy["&amp;This.year&amp;"]"),MATCH($C292&amp;AW$5,INDIRECT($B$3&amp;"."&amp;$B$267&amp;".energy[Tech description]")&amp;INDIRECT($B$3&amp;"."&amp;$B$267&amp;".energy[Energy description]"),0)),0)</f>
        <v>0</v>
      </c>
      <c r="AX292" s="173">
        <f t="array" aca="1" ref="AX292" ca="1">IFERROR(INDEX(INDIRECT($B$3&amp;"."&amp;$B$267&amp;".energy["&amp;This.year&amp;"]"),MATCH($C292&amp;AX$5,INDIRECT($B$3&amp;"."&amp;$B$267&amp;".energy[Tech description]")&amp;INDIRECT($B$3&amp;"."&amp;$B$267&amp;".energy[Energy description]"),0)),0)</f>
        <v>0</v>
      </c>
      <c r="AY292" s="173">
        <f t="array" aca="1" ref="AY292" ca="1">IFERROR(INDEX(INDIRECT($B$3&amp;"."&amp;$B$267&amp;".energy["&amp;This.year&amp;"]"),MATCH($C292&amp;AY$5,INDIRECT($B$3&amp;"."&amp;$B$267&amp;".energy[Tech description]")&amp;INDIRECT($B$3&amp;"."&amp;$B$267&amp;".energy[Energy description]"),0)),0)</f>
        <v>0</v>
      </c>
      <c r="AZ292" s="173">
        <f t="array" aca="1" ref="AZ292" ca="1">IFERROR(INDEX(INDIRECT($B$3&amp;"."&amp;$B$267&amp;".energy["&amp;This.year&amp;"]"),MATCH($C292&amp;AZ$5,INDIRECT($B$3&amp;"."&amp;$B$267&amp;".energy[Tech description]")&amp;INDIRECT($B$3&amp;"."&amp;$B$267&amp;".energy[Energy description]"),0)),0)</f>
        <v>0</v>
      </c>
      <c r="BA292" s="173">
        <f t="array" aca="1" ref="BA292" ca="1">IFERROR(INDEX(INDIRECT($B$3&amp;"."&amp;$B$267&amp;".energy["&amp;This.year&amp;"]"),MATCH($C292&amp;BA$5,INDIRECT($B$3&amp;"."&amp;$B$267&amp;".energy[Tech description]")&amp;INDIRECT($B$3&amp;"."&amp;$B$267&amp;".energy[Energy description]"),0)),0)</f>
        <v>0</v>
      </c>
      <c r="BB292" s="173">
        <f t="array" aca="1" ref="BB292" ca="1">IFERROR(INDEX(INDIRECT($B$3&amp;"."&amp;$B$267&amp;".energy["&amp;This.year&amp;"]"),MATCH($C292&amp;BB$5,INDIRECT($B$3&amp;"."&amp;$B$267&amp;".energy[Tech description]")&amp;INDIRECT($B$3&amp;"."&amp;$B$267&amp;".energy[Energy description]"),0)),0)</f>
        <v>0</v>
      </c>
      <c r="BC292" s="173">
        <f t="array" aca="1" ref="BC292" ca="1">IFERROR(INDEX(INDIRECT($B$3&amp;"."&amp;$B$267&amp;".energy["&amp;This.year&amp;"]"),MATCH($C292&amp;BC$5,INDIRECT($B$3&amp;"."&amp;$B$267&amp;".energy[Tech description]")&amp;INDIRECT($B$3&amp;"."&amp;$B$267&amp;".energy[Energy description]"),0)),0)</f>
        <v>0</v>
      </c>
      <c r="BD292" s="173">
        <f ca="1">SUM(AQ292:BB292)</f>
        <v>0</v>
      </c>
      <c r="BF292" s="175">
        <f t="array" aca="1" ref="BF292" ca="1">IFERROR(INDEX(INDIRECT($B$3&amp;"."&amp;$B$267&amp;".energy["&amp;This.year&amp;"]"),MATCH($C292&amp;BF$5,INDIRECT($B$3&amp;"."&amp;$B$267&amp;".energy[Tech description]")&amp;INDIRECT($B$3&amp;"."&amp;$B$267&amp;".energy[Energy description]"),0)),0)</f>
        <v>0</v>
      </c>
      <c r="BG292" s="175">
        <f t="array" aca="1" ref="BG292" ca="1">IFERROR(INDEX(INDIRECT($B$3&amp;"."&amp;$B$267&amp;".energy["&amp;This.year&amp;"]"),MATCH($C292&amp;BG$5,INDIRECT($B$3&amp;"."&amp;$B$267&amp;".energy[Tech description]")&amp;INDIRECT($B$3&amp;"."&amp;$B$267&amp;".energy[Energy description]"),0)),0)</f>
        <v>0</v>
      </c>
      <c r="BH292" s="175">
        <f t="shared" ca="1" si="86"/>
        <v>0</v>
      </c>
      <c r="BI292" s="219">
        <f ca="1">SUM(T292,AO292,BD292,BH292)</f>
        <v>0</v>
      </c>
      <c r="BJ292" s="58"/>
    </row>
    <row r="293" spans="1:62" s="54" customFormat="1">
      <c r="A293" s="106"/>
      <c r="B293" s="176"/>
      <c r="E293" s="121"/>
      <c r="F293" s="121"/>
      <c r="G293" s="121"/>
      <c r="H293" s="121"/>
      <c r="I293" s="121"/>
      <c r="J293" s="121"/>
      <c r="K293" s="121"/>
      <c r="L293" s="121"/>
      <c r="M293" s="121"/>
      <c r="N293" s="121"/>
      <c r="O293" s="121"/>
      <c r="P293" s="121"/>
      <c r="Q293" s="121"/>
      <c r="R293" s="121"/>
      <c r="S293" s="121"/>
      <c r="T293" s="121"/>
      <c r="U293" s="108"/>
      <c r="V293" s="152"/>
      <c r="W293" s="152"/>
      <c r="X293" s="152"/>
      <c r="Y293" s="152"/>
      <c r="Z293" s="152"/>
      <c r="AA293" s="152"/>
      <c r="AB293" s="152"/>
      <c r="AC293" s="152"/>
      <c r="AD293" s="152"/>
      <c r="AE293" s="152"/>
      <c r="AF293" s="152"/>
      <c r="AG293" s="152"/>
      <c r="AH293" s="152"/>
      <c r="AI293" s="152"/>
      <c r="AJ293" s="152"/>
      <c r="AK293" s="152"/>
      <c r="AL293" s="152"/>
      <c r="AM293" s="152"/>
      <c r="AN293" s="152"/>
      <c r="AO293" s="152"/>
      <c r="AP293" s="108"/>
      <c r="AQ293" s="21"/>
      <c r="AR293" s="21"/>
      <c r="AS293" s="21"/>
      <c r="AT293" s="21"/>
      <c r="AU293" s="21"/>
      <c r="AV293" s="21"/>
      <c r="AW293" s="21"/>
      <c r="AX293" s="21"/>
      <c r="AY293" s="21"/>
      <c r="AZ293" s="21"/>
      <c r="BA293" s="21"/>
      <c r="BB293" s="21"/>
      <c r="BC293" s="21"/>
      <c r="BD293" s="21"/>
      <c r="BE293" s="108"/>
      <c r="BF293" s="49"/>
      <c r="BG293" s="49"/>
      <c r="BH293" s="49"/>
      <c r="BI293" s="219"/>
      <c r="BJ293" s="108"/>
    </row>
    <row r="294" spans="1:62">
      <c r="B294" s="167"/>
      <c r="C294" s="219" t="s">
        <v>259</v>
      </c>
      <c r="D294" s="219" t="s">
        <v>414</v>
      </c>
      <c r="E294" s="121">
        <f ca="1">SUM(E295)</f>
        <v>0</v>
      </c>
      <c r="F294" s="121">
        <f t="shared" ref="F294:BI294" ca="1" si="87">SUM(F295)</f>
        <v>0</v>
      </c>
      <c r="G294" s="121">
        <f t="shared" ca="1" si="87"/>
        <v>0</v>
      </c>
      <c r="H294" s="121">
        <f t="shared" ca="1" si="87"/>
        <v>0</v>
      </c>
      <c r="I294" s="121">
        <f t="shared" ca="1" si="87"/>
        <v>0</v>
      </c>
      <c r="J294" s="121">
        <f t="shared" ca="1" si="87"/>
        <v>0</v>
      </c>
      <c r="K294" s="121">
        <f t="shared" ca="1" si="87"/>
        <v>0</v>
      </c>
      <c r="L294" s="121">
        <f t="shared" ca="1" si="87"/>
        <v>0</v>
      </c>
      <c r="M294" s="121">
        <f t="shared" ca="1" si="87"/>
        <v>0</v>
      </c>
      <c r="N294" s="121">
        <f t="shared" ca="1" si="87"/>
        <v>0</v>
      </c>
      <c r="O294" s="121">
        <f t="shared" ca="1" si="87"/>
        <v>0</v>
      </c>
      <c r="P294" s="121">
        <f t="shared" ca="1" si="87"/>
        <v>0</v>
      </c>
      <c r="Q294" s="121">
        <f t="shared" ca="1" si="87"/>
        <v>0</v>
      </c>
      <c r="R294" s="121">
        <f t="shared" ca="1" si="87"/>
        <v>0</v>
      </c>
      <c r="S294" s="121">
        <f t="shared" ca="1" si="87"/>
        <v>0</v>
      </c>
      <c r="T294" s="121">
        <f t="shared" ca="1" si="87"/>
        <v>0</v>
      </c>
      <c r="V294" s="152">
        <f t="shared" ca="1" si="87"/>
        <v>0</v>
      </c>
      <c r="W294" s="152">
        <f t="shared" ca="1" si="87"/>
        <v>0</v>
      </c>
      <c r="X294" s="152">
        <f t="shared" ca="1" si="87"/>
        <v>0</v>
      </c>
      <c r="Y294" s="152">
        <f t="shared" ca="1" si="87"/>
        <v>0</v>
      </c>
      <c r="Z294" s="152">
        <f t="shared" ca="1" si="87"/>
        <v>0</v>
      </c>
      <c r="AA294" s="152">
        <f t="shared" ca="1" si="87"/>
        <v>0</v>
      </c>
      <c r="AB294" s="152">
        <f t="shared" ca="1" si="87"/>
        <v>0</v>
      </c>
      <c r="AC294" s="152">
        <f t="shared" ca="1" si="87"/>
        <v>0</v>
      </c>
      <c r="AD294" s="152">
        <f t="shared" ca="1" si="87"/>
        <v>0</v>
      </c>
      <c r="AE294" s="152">
        <f t="shared" ca="1" si="87"/>
        <v>0</v>
      </c>
      <c r="AF294" s="152">
        <f t="shared" ca="1" si="87"/>
        <v>0</v>
      </c>
      <c r="AG294" s="152">
        <f t="shared" ca="1" si="87"/>
        <v>0</v>
      </c>
      <c r="AH294" s="152">
        <f t="shared" ca="1" si="87"/>
        <v>0</v>
      </c>
      <c r="AI294" s="152">
        <f t="shared" ca="1" si="87"/>
        <v>0</v>
      </c>
      <c r="AJ294" s="152">
        <f t="shared" ca="1" si="87"/>
        <v>0</v>
      </c>
      <c r="AK294" s="152">
        <f t="shared" ca="1" si="87"/>
        <v>0</v>
      </c>
      <c r="AL294" s="152">
        <f ca="1">SUM(AL295)</f>
        <v>0</v>
      </c>
      <c r="AM294" s="152">
        <f t="shared" ca="1" si="87"/>
        <v>0</v>
      </c>
      <c r="AN294" s="152">
        <f t="shared" ca="1" si="87"/>
        <v>0</v>
      </c>
      <c r="AO294" s="152">
        <f t="shared" ca="1" si="87"/>
        <v>0</v>
      </c>
      <c r="AQ294" s="21">
        <f t="shared" ca="1" si="87"/>
        <v>0</v>
      </c>
      <c r="AR294" s="21">
        <f t="shared" ca="1" si="87"/>
        <v>0</v>
      </c>
      <c r="AS294" s="21">
        <f t="shared" ca="1" si="87"/>
        <v>0</v>
      </c>
      <c r="AT294" s="21">
        <f t="shared" ca="1" si="87"/>
        <v>0</v>
      </c>
      <c r="AU294" s="21">
        <f t="shared" ca="1" si="87"/>
        <v>0</v>
      </c>
      <c r="AV294" s="21">
        <f t="shared" ca="1" si="87"/>
        <v>0</v>
      </c>
      <c r="AW294" s="21">
        <f t="shared" ca="1" si="87"/>
        <v>0</v>
      </c>
      <c r="AX294" s="21">
        <f t="shared" ca="1" si="87"/>
        <v>0</v>
      </c>
      <c r="AY294" s="21">
        <f t="shared" ca="1" si="87"/>
        <v>0</v>
      </c>
      <c r="AZ294" s="21">
        <f t="shared" ca="1" si="87"/>
        <v>0</v>
      </c>
      <c r="BA294" s="21">
        <f t="shared" ca="1" si="87"/>
        <v>0</v>
      </c>
      <c r="BB294" s="21">
        <f t="shared" ca="1" si="87"/>
        <v>0</v>
      </c>
      <c r="BC294" s="21">
        <f t="shared" ca="1" si="87"/>
        <v>0</v>
      </c>
      <c r="BD294" s="21">
        <f t="shared" ca="1" si="87"/>
        <v>0</v>
      </c>
      <c r="BF294" s="49">
        <f t="shared" ca="1" si="87"/>
        <v>0</v>
      </c>
      <c r="BG294" s="49">
        <f t="shared" ca="1" si="87"/>
        <v>0</v>
      </c>
      <c r="BH294" s="49">
        <f t="shared" ca="1" si="87"/>
        <v>0</v>
      </c>
      <c r="BI294" s="219">
        <f t="shared" ca="1" si="87"/>
        <v>0</v>
      </c>
      <c r="BJ294" s="58"/>
    </row>
    <row r="295" spans="1:62">
      <c r="B295" s="176" t="s">
        <v>740</v>
      </c>
      <c r="C295" s="114" t="str">
        <f>INDEX(Regional.Technologies[Description],MATCH($B$3&amp;"."&amp;B295,Regional.Technologies[Code],0))</f>
        <v>Global Hydroelectric dam</v>
      </c>
      <c r="E295" s="121">
        <f t="array" aca="1" ref="E295" ca="1">IFERROR(INDEX(INDIRECT($B$3&amp;"."&amp;$B$267&amp;".energy["&amp;This.year&amp;"]"),MATCH($C295&amp;E$5,INDIRECT($B$3&amp;"."&amp;$B$267&amp;".energy[Tech description]")&amp;INDIRECT($B$3&amp;"."&amp;$B$267&amp;".energy[Energy description]"),0)),0)</f>
        <v>0</v>
      </c>
      <c r="F295" s="121">
        <f t="array" aca="1" ref="F295" ca="1">IFERROR(INDEX(INDIRECT($B$3&amp;"."&amp;$B$267&amp;".energy["&amp;This.year&amp;"]"),MATCH($C295&amp;F$5,INDIRECT($B$3&amp;"."&amp;$B$267&amp;".energy[Tech description]")&amp;INDIRECT($B$3&amp;"."&amp;$B$267&amp;".energy[Energy description]"),0)),0)</f>
        <v>0</v>
      </c>
      <c r="G295" s="121">
        <f t="array" aca="1" ref="G295" ca="1">IFERROR(INDEX(INDIRECT($B$3&amp;"."&amp;$B$267&amp;".energy["&amp;This.year&amp;"]"),MATCH($C295&amp;G$5,INDIRECT($B$3&amp;"."&amp;$B$267&amp;".energy[Tech description]")&amp;INDIRECT($B$3&amp;"."&amp;$B$267&amp;".energy[Energy description]"),0)),0)</f>
        <v>0</v>
      </c>
      <c r="H295" s="121">
        <f t="array" aca="1" ref="H295" ca="1">IFERROR(INDEX(INDIRECT($B$3&amp;"."&amp;$B$267&amp;".energy["&amp;This.year&amp;"]"),MATCH($C295&amp;H$5,INDIRECT($B$3&amp;"."&amp;$B$267&amp;".energy[Tech description]")&amp;INDIRECT($B$3&amp;"."&amp;$B$267&amp;".energy[Energy description]"),0)),0)</f>
        <v>0</v>
      </c>
      <c r="I295" s="121">
        <f t="array" aca="1" ref="I295" ca="1">IFERROR(INDEX(INDIRECT($B$3&amp;"."&amp;$B$267&amp;".energy["&amp;This.year&amp;"]"),MATCH($C295&amp;I$5,INDIRECT($B$3&amp;"."&amp;$B$267&amp;".energy[Tech description]")&amp;INDIRECT($B$3&amp;"."&amp;$B$267&amp;".energy[Energy description]"),0)),0)</f>
        <v>0</v>
      </c>
      <c r="J295" s="121">
        <f t="array" aca="1" ref="J295" ca="1">IFERROR(INDEX(INDIRECT($B$3&amp;"."&amp;$B$267&amp;".energy["&amp;This.year&amp;"]"),MATCH($C295&amp;J$5,INDIRECT($B$3&amp;"."&amp;$B$267&amp;".energy[Tech description]")&amp;INDIRECT($B$3&amp;"."&amp;$B$267&amp;".energy[Energy description]"),0)),0)</f>
        <v>0</v>
      </c>
      <c r="K295" s="121">
        <f t="array" aca="1" ref="K295" ca="1">IFERROR(INDEX(INDIRECT($B$3&amp;"."&amp;$B$267&amp;".energy["&amp;This.year&amp;"]"),MATCH($C295&amp;K$5,INDIRECT($B$3&amp;"."&amp;$B$267&amp;".energy[Tech description]")&amp;INDIRECT($B$3&amp;"."&amp;$B$267&amp;".energy[Energy description]"),0)),0)</f>
        <v>0</v>
      </c>
      <c r="L295" s="121">
        <f t="array" aca="1" ref="L295" ca="1">IFERROR(INDEX(INDIRECT($B$3&amp;"."&amp;$B$267&amp;".energy["&amp;This.year&amp;"]"),MATCH($C295&amp;L$5,INDIRECT($B$3&amp;"."&amp;$B$267&amp;".energy[Tech description]")&amp;INDIRECT($B$3&amp;"."&amp;$B$267&amp;".energy[Energy description]"),0)),0)</f>
        <v>0</v>
      </c>
      <c r="M295" s="121">
        <f t="array" aca="1" ref="M295" ca="1">IFERROR(INDEX(INDIRECT($B$3&amp;"."&amp;$B$267&amp;".energy["&amp;This.year&amp;"]"),MATCH($C295&amp;M$5,INDIRECT($B$3&amp;"."&amp;$B$267&amp;".energy[Tech description]")&amp;INDIRECT($B$3&amp;"."&amp;$B$267&amp;".energy[Energy description]"),0)),0)</f>
        <v>0</v>
      </c>
      <c r="N295" s="121">
        <f t="array" aca="1" ref="N295" ca="1">IFERROR(INDEX(INDIRECT($B$3&amp;"."&amp;$B$267&amp;".energy["&amp;This.year&amp;"]"),MATCH($C295&amp;N$5,INDIRECT($B$3&amp;"."&amp;$B$267&amp;".energy[Tech description]")&amp;INDIRECT($B$3&amp;"."&amp;$B$267&amp;".energy[Energy description]"),0)),0)</f>
        <v>0</v>
      </c>
      <c r="O295" s="121">
        <f t="array" aca="1" ref="O295" ca="1">IFERROR(INDEX(INDIRECT($B$3&amp;"."&amp;$B$267&amp;".energy["&amp;This.year&amp;"]"),MATCH($C295&amp;O$5,INDIRECT($B$3&amp;"."&amp;$B$267&amp;".energy[Tech description]")&amp;INDIRECT($B$3&amp;"."&amp;$B$267&amp;".energy[Energy description]"),0)),0)</f>
        <v>0</v>
      </c>
      <c r="P295" s="121">
        <f t="array" aca="1" ref="P295" ca="1">IFERROR(INDEX(INDIRECT($B$3&amp;"."&amp;$B$267&amp;".energy["&amp;This.year&amp;"]"),MATCH($C295&amp;P$5,INDIRECT($B$3&amp;"."&amp;$B$267&amp;".energy[Tech description]")&amp;INDIRECT($B$3&amp;"."&amp;$B$267&amp;".energy[Energy description]"),0)),0)</f>
        <v>0</v>
      </c>
      <c r="Q295" s="121">
        <f t="array" aca="1" ref="Q295" ca="1">IFERROR(INDEX(INDIRECT($B$3&amp;"."&amp;$B$267&amp;".energy["&amp;This.year&amp;"]"),MATCH($C295&amp;Q$5,INDIRECT($B$3&amp;"."&amp;$B$267&amp;".energy[Tech description]")&amp;INDIRECT($B$3&amp;"."&amp;$B$267&amp;".energy[Energy description]"),0)),0)</f>
        <v>0</v>
      </c>
      <c r="R295" s="121">
        <f t="array" aca="1" ref="R295" ca="1">IFERROR(INDEX(INDIRECT($B$3&amp;"."&amp;$B$267&amp;".energy["&amp;This.year&amp;"]"),MATCH($C295&amp;R$5,INDIRECT($B$3&amp;"."&amp;$B$267&amp;".energy[Tech description]")&amp;INDIRECT($B$3&amp;"."&amp;$B$267&amp;".energy[Energy description]"),0)),0)</f>
        <v>0</v>
      </c>
      <c r="S295" s="121">
        <f t="array" aca="1" ref="S295" ca="1">IFERROR(INDEX(INDIRECT($B$3&amp;"."&amp;$B$267&amp;".energy["&amp;This.year&amp;"]"),MATCH($C295&amp;S$5,INDIRECT($B$3&amp;"."&amp;$B$267&amp;".energy[Tech description]")&amp;INDIRECT($B$3&amp;"."&amp;$B$267&amp;".energy[Energy description]"),0)),0)</f>
        <v>0</v>
      </c>
      <c r="T295" s="121">
        <f t="shared" ref="T295" ca="1" si="88">SUM(E295:S295)</f>
        <v>0</v>
      </c>
      <c r="V295" s="171">
        <f t="array" aca="1" ref="V295" ca="1">IFERROR(INDEX(INDIRECT($B$3&amp;"."&amp;$B$267&amp;".energy["&amp;This.year&amp;"]"),MATCH($C295&amp;V$5,INDIRECT($B$3&amp;"."&amp;$B$267&amp;".energy[Tech description]")&amp;INDIRECT($B$3&amp;"."&amp;$B$267&amp;".energy[Energy description]"),0)),0)</f>
        <v>0</v>
      </c>
      <c r="W295" s="171">
        <f t="array" aca="1" ref="W295" ca="1">IFERROR(INDEX(INDIRECT($B$3&amp;"."&amp;$B$267&amp;".energy["&amp;This.year&amp;"]"),MATCH($C295&amp;W$5,INDIRECT($B$3&amp;"."&amp;$B$267&amp;".energy[Tech description]")&amp;INDIRECT($B$3&amp;"."&amp;$B$267&amp;".energy[Energy description]"),0)),0)</f>
        <v>0</v>
      </c>
      <c r="X295" s="171">
        <f t="array" aca="1" ref="X295" ca="1">IFERROR(INDEX(INDIRECT($B$3&amp;"."&amp;$B$267&amp;".energy["&amp;This.year&amp;"]"),MATCH($C295&amp;X$5,INDIRECT($B$3&amp;"."&amp;$B$267&amp;".energy[Tech description]")&amp;INDIRECT($B$3&amp;"."&amp;$B$267&amp;".energy[Energy description]"),0)),0)</f>
        <v>0</v>
      </c>
      <c r="Y295" s="171">
        <f t="array" aca="1" ref="Y295" ca="1">IFERROR(INDEX(INDIRECT($B$3&amp;"."&amp;$B$267&amp;".energy["&amp;This.year&amp;"]"),MATCH($C295&amp;Y$5,INDIRECT($B$3&amp;"."&amp;$B$267&amp;".energy[Tech description]")&amp;INDIRECT($B$3&amp;"."&amp;$B$267&amp;".energy[Energy description]"),0)),0)</f>
        <v>0</v>
      </c>
      <c r="Z295" s="171">
        <f t="array" aca="1" ref="Z295" ca="1">IFERROR(INDEX(INDIRECT($B$3&amp;"."&amp;$B$267&amp;".energy["&amp;This.year&amp;"]"),MATCH($C295&amp;Z$5,INDIRECT($B$3&amp;"."&amp;$B$267&amp;".energy[Tech description]")&amp;INDIRECT($B$3&amp;"."&amp;$B$267&amp;".energy[Energy description]"),0)),0)</f>
        <v>0</v>
      </c>
      <c r="AA295" s="171">
        <f t="array" aca="1" ref="AA295" ca="1">IFERROR(INDEX(INDIRECT($B$3&amp;"."&amp;$B$267&amp;".energy["&amp;This.year&amp;"]"),MATCH($C295&amp;AA$5,INDIRECT($B$3&amp;"."&amp;$B$267&amp;".energy[Tech description]")&amp;INDIRECT($B$3&amp;"."&amp;$B$267&amp;".energy[Energy description]"),0)),0)</f>
        <v>0</v>
      </c>
      <c r="AB295" s="171">
        <f t="array" aca="1" ref="AB295" ca="1">IFERROR(INDEX(INDIRECT($B$3&amp;"."&amp;$B$267&amp;".energy["&amp;This.year&amp;"]"),MATCH($C295&amp;AB$5,INDIRECT($B$3&amp;"."&amp;$B$267&amp;".energy[Tech description]")&amp;INDIRECT($B$3&amp;"."&amp;$B$267&amp;".energy[Energy description]"),0)),0)</f>
        <v>0</v>
      </c>
      <c r="AC295" s="171">
        <f t="array" aca="1" ref="AC295" ca="1">IFERROR(INDEX(INDIRECT($B$3&amp;"."&amp;$B$267&amp;".energy["&amp;This.year&amp;"]"),MATCH($C295&amp;AC$5,INDIRECT($B$3&amp;"."&amp;$B$267&amp;".energy[Tech description]")&amp;INDIRECT($B$3&amp;"."&amp;$B$267&amp;".energy[Energy description]"),0)),0)</f>
        <v>0</v>
      </c>
      <c r="AD295" s="171">
        <f t="array" aca="1" ref="AD295" ca="1">IFERROR(INDEX(INDIRECT($B$3&amp;"."&amp;$B$267&amp;".energy["&amp;This.year&amp;"]"),MATCH($C295&amp;AD$5,INDIRECT($B$3&amp;"."&amp;$B$267&amp;".energy[Tech description]")&amp;INDIRECT($B$3&amp;"."&amp;$B$267&amp;".energy[Energy description]"),0)),0)</f>
        <v>0</v>
      </c>
      <c r="AE295" s="171">
        <f t="array" aca="1" ref="AE295" ca="1">IFERROR(INDEX(INDIRECT($B$3&amp;"."&amp;$B$267&amp;".energy["&amp;This.year&amp;"]"),MATCH($C295&amp;AE$5,INDIRECT($B$3&amp;"."&amp;$B$267&amp;".energy[Tech description]")&amp;INDIRECT($B$3&amp;"."&amp;$B$267&amp;".energy[Energy description]"),0)),0)</f>
        <v>0</v>
      </c>
      <c r="AF295" s="171">
        <f t="array" aca="1" ref="AF295" ca="1">IFERROR(INDEX(INDIRECT($B$3&amp;"."&amp;$B$267&amp;".energy["&amp;This.year&amp;"]"),MATCH($C295&amp;AF$5,INDIRECT($B$3&amp;"."&amp;$B$267&amp;".energy[Tech description]")&amp;INDIRECT($B$3&amp;"."&amp;$B$267&amp;".energy[Energy description]"),0)),0)</f>
        <v>0</v>
      </c>
      <c r="AG295" s="171">
        <f t="array" aca="1" ref="AG295" ca="1">IFERROR(INDEX(INDIRECT($B$3&amp;"."&amp;$B$267&amp;".energy["&amp;This.year&amp;"]"),MATCH($C295&amp;AG$5,INDIRECT($B$3&amp;"."&amp;$B$267&amp;".energy[Tech description]")&amp;INDIRECT($B$3&amp;"."&amp;$B$267&amp;".energy[Energy description]"),0)),0)</f>
        <v>0</v>
      </c>
      <c r="AH295" s="171">
        <f t="array" aca="1" ref="AH295" ca="1">IFERROR(INDEX(INDIRECT($B$3&amp;"."&amp;$B$267&amp;".energy["&amp;This.year&amp;"]"),MATCH($C295&amp;AH$5,INDIRECT($B$3&amp;"."&amp;$B$267&amp;".energy[Tech description]")&amp;INDIRECT($B$3&amp;"."&amp;$B$267&amp;".energy[Energy description]"),0)),0)</f>
        <v>0</v>
      </c>
      <c r="AI295" s="171">
        <f t="array" aca="1" ref="AI295" ca="1">IFERROR(INDEX(INDIRECT($B$3&amp;"."&amp;$B$267&amp;".energy["&amp;This.year&amp;"]"),MATCH($C295&amp;AI$5,INDIRECT($B$3&amp;"."&amp;$B$267&amp;".energy[Tech description]")&amp;INDIRECT($B$3&amp;"."&amp;$B$267&amp;".energy[Energy description]"),0)),0)</f>
        <v>0</v>
      </c>
      <c r="AJ295" s="171">
        <f t="array" aca="1" ref="AJ295" ca="1">IFERROR(INDEX(INDIRECT($B$3&amp;"."&amp;$B$267&amp;".energy["&amp;This.year&amp;"]"),MATCH($C295&amp;AJ$5,INDIRECT($B$3&amp;"."&amp;$B$267&amp;".energy[Tech description]")&amp;INDIRECT($B$3&amp;"."&amp;$B$267&amp;".energy[Energy description]"),0)),0)</f>
        <v>0</v>
      </c>
      <c r="AK295" s="171">
        <f t="array" aca="1" ref="AK295" ca="1">IFERROR(INDEX(INDIRECT($B$3&amp;"."&amp;$B$267&amp;".energy["&amp;This.year&amp;"]"),MATCH($C295&amp;AK$5,INDIRECT($B$3&amp;"."&amp;$B$267&amp;".energy[Tech description]")&amp;INDIRECT($B$3&amp;"."&amp;$B$267&amp;".energy[Energy description]"),0)),0)</f>
        <v>0</v>
      </c>
      <c r="AL295" s="171">
        <f t="array" aca="1" ref="AL295" ca="1">IFERROR(INDEX(INDIRECT($B$3&amp;"."&amp;$B$267&amp;".energy["&amp;This.year&amp;"]"),MATCH($C295&amp;AL$5,INDIRECT($B$3&amp;"."&amp;$B$267&amp;".energy[Tech description]")&amp;INDIRECT($B$3&amp;"."&amp;$B$267&amp;".energy[Energy description]"),0)),0)</f>
        <v>0</v>
      </c>
      <c r="AM295" s="171">
        <f t="array" aca="1" ref="AM295" ca="1">IFERROR(INDEX(INDIRECT($B$3&amp;"."&amp;$B$267&amp;".energy["&amp;This.year&amp;"]"),MATCH($C295&amp;AM$5,INDIRECT($B$3&amp;"."&amp;$B$267&amp;".energy[Tech description]")&amp;INDIRECT($B$3&amp;"."&amp;$B$267&amp;".energy[Energy description]"),0)),0)</f>
        <v>0</v>
      </c>
      <c r="AN295" s="171">
        <f t="array" aca="1" ref="AN295" ca="1">IFERROR(INDEX(INDIRECT($B$3&amp;"."&amp;$B$267&amp;".energy["&amp;This.year&amp;"]"),MATCH($C295&amp;AN$5,INDIRECT($B$3&amp;"."&amp;$B$267&amp;".energy[Tech description]")&amp;INDIRECT($B$3&amp;"."&amp;$B$267&amp;".energy[Energy description]"),0)),0)</f>
        <v>0</v>
      </c>
      <c r="AO295" s="171">
        <f ca="1">SUM(V295:AN295)</f>
        <v>0</v>
      </c>
      <c r="AQ295" s="173">
        <f t="array" aca="1" ref="AQ295" ca="1">IFERROR(INDEX(INDIRECT($B$3&amp;"."&amp;$B$267&amp;".energy["&amp;This.year&amp;"]"),MATCH($C295&amp;AQ$5,INDIRECT($B$3&amp;"."&amp;$B$267&amp;".energy[Tech description]")&amp;INDIRECT($B$3&amp;"."&amp;$B$267&amp;".energy[Energy description]"),0)),0)</f>
        <v>0</v>
      </c>
      <c r="AR295" s="173">
        <f t="array" aca="1" ref="AR295" ca="1">IFERROR(INDEX(INDIRECT($B$3&amp;"."&amp;$B$267&amp;".energy["&amp;This.year&amp;"]"),MATCH($C295&amp;AR$5,INDIRECT($B$3&amp;"."&amp;$B$267&amp;".energy[Tech description]")&amp;INDIRECT($B$3&amp;"."&amp;$B$267&amp;".energy[Energy description]"),0)),0)</f>
        <v>0</v>
      </c>
      <c r="AS295" s="173">
        <f t="array" aca="1" ref="AS295" ca="1">IFERROR(INDEX(INDIRECT($B$3&amp;"."&amp;$B$267&amp;".energy["&amp;This.year&amp;"]"),MATCH($C295&amp;AS$5,INDIRECT($B$3&amp;"."&amp;$B$267&amp;".energy[Tech description]")&amp;INDIRECT($B$3&amp;"."&amp;$B$267&amp;".energy[Energy description]"),0)),0)</f>
        <v>0</v>
      </c>
      <c r="AT295" s="173">
        <f t="array" aca="1" ref="AT295" ca="1">IFERROR(INDEX(INDIRECT($B$3&amp;"."&amp;$B$267&amp;".energy["&amp;This.year&amp;"]"),MATCH($C295&amp;AT$5,INDIRECT($B$3&amp;"."&amp;$B$267&amp;".energy[Tech description]")&amp;INDIRECT($B$3&amp;"."&amp;$B$267&amp;".energy[Energy description]"),0)),0)</f>
        <v>0</v>
      </c>
      <c r="AU295" s="173">
        <f t="array" aca="1" ref="AU295" ca="1">IFERROR(INDEX(INDIRECT($B$3&amp;"."&amp;$B$267&amp;".energy["&amp;This.year&amp;"]"),MATCH($C295&amp;AU$5,INDIRECT($B$3&amp;"."&amp;$B$267&amp;".energy[Tech description]")&amp;INDIRECT($B$3&amp;"."&amp;$B$267&amp;".energy[Energy description]"),0)),0)</f>
        <v>0</v>
      </c>
      <c r="AV295" s="173">
        <f t="array" aca="1" ref="AV295" ca="1">IFERROR(INDEX(INDIRECT($B$3&amp;"."&amp;$B$267&amp;".energy["&amp;This.year&amp;"]"),MATCH($C295&amp;AV$5,INDIRECT($B$3&amp;"."&amp;$B$267&amp;".energy[Tech description]")&amp;INDIRECT($B$3&amp;"."&amp;$B$267&amp;".energy[Energy description]"),0)),0)</f>
        <v>0</v>
      </c>
      <c r="AW295" s="173">
        <f t="array" aca="1" ref="AW295" ca="1">IFERROR(INDEX(INDIRECT($B$3&amp;"."&amp;$B$267&amp;".energy["&amp;This.year&amp;"]"),MATCH($C295&amp;AW$5,INDIRECT($B$3&amp;"."&amp;$B$267&amp;".energy[Tech description]")&amp;INDIRECT($B$3&amp;"."&amp;$B$267&amp;".energy[Energy description]"),0)),0)</f>
        <v>0</v>
      </c>
      <c r="AX295" s="173">
        <f t="array" aca="1" ref="AX295" ca="1">IFERROR(INDEX(INDIRECT($B$3&amp;"."&amp;$B$267&amp;".energy["&amp;This.year&amp;"]"),MATCH($C295&amp;AX$5,INDIRECT($B$3&amp;"."&amp;$B$267&amp;".energy[Tech description]")&amp;INDIRECT($B$3&amp;"."&amp;$B$267&amp;".energy[Energy description]"),0)),0)</f>
        <v>0</v>
      </c>
      <c r="AY295" s="173">
        <f t="array" aca="1" ref="AY295" ca="1">IFERROR(INDEX(INDIRECT($B$3&amp;"."&amp;$B$267&amp;".energy["&amp;This.year&amp;"]"),MATCH($C295&amp;AY$5,INDIRECT($B$3&amp;"."&amp;$B$267&amp;".energy[Tech description]")&amp;INDIRECT($B$3&amp;"."&amp;$B$267&amp;".energy[Energy description]"),0)),0)</f>
        <v>0</v>
      </c>
      <c r="AZ295" s="173">
        <f t="array" aca="1" ref="AZ295" ca="1">IFERROR(INDEX(INDIRECT($B$3&amp;"."&amp;$B$267&amp;".energy["&amp;This.year&amp;"]"),MATCH($C295&amp;AZ$5,INDIRECT($B$3&amp;"."&amp;$B$267&amp;".energy[Tech description]")&amp;INDIRECT($B$3&amp;"."&amp;$B$267&amp;".energy[Energy description]"),0)),0)</f>
        <v>0</v>
      </c>
      <c r="BA295" s="173">
        <f t="array" aca="1" ref="BA295" ca="1">IFERROR(INDEX(INDIRECT($B$3&amp;"."&amp;$B$267&amp;".energy["&amp;This.year&amp;"]"),MATCH($C295&amp;BA$5,INDIRECT($B$3&amp;"."&amp;$B$267&amp;".energy[Tech description]")&amp;INDIRECT($B$3&amp;"."&amp;$B$267&amp;".energy[Energy description]"),0)),0)</f>
        <v>0</v>
      </c>
      <c r="BB295" s="173">
        <f t="array" aca="1" ref="BB295" ca="1">IFERROR(INDEX(INDIRECT($B$3&amp;"."&amp;$B$267&amp;".energy["&amp;This.year&amp;"]"),MATCH($C295&amp;BB$5,INDIRECT($B$3&amp;"."&amp;$B$267&amp;".energy[Tech description]")&amp;INDIRECT($B$3&amp;"."&amp;$B$267&amp;".energy[Energy description]"),0)),0)</f>
        <v>0</v>
      </c>
      <c r="BC295" s="173">
        <f t="array" aca="1" ref="BC295" ca="1">IFERROR(INDEX(INDIRECT($B$3&amp;"."&amp;$B$267&amp;".energy["&amp;This.year&amp;"]"),MATCH($C295&amp;BC$5,INDIRECT($B$3&amp;"."&amp;$B$267&amp;".energy[Tech description]")&amp;INDIRECT($B$3&amp;"."&amp;$B$267&amp;".energy[Energy description]"),0)),0)</f>
        <v>0</v>
      </c>
      <c r="BD295" s="173">
        <f ca="1">SUM(AQ295:BB295)</f>
        <v>0</v>
      </c>
      <c r="BF295" s="175">
        <f t="array" aca="1" ref="BF295" ca="1">IFERROR(INDEX(INDIRECT($B$3&amp;"."&amp;$B$267&amp;".energy["&amp;This.year&amp;"]"),MATCH($C295&amp;BF$5,INDIRECT($B$3&amp;"."&amp;$B$267&amp;".energy[Tech description]")&amp;INDIRECT($B$3&amp;"."&amp;$B$267&amp;".energy[Energy description]"),0)),0)</f>
        <v>0</v>
      </c>
      <c r="BG295" s="175">
        <f t="array" aca="1" ref="BG295" ca="1">IFERROR(INDEX(INDIRECT($B$3&amp;"."&amp;$B$267&amp;".energy["&amp;This.year&amp;"]"),MATCH($C295&amp;BG$5,INDIRECT($B$3&amp;"."&amp;$B$267&amp;".energy[Tech description]")&amp;INDIRECT($B$3&amp;"."&amp;$B$267&amp;".energy[Energy description]"),0)),0)</f>
        <v>0</v>
      </c>
      <c r="BH295" s="175">
        <f t="shared" ref="BH295" ca="1" si="89">SUM(BF295:BG295)</f>
        <v>0</v>
      </c>
      <c r="BI295" s="219">
        <f ca="1">SUM(T295,AO295,BD295,BH295)</f>
        <v>0</v>
      </c>
      <c r="BJ295" s="58"/>
    </row>
    <row r="296" spans="1:62" s="54" customFormat="1">
      <c r="A296" s="106"/>
      <c r="B296" s="176"/>
      <c r="E296" s="121"/>
      <c r="F296" s="121"/>
      <c r="G296" s="121"/>
      <c r="H296" s="121"/>
      <c r="I296" s="121"/>
      <c r="J296" s="121"/>
      <c r="K296" s="121"/>
      <c r="L296" s="121"/>
      <c r="M296" s="121"/>
      <c r="N296" s="121"/>
      <c r="O296" s="121"/>
      <c r="P296" s="121"/>
      <c r="Q296" s="121"/>
      <c r="R296" s="121"/>
      <c r="S296" s="121"/>
      <c r="T296" s="121"/>
      <c r="U296" s="108"/>
      <c r="V296" s="152"/>
      <c r="W296" s="152"/>
      <c r="X296" s="152"/>
      <c r="Y296" s="152"/>
      <c r="Z296" s="152"/>
      <c r="AA296" s="152"/>
      <c r="AB296" s="152"/>
      <c r="AC296" s="152"/>
      <c r="AD296" s="152"/>
      <c r="AE296" s="152"/>
      <c r="AF296" s="152"/>
      <c r="AG296" s="152"/>
      <c r="AH296" s="152"/>
      <c r="AI296" s="152"/>
      <c r="AJ296" s="152"/>
      <c r="AK296" s="152"/>
      <c r="AL296" s="152"/>
      <c r="AM296" s="152"/>
      <c r="AN296" s="152"/>
      <c r="AO296" s="152"/>
      <c r="AP296" s="108"/>
      <c r="AQ296" s="21"/>
      <c r="AR296" s="21"/>
      <c r="AS296" s="21"/>
      <c r="AT296" s="21"/>
      <c r="AU296" s="21"/>
      <c r="AV296" s="21"/>
      <c r="AW296" s="21"/>
      <c r="AX296" s="21"/>
      <c r="AY296" s="21"/>
      <c r="AZ296" s="21"/>
      <c r="BA296" s="21"/>
      <c r="BB296" s="21"/>
      <c r="BC296" s="21"/>
      <c r="BD296" s="21"/>
      <c r="BE296" s="108"/>
      <c r="BF296" s="49"/>
      <c r="BG296" s="49"/>
      <c r="BH296" s="49"/>
      <c r="BI296" s="219"/>
      <c r="BJ296" s="108"/>
    </row>
    <row r="297" spans="1:62">
      <c r="B297" s="167"/>
      <c r="C297" s="219" t="s">
        <v>756</v>
      </c>
      <c r="D297" s="219" t="s">
        <v>414</v>
      </c>
      <c r="E297" s="121">
        <f ca="1">SUM(E298,E299)</f>
        <v>0</v>
      </c>
      <c r="F297" s="121">
        <f t="shared" ref="F297:BI297" ca="1" si="90">SUM(F298,F299)</f>
        <v>0</v>
      </c>
      <c r="G297" s="121">
        <f t="shared" ca="1" si="90"/>
        <v>0</v>
      </c>
      <c r="H297" s="121">
        <f t="shared" ca="1" si="90"/>
        <v>0</v>
      </c>
      <c r="I297" s="121">
        <f t="shared" ca="1" si="90"/>
        <v>0</v>
      </c>
      <c r="J297" s="121">
        <f t="shared" ca="1" si="90"/>
        <v>0</v>
      </c>
      <c r="K297" s="121">
        <f t="shared" ca="1" si="90"/>
        <v>0</v>
      </c>
      <c r="L297" s="121">
        <f t="shared" ca="1" si="90"/>
        <v>0</v>
      </c>
      <c r="M297" s="121">
        <f t="shared" ca="1" si="90"/>
        <v>0</v>
      </c>
      <c r="N297" s="121">
        <f t="shared" ca="1" si="90"/>
        <v>0</v>
      </c>
      <c r="O297" s="121">
        <f t="shared" ref="O297" ca="1" si="91">SUM(O298,O299)</f>
        <v>0</v>
      </c>
      <c r="P297" s="121">
        <f t="shared" ca="1" si="90"/>
        <v>0</v>
      </c>
      <c r="Q297" s="121">
        <f t="shared" ca="1" si="90"/>
        <v>0</v>
      </c>
      <c r="R297" s="121">
        <f t="shared" ca="1" si="90"/>
        <v>0</v>
      </c>
      <c r="S297" s="121">
        <f t="shared" ca="1" si="90"/>
        <v>0</v>
      </c>
      <c r="T297" s="121">
        <f t="shared" ca="1" si="90"/>
        <v>0</v>
      </c>
      <c r="V297" s="152">
        <f t="shared" ca="1" si="90"/>
        <v>0</v>
      </c>
      <c r="W297" s="152">
        <f t="shared" ca="1" si="90"/>
        <v>0</v>
      </c>
      <c r="X297" s="152">
        <f t="shared" ca="1" si="90"/>
        <v>0</v>
      </c>
      <c r="Y297" s="152">
        <f t="shared" ca="1" si="90"/>
        <v>0</v>
      </c>
      <c r="Z297" s="152">
        <f t="shared" ca="1" si="90"/>
        <v>0</v>
      </c>
      <c r="AA297" s="152">
        <f t="shared" ca="1" si="90"/>
        <v>0</v>
      </c>
      <c r="AB297" s="152">
        <f t="shared" ca="1" si="90"/>
        <v>0</v>
      </c>
      <c r="AC297" s="152">
        <f t="shared" ca="1" si="90"/>
        <v>0</v>
      </c>
      <c r="AD297" s="152">
        <f t="shared" ca="1" si="90"/>
        <v>0</v>
      </c>
      <c r="AE297" s="152">
        <f t="shared" ca="1" si="90"/>
        <v>0</v>
      </c>
      <c r="AF297" s="152">
        <f t="shared" ca="1" si="90"/>
        <v>0</v>
      </c>
      <c r="AG297" s="152">
        <f t="shared" ca="1" si="90"/>
        <v>0</v>
      </c>
      <c r="AH297" s="152">
        <f t="shared" ca="1" si="90"/>
        <v>0</v>
      </c>
      <c r="AI297" s="152">
        <f t="shared" ca="1" si="90"/>
        <v>0</v>
      </c>
      <c r="AJ297" s="152">
        <f t="shared" ca="1" si="90"/>
        <v>0</v>
      </c>
      <c r="AK297" s="152">
        <f t="shared" ca="1" si="90"/>
        <v>0</v>
      </c>
      <c r="AL297" s="152">
        <f ca="1">SUM(AL298,AL299)</f>
        <v>0</v>
      </c>
      <c r="AM297" s="152">
        <f t="shared" ca="1" si="90"/>
        <v>0</v>
      </c>
      <c r="AN297" s="152">
        <f t="shared" ca="1" si="90"/>
        <v>0</v>
      </c>
      <c r="AO297" s="152">
        <f t="shared" ca="1" si="90"/>
        <v>0</v>
      </c>
      <c r="AQ297" s="21">
        <f t="shared" ca="1" si="90"/>
        <v>0</v>
      </c>
      <c r="AR297" s="21">
        <f t="shared" ca="1" si="90"/>
        <v>0</v>
      </c>
      <c r="AS297" s="21">
        <f t="shared" ca="1" si="90"/>
        <v>0</v>
      </c>
      <c r="AT297" s="21">
        <f t="shared" ca="1" si="90"/>
        <v>0</v>
      </c>
      <c r="AU297" s="21">
        <f t="shared" ca="1" si="90"/>
        <v>0</v>
      </c>
      <c r="AV297" s="21">
        <f t="shared" ca="1" si="90"/>
        <v>0</v>
      </c>
      <c r="AW297" s="21">
        <f t="shared" ca="1" si="90"/>
        <v>0</v>
      </c>
      <c r="AX297" s="21">
        <f t="shared" ca="1" si="90"/>
        <v>0</v>
      </c>
      <c r="AY297" s="21">
        <f t="shared" ca="1" si="90"/>
        <v>0</v>
      </c>
      <c r="AZ297" s="21">
        <f t="shared" ca="1" si="90"/>
        <v>0</v>
      </c>
      <c r="BA297" s="21">
        <f t="shared" ca="1" si="90"/>
        <v>0</v>
      </c>
      <c r="BB297" s="21">
        <f t="shared" ca="1" si="90"/>
        <v>0</v>
      </c>
      <c r="BC297" s="21">
        <f t="shared" ca="1" si="90"/>
        <v>0</v>
      </c>
      <c r="BD297" s="21">
        <f t="shared" ca="1" si="90"/>
        <v>0</v>
      </c>
      <c r="BF297" s="49">
        <f t="shared" ca="1" si="90"/>
        <v>0</v>
      </c>
      <c r="BG297" s="49">
        <f t="shared" ca="1" si="90"/>
        <v>0</v>
      </c>
      <c r="BH297" s="49">
        <f t="shared" ca="1" si="90"/>
        <v>0</v>
      </c>
      <c r="BI297" s="219">
        <f t="shared" ca="1" si="90"/>
        <v>0</v>
      </c>
      <c r="BJ297" s="58"/>
    </row>
    <row r="298" spans="1:62">
      <c r="B298" s="176" t="s">
        <v>741</v>
      </c>
      <c r="C298" s="114" t="str">
        <f>INDEX(Regional.Technologies[Description],MATCH($B$3&amp;"."&amp;B298,Regional.Technologies[Code],0))</f>
        <v>Global Tidal</v>
      </c>
      <c r="E298" s="121">
        <f t="array" aca="1" ref="E298" ca="1">IFERROR(INDEX(INDIRECT($B$3&amp;"."&amp;$B$267&amp;".energy["&amp;This.year&amp;"]"),MATCH($C298&amp;E$5,INDIRECT($B$3&amp;"."&amp;$B$267&amp;".energy[Tech description]")&amp;INDIRECT($B$3&amp;"."&amp;$B$267&amp;".energy[Energy description]"),0)),0)</f>
        <v>0</v>
      </c>
      <c r="F298" s="121">
        <f t="array" aca="1" ref="F298" ca="1">IFERROR(INDEX(INDIRECT($B$3&amp;"."&amp;$B$267&amp;".energy["&amp;This.year&amp;"]"),MATCH($C298&amp;F$5,INDIRECT($B$3&amp;"."&amp;$B$267&amp;".energy[Tech description]")&amp;INDIRECT($B$3&amp;"."&amp;$B$267&amp;".energy[Energy description]"),0)),0)</f>
        <v>0</v>
      </c>
      <c r="G298" s="121">
        <f t="array" aca="1" ref="G298" ca="1">IFERROR(INDEX(INDIRECT($B$3&amp;"."&amp;$B$267&amp;".energy["&amp;This.year&amp;"]"),MATCH($C298&amp;G$5,INDIRECT($B$3&amp;"."&amp;$B$267&amp;".energy[Tech description]")&amp;INDIRECT($B$3&amp;"."&amp;$B$267&amp;".energy[Energy description]"),0)),0)</f>
        <v>0</v>
      </c>
      <c r="H298" s="121">
        <f t="array" aca="1" ref="H298" ca="1">IFERROR(INDEX(INDIRECT($B$3&amp;"."&amp;$B$267&amp;".energy["&amp;This.year&amp;"]"),MATCH($C298&amp;H$5,INDIRECT($B$3&amp;"."&amp;$B$267&amp;".energy[Tech description]")&amp;INDIRECT($B$3&amp;"."&amp;$B$267&amp;".energy[Energy description]"),0)),0)</f>
        <v>0</v>
      </c>
      <c r="I298" s="121">
        <f t="array" aca="1" ref="I298" ca="1">IFERROR(INDEX(INDIRECT($B$3&amp;"."&amp;$B$267&amp;".energy["&amp;This.year&amp;"]"),MATCH($C298&amp;I$5,INDIRECT($B$3&amp;"."&amp;$B$267&amp;".energy[Tech description]")&amp;INDIRECT($B$3&amp;"."&amp;$B$267&amp;".energy[Energy description]"),0)),0)</f>
        <v>0</v>
      </c>
      <c r="J298" s="121">
        <f t="array" aca="1" ref="J298" ca="1">IFERROR(INDEX(INDIRECT($B$3&amp;"."&amp;$B$267&amp;".energy["&amp;This.year&amp;"]"),MATCH($C298&amp;J$5,INDIRECT($B$3&amp;"."&amp;$B$267&amp;".energy[Tech description]")&amp;INDIRECT($B$3&amp;"."&amp;$B$267&amp;".energy[Energy description]"),0)),0)</f>
        <v>0</v>
      </c>
      <c r="K298" s="121">
        <f t="array" aca="1" ref="K298" ca="1">IFERROR(INDEX(INDIRECT($B$3&amp;"."&amp;$B$267&amp;".energy["&amp;This.year&amp;"]"),MATCH($C298&amp;K$5,INDIRECT($B$3&amp;"."&amp;$B$267&amp;".energy[Tech description]")&amp;INDIRECT($B$3&amp;"."&amp;$B$267&amp;".energy[Energy description]"),0)),0)</f>
        <v>0</v>
      </c>
      <c r="L298" s="121">
        <f t="array" aca="1" ref="L298" ca="1">IFERROR(INDEX(INDIRECT($B$3&amp;"."&amp;$B$267&amp;".energy["&amp;This.year&amp;"]"),MATCH($C298&amp;L$5,INDIRECT($B$3&amp;"."&amp;$B$267&amp;".energy[Tech description]")&amp;INDIRECT($B$3&amp;"."&amp;$B$267&amp;".energy[Energy description]"),0)),0)</f>
        <v>0</v>
      </c>
      <c r="M298" s="121">
        <f t="array" aca="1" ref="M298" ca="1">IFERROR(INDEX(INDIRECT($B$3&amp;"."&amp;$B$267&amp;".energy["&amp;This.year&amp;"]"),MATCH($C298&amp;M$5,INDIRECT($B$3&amp;"."&amp;$B$267&amp;".energy[Tech description]")&amp;INDIRECT($B$3&amp;"."&amp;$B$267&amp;".energy[Energy description]"),0)),0)</f>
        <v>0</v>
      </c>
      <c r="N298" s="121">
        <f t="array" aca="1" ref="N298" ca="1">IFERROR(INDEX(INDIRECT($B$3&amp;"."&amp;$B$267&amp;".energy["&amp;This.year&amp;"]"),MATCH($C298&amp;N$5,INDIRECT($B$3&amp;"."&amp;$B$267&amp;".energy[Tech description]")&amp;INDIRECT($B$3&amp;"."&amp;$B$267&amp;".energy[Energy description]"),0)),0)</f>
        <v>0</v>
      </c>
      <c r="O298" s="121">
        <f t="array" aca="1" ref="O298" ca="1">IFERROR(INDEX(INDIRECT($B$3&amp;"."&amp;$B$267&amp;".energy["&amp;This.year&amp;"]"),MATCH($C298&amp;O$5,INDIRECT($B$3&amp;"."&amp;$B$267&amp;".energy[Tech description]")&amp;INDIRECT($B$3&amp;"."&amp;$B$267&amp;".energy[Energy description]"),0)),0)</f>
        <v>0</v>
      </c>
      <c r="P298" s="121">
        <f t="array" aca="1" ref="P298" ca="1">IFERROR(INDEX(INDIRECT($B$3&amp;"."&amp;$B$267&amp;".energy["&amp;This.year&amp;"]"),MATCH($C298&amp;P$5,INDIRECT($B$3&amp;"."&amp;$B$267&amp;".energy[Tech description]")&amp;INDIRECT($B$3&amp;"."&amp;$B$267&amp;".energy[Energy description]"),0)),0)</f>
        <v>0</v>
      </c>
      <c r="Q298" s="121">
        <f t="array" aca="1" ref="Q298" ca="1">IFERROR(INDEX(INDIRECT($B$3&amp;"."&amp;$B$267&amp;".energy["&amp;This.year&amp;"]"),MATCH($C298&amp;Q$5,INDIRECT($B$3&amp;"."&amp;$B$267&amp;".energy[Tech description]")&amp;INDIRECT($B$3&amp;"."&amp;$B$267&amp;".energy[Energy description]"),0)),0)</f>
        <v>0</v>
      </c>
      <c r="R298" s="121">
        <f t="array" aca="1" ref="R298" ca="1">IFERROR(INDEX(INDIRECT($B$3&amp;"."&amp;$B$267&amp;".energy["&amp;This.year&amp;"]"),MATCH($C298&amp;R$5,INDIRECT($B$3&amp;"."&amp;$B$267&amp;".energy[Tech description]")&amp;INDIRECT($B$3&amp;"."&amp;$B$267&amp;".energy[Energy description]"),0)),0)</f>
        <v>0</v>
      </c>
      <c r="S298" s="121">
        <f t="array" aca="1" ref="S298" ca="1">IFERROR(INDEX(INDIRECT($B$3&amp;"."&amp;$B$267&amp;".energy["&amp;This.year&amp;"]"),MATCH($C298&amp;S$5,INDIRECT($B$3&amp;"."&amp;$B$267&amp;".energy[Tech description]")&amp;INDIRECT($B$3&amp;"."&amp;$B$267&amp;".energy[Energy description]"),0)),0)</f>
        <v>0</v>
      </c>
      <c r="T298" s="121">
        <f t="shared" ref="T298:T299" ca="1" si="92">SUM(E298:S298)</f>
        <v>0</v>
      </c>
      <c r="V298" s="171">
        <f t="array" aca="1" ref="V298" ca="1">IFERROR(INDEX(INDIRECT($B$3&amp;"."&amp;$B$267&amp;".energy["&amp;This.year&amp;"]"),MATCH($C298&amp;V$5,INDIRECT($B$3&amp;"."&amp;$B$267&amp;".energy[Tech description]")&amp;INDIRECT($B$3&amp;"."&amp;$B$267&amp;".energy[Energy description]"),0)),0)</f>
        <v>0</v>
      </c>
      <c r="W298" s="171">
        <f t="array" aca="1" ref="W298" ca="1">IFERROR(INDEX(INDIRECT($B$3&amp;"."&amp;$B$267&amp;".energy["&amp;This.year&amp;"]"),MATCH($C298&amp;W$5,INDIRECT($B$3&amp;"."&amp;$B$267&amp;".energy[Tech description]")&amp;INDIRECT($B$3&amp;"."&amp;$B$267&amp;".energy[Energy description]"),0)),0)</f>
        <v>0</v>
      </c>
      <c r="X298" s="171">
        <f t="array" aca="1" ref="X298" ca="1">IFERROR(INDEX(INDIRECT($B$3&amp;"."&amp;$B$267&amp;".energy["&amp;This.year&amp;"]"),MATCH($C298&amp;X$5,INDIRECT($B$3&amp;"."&amp;$B$267&amp;".energy[Tech description]")&amp;INDIRECT($B$3&amp;"."&amp;$B$267&amp;".energy[Energy description]"),0)),0)</f>
        <v>0</v>
      </c>
      <c r="Y298" s="171">
        <f t="array" aca="1" ref="Y298" ca="1">IFERROR(INDEX(INDIRECT($B$3&amp;"."&amp;$B$267&amp;".energy["&amp;This.year&amp;"]"),MATCH($C298&amp;Y$5,INDIRECT($B$3&amp;"."&amp;$B$267&amp;".energy[Tech description]")&amp;INDIRECT($B$3&amp;"."&amp;$B$267&amp;".energy[Energy description]"),0)),0)</f>
        <v>0</v>
      </c>
      <c r="Z298" s="171">
        <f t="array" aca="1" ref="Z298" ca="1">IFERROR(INDEX(INDIRECT($B$3&amp;"."&amp;$B$267&amp;".energy["&amp;This.year&amp;"]"),MATCH($C298&amp;Z$5,INDIRECT($B$3&amp;"."&amp;$B$267&amp;".energy[Tech description]")&amp;INDIRECT($B$3&amp;"."&amp;$B$267&amp;".energy[Energy description]"),0)),0)</f>
        <v>0</v>
      </c>
      <c r="AA298" s="171">
        <f t="array" aca="1" ref="AA298" ca="1">IFERROR(INDEX(INDIRECT($B$3&amp;"."&amp;$B$267&amp;".energy["&amp;This.year&amp;"]"),MATCH($C298&amp;AA$5,INDIRECT($B$3&amp;"."&amp;$B$267&amp;".energy[Tech description]")&amp;INDIRECT($B$3&amp;"."&amp;$B$267&amp;".energy[Energy description]"),0)),0)</f>
        <v>0</v>
      </c>
      <c r="AB298" s="171">
        <f t="array" aca="1" ref="AB298" ca="1">IFERROR(INDEX(INDIRECT($B$3&amp;"."&amp;$B$267&amp;".energy["&amp;This.year&amp;"]"),MATCH($C298&amp;AB$5,INDIRECT($B$3&amp;"."&amp;$B$267&amp;".energy[Tech description]")&amp;INDIRECT($B$3&amp;"."&amp;$B$267&amp;".energy[Energy description]"),0)),0)</f>
        <v>0</v>
      </c>
      <c r="AC298" s="171">
        <f t="array" aca="1" ref="AC298" ca="1">IFERROR(INDEX(INDIRECT($B$3&amp;"."&amp;$B$267&amp;".energy["&amp;This.year&amp;"]"),MATCH($C298&amp;AC$5,INDIRECT($B$3&amp;"."&amp;$B$267&amp;".energy[Tech description]")&amp;INDIRECT($B$3&amp;"."&amp;$B$267&amp;".energy[Energy description]"),0)),0)</f>
        <v>0</v>
      </c>
      <c r="AD298" s="171">
        <f t="array" aca="1" ref="AD298" ca="1">IFERROR(INDEX(INDIRECT($B$3&amp;"."&amp;$B$267&amp;".energy["&amp;This.year&amp;"]"),MATCH($C298&amp;AD$5,INDIRECT($B$3&amp;"."&amp;$B$267&amp;".energy[Tech description]")&amp;INDIRECT($B$3&amp;"."&amp;$B$267&amp;".energy[Energy description]"),0)),0)</f>
        <v>0</v>
      </c>
      <c r="AE298" s="171">
        <f t="array" aca="1" ref="AE298" ca="1">IFERROR(INDEX(INDIRECT($B$3&amp;"."&amp;$B$267&amp;".energy["&amp;This.year&amp;"]"),MATCH($C298&amp;AE$5,INDIRECT($B$3&amp;"."&amp;$B$267&amp;".energy[Tech description]")&amp;INDIRECT($B$3&amp;"."&amp;$B$267&amp;".energy[Energy description]"),0)),0)</f>
        <v>0</v>
      </c>
      <c r="AF298" s="171">
        <f t="array" aca="1" ref="AF298" ca="1">IFERROR(INDEX(INDIRECT($B$3&amp;"."&amp;$B$267&amp;".energy["&amp;This.year&amp;"]"),MATCH($C298&amp;AF$5,INDIRECT($B$3&amp;"."&amp;$B$267&amp;".energy[Tech description]")&amp;INDIRECT($B$3&amp;"."&amp;$B$267&amp;".energy[Energy description]"),0)),0)</f>
        <v>0</v>
      </c>
      <c r="AG298" s="171">
        <f t="array" aca="1" ref="AG298" ca="1">IFERROR(INDEX(INDIRECT($B$3&amp;"."&amp;$B$267&amp;".energy["&amp;This.year&amp;"]"),MATCH($C298&amp;AG$5,INDIRECT($B$3&amp;"."&amp;$B$267&amp;".energy[Tech description]")&amp;INDIRECT($B$3&amp;"."&amp;$B$267&amp;".energy[Energy description]"),0)),0)</f>
        <v>0</v>
      </c>
      <c r="AH298" s="171">
        <f t="array" aca="1" ref="AH298" ca="1">IFERROR(INDEX(INDIRECT($B$3&amp;"."&amp;$B$267&amp;".energy["&amp;This.year&amp;"]"),MATCH($C298&amp;AH$5,INDIRECT($B$3&amp;"."&amp;$B$267&amp;".energy[Tech description]")&amp;INDIRECT($B$3&amp;"."&amp;$B$267&amp;".energy[Energy description]"),0)),0)</f>
        <v>0</v>
      </c>
      <c r="AI298" s="171">
        <f t="array" aca="1" ref="AI298" ca="1">IFERROR(INDEX(INDIRECT($B$3&amp;"."&amp;$B$267&amp;".energy["&amp;This.year&amp;"]"),MATCH($C298&amp;AI$5,INDIRECT($B$3&amp;"."&amp;$B$267&amp;".energy[Tech description]")&amp;INDIRECT($B$3&amp;"."&amp;$B$267&amp;".energy[Energy description]"),0)),0)</f>
        <v>0</v>
      </c>
      <c r="AJ298" s="171">
        <f t="array" aca="1" ref="AJ298" ca="1">IFERROR(INDEX(INDIRECT($B$3&amp;"."&amp;$B$267&amp;".energy["&amp;This.year&amp;"]"),MATCH($C298&amp;AJ$5,INDIRECT($B$3&amp;"."&amp;$B$267&amp;".energy[Tech description]")&amp;INDIRECT($B$3&amp;"."&amp;$B$267&amp;".energy[Energy description]"),0)),0)</f>
        <v>0</v>
      </c>
      <c r="AK298" s="171">
        <f t="array" aca="1" ref="AK298" ca="1">IFERROR(INDEX(INDIRECT($B$3&amp;"."&amp;$B$267&amp;".energy["&amp;This.year&amp;"]"),MATCH($C298&amp;AK$5,INDIRECT($B$3&amp;"."&amp;$B$267&amp;".energy[Tech description]")&amp;INDIRECT($B$3&amp;"."&amp;$B$267&amp;".energy[Energy description]"),0)),0)</f>
        <v>0</v>
      </c>
      <c r="AL298" s="171">
        <f t="array" aca="1" ref="AL298" ca="1">IFERROR(INDEX(INDIRECT($B$3&amp;"."&amp;$B$267&amp;".energy["&amp;This.year&amp;"]"),MATCH($C298&amp;AL$5,INDIRECT($B$3&amp;"."&amp;$B$267&amp;".energy[Tech description]")&amp;INDIRECT($B$3&amp;"."&amp;$B$267&amp;".energy[Energy description]"),0)),0)</f>
        <v>0</v>
      </c>
      <c r="AM298" s="171">
        <f t="array" aca="1" ref="AM298" ca="1">IFERROR(INDEX(INDIRECT($B$3&amp;"."&amp;$B$267&amp;".energy["&amp;This.year&amp;"]"),MATCH($C298&amp;AM$5,INDIRECT($B$3&amp;"."&amp;$B$267&amp;".energy[Tech description]")&amp;INDIRECT($B$3&amp;"."&amp;$B$267&amp;".energy[Energy description]"),0)),0)</f>
        <v>0</v>
      </c>
      <c r="AN298" s="171">
        <f t="array" aca="1" ref="AN298" ca="1">IFERROR(INDEX(INDIRECT($B$3&amp;"."&amp;$B$267&amp;".energy["&amp;This.year&amp;"]"),MATCH($C298&amp;AN$5,INDIRECT($B$3&amp;"."&amp;$B$267&amp;".energy[Tech description]")&amp;INDIRECT($B$3&amp;"."&amp;$B$267&amp;".energy[Energy description]"),0)),0)</f>
        <v>0</v>
      </c>
      <c r="AO298" s="171">
        <f ca="1">SUM(V298:AN298)</f>
        <v>0</v>
      </c>
      <c r="AQ298" s="173">
        <f t="array" aca="1" ref="AQ298" ca="1">IFERROR(INDEX(INDIRECT($B$3&amp;"."&amp;$B$267&amp;".energy["&amp;This.year&amp;"]"),MATCH($C298&amp;AQ$5,INDIRECT($B$3&amp;"."&amp;$B$267&amp;".energy[Tech description]")&amp;INDIRECT($B$3&amp;"."&amp;$B$267&amp;".energy[Energy description]"),0)),0)</f>
        <v>0</v>
      </c>
      <c r="AR298" s="173">
        <f t="array" aca="1" ref="AR298" ca="1">IFERROR(INDEX(INDIRECT($B$3&amp;"."&amp;$B$267&amp;".energy["&amp;This.year&amp;"]"),MATCH($C298&amp;AR$5,INDIRECT($B$3&amp;"."&amp;$B$267&amp;".energy[Tech description]")&amp;INDIRECT($B$3&amp;"."&amp;$B$267&amp;".energy[Energy description]"),0)),0)</f>
        <v>0</v>
      </c>
      <c r="AS298" s="173">
        <f t="array" aca="1" ref="AS298" ca="1">IFERROR(INDEX(INDIRECT($B$3&amp;"."&amp;$B$267&amp;".energy["&amp;This.year&amp;"]"),MATCH($C298&amp;AS$5,INDIRECT($B$3&amp;"."&amp;$B$267&amp;".energy[Tech description]")&amp;INDIRECT($B$3&amp;"."&amp;$B$267&amp;".energy[Energy description]"),0)),0)</f>
        <v>0</v>
      </c>
      <c r="AT298" s="173">
        <f t="array" aca="1" ref="AT298" ca="1">IFERROR(INDEX(INDIRECT($B$3&amp;"."&amp;$B$267&amp;".energy["&amp;This.year&amp;"]"),MATCH($C298&amp;AT$5,INDIRECT($B$3&amp;"."&amp;$B$267&amp;".energy[Tech description]")&amp;INDIRECT($B$3&amp;"."&amp;$B$267&amp;".energy[Energy description]"),0)),0)</f>
        <v>0</v>
      </c>
      <c r="AU298" s="173">
        <f t="array" aca="1" ref="AU298" ca="1">IFERROR(INDEX(INDIRECT($B$3&amp;"."&amp;$B$267&amp;".energy["&amp;This.year&amp;"]"),MATCH($C298&amp;AU$5,INDIRECT($B$3&amp;"."&amp;$B$267&amp;".energy[Tech description]")&amp;INDIRECT($B$3&amp;"."&amp;$B$267&amp;".energy[Energy description]"),0)),0)</f>
        <v>0</v>
      </c>
      <c r="AV298" s="173">
        <f t="array" aca="1" ref="AV298" ca="1">IFERROR(INDEX(INDIRECT($B$3&amp;"."&amp;$B$267&amp;".energy["&amp;This.year&amp;"]"),MATCH($C298&amp;AV$5,INDIRECT($B$3&amp;"."&amp;$B$267&amp;".energy[Tech description]")&amp;INDIRECT($B$3&amp;"."&amp;$B$267&amp;".energy[Energy description]"),0)),0)</f>
        <v>0</v>
      </c>
      <c r="AW298" s="173">
        <f t="array" aca="1" ref="AW298" ca="1">IFERROR(INDEX(INDIRECT($B$3&amp;"."&amp;$B$267&amp;".energy["&amp;This.year&amp;"]"),MATCH($C298&amp;AW$5,INDIRECT($B$3&amp;"."&amp;$B$267&amp;".energy[Tech description]")&amp;INDIRECT($B$3&amp;"."&amp;$B$267&amp;".energy[Energy description]"),0)),0)</f>
        <v>0</v>
      </c>
      <c r="AX298" s="173">
        <f t="array" aca="1" ref="AX298" ca="1">IFERROR(INDEX(INDIRECT($B$3&amp;"."&amp;$B$267&amp;".energy["&amp;This.year&amp;"]"),MATCH($C298&amp;AX$5,INDIRECT($B$3&amp;"."&amp;$B$267&amp;".energy[Tech description]")&amp;INDIRECT($B$3&amp;"."&amp;$B$267&amp;".energy[Energy description]"),0)),0)</f>
        <v>0</v>
      </c>
      <c r="AY298" s="173">
        <f t="array" aca="1" ref="AY298" ca="1">IFERROR(INDEX(INDIRECT($B$3&amp;"."&amp;$B$267&amp;".energy["&amp;This.year&amp;"]"),MATCH($C298&amp;AY$5,INDIRECT($B$3&amp;"."&amp;$B$267&amp;".energy[Tech description]")&amp;INDIRECT($B$3&amp;"."&amp;$B$267&amp;".energy[Energy description]"),0)),0)</f>
        <v>0</v>
      </c>
      <c r="AZ298" s="173">
        <f t="array" aca="1" ref="AZ298" ca="1">IFERROR(INDEX(INDIRECT($B$3&amp;"."&amp;$B$267&amp;".energy["&amp;This.year&amp;"]"),MATCH($C298&amp;AZ$5,INDIRECT($B$3&amp;"."&amp;$B$267&amp;".energy[Tech description]")&amp;INDIRECT($B$3&amp;"."&amp;$B$267&amp;".energy[Energy description]"),0)),0)</f>
        <v>0</v>
      </c>
      <c r="BA298" s="173">
        <f t="array" aca="1" ref="BA298" ca="1">IFERROR(INDEX(INDIRECT($B$3&amp;"."&amp;$B$267&amp;".energy["&amp;This.year&amp;"]"),MATCH($C298&amp;BA$5,INDIRECT($B$3&amp;"."&amp;$B$267&amp;".energy[Tech description]")&amp;INDIRECT($B$3&amp;"."&amp;$B$267&amp;".energy[Energy description]"),0)),0)</f>
        <v>0</v>
      </c>
      <c r="BB298" s="173">
        <f t="array" aca="1" ref="BB298" ca="1">IFERROR(INDEX(INDIRECT($B$3&amp;"."&amp;$B$267&amp;".energy["&amp;This.year&amp;"]"),MATCH($C298&amp;BB$5,INDIRECT($B$3&amp;"."&amp;$B$267&amp;".energy[Tech description]")&amp;INDIRECT($B$3&amp;"."&amp;$B$267&amp;".energy[Energy description]"),0)),0)</f>
        <v>0</v>
      </c>
      <c r="BC298" s="173">
        <f t="array" aca="1" ref="BC298" ca="1">IFERROR(INDEX(INDIRECT($B$3&amp;"."&amp;$B$267&amp;".energy["&amp;This.year&amp;"]"),MATCH($C298&amp;BC$5,INDIRECT($B$3&amp;"."&amp;$B$267&amp;".energy[Tech description]")&amp;INDIRECT($B$3&amp;"."&amp;$B$267&amp;".energy[Energy description]"),0)),0)</f>
        <v>0</v>
      </c>
      <c r="BD298" s="173">
        <f ca="1">SUM(AQ298:BB298)</f>
        <v>0</v>
      </c>
      <c r="BF298" s="175">
        <f t="array" aca="1" ref="BF298" ca="1">IFERROR(INDEX(INDIRECT($B$3&amp;"."&amp;$B$267&amp;".energy["&amp;This.year&amp;"]"),MATCH($C298&amp;BF$5,INDIRECT($B$3&amp;"."&amp;$B$267&amp;".energy[Tech description]")&amp;INDIRECT($B$3&amp;"."&amp;$B$267&amp;".energy[Energy description]"),0)),0)</f>
        <v>0</v>
      </c>
      <c r="BG298" s="175">
        <f t="array" aca="1" ref="BG298" ca="1">IFERROR(INDEX(INDIRECT($B$3&amp;"."&amp;$B$267&amp;".energy["&amp;This.year&amp;"]"),MATCH($C298&amp;BG$5,INDIRECT($B$3&amp;"."&amp;$B$267&amp;".energy[Tech description]")&amp;INDIRECT($B$3&amp;"."&amp;$B$267&amp;".energy[Energy description]"),0)),0)</f>
        <v>0</v>
      </c>
      <c r="BH298" s="175">
        <f t="shared" ref="BH298:BH299" ca="1" si="93">SUM(BF298:BG298)</f>
        <v>0</v>
      </c>
      <c r="BI298" s="219">
        <f ca="1">SUM(T298,AO298,BD298,BH298)</f>
        <v>0</v>
      </c>
      <c r="BJ298" s="58"/>
    </row>
    <row r="299" spans="1:62">
      <c r="B299" s="176" t="s">
        <v>742</v>
      </c>
      <c r="C299" s="114" t="str">
        <f>INDEX(Regional.Technologies[Description],MATCH($B$3&amp;"."&amp;B299,Regional.Technologies[Code],0))</f>
        <v>Global Wave</v>
      </c>
      <c r="E299" s="121">
        <f t="array" aca="1" ref="E299" ca="1">IFERROR(INDEX(INDIRECT($B$3&amp;"."&amp;$B$267&amp;".energy["&amp;This.year&amp;"]"),MATCH($C299&amp;E$5,INDIRECT($B$3&amp;"."&amp;$B$267&amp;".energy[Tech description]")&amp;INDIRECT($B$3&amp;"."&amp;$B$267&amp;".energy[Energy description]"),0)),0)</f>
        <v>0</v>
      </c>
      <c r="F299" s="121">
        <f t="array" aca="1" ref="F299" ca="1">IFERROR(INDEX(INDIRECT($B$3&amp;"."&amp;$B$267&amp;".energy["&amp;This.year&amp;"]"),MATCH($C299&amp;F$5,INDIRECT($B$3&amp;"."&amp;$B$267&amp;".energy[Tech description]")&amp;INDIRECT($B$3&amp;"."&amp;$B$267&amp;".energy[Energy description]"),0)),0)</f>
        <v>0</v>
      </c>
      <c r="G299" s="121">
        <f t="array" aca="1" ref="G299" ca="1">IFERROR(INDEX(INDIRECT($B$3&amp;"."&amp;$B$267&amp;".energy["&amp;This.year&amp;"]"),MATCH($C299&amp;G$5,INDIRECT($B$3&amp;"."&amp;$B$267&amp;".energy[Tech description]")&amp;INDIRECT($B$3&amp;"."&amp;$B$267&amp;".energy[Energy description]"),0)),0)</f>
        <v>0</v>
      </c>
      <c r="H299" s="121">
        <f t="array" aca="1" ref="H299" ca="1">IFERROR(INDEX(INDIRECT($B$3&amp;"."&amp;$B$267&amp;".energy["&amp;This.year&amp;"]"),MATCH($C299&amp;H$5,INDIRECT($B$3&amp;"."&amp;$B$267&amp;".energy[Tech description]")&amp;INDIRECT($B$3&amp;"."&amp;$B$267&amp;".energy[Energy description]"),0)),0)</f>
        <v>0</v>
      </c>
      <c r="I299" s="121">
        <f t="array" aca="1" ref="I299" ca="1">IFERROR(INDEX(INDIRECT($B$3&amp;"."&amp;$B$267&amp;".energy["&amp;This.year&amp;"]"),MATCH($C299&amp;I$5,INDIRECT($B$3&amp;"."&amp;$B$267&amp;".energy[Tech description]")&amp;INDIRECT($B$3&amp;"."&amp;$B$267&amp;".energy[Energy description]"),0)),0)</f>
        <v>0</v>
      </c>
      <c r="J299" s="121">
        <f t="array" aca="1" ref="J299" ca="1">IFERROR(INDEX(INDIRECT($B$3&amp;"."&amp;$B$267&amp;".energy["&amp;This.year&amp;"]"),MATCH($C299&amp;J$5,INDIRECT($B$3&amp;"."&amp;$B$267&amp;".energy[Tech description]")&amp;INDIRECT($B$3&amp;"."&amp;$B$267&amp;".energy[Energy description]"),0)),0)</f>
        <v>0</v>
      </c>
      <c r="K299" s="121">
        <f t="array" aca="1" ref="K299" ca="1">IFERROR(INDEX(INDIRECT($B$3&amp;"."&amp;$B$267&amp;".energy["&amp;This.year&amp;"]"),MATCH($C299&amp;K$5,INDIRECT($B$3&amp;"."&amp;$B$267&amp;".energy[Tech description]")&amp;INDIRECT($B$3&amp;"."&amp;$B$267&amp;".energy[Energy description]"),0)),0)</f>
        <v>0</v>
      </c>
      <c r="L299" s="121">
        <f t="array" aca="1" ref="L299" ca="1">IFERROR(INDEX(INDIRECT($B$3&amp;"."&amp;$B$267&amp;".energy["&amp;This.year&amp;"]"),MATCH($C299&amp;L$5,INDIRECT($B$3&amp;"."&amp;$B$267&amp;".energy[Tech description]")&amp;INDIRECT($B$3&amp;"."&amp;$B$267&amp;".energy[Energy description]"),0)),0)</f>
        <v>0</v>
      </c>
      <c r="M299" s="121">
        <f t="array" aca="1" ref="M299" ca="1">IFERROR(INDEX(INDIRECT($B$3&amp;"."&amp;$B$267&amp;".energy["&amp;This.year&amp;"]"),MATCH($C299&amp;M$5,INDIRECT($B$3&amp;"."&amp;$B$267&amp;".energy[Tech description]")&amp;INDIRECT($B$3&amp;"."&amp;$B$267&amp;".energy[Energy description]"),0)),0)</f>
        <v>0</v>
      </c>
      <c r="N299" s="121">
        <f t="array" aca="1" ref="N299" ca="1">IFERROR(INDEX(INDIRECT($B$3&amp;"."&amp;$B$267&amp;".energy["&amp;This.year&amp;"]"),MATCH($C299&amp;N$5,INDIRECT($B$3&amp;"."&amp;$B$267&amp;".energy[Tech description]")&amp;INDIRECT($B$3&amp;"."&amp;$B$267&amp;".energy[Energy description]"),0)),0)</f>
        <v>0</v>
      </c>
      <c r="O299" s="121">
        <f t="array" aca="1" ref="O299" ca="1">IFERROR(INDEX(INDIRECT($B$3&amp;"."&amp;$B$267&amp;".energy["&amp;This.year&amp;"]"),MATCH($C299&amp;O$5,INDIRECT($B$3&amp;"."&amp;$B$267&amp;".energy[Tech description]")&amp;INDIRECT($B$3&amp;"."&amp;$B$267&amp;".energy[Energy description]"),0)),0)</f>
        <v>0</v>
      </c>
      <c r="P299" s="121">
        <f t="array" aca="1" ref="P299" ca="1">IFERROR(INDEX(INDIRECT($B$3&amp;"."&amp;$B$267&amp;".energy["&amp;This.year&amp;"]"),MATCH($C299&amp;P$5,INDIRECT($B$3&amp;"."&amp;$B$267&amp;".energy[Tech description]")&amp;INDIRECT($B$3&amp;"."&amp;$B$267&amp;".energy[Energy description]"),0)),0)</f>
        <v>0</v>
      </c>
      <c r="Q299" s="121">
        <f t="array" aca="1" ref="Q299" ca="1">IFERROR(INDEX(INDIRECT($B$3&amp;"."&amp;$B$267&amp;".energy["&amp;This.year&amp;"]"),MATCH($C299&amp;Q$5,INDIRECT($B$3&amp;"."&amp;$B$267&amp;".energy[Tech description]")&amp;INDIRECT($B$3&amp;"."&amp;$B$267&amp;".energy[Energy description]"),0)),0)</f>
        <v>0</v>
      </c>
      <c r="R299" s="121">
        <f t="array" aca="1" ref="R299" ca="1">IFERROR(INDEX(INDIRECT($B$3&amp;"."&amp;$B$267&amp;".energy["&amp;This.year&amp;"]"),MATCH($C299&amp;R$5,INDIRECT($B$3&amp;"."&amp;$B$267&amp;".energy[Tech description]")&amp;INDIRECT($B$3&amp;"."&amp;$B$267&amp;".energy[Energy description]"),0)),0)</f>
        <v>0</v>
      </c>
      <c r="S299" s="121">
        <f t="array" aca="1" ref="S299" ca="1">IFERROR(INDEX(INDIRECT($B$3&amp;"."&amp;$B$267&amp;".energy["&amp;This.year&amp;"]"),MATCH($C299&amp;S$5,INDIRECT($B$3&amp;"."&amp;$B$267&amp;".energy[Tech description]")&amp;INDIRECT($B$3&amp;"."&amp;$B$267&amp;".energy[Energy description]"),0)),0)</f>
        <v>0</v>
      </c>
      <c r="T299" s="121">
        <f t="shared" ca="1" si="92"/>
        <v>0</v>
      </c>
      <c r="V299" s="171">
        <f t="array" aca="1" ref="V299" ca="1">IFERROR(INDEX(INDIRECT($B$3&amp;"."&amp;$B$267&amp;".energy["&amp;This.year&amp;"]"),MATCH($C299&amp;V$5,INDIRECT($B$3&amp;"."&amp;$B$267&amp;".energy[Tech description]")&amp;INDIRECT($B$3&amp;"."&amp;$B$267&amp;".energy[Energy description]"),0)),0)</f>
        <v>0</v>
      </c>
      <c r="W299" s="171">
        <f t="array" aca="1" ref="W299" ca="1">IFERROR(INDEX(INDIRECT($B$3&amp;"."&amp;$B$267&amp;".energy["&amp;This.year&amp;"]"),MATCH($C299&amp;W$5,INDIRECT($B$3&amp;"."&amp;$B$267&amp;".energy[Tech description]")&amp;INDIRECT($B$3&amp;"."&amp;$B$267&amp;".energy[Energy description]"),0)),0)</f>
        <v>0</v>
      </c>
      <c r="X299" s="171">
        <f t="array" aca="1" ref="X299" ca="1">IFERROR(INDEX(INDIRECT($B$3&amp;"."&amp;$B$267&amp;".energy["&amp;This.year&amp;"]"),MATCH($C299&amp;X$5,INDIRECT($B$3&amp;"."&amp;$B$267&amp;".energy[Tech description]")&amp;INDIRECT($B$3&amp;"."&amp;$B$267&amp;".energy[Energy description]"),0)),0)</f>
        <v>0</v>
      </c>
      <c r="Y299" s="171">
        <f t="array" aca="1" ref="Y299" ca="1">IFERROR(INDEX(INDIRECT($B$3&amp;"."&amp;$B$267&amp;".energy["&amp;This.year&amp;"]"),MATCH($C299&amp;Y$5,INDIRECT($B$3&amp;"."&amp;$B$267&amp;".energy[Tech description]")&amp;INDIRECT($B$3&amp;"."&amp;$B$267&amp;".energy[Energy description]"),0)),0)</f>
        <v>0</v>
      </c>
      <c r="Z299" s="171">
        <f t="array" aca="1" ref="Z299" ca="1">IFERROR(INDEX(INDIRECT($B$3&amp;"."&amp;$B$267&amp;".energy["&amp;This.year&amp;"]"),MATCH($C299&amp;Z$5,INDIRECT($B$3&amp;"."&amp;$B$267&amp;".energy[Tech description]")&amp;INDIRECT($B$3&amp;"."&amp;$B$267&amp;".energy[Energy description]"),0)),0)</f>
        <v>0</v>
      </c>
      <c r="AA299" s="171">
        <f t="array" aca="1" ref="AA299" ca="1">IFERROR(INDEX(INDIRECT($B$3&amp;"."&amp;$B$267&amp;".energy["&amp;This.year&amp;"]"),MATCH($C299&amp;AA$5,INDIRECT($B$3&amp;"."&amp;$B$267&amp;".energy[Tech description]")&amp;INDIRECT($B$3&amp;"."&amp;$B$267&amp;".energy[Energy description]"),0)),0)</f>
        <v>0</v>
      </c>
      <c r="AB299" s="171">
        <f t="array" aca="1" ref="AB299" ca="1">IFERROR(INDEX(INDIRECT($B$3&amp;"."&amp;$B$267&amp;".energy["&amp;This.year&amp;"]"),MATCH($C299&amp;AB$5,INDIRECT($B$3&amp;"."&amp;$B$267&amp;".energy[Tech description]")&amp;INDIRECT($B$3&amp;"."&amp;$B$267&amp;".energy[Energy description]"),0)),0)</f>
        <v>0</v>
      </c>
      <c r="AC299" s="171">
        <f t="array" aca="1" ref="AC299" ca="1">IFERROR(INDEX(INDIRECT($B$3&amp;"."&amp;$B$267&amp;".energy["&amp;This.year&amp;"]"),MATCH($C299&amp;AC$5,INDIRECT($B$3&amp;"."&amp;$B$267&amp;".energy[Tech description]")&amp;INDIRECT($B$3&amp;"."&amp;$B$267&amp;".energy[Energy description]"),0)),0)</f>
        <v>0</v>
      </c>
      <c r="AD299" s="171">
        <f t="array" aca="1" ref="AD299" ca="1">IFERROR(INDEX(INDIRECT($B$3&amp;"."&amp;$B$267&amp;".energy["&amp;This.year&amp;"]"),MATCH($C299&amp;AD$5,INDIRECT($B$3&amp;"."&amp;$B$267&amp;".energy[Tech description]")&amp;INDIRECT($B$3&amp;"."&amp;$B$267&amp;".energy[Energy description]"),0)),0)</f>
        <v>0</v>
      </c>
      <c r="AE299" s="171">
        <f t="array" aca="1" ref="AE299" ca="1">IFERROR(INDEX(INDIRECT($B$3&amp;"."&amp;$B$267&amp;".energy["&amp;This.year&amp;"]"),MATCH($C299&amp;AE$5,INDIRECT($B$3&amp;"."&amp;$B$267&amp;".energy[Tech description]")&amp;INDIRECT($B$3&amp;"."&amp;$B$267&amp;".energy[Energy description]"),0)),0)</f>
        <v>0</v>
      </c>
      <c r="AF299" s="171">
        <f t="array" aca="1" ref="AF299" ca="1">IFERROR(INDEX(INDIRECT($B$3&amp;"."&amp;$B$267&amp;".energy["&amp;This.year&amp;"]"),MATCH($C299&amp;AF$5,INDIRECT($B$3&amp;"."&amp;$B$267&amp;".energy[Tech description]")&amp;INDIRECT($B$3&amp;"."&amp;$B$267&amp;".energy[Energy description]"),0)),0)</f>
        <v>0</v>
      </c>
      <c r="AG299" s="171">
        <f t="array" aca="1" ref="AG299" ca="1">IFERROR(INDEX(INDIRECT($B$3&amp;"."&amp;$B$267&amp;".energy["&amp;This.year&amp;"]"),MATCH($C299&amp;AG$5,INDIRECT($B$3&amp;"."&amp;$B$267&amp;".energy[Tech description]")&amp;INDIRECT($B$3&amp;"."&amp;$B$267&amp;".energy[Energy description]"),0)),0)</f>
        <v>0</v>
      </c>
      <c r="AH299" s="171">
        <f t="array" aca="1" ref="AH299" ca="1">IFERROR(INDEX(INDIRECT($B$3&amp;"."&amp;$B$267&amp;".energy["&amp;This.year&amp;"]"),MATCH($C299&amp;AH$5,INDIRECT($B$3&amp;"."&amp;$B$267&amp;".energy[Tech description]")&amp;INDIRECT($B$3&amp;"."&amp;$B$267&amp;".energy[Energy description]"),0)),0)</f>
        <v>0</v>
      </c>
      <c r="AI299" s="171">
        <f t="array" aca="1" ref="AI299" ca="1">IFERROR(INDEX(INDIRECT($B$3&amp;"."&amp;$B$267&amp;".energy["&amp;This.year&amp;"]"),MATCH($C299&amp;AI$5,INDIRECT($B$3&amp;"."&amp;$B$267&amp;".energy[Tech description]")&amp;INDIRECT($B$3&amp;"."&amp;$B$267&amp;".energy[Energy description]"),0)),0)</f>
        <v>0</v>
      </c>
      <c r="AJ299" s="171">
        <f t="array" aca="1" ref="AJ299" ca="1">IFERROR(INDEX(INDIRECT($B$3&amp;"."&amp;$B$267&amp;".energy["&amp;This.year&amp;"]"),MATCH($C299&amp;AJ$5,INDIRECT($B$3&amp;"."&amp;$B$267&amp;".energy[Tech description]")&amp;INDIRECT($B$3&amp;"."&amp;$B$267&amp;".energy[Energy description]"),0)),0)</f>
        <v>0</v>
      </c>
      <c r="AK299" s="171">
        <f t="array" aca="1" ref="AK299" ca="1">IFERROR(INDEX(INDIRECT($B$3&amp;"."&amp;$B$267&amp;".energy["&amp;This.year&amp;"]"),MATCH($C299&amp;AK$5,INDIRECT($B$3&amp;"."&amp;$B$267&amp;".energy[Tech description]")&amp;INDIRECT($B$3&amp;"."&amp;$B$267&amp;".energy[Energy description]"),0)),0)</f>
        <v>0</v>
      </c>
      <c r="AL299" s="171">
        <f t="array" aca="1" ref="AL299" ca="1">IFERROR(INDEX(INDIRECT($B$3&amp;"."&amp;$B$267&amp;".energy["&amp;This.year&amp;"]"),MATCH($C299&amp;AL$5,INDIRECT($B$3&amp;"."&amp;$B$267&amp;".energy[Tech description]")&amp;INDIRECT($B$3&amp;"."&amp;$B$267&amp;".energy[Energy description]"),0)),0)</f>
        <v>0</v>
      </c>
      <c r="AM299" s="171">
        <f t="array" aca="1" ref="AM299" ca="1">IFERROR(INDEX(INDIRECT($B$3&amp;"."&amp;$B$267&amp;".energy["&amp;This.year&amp;"]"),MATCH($C299&amp;AM$5,INDIRECT($B$3&amp;"."&amp;$B$267&amp;".energy[Tech description]")&amp;INDIRECT($B$3&amp;"."&amp;$B$267&amp;".energy[Energy description]"),0)),0)</f>
        <v>0</v>
      </c>
      <c r="AN299" s="171">
        <f t="array" aca="1" ref="AN299" ca="1">IFERROR(INDEX(INDIRECT($B$3&amp;"."&amp;$B$267&amp;".energy["&amp;This.year&amp;"]"),MATCH($C299&amp;AN$5,INDIRECT($B$3&amp;"."&amp;$B$267&amp;".energy[Tech description]")&amp;INDIRECT($B$3&amp;"."&amp;$B$267&amp;".energy[Energy description]"),0)),0)</f>
        <v>0</v>
      </c>
      <c r="AO299" s="171">
        <f ca="1">SUM(V299:AN299)</f>
        <v>0</v>
      </c>
      <c r="AQ299" s="173">
        <f t="array" aca="1" ref="AQ299" ca="1">IFERROR(INDEX(INDIRECT($B$3&amp;"."&amp;$B$267&amp;".energy["&amp;This.year&amp;"]"),MATCH($C299&amp;AQ$5,INDIRECT($B$3&amp;"."&amp;$B$267&amp;".energy[Tech description]")&amp;INDIRECT($B$3&amp;"."&amp;$B$267&amp;".energy[Energy description]"),0)),0)</f>
        <v>0</v>
      </c>
      <c r="AR299" s="173">
        <f t="array" aca="1" ref="AR299" ca="1">IFERROR(INDEX(INDIRECT($B$3&amp;"."&amp;$B$267&amp;".energy["&amp;This.year&amp;"]"),MATCH($C299&amp;AR$5,INDIRECT($B$3&amp;"."&amp;$B$267&amp;".energy[Tech description]")&amp;INDIRECT($B$3&amp;"."&amp;$B$267&amp;".energy[Energy description]"),0)),0)</f>
        <v>0</v>
      </c>
      <c r="AS299" s="173">
        <f t="array" aca="1" ref="AS299" ca="1">IFERROR(INDEX(INDIRECT($B$3&amp;"."&amp;$B$267&amp;".energy["&amp;This.year&amp;"]"),MATCH($C299&amp;AS$5,INDIRECT($B$3&amp;"."&amp;$B$267&amp;".energy[Tech description]")&amp;INDIRECT($B$3&amp;"."&amp;$B$267&amp;".energy[Energy description]"),0)),0)</f>
        <v>0</v>
      </c>
      <c r="AT299" s="173">
        <f t="array" aca="1" ref="AT299" ca="1">IFERROR(INDEX(INDIRECT($B$3&amp;"."&amp;$B$267&amp;".energy["&amp;This.year&amp;"]"),MATCH($C299&amp;AT$5,INDIRECT($B$3&amp;"."&amp;$B$267&amp;".energy[Tech description]")&amp;INDIRECT($B$3&amp;"."&amp;$B$267&amp;".energy[Energy description]"),0)),0)</f>
        <v>0</v>
      </c>
      <c r="AU299" s="173">
        <f t="array" aca="1" ref="AU299" ca="1">IFERROR(INDEX(INDIRECT($B$3&amp;"."&amp;$B$267&amp;".energy["&amp;This.year&amp;"]"),MATCH($C299&amp;AU$5,INDIRECT($B$3&amp;"."&amp;$B$267&amp;".energy[Tech description]")&amp;INDIRECT($B$3&amp;"."&amp;$B$267&amp;".energy[Energy description]"),0)),0)</f>
        <v>0</v>
      </c>
      <c r="AV299" s="173">
        <f t="array" aca="1" ref="AV299" ca="1">IFERROR(INDEX(INDIRECT($B$3&amp;"."&amp;$B$267&amp;".energy["&amp;This.year&amp;"]"),MATCH($C299&amp;AV$5,INDIRECT($B$3&amp;"."&amp;$B$267&amp;".energy[Tech description]")&amp;INDIRECT($B$3&amp;"."&amp;$B$267&amp;".energy[Energy description]"),0)),0)</f>
        <v>0</v>
      </c>
      <c r="AW299" s="173">
        <f t="array" aca="1" ref="AW299" ca="1">IFERROR(INDEX(INDIRECT($B$3&amp;"."&amp;$B$267&amp;".energy["&amp;This.year&amp;"]"),MATCH($C299&amp;AW$5,INDIRECT($B$3&amp;"."&amp;$B$267&amp;".energy[Tech description]")&amp;INDIRECT($B$3&amp;"."&amp;$B$267&amp;".energy[Energy description]"),0)),0)</f>
        <v>0</v>
      </c>
      <c r="AX299" s="173">
        <f t="array" aca="1" ref="AX299" ca="1">IFERROR(INDEX(INDIRECT($B$3&amp;"."&amp;$B$267&amp;".energy["&amp;This.year&amp;"]"),MATCH($C299&amp;AX$5,INDIRECT($B$3&amp;"."&amp;$B$267&amp;".energy[Tech description]")&amp;INDIRECT($B$3&amp;"."&amp;$B$267&amp;".energy[Energy description]"),0)),0)</f>
        <v>0</v>
      </c>
      <c r="AY299" s="173">
        <f t="array" aca="1" ref="AY299" ca="1">IFERROR(INDEX(INDIRECT($B$3&amp;"."&amp;$B$267&amp;".energy["&amp;This.year&amp;"]"),MATCH($C299&amp;AY$5,INDIRECT($B$3&amp;"."&amp;$B$267&amp;".energy[Tech description]")&amp;INDIRECT($B$3&amp;"."&amp;$B$267&amp;".energy[Energy description]"),0)),0)</f>
        <v>0</v>
      </c>
      <c r="AZ299" s="173">
        <f t="array" aca="1" ref="AZ299" ca="1">IFERROR(INDEX(INDIRECT($B$3&amp;"."&amp;$B$267&amp;".energy["&amp;This.year&amp;"]"),MATCH($C299&amp;AZ$5,INDIRECT($B$3&amp;"."&amp;$B$267&amp;".energy[Tech description]")&amp;INDIRECT($B$3&amp;"."&amp;$B$267&amp;".energy[Energy description]"),0)),0)</f>
        <v>0</v>
      </c>
      <c r="BA299" s="173">
        <f t="array" aca="1" ref="BA299" ca="1">IFERROR(INDEX(INDIRECT($B$3&amp;"."&amp;$B$267&amp;".energy["&amp;This.year&amp;"]"),MATCH($C299&amp;BA$5,INDIRECT($B$3&amp;"."&amp;$B$267&amp;".energy[Tech description]")&amp;INDIRECT($B$3&amp;"."&amp;$B$267&amp;".energy[Energy description]"),0)),0)</f>
        <v>0</v>
      </c>
      <c r="BB299" s="173">
        <f t="array" aca="1" ref="BB299" ca="1">IFERROR(INDEX(INDIRECT($B$3&amp;"."&amp;$B$267&amp;".energy["&amp;This.year&amp;"]"),MATCH($C299&amp;BB$5,INDIRECT($B$3&amp;"."&amp;$B$267&amp;".energy[Tech description]")&amp;INDIRECT($B$3&amp;"."&amp;$B$267&amp;".energy[Energy description]"),0)),0)</f>
        <v>0</v>
      </c>
      <c r="BC299" s="173">
        <f t="array" aca="1" ref="BC299" ca="1">IFERROR(INDEX(INDIRECT($B$3&amp;"."&amp;$B$267&amp;".energy["&amp;This.year&amp;"]"),MATCH($C299&amp;BC$5,INDIRECT($B$3&amp;"."&amp;$B$267&amp;".energy[Tech description]")&amp;INDIRECT($B$3&amp;"."&amp;$B$267&amp;".energy[Energy description]"),0)),0)</f>
        <v>0</v>
      </c>
      <c r="BD299" s="173">
        <f ca="1">SUM(AQ299:BB299)</f>
        <v>0</v>
      </c>
      <c r="BF299" s="175">
        <f t="array" aca="1" ref="BF299" ca="1">IFERROR(INDEX(INDIRECT($B$3&amp;"."&amp;$B$267&amp;".energy["&amp;This.year&amp;"]"),MATCH($C299&amp;BF$5,INDIRECT($B$3&amp;"."&amp;$B$267&amp;".energy[Tech description]")&amp;INDIRECT($B$3&amp;"."&amp;$B$267&amp;".energy[Energy description]"),0)),0)</f>
        <v>0</v>
      </c>
      <c r="BG299" s="175">
        <f t="array" aca="1" ref="BG299" ca="1">IFERROR(INDEX(INDIRECT($B$3&amp;"."&amp;$B$267&amp;".energy["&amp;This.year&amp;"]"),MATCH($C299&amp;BG$5,INDIRECT($B$3&amp;"."&amp;$B$267&amp;".energy[Tech description]")&amp;INDIRECT($B$3&amp;"."&amp;$B$267&amp;".energy[Energy description]"),0)),0)</f>
        <v>0</v>
      </c>
      <c r="BH299" s="175">
        <f t="shared" ca="1" si="93"/>
        <v>0</v>
      </c>
      <c r="BI299" s="219">
        <f ca="1">SUM(T299,AO299,BD299,BH299)</f>
        <v>0</v>
      </c>
      <c r="BJ299" s="58"/>
    </row>
    <row r="300" spans="1:62" s="54" customFormat="1">
      <c r="A300" s="106"/>
      <c r="B300" s="176"/>
      <c r="E300" s="121"/>
      <c r="F300" s="121"/>
      <c r="G300" s="121"/>
      <c r="H300" s="121"/>
      <c r="I300" s="121"/>
      <c r="J300" s="121"/>
      <c r="K300" s="121"/>
      <c r="L300" s="121"/>
      <c r="M300" s="121"/>
      <c r="N300" s="121"/>
      <c r="O300" s="121"/>
      <c r="P300" s="121"/>
      <c r="Q300" s="121"/>
      <c r="R300" s="121"/>
      <c r="S300" s="121"/>
      <c r="T300" s="121"/>
      <c r="U300" s="108"/>
      <c r="V300" s="152"/>
      <c r="W300" s="152"/>
      <c r="X300" s="152"/>
      <c r="Y300" s="152"/>
      <c r="Z300" s="152"/>
      <c r="AA300" s="152"/>
      <c r="AB300" s="152"/>
      <c r="AC300" s="152"/>
      <c r="AD300" s="152"/>
      <c r="AE300" s="152"/>
      <c r="AF300" s="152"/>
      <c r="AG300" s="152"/>
      <c r="AH300" s="152"/>
      <c r="AI300" s="152"/>
      <c r="AJ300" s="152"/>
      <c r="AK300" s="152"/>
      <c r="AL300" s="152"/>
      <c r="AM300" s="152"/>
      <c r="AN300" s="152"/>
      <c r="AO300" s="152"/>
      <c r="AP300" s="108"/>
      <c r="AQ300" s="21"/>
      <c r="AR300" s="21"/>
      <c r="AS300" s="21"/>
      <c r="AT300" s="21"/>
      <c r="AU300" s="21"/>
      <c r="AV300" s="21"/>
      <c r="AW300" s="21"/>
      <c r="AX300" s="21"/>
      <c r="AY300" s="21"/>
      <c r="AZ300" s="21"/>
      <c r="BA300" s="21"/>
      <c r="BB300" s="21"/>
      <c r="BC300" s="21"/>
      <c r="BD300" s="21"/>
      <c r="BE300" s="108"/>
      <c r="BF300" s="49"/>
      <c r="BG300" s="49"/>
      <c r="BH300" s="49"/>
      <c r="BI300" s="219"/>
      <c r="BJ300" s="108"/>
    </row>
    <row r="301" spans="1:62">
      <c r="B301" s="167"/>
      <c r="C301" s="219" t="s">
        <v>254</v>
      </c>
      <c r="D301" s="219" t="s">
        <v>414</v>
      </c>
      <c r="E301" s="121">
        <f ca="1">SUM(E302,E303)</f>
        <v>0</v>
      </c>
      <c r="F301" s="121">
        <f t="shared" ref="F301:BI301" ca="1" si="94">SUM(F302,F303)</f>
        <v>0</v>
      </c>
      <c r="G301" s="121">
        <f t="shared" ca="1" si="94"/>
        <v>0</v>
      </c>
      <c r="H301" s="121">
        <f t="shared" ca="1" si="94"/>
        <v>0</v>
      </c>
      <c r="I301" s="121">
        <f t="shared" ca="1" si="94"/>
        <v>0</v>
      </c>
      <c r="J301" s="121">
        <f t="shared" ca="1" si="94"/>
        <v>0</v>
      </c>
      <c r="K301" s="121">
        <f t="shared" ca="1" si="94"/>
        <v>0</v>
      </c>
      <c r="L301" s="121">
        <f t="shared" ca="1" si="94"/>
        <v>0</v>
      </c>
      <c r="M301" s="121">
        <f t="shared" ca="1" si="94"/>
        <v>0</v>
      </c>
      <c r="N301" s="121">
        <f t="shared" ca="1" si="94"/>
        <v>0</v>
      </c>
      <c r="O301" s="121">
        <f t="shared" ref="O301" ca="1" si="95">SUM(O302,O303)</f>
        <v>0</v>
      </c>
      <c r="P301" s="121">
        <f t="shared" ca="1" si="94"/>
        <v>0</v>
      </c>
      <c r="Q301" s="121">
        <f t="shared" ca="1" si="94"/>
        <v>0</v>
      </c>
      <c r="R301" s="121">
        <f t="shared" ca="1" si="94"/>
        <v>0</v>
      </c>
      <c r="S301" s="121">
        <f t="shared" ca="1" si="94"/>
        <v>0</v>
      </c>
      <c r="T301" s="121">
        <f t="shared" ca="1" si="94"/>
        <v>0</v>
      </c>
      <c r="V301" s="152">
        <f t="shared" ca="1" si="94"/>
        <v>0</v>
      </c>
      <c r="W301" s="152">
        <f t="shared" ca="1" si="94"/>
        <v>0</v>
      </c>
      <c r="X301" s="152">
        <f t="shared" ca="1" si="94"/>
        <v>0</v>
      </c>
      <c r="Y301" s="152">
        <f t="shared" ca="1" si="94"/>
        <v>0</v>
      </c>
      <c r="Z301" s="152">
        <f t="shared" ca="1" si="94"/>
        <v>0</v>
      </c>
      <c r="AA301" s="152">
        <f t="shared" ca="1" si="94"/>
        <v>0</v>
      </c>
      <c r="AB301" s="152">
        <f t="shared" ca="1" si="94"/>
        <v>0</v>
      </c>
      <c r="AC301" s="152">
        <f t="shared" ca="1" si="94"/>
        <v>0</v>
      </c>
      <c r="AD301" s="152">
        <f t="shared" ca="1" si="94"/>
        <v>0</v>
      </c>
      <c r="AE301" s="152">
        <f t="shared" ca="1" si="94"/>
        <v>0</v>
      </c>
      <c r="AF301" s="152">
        <f t="shared" ca="1" si="94"/>
        <v>0</v>
      </c>
      <c r="AG301" s="152">
        <f t="shared" ca="1" si="94"/>
        <v>0</v>
      </c>
      <c r="AH301" s="152">
        <f t="shared" ca="1" si="94"/>
        <v>0</v>
      </c>
      <c r="AI301" s="152">
        <f t="shared" ca="1" si="94"/>
        <v>0</v>
      </c>
      <c r="AJ301" s="152">
        <f t="shared" ca="1" si="94"/>
        <v>0</v>
      </c>
      <c r="AK301" s="152">
        <f t="shared" ca="1" si="94"/>
        <v>0</v>
      </c>
      <c r="AL301" s="152">
        <f ca="1">SUM(AL302,AL303)</f>
        <v>0</v>
      </c>
      <c r="AM301" s="152">
        <f t="shared" ca="1" si="94"/>
        <v>0</v>
      </c>
      <c r="AN301" s="152">
        <f t="shared" ca="1" si="94"/>
        <v>0</v>
      </c>
      <c r="AO301" s="152">
        <f t="shared" ca="1" si="94"/>
        <v>0</v>
      </c>
      <c r="AQ301" s="21">
        <f t="shared" ca="1" si="94"/>
        <v>0</v>
      </c>
      <c r="AR301" s="21">
        <f t="shared" ca="1" si="94"/>
        <v>0</v>
      </c>
      <c r="AS301" s="21">
        <f t="shared" ca="1" si="94"/>
        <v>0</v>
      </c>
      <c r="AT301" s="21">
        <f t="shared" ca="1" si="94"/>
        <v>0</v>
      </c>
      <c r="AU301" s="21">
        <f t="shared" ca="1" si="94"/>
        <v>0</v>
      </c>
      <c r="AV301" s="21">
        <f t="shared" ca="1" si="94"/>
        <v>0</v>
      </c>
      <c r="AW301" s="21">
        <f t="shared" ca="1" si="94"/>
        <v>0</v>
      </c>
      <c r="AX301" s="21">
        <f t="shared" ca="1" si="94"/>
        <v>0</v>
      </c>
      <c r="AY301" s="21">
        <f t="shared" ca="1" si="94"/>
        <v>0</v>
      </c>
      <c r="AZ301" s="21">
        <f t="shared" ca="1" si="94"/>
        <v>0</v>
      </c>
      <c r="BA301" s="21">
        <f t="shared" ca="1" si="94"/>
        <v>0</v>
      </c>
      <c r="BB301" s="21">
        <f t="shared" ca="1" si="94"/>
        <v>0</v>
      </c>
      <c r="BC301" s="21">
        <f t="shared" ca="1" si="94"/>
        <v>0</v>
      </c>
      <c r="BD301" s="21">
        <f t="shared" ca="1" si="94"/>
        <v>0</v>
      </c>
      <c r="BF301" s="49">
        <f t="shared" ca="1" si="94"/>
        <v>0</v>
      </c>
      <c r="BG301" s="49">
        <f t="shared" ca="1" si="94"/>
        <v>0</v>
      </c>
      <c r="BH301" s="49">
        <f t="shared" ca="1" si="94"/>
        <v>0</v>
      </c>
      <c r="BI301" s="219">
        <f t="shared" ca="1" si="94"/>
        <v>0</v>
      </c>
      <c r="BJ301" s="58"/>
    </row>
    <row r="302" spans="1:62">
      <c r="B302" s="176" t="s">
        <v>743</v>
      </c>
      <c r="C302" s="114" t="str">
        <f>INDEX(Regional.Technologies[Description],MATCH($B$3&amp;"."&amp;B302,Regional.Technologies[Code],0))</f>
        <v>Global Solar photovoltaic</v>
      </c>
      <c r="E302" s="121">
        <f t="array" aca="1" ref="E302" ca="1">IFERROR(INDEX(INDIRECT($B$3&amp;"."&amp;$B$267&amp;".energy["&amp;This.year&amp;"]"),MATCH($C302&amp;E$5,INDIRECT($B$3&amp;"."&amp;$B$267&amp;".energy[Tech description]")&amp;INDIRECT($B$3&amp;"."&amp;$B$267&amp;".energy[Energy description]"),0)),0)</f>
        <v>0</v>
      </c>
      <c r="F302" s="121">
        <f t="array" aca="1" ref="F302" ca="1">IFERROR(INDEX(INDIRECT($B$3&amp;"."&amp;$B$267&amp;".energy["&amp;This.year&amp;"]"),MATCH($C302&amp;F$5,INDIRECT($B$3&amp;"."&amp;$B$267&amp;".energy[Tech description]")&amp;INDIRECT($B$3&amp;"."&amp;$B$267&amp;".energy[Energy description]"),0)),0)</f>
        <v>0</v>
      </c>
      <c r="G302" s="121">
        <f t="array" aca="1" ref="G302" ca="1">IFERROR(INDEX(INDIRECT($B$3&amp;"."&amp;$B$267&amp;".energy["&amp;This.year&amp;"]"),MATCH($C302&amp;G$5,INDIRECT($B$3&amp;"."&amp;$B$267&amp;".energy[Tech description]")&amp;INDIRECT($B$3&amp;"."&amp;$B$267&amp;".energy[Energy description]"),0)),0)</f>
        <v>0</v>
      </c>
      <c r="H302" s="121">
        <f t="array" aca="1" ref="H302" ca="1">IFERROR(INDEX(INDIRECT($B$3&amp;"."&amp;$B$267&amp;".energy["&amp;This.year&amp;"]"),MATCH($C302&amp;H$5,INDIRECT($B$3&amp;"."&amp;$B$267&amp;".energy[Tech description]")&amp;INDIRECT($B$3&amp;"."&amp;$B$267&amp;".energy[Energy description]"),0)),0)</f>
        <v>0</v>
      </c>
      <c r="I302" s="121">
        <f t="array" aca="1" ref="I302" ca="1">IFERROR(INDEX(INDIRECT($B$3&amp;"."&amp;$B$267&amp;".energy["&amp;This.year&amp;"]"),MATCH($C302&amp;I$5,INDIRECT($B$3&amp;"."&amp;$B$267&amp;".energy[Tech description]")&amp;INDIRECT($B$3&amp;"."&amp;$B$267&amp;".energy[Energy description]"),0)),0)</f>
        <v>0</v>
      </c>
      <c r="J302" s="121">
        <f t="array" aca="1" ref="J302" ca="1">IFERROR(INDEX(INDIRECT($B$3&amp;"."&amp;$B$267&amp;".energy["&amp;This.year&amp;"]"),MATCH($C302&amp;J$5,INDIRECT($B$3&amp;"."&amp;$B$267&amp;".energy[Tech description]")&amp;INDIRECT($B$3&amp;"."&amp;$B$267&amp;".energy[Energy description]"),0)),0)</f>
        <v>0</v>
      </c>
      <c r="K302" s="121">
        <f t="array" aca="1" ref="K302" ca="1">IFERROR(INDEX(INDIRECT($B$3&amp;"."&amp;$B$267&amp;".energy["&amp;This.year&amp;"]"),MATCH($C302&amp;K$5,INDIRECT($B$3&amp;"."&amp;$B$267&amp;".energy[Tech description]")&amp;INDIRECT($B$3&amp;"."&amp;$B$267&amp;".energy[Energy description]"),0)),0)</f>
        <v>0</v>
      </c>
      <c r="L302" s="121">
        <f t="array" aca="1" ref="L302" ca="1">IFERROR(INDEX(INDIRECT($B$3&amp;"."&amp;$B$267&amp;".energy["&amp;This.year&amp;"]"),MATCH($C302&amp;L$5,INDIRECT($B$3&amp;"."&amp;$B$267&amp;".energy[Tech description]")&amp;INDIRECT($B$3&amp;"."&amp;$B$267&amp;".energy[Energy description]"),0)),0)</f>
        <v>0</v>
      </c>
      <c r="M302" s="121">
        <f t="array" aca="1" ref="M302" ca="1">IFERROR(INDEX(INDIRECT($B$3&amp;"."&amp;$B$267&amp;".energy["&amp;This.year&amp;"]"),MATCH($C302&amp;M$5,INDIRECT($B$3&amp;"."&amp;$B$267&amp;".energy[Tech description]")&amp;INDIRECT($B$3&amp;"."&amp;$B$267&amp;".energy[Energy description]"),0)),0)</f>
        <v>0</v>
      </c>
      <c r="N302" s="121">
        <f t="array" aca="1" ref="N302" ca="1">IFERROR(INDEX(INDIRECT($B$3&amp;"."&amp;$B$267&amp;".energy["&amp;This.year&amp;"]"),MATCH($C302&amp;N$5,INDIRECT($B$3&amp;"."&amp;$B$267&amp;".energy[Tech description]")&amp;INDIRECT($B$3&amp;"."&amp;$B$267&amp;".energy[Energy description]"),0)),0)</f>
        <v>0</v>
      </c>
      <c r="O302" s="121">
        <f t="array" aca="1" ref="O302" ca="1">IFERROR(INDEX(INDIRECT($B$3&amp;"."&amp;$B$267&amp;".energy["&amp;This.year&amp;"]"),MATCH($C302&amp;O$5,INDIRECT($B$3&amp;"."&amp;$B$267&amp;".energy[Tech description]")&amp;INDIRECT($B$3&amp;"."&amp;$B$267&amp;".energy[Energy description]"),0)),0)</f>
        <v>0</v>
      </c>
      <c r="P302" s="121">
        <f t="array" aca="1" ref="P302" ca="1">IFERROR(INDEX(INDIRECT($B$3&amp;"."&amp;$B$267&amp;".energy["&amp;This.year&amp;"]"),MATCH($C302&amp;P$5,INDIRECT($B$3&amp;"."&amp;$B$267&amp;".energy[Tech description]")&amp;INDIRECT($B$3&amp;"."&amp;$B$267&amp;".energy[Energy description]"),0)),0)</f>
        <v>0</v>
      </c>
      <c r="Q302" s="121">
        <f t="array" aca="1" ref="Q302" ca="1">IFERROR(INDEX(INDIRECT($B$3&amp;"."&amp;$B$267&amp;".energy["&amp;This.year&amp;"]"),MATCH($C302&amp;Q$5,INDIRECT($B$3&amp;"."&amp;$B$267&amp;".energy[Tech description]")&amp;INDIRECT($B$3&amp;"."&amp;$B$267&amp;".energy[Energy description]"),0)),0)</f>
        <v>0</v>
      </c>
      <c r="R302" s="121">
        <f t="array" aca="1" ref="R302" ca="1">IFERROR(INDEX(INDIRECT($B$3&amp;"."&amp;$B$267&amp;".energy["&amp;This.year&amp;"]"),MATCH($C302&amp;R$5,INDIRECT($B$3&amp;"."&amp;$B$267&amp;".energy[Tech description]")&amp;INDIRECT($B$3&amp;"."&amp;$B$267&amp;".energy[Energy description]"),0)),0)</f>
        <v>0</v>
      </c>
      <c r="S302" s="121">
        <f t="array" aca="1" ref="S302" ca="1">IFERROR(INDEX(INDIRECT($B$3&amp;"."&amp;$B$267&amp;".energy["&amp;This.year&amp;"]"),MATCH($C302&amp;S$5,INDIRECT($B$3&amp;"."&amp;$B$267&amp;".energy[Tech description]")&amp;INDIRECT($B$3&amp;"."&amp;$B$267&amp;".energy[Energy description]"),0)),0)</f>
        <v>0</v>
      </c>
      <c r="T302" s="121">
        <f t="shared" ref="T302:T303" ca="1" si="96">SUM(E302:S302)</f>
        <v>0</v>
      </c>
      <c r="V302" s="171">
        <f t="array" aca="1" ref="V302" ca="1">IFERROR(INDEX(INDIRECT($B$3&amp;"."&amp;$B$267&amp;".energy["&amp;This.year&amp;"]"),MATCH($C302&amp;V$5,INDIRECT($B$3&amp;"."&amp;$B$267&amp;".energy[Tech description]")&amp;INDIRECT($B$3&amp;"."&amp;$B$267&amp;".energy[Energy description]"),0)),0)</f>
        <v>0</v>
      </c>
      <c r="W302" s="171">
        <f t="array" aca="1" ref="W302" ca="1">IFERROR(INDEX(INDIRECT($B$3&amp;"."&amp;$B$267&amp;".energy["&amp;This.year&amp;"]"),MATCH($C302&amp;W$5,INDIRECT($B$3&amp;"."&amp;$B$267&amp;".energy[Tech description]")&amp;INDIRECT($B$3&amp;"."&amp;$B$267&amp;".energy[Energy description]"),0)),0)</f>
        <v>0</v>
      </c>
      <c r="X302" s="171">
        <f t="array" aca="1" ref="X302" ca="1">IFERROR(INDEX(INDIRECT($B$3&amp;"."&amp;$B$267&amp;".energy["&amp;This.year&amp;"]"),MATCH($C302&amp;X$5,INDIRECT($B$3&amp;"."&amp;$B$267&amp;".energy[Tech description]")&amp;INDIRECT($B$3&amp;"."&amp;$B$267&amp;".energy[Energy description]"),0)),0)</f>
        <v>0</v>
      </c>
      <c r="Y302" s="171">
        <f t="array" aca="1" ref="Y302" ca="1">IFERROR(INDEX(INDIRECT($B$3&amp;"."&amp;$B$267&amp;".energy["&amp;This.year&amp;"]"),MATCH($C302&amp;Y$5,INDIRECT($B$3&amp;"."&amp;$B$267&amp;".energy[Tech description]")&amp;INDIRECT($B$3&amp;"."&amp;$B$267&amp;".energy[Energy description]"),0)),0)</f>
        <v>0</v>
      </c>
      <c r="Z302" s="171">
        <f t="array" aca="1" ref="Z302" ca="1">IFERROR(INDEX(INDIRECT($B$3&amp;"."&amp;$B$267&amp;".energy["&amp;This.year&amp;"]"),MATCH($C302&amp;Z$5,INDIRECT($B$3&amp;"."&amp;$B$267&amp;".energy[Tech description]")&amp;INDIRECT($B$3&amp;"."&amp;$B$267&amp;".energy[Energy description]"),0)),0)</f>
        <v>0</v>
      </c>
      <c r="AA302" s="171">
        <f t="array" aca="1" ref="AA302" ca="1">IFERROR(INDEX(INDIRECT($B$3&amp;"."&amp;$B$267&amp;".energy["&amp;This.year&amp;"]"),MATCH($C302&amp;AA$5,INDIRECT($B$3&amp;"."&amp;$B$267&amp;".energy[Tech description]")&amp;INDIRECT($B$3&amp;"."&amp;$B$267&amp;".energy[Energy description]"),0)),0)</f>
        <v>0</v>
      </c>
      <c r="AB302" s="171">
        <f t="array" aca="1" ref="AB302" ca="1">IFERROR(INDEX(INDIRECT($B$3&amp;"."&amp;$B$267&amp;".energy["&amp;This.year&amp;"]"),MATCH($C302&amp;AB$5,INDIRECT($B$3&amp;"."&amp;$B$267&amp;".energy[Tech description]")&amp;INDIRECT($B$3&amp;"."&amp;$B$267&amp;".energy[Energy description]"),0)),0)</f>
        <v>0</v>
      </c>
      <c r="AC302" s="171">
        <f t="array" aca="1" ref="AC302" ca="1">IFERROR(INDEX(INDIRECT($B$3&amp;"."&amp;$B$267&amp;".energy["&amp;This.year&amp;"]"),MATCH($C302&amp;AC$5,INDIRECT($B$3&amp;"."&amp;$B$267&amp;".energy[Tech description]")&amp;INDIRECT($B$3&amp;"."&amp;$B$267&amp;".energy[Energy description]"),0)),0)</f>
        <v>0</v>
      </c>
      <c r="AD302" s="171">
        <f t="array" aca="1" ref="AD302" ca="1">IFERROR(INDEX(INDIRECT($B$3&amp;"."&amp;$B$267&amp;".energy["&amp;This.year&amp;"]"),MATCH($C302&amp;AD$5,INDIRECT($B$3&amp;"."&amp;$B$267&amp;".energy[Tech description]")&amp;INDIRECT($B$3&amp;"."&amp;$B$267&amp;".energy[Energy description]"),0)),0)</f>
        <v>0</v>
      </c>
      <c r="AE302" s="171">
        <f t="array" aca="1" ref="AE302" ca="1">IFERROR(INDEX(INDIRECT($B$3&amp;"."&amp;$B$267&amp;".energy["&amp;This.year&amp;"]"),MATCH($C302&amp;AE$5,INDIRECT($B$3&amp;"."&amp;$B$267&amp;".energy[Tech description]")&amp;INDIRECT($B$3&amp;"."&amp;$B$267&amp;".energy[Energy description]"),0)),0)</f>
        <v>0</v>
      </c>
      <c r="AF302" s="171">
        <f t="array" aca="1" ref="AF302" ca="1">IFERROR(INDEX(INDIRECT($B$3&amp;"."&amp;$B$267&amp;".energy["&amp;This.year&amp;"]"),MATCH($C302&amp;AF$5,INDIRECT($B$3&amp;"."&amp;$B$267&amp;".energy[Tech description]")&amp;INDIRECT($B$3&amp;"."&amp;$B$267&amp;".energy[Energy description]"),0)),0)</f>
        <v>0</v>
      </c>
      <c r="AG302" s="171">
        <f t="array" aca="1" ref="AG302" ca="1">IFERROR(INDEX(INDIRECT($B$3&amp;"."&amp;$B$267&amp;".energy["&amp;This.year&amp;"]"),MATCH($C302&amp;AG$5,INDIRECT($B$3&amp;"."&amp;$B$267&amp;".energy[Tech description]")&amp;INDIRECT($B$3&amp;"."&amp;$B$267&amp;".energy[Energy description]"),0)),0)</f>
        <v>0</v>
      </c>
      <c r="AH302" s="171">
        <f t="array" aca="1" ref="AH302" ca="1">IFERROR(INDEX(INDIRECT($B$3&amp;"."&amp;$B$267&amp;".energy["&amp;This.year&amp;"]"),MATCH($C302&amp;AH$5,INDIRECT($B$3&amp;"."&amp;$B$267&amp;".energy[Tech description]")&amp;INDIRECT($B$3&amp;"."&amp;$B$267&amp;".energy[Energy description]"),0)),0)</f>
        <v>0</v>
      </c>
      <c r="AI302" s="171">
        <f t="array" aca="1" ref="AI302" ca="1">IFERROR(INDEX(INDIRECT($B$3&amp;"."&amp;$B$267&amp;".energy["&amp;This.year&amp;"]"),MATCH($C302&amp;AI$5,INDIRECT($B$3&amp;"."&amp;$B$267&amp;".energy[Tech description]")&amp;INDIRECT($B$3&amp;"."&amp;$B$267&amp;".energy[Energy description]"),0)),0)</f>
        <v>0</v>
      </c>
      <c r="AJ302" s="171">
        <f t="array" aca="1" ref="AJ302" ca="1">IFERROR(INDEX(INDIRECT($B$3&amp;"."&amp;$B$267&amp;".energy["&amp;This.year&amp;"]"),MATCH($C302&amp;AJ$5,INDIRECT($B$3&amp;"."&amp;$B$267&amp;".energy[Tech description]")&amp;INDIRECT($B$3&amp;"."&amp;$B$267&amp;".energy[Energy description]"),0)),0)</f>
        <v>0</v>
      </c>
      <c r="AK302" s="171">
        <f t="array" aca="1" ref="AK302" ca="1">IFERROR(INDEX(INDIRECT($B$3&amp;"."&amp;$B$267&amp;".energy["&amp;This.year&amp;"]"),MATCH($C302&amp;AK$5,INDIRECT($B$3&amp;"."&amp;$B$267&amp;".energy[Tech description]")&amp;INDIRECT($B$3&amp;"."&amp;$B$267&amp;".energy[Energy description]"),0)),0)</f>
        <v>0</v>
      </c>
      <c r="AL302" s="171">
        <f t="array" aca="1" ref="AL302" ca="1">IFERROR(INDEX(INDIRECT($B$3&amp;"."&amp;$B$267&amp;".energy["&amp;This.year&amp;"]"),MATCH($C302&amp;AL$5,INDIRECT($B$3&amp;"."&amp;$B$267&amp;".energy[Tech description]")&amp;INDIRECT($B$3&amp;"."&amp;$B$267&amp;".energy[Energy description]"),0)),0)</f>
        <v>0</v>
      </c>
      <c r="AM302" s="171">
        <f t="array" aca="1" ref="AM302" ca="1">IFERROR(INDEX(INDIRECT($B$3&amp;"."&amp;$B$267&amp;".energy["&amp;This.year&amp;"]"),MATCH($C302&amp;AM$5,INDIRECT($B$3&amp;"."&amp;$B$267&amp;".energy[Tech description]")&amp;INDIRECT($B$3&amp;"."&amp;$B$267&amp;".energy[Energy description]"),0)),0)</f>
        <v>0</v>
      </c>
      <c r="AN302" s="171">
        <f t="array" aca="1" ref="AN302" ca="1">IFERROR(INDEX(INDIRECT($B$3&amp;"."&amp;$B$267&amp;".energy["&amp;This.year&amp;"]"),MATCH($C302&amp;AN$5,INDIRECT($B$3&amp;"."&amp;$B$267&amp;".energy[Tech description]")&amp;INDIRECT($B$3&amp;"."&amp;$B$267&amp;".energy[Energy description]"),0)),0)</f>
        <v>0</v>
      </c>
      <c r="AO302" s="171">
        <f ca="1">SUM(V302:AN302)</f>
        <v>0</v>
      </c>
      <c r="AQ302" s="173">
        <f t="array" aca="1" ref="AQ302" ca="1">IFERROR(INDEX(INDIRECT($B$3&amp;"."&amp;$B$267&amp;".energy["&amp;This.year&amp;"]"),MATCH($C302&amp;AQ$5,INDIRECT($B$3&amp;"."&amp;$B$267&amp;".energy[Tech description]")&amp;INDIRECT($B$3&amp;"."&amp;$B$267&amp;".energy[Energy description]"),0)),0)</f>
        <v>0</v>
      </c>
      <c r="AR302" s="173">
        <f t="array" aca="1" ref="AR302" ca="1">IFERROR(INDEX(INDIRECT($B$3&amp;"."&amp;$B$267&amp;".energy["&amp;This.year&amp;"]"),MATCH($C302&amp;AR$5,INDIRECT($B$3&amp;"."&amp;$B$267&amp;".energy[Tech description]")&amp;INDIRECT($B$3&amp;"."&amp;$B$267&amp;".energy[Energy description]"),0)),0)</f>
        <v>0</v>
      </c>
      <c r="AS302" s="173">
        <f t="array" aca="1" ref="AS302" ca="1">IFERROR(INDEX(INDIRECT($B$3&amp;"."&amp;$B$267&amp;".energy["&amp;This.year&amp;"]"),MATCH($C302&amp;AS$5,INDIRECT($B$3&amp;"."&amp;$B$267&amp;".energy[Tech description]")&amp;INDIRECT($B$3&amp;"."&amp;$B$267&amp;".energy[Energy description]"),0)),0)</f>
        <v>0</v>
      </c>
      <c r="AT302" s="173">
        <f t="array" aca="1" ref="AT302" ca="1">IFERROR(INDEX(INDIRECT($B$3&amp;"."&amp;$B$267&amp;".energy["&amp;This.year&amp;"]"),MATCH($C302&amp;AT$5,INDIRECT($B$3&amp;"."&amp;$B$267&amp;".energy[Tech description]")&amp;INDIRECT($B$3&amp;"."&amp;$B$267&amp;".energy[Energy description]"),0)),0)</f>
        <v>0</v>
      </c>
      <c r="AU302" s="173">
        <f t="array" aca="1" ref="AU302" ca="1">IFERROR(INDEX(INDIRECT($B$3&amp;"."&amp;$B$267&amp;".energy["&amp;This.year&amp;"]"),MATCH($C302&amp;AU$5,INDIRECT($B$3&amp;"."&amp;$B$267&amp;".energy[Tech description]")&amp;INDIRECT($B$3&amp;"."&amp;$B$267&amp;".energy[Energy description]"),0)),0)</f>
        <v>0</v>
      </c>
      <c r="AV302" s="173">
        <f t="array" aca="1" ref="AV302" ca="1">IFERROR(INDEX(INDIRECT($B$3&amp;"."&amp;$B$267&amp;".energy["&amp;This.year&amp;"]"),MATCH($C302&amp;AV$5,INDIRECT($B$3&amp;"."&amp;$B$267&amp;".energy[Tech description]")&amp;INDIRECT($B$3&amp;"."&amp;$B$267&amp;".energy[Energy description]"),0)),0)</f>
        <v>0</v>
      </c>
      <c r="AW302" s="173">
        <f t="array" aca="1" ref="AW302" ca="1">IFERROR(INDEX(INDIRECT($B$3&amp;"."&amp;$B$267&amp;".energy["&amp;This.year&amp;"]"),MATCH($C302&amp;AW$5,INDIRECT($B$3&amp;"."&amp;$B$267&amp;".energy[Tech description]")&amp;INDIRECT($B$3&amp;"."&amp;$B$267&amp;".energy[Energy description]"),0)),0)</f>
        <v>0</v>
      </c>
      <c r="AX302" s="173">
        <f t="array" aca="1" ref="AX302" ca="1">IFERROR(INDEX(INDIRECT($B$3&amp;"."&amp;$B$267&amp;".energy["&amp;This.year&amp;"]"),MATCH($C302&amp;AX$5,INDIRECT($B$3&amp;"."&amp;$B$267&amp;".energy[Tech description]")&amp;INDIRECT($B$3&amp;"."&amp;$B$267&amp;".energy[Energy description]"),0)),0)</f>
        <v>0</v>
      </c>
      <c r="AY302" s="173">
        <f t="array" aca="1" ref="AY302" ca="1">IFERROR(INDEX(INDIRECT($B$3&amp;"."&amp;$B$267&amp;".energy["&amp;This.year&amp;"]"),MATCH($C302&amp;AY$5,INDIRECT($B$3&amp;"."&amp;$B$267&amp;".energy[Tech description]")&amp;INDIRECT($B$3&amp;"."&amp;$B$267&amp;".energy[Energy description]"),0)),0)</f>
        <v>0</v>
      </c>
      <c r="AZ302" s="173">
        <f t="array" aca="1" ref="AZ302" ca="1">IFERROR(INDEX(INDIRECT($B$3&amp;"."&amp;$B$267&amp;".energy["&amp;This.year&amp;"]"),MATCH($C302&amp;AZ$5,INDIRECT($B$3&amp;"."&amp;$B$267&amp;".energy[Tech description]")&amp;INDIRECT($B$3&amp;"."&amp;$B$267&amp;".energy[Energy description]"),0)),0)</f>
        <v>0</v>
      </c>
      <c r="BA302" s="173">
        <f t="array" aca="1" ref="BA302" ca="1">IFERROR(INDEX(INDIRECT($B$3&amp;"."&amp;$B$267&amp;".energy["&amp;This.year&amp;"]"),MATCH($C302&amp;BA$5,INDIRECT($B$3&amp;"."&amp;$B$267&amp;".energy[Tech description]")&amp;INDIRECT($B$3&amp;"."&amp;$B$267&amp;".energy[Energy description]"),0)),0)</f>
        <v>0</v>
      </c>
      <c r="BB302" s="173">
        <f t="array" aca="1" ref="BB302" ca="1">IFERROR(INDEX(INDIRECT($B$3&amp;"."&amp;$B$267&amp;".energy["&amp;This.year&amp;"]"),MATCH($C302&amp;BB$5,INDIRECT($B$3&amp;"."&amp;$B$267&amp;".energy[Tech description]")&amp;INDIRECT($B$3&amp;"."&amp;$B$267&amp;".energy[Energy description]"),0)),0)</f>
        <v>0</v>
      </c>
      <c r="BC302" s="173">
        <f t="array" aca="1" ref="BC302" ca="1">IFERROR(INDEX(INDIRECT($B$3&amp;"."&amp;$B$267&amp;".energy["&amp;This.year&amp;"]"),MATCH($C302&amp;BC$5,INDIRECT($B$3&amp;"."&amp;$B$267&amp;".energy[Tech description]")&amp;INDIRECT($B$3&amp;"."&amp;$B$267&amp;".energy[Energy description]"),0)),0)</f>
        <v>0</v>
      </c>
      <c r="BD302" s="173">
        <f ca="1">SUM(AQ302:BB302)</f>
        <v>0</v>
      </c>
      <c r="BF302" s="175">
        <f t="array" aca="1" ref="BF302" ca="1">IFERROR(INDEX(INDIRECT($B$3&amp;"."&amp;$B$267&amp;".energy["&amp;This.year&amp;"]"),MATCH($C302&amp;BF$5,INDIRECT($B$3&amp;"."&amp;$B$267&amp;".energy[Tech description]")&amp;INDIRECT($B$3&amp;"."&amp;$B$267&amp;".energy[Energy description]"),0)),0)</f>
        <v>0</v>
      </c>
      <c r="BG302" s="175">
        <f t="array" aca="1" ref="BG302" ca="1">IFERROR(INDEX(INDIRECT($B$3&amp;"."&amp;$B$267&amp;".energy["&amp;This.year&amp;"]"),MATCH($C302&amp;BG$5,INDIRECT($B$3&amp;"."&amp;$B$267&amp;".energy[Tech description]")&amp;INDIRECT($B$3&amp;"."&amp;$B$267&amp;".energy[Energy description]"),0)),0)</f>
        <v>0</v>
      </c>
      <c r="BH302" s="175">
        <f t="shared" ref="BH302:BH303" ca="1" si="97">SUM(BF302:BG302)</f>
        <v>0</v>
      </c>
      <c r="BI302" s="219">
        <f ca="1">SUM(T302,AO302,BD302,BH302)</f>
        <v>0</v>
      </c>
      <c r="BJ302" s="58"/>
    </row>
    <row r="303" spans="1:62">
      <c r="B303" s="176" t="s">
        <v>744</v>
      </c>
      <c r="C303" s="114" t="str">
        <f>INDEX(Regional.Technologies[Description],MATCH($B$3&amp;"."&amp;B303,Regional.Technologies[Code],0))</f>
        <v>Global Concentrated solar</v>
      </c>
      <c r="E303" s="121">
        <f t="array" aca="1" ref="E303" ca="1">IFERROR(INDEX(INDIRECT($B$3&amp;"."&amp;$B$267&amp;".energy["&amp;This.year&amp;"]"),MATCH($C303&amp;E$5,INDIRECT($B$3&amp;"."&amp;$B$267&amp;".energy[Tech description]")&amp;INDIRECT($B$3&amp;"."&amp;$B$267&amp;".energy[Energy description]"),0)),0)</f>
        <v>0</v>
      </c>
      <c r="F303" s="121">
        <f t="array" aca="1" ref="F303" ca="1">IFERROR(INDEX(INDIRECT($B$3&amp;"."&amp;$B$267&amp;".energy["&amp;This.year&amp;"]"),MATCH($C303&amp;F$5,INDIRECT($B$3&amp;"."&amp;$B$267&amp;".energy[Tech description]")&amp;INDIRECT($B$3&amp;"."&amp;$B$267&amp;".energy[Energy description]"),0)),0)</f>
        <v>0</v>
      </c>
      <c r="G303" s="121">
        <f t="array" aca="1" ref="G303" ca="1">IFERROR(INDEX(INDIRECT($B$3&amp;"."&amp;$B$267&amp;".energy["&amp;This.year&amp;"]"),MATCH($C303&amp;G$5,INDIRECT($B$3&amp;"."&amp;$B$267&amp;".energy[Tech description]")&amp;INDIRECT($B$3&amp;"."&amp;$B$267&amp;".energy[Energy description]"),0)),0)</f>
        <v>0</v>
      </c>
      <c r="H303" s="121">
        <f t="array" aca="1" ref="H303" ca="1">IFERROR(INDEX(INDIRECT($B$3&amp;"."&amp;$B$267&amp;".energy["&amp;This.year&amp;"]"),MATCH($C303&amp;H$5,INDIRECT($B$3&amp;"."&amp;$B$267&amp;".energy[Tech description]")&amp;INDIRECT($B$3&amp;"."&amp;$B$267&amp;".energy[Energy description]"),0)),0)</f>
        <v>0</v>
      </c>
      <c r="I303" s="121">
        <f t="array" aca="1" ref="I303" ca="1">IFERROR(INDEX(INDIRECT($B$3&amp;"."&amp;$B$267&amp;".energy["&amp;This.year&amp;"]"),MATCH($C303&amp;I$5,INDIRECT($B$3&amp;"."&amp;$B$267&amp;".energy[Tech description]")&amp;INDIRECT($B$3&amp;"."&amp;$B$267&amp;".energy[Energy description]"),0)),0)</f>
        <v>0</v>
      </c>
      <c r="J303" s="121">
        <f t="array" aca="1" ref="J303" ca="1">IFERROR(INDEX(INDIRECT($B$3&amp;"."&amp;$B$267&amp;".energy["&amp;This.year&amp;"]"),MATCH($C303&amp;J$5,INDIRECT($B$3&amp;"."&amp;$B$267&amp;".energy[Tech description]")&amp;INDIRECT($B$3&amp;"."&amp;$B$267&amp;".energy[Energy description]"),0)),0)</f>
        <v>0</v>
      </c>
      <c r="K303" s="121">
        <f t="array" aca="1" ref="K303" ca="1">IFERROR(INDEX(INDIRECT($B$3&amp;"."&amp;$B$267&amp;".energy["&amp;This.year&amp;"]"),MATCH($C303&amp;K$5,INDIRECT($B$3&amp;"."&amp;$B$267&amp;".energy[Tech description]")&amp;INDIRECT($B$3&amp;"."&amp;$B$267&amp;".energy[Energy description]"),0)),0)</f>
        <v>0</v>
      </c>
      <c r="L303" s="121">
        <f t="array" aca="1" ref="L303" ca="1">IFERROR(INDEX(INDIRECT($B$3&amp;"."&amp;$B$267&amp;".energy["&amp;This.year&amp;"]"),MATCH($C303&amp;L$5,INDIRECT($B$3&amp;"."&amp;$B$267&amp;".energy[Tech description]")&amp;INDIRECT($B$3&amp;"."&amp;$B$267&amp;".energy[Energy description]"),0)),0)</f>
        <v>0</v>
      </c>
      <c r="M303" s="121">
        <f t="array" aca="1" ref="M303" ca="1">IFERROR(INDEX(INDIRECT($B$3&amp;"."&amp;$B$267&amp;".energy["&amp;This.year&amp;"]"),MATCH($C303&amp;M$5,INDIRECT($B$3&amp;"."&amp;$B$267&amp;".energy[Tech description]")&amp;INDIRECT($B$3&amp;"."&amp;$B$267&amp;".energy[Energy description]"),0)),0)</f>
        <v>0</v>
      </c>
      <c r="N303" s="121">
        <f t="array" aca="1" ref="N303" ca="1">IFERROR(INDEX(INDIRECT($B$3&amp;"."&amp;$B$267&amp;".energy["&amp;This.year&amp;"]"),MATCH($C303&amp;N$5,INDIRECT($B$3&amp;"."&amp;$B$267&amp;".energy[Tech description]")&amp;INDIRECT($B$3&amp;"."&amp;$B$267&amp;".energy[Energy description]"),0)),0)</f>
        <v>0</v>
      </c>
      <c r="O303" s="121">
        <f t="array" aca="1" ref="O303" ca="1">IFERROR(INDEX(INDIRECT($B$3&amp;"."&amp;$B$267&amp;".energy["&amp;This.year&amp;"]"),MATCH($C303&amp;O$5,INDIRECT($B$3&amp;"."&amp;$B$267&amp;".energy[Tech description]")&amp;INDIRECT($B$3&amp;"."&amp;$B$267&amp;".energy[Energy description]"),0)),0)</f>
        <v>0</v>
      </c>
      <c r="P303" s="121">
        <f t="array" aca="1" ref="P303" ca="1">IFERROR(INDEX(INDIRECT($B$3&amp;"."&amp;$B$267&amp;".energy["&amp;This.year&amp;"]"),MATCH($C303&amp;P$5,INDIRECT($B$3&amp;"."&amp;$B$267&amp;".energy[Tech description]")&amp;INDIRECT($B$3&amp;"."&amp;$B$267&amp;".energy[Energy description]"),0)),0)</f>
        <v>0</v>
      </c>
      <c r="Q303" s="121">
        <f t="array" aca="1" ref="Q303" ca="1">IFERROR(INDEX(INDIRECT($B$3&amp;"."&amp;$B$267&amp;".energy["&amp;This.year&amp;"]"),MATCH($C303&amp;Q$5,INDIRECT($B$3&amp;"."&amp;$B$267&amp;".energy[Tech description]")&amp;INDIRECT($B$3&amp;"."&amp;$B$267&amp;".energy[Energy description]"),0)),0)</f>
        <v>0</v>
      </c>
      <c r="R303" s="121">
        <f t="array" aca="1" ref="R303" ca="1">IFERROR(INDEX(INDIRECT($B$3&amp;"."&amp;$B$267&amp;".energy["&amp;This.year&amp;"]"),MATCH($C303&amp;R$5,INDIRECT($B$3&amp;"."&amp;$B$267&amp;".energy[Tech description]")&amp;INDIRECT($B$3&amp;"."&amp;$B$267&amp;".energy[Energy description]"),0)),0)</f>
        <v>0</v>
      </c>
      <c r="S303" s="121">
        <f t="array" aca="1" ref="S303" ca="1">IFERROR(INDEX(INDIRECT($B$3&amp;"."&amp;$B$267&amp;".energy["&amp;This.year&amp;"]"),MATCH($C303&amp;S$5,INDIRECT($B$3&amp;"."&amp;$B$267&amp;".energy[Tech description]")&amp;INDIRECT($B$3&amp;"."&amp;$B$267&amp;".energy[Energy description]"),0)),0)</f>
        <v>0</v>
      </c>
      <c r="T303" s="121">
        <f t="shared" ca="1" si="96"/>
        <v>0</v>
      </c>
      <c r="V303" s="171">
        <f t="array" aca="1" ref="V303" ca="1">IFERROR(INDEX(INDIRECT($B$3&amp;"."&amp;$B$267&amp;".energy["&amp;This.year&amp;"]"),MATCH($C303&amp;V$5,INDIRECT($B$3&amp;"."&amp;$B$267&amp;".energy[Tech description]")&amp;INDIRECT($B$3&amp;"."&amp;$B$267&amp;".energy[Energy description]"),0)),0)</f>
        <v>0</v>
      </c>
      <c r="W303" s="171">
        <f t="array" aca="1" ref="W303" ca="1">IFERROR(INDEX(INDIRECT($B$3&amp;"."&amp;$B$267&amp;".energy["&amp;This.year&amp;"]"),MATCH($C303&amp;W$5,INDIRECT($B$3&amp;"."&amp;$B$267&amp;".energy[Tech description]")&amp;INDIRECT($B$3&amp;"."&amp;$B$267&amp;".energy[Energy description]"),0)),0)</f>
        <v>0</v>
      </c>
      <c r="X303" s="171">
        <f t="array" aca="1" ref="X303" ca="1">IFERROR(INDEX(INDIRECT($B$3&amp;"."&amp;$B$267&amp;".energy["&amp;This.year&amp;"]"),MATCH($C303&amp;X$5,INDIRECT($B$3&amp;"."&amp;$B$267&amp;".energy[Tech description]")&amp;INDIRECT($B$3&amp;"."&amp;$B$267&amp;".energy[Energy description]"),0)),0)</f>
        <v>0</v>
      </c>
      <c r="Y303" s="171">
        <f t="array" aca="1" ref="Y303" ca="1">IFERROR(INDEX(INDIRECT($B$3&amp;"."&amp;$B$267&amp;".energy["&amp;This.year&amp;"]"),MATCH($C303&amp;Y$5,INDIRECT($B$3&amp;"."&amp;$B$267&amp;".energy[Tech description]")&amp;INDIRECT($B$3&amp;"."&amp;$B$267&amp;".energy[Energy description]"),0)),0)</f>
        <v>0</v>
      </c>
      <c r="Z303" s="171">
        <f t="array" aca="1" ref="Z303" ca="1">IFERROR(INDEX(INDIRECT($B$3&amp;"."&amp;$B$267&amp;".energy["&amp;This.year&amp;"]"),MATCH($C303&amp;Z$5,INDIRECT($B$3&amp;"."&amp;$B$267&amp;".energy[Tech description]")&amp;INDIRECT($B$3&amp;"."&amp;$B$267&amp;".energy[Energy description]"),0)),0)</f>
        <v>0</v>
      </c>
      <c r="AA303" s="171">
        <f t="array" aca="1" ref="AA303" ca="1">IFERROR(INDEX(INDIRECT($B$3&amp;"."&amp;$B$267&amp;".energy["&amp;This.year&amp;"]"),MATCH($C303&amp;AA$5,INDIRECT($B$3&amp;"."&amp;$B$267&amp;".energy[Tech description]")&amp;INDIRECT($B$3&amp;"."&amp;$B$267&amp;".energy[Energy description]"),0)),0)</f>
        <v>0</v>
      </c>
      <c r="AB303" s="171">
        <f t="array" aca="1" ref="AB303" ca="1">IFERROR(INDEX(INDIRECT($B$3&amp;"."&amp;$B$267&amp;".energy["&amp;This.year&amp;"]"),MATCH($C303&amp;AB$5,INDIRECT($B$3&amp;"."&amp;$B$267&amp;".energy[Tech description]")&amp;INDIRECT($B$3&amp;"."&amp;$B$267&amp;".energy[Energy description]"),0)),0)</f>
        <v>0</v>
      </c>
      <c r="AC303" s="171">
        <f t="array" aca="1" ref="AC303" ca="1">IFERROR(INDEX(INDIRECT($B$3&amp;"."&amp;$B$267&amp;".energy["&amp;This.year&amp;"]"),MATCH($C303&amp;AC$5,INDIRECT($B$3&amp;"."&amp;$B$267&amp;".energy[Tech description]")&amp;INDIRECT($B$3&amp;"."&amp;$B$267&amp;".energy[Energy description]"),0)),0)</f>
        <v>0</v>
      </c>
      <c r="AD303" s="171">
        <f t="array" aca="1" ref="AD303" ca="1">IFERROR(INDEX(INDIRECT($B$3&amp;"."&amp;$B$267&amp;".energy["&amp;This.year&amp;"]"),MATCH($C303&amp;AD$5,INDIRECT($B$3&amp;"."&amp;$B$267&amp;".energy[Tech description]")&amp;INDIRECT($B$3&amp;"."&amp;$B$267&amp;".energy[Energy description]"),0)),0)</f>
        <v>0</v>
      </c>
      <c r="AE303" s="171">
        <f t="array" aca="1" ref="AE303" ca="1">IFERROR(INDEX(INDIRECT($B$3&amp;"."&amp;$B$267&amp;".energy["&amp;This.year&amp;"]"),MATCH($C303&amp;AE$5,INDIRECT($B$3&amp;"."&amp;$B$267&amp;".energy[Tech description]")&amp;INDIRECT($B$3&amp;"."&amp;$B$267&amp;".energy[Energy description]"),0)),0)</f>
        <v>0</v>
      </c>
      <c r="AF303" s="171">
        <f t="array" aca="1" ref="AF303" ca="1">IFERROR(INDEX(INDIRECT($B$3&amp;"."&amp;$B$267&amp;".energy["&amp;This.year&amp;"]"),MATCH($C303&amp;AF$5,INDIRECT($B$3&amp;"."&amp;$B$267&amp;".energy[Tech description]")&amp;INDIRECT($B$3&amp;"."&amp;$B$267&amp;".energy[Energy description]"),0)),0)</f>
        <v>0</v>
      </c>
      <c r="AG303" s="171">
        <f t="array" aca="1" ref="AG303" ca="1">IFERROR(INDEX(INDIRECT($B$3&amp;"."&amp;$B$267&amp;".energy["&amp;This.year&amp;"]"),MATCH($C303&amp;AG$5,INDIRECT($B$3&amp;"."&amp;$B$267&amp;".energy[Tech description]")&amp;INDIRECT($B$3&amp;"."&amp;$B$267&amp;".energy[Energy description]"),0)),0)</f>
        <v>0</v>
      </c>
      <c r="AH303" s="171">
        <f t="array" aca="1" ref="AH303" ca="1">IFERROR(INDEX(INDIRECT($B$3&amp;"."&amp;$B$267&amp;".energy["&amp;This.year&amp;"]"),MATCH($C303&amp;AH$5,INDIRECT($B$3&amp;"."&amp;$B$267&amp;".energy[Tech description]")&amp;INDIRECT($B$3&amp;"."&amp;$B$267&amp;".energy[Energy description]"),0)),0)</f>
        <v>0</v>
      </c>
      <c r="AI303" s="171">
        <f t="array" aca="1" ref="AI303" ca="1">IFERROR(INDEX(INDIRECT($B$3&amp;"."&amp;$B$267&amp;".energy["&amp;This.year&amp;"]"),MATCH($C303&amp;AI$5,INDIRECT($B$3&amp;"."&amp;$B$267&amp;".energy[Tech description]")&amp;INDIRECT($B$3&amp;"."&amp;$B$267&amp;".energy[Energy description]"),0)),0)</f>
        <v>0</v>
      </c>
      <c r="AJ303" s="171">
        <f t="array" aca="1" ref="AJ303" ca="1">IFERROR(INDEX(INDIRECT($B$3&amp;"."&amp;$B$267&amp;".energy["&amp;This.year&amp;"]"),MATCH($C303&amp;AJ$5,INDIRECT($B$3&amp;"."&amp;$B$267&amp;".energy[Tech description]")&amp;INDIRECT($B$3&amp;"."&amp;$B$267&amp;".energy[Energy description]"),0)),0)</f>
        <v>0</v>
      </c>
      <c r="AK303" s="171">
        <f t="array" aca="1" ref="AK303" ca="1">IFERROR(INDEX(INDIRECT($B$3&amp;"."&amp;$B$267&amp;".energy["&amp;This.year&amp;"]"),MATCH($C303&amp;AK$5,INDIRECT($B$3&amp;"."&amp;$B$267&amp;".energy[Tech description]")&amp;INDIRECT($B$3&amp;"."&amp;$B$267&amp;".energy[Energy description]"),0)),0)</f>
        <v>0</v>
      </c>
      <c r="AL303" s="171">
        <f t="array" aca="1" ref="AL303" ca="1">IFERROR(INDEX(INDIRECT($B$3&amp;"."&amp;$B$267&amp;".energy["&amp;This.year&amp;"]"),MATCH($C303&amp;AL$5,INDIRECT($B$3&amp;"."&amp;$B$267&amp;".energy[Tech description]")&amp;INDIRECT($B$3&amp;"."&amp;$B$267&amp;".energy[Energy description]"),0)),0)</f>
        <v>0</v>
      </c>
      <c r="AM303" s="171">
        <f t="array" aca="1" ref="AM303" ca="1">IFERROR(INDEX(INDIRECT($B$3&amp;"."&amp;$B$267&amp;".energy["&amp;This.year&amp;"]"),MATCH($C303&amp;AM$5,INDIRECT($B$3&amp;"."&amp;$B$267&amp;".energy[Tech description]")&amp;INDIRECT($B$3&amp;"."&amp;$B$267&amp;".energy[Energy description]"),0)),0)</f>
        <v>0</v>
      </c>
      <c r="AN303" s="171">
        <f t="array" aca="1" ref="AN303" ca="1">IFERROR(INDEX(INDIRECT($B$3&amp;"."&amp;$B$267&amp;".energy["&amp;This.year&amp;"]"),MATCH($C303&amp;AN$5,INDIRECT($B$3&amp;"."&amp;$B$267&amp;".energy[Tech description]")&amp;INDIRECT($B$3&amp;"."&amp;$B$267&amp;".energy[Energy description]"),0)),0)</f>
        <v>0</v>
      </c>
      <c r="AO303" s="171">
        <f ca="1">SUM(V303:AN303)</f>
        <v>0</v>
      </c>
      <c r="AQ303" s="173">
        <f t="array" aca="1" ref="AQ303" ca="1">IFERROR(INDEX(INDIRECT($B$3&amp;"."&amp;$B$267&amp;".energy["&amp;This.year&amp;"]"),MATCH($C303&amp;AQ$5,INDIRECT($B$3&amp;"."&amp;$B$267&amp;".energy[Tech description]")&amp;INDIRECT($B$3&amp;"."&amp;$B$267&amp;".energy[Energy description]"),0)),0)</f>
        <v>0</v>
      </c>
      <c r="AR303" s="173">
        <f t="array" aca="1" ref="AR303" ca="1">IFERROR(INDEX(INDIRECT($B$3&amp;"."&amp;$B$267&amp;".energy["&amp;This.year&amp;"]"),MATCH($C303&amp;AR$5,INDIRECT($B$3&amp;"."&amp;$B$267&amp;".energy[Tech description]")&amp;INDIRECT($B$3&amp;"."&amp;$B$267&amp;".energy[Energy description]"),0)),0)</f>
        <v>0</v>
      </c>
      <c r="AS303" s="173">
        <f t="array" aca="1" ref="AS303" ca="1">IFERROR(INDEX(INDIRECT($B$3&amp;"."&amp;$B$267&amp;".energy["&amp;This.year&amp;"]"),MATCH($C303&amp;AS$5,INDIRECT($B$3&amp;"."&amp;$B$267&amp;".energy[Tech description]")&amp;INDIRECT($B$3&amp;"."&amp;$B$267&amp;".energy[Energy description]"),0)),0)</f>
        <v>0</v>
      </c>
      <c r="AT303" s="173">
        <f t="array" aca="1" ref="AT303" ca="1">IFERROR(INDEX(INDIRECT($B$3&amp;"."&amp;$B$267&amp;".energy["&amp;This.year&amp;"]"),MATCH($C303&amp;AT$5,INDIRECT($B$3&amp;"."&amp;$B$267&amp;".energy[Tech description]")&amp;INDIRECT($B$3&amp;"."&amp;$B$267&amp;".energy[Energy description]"),0)),0)</f>
        <v>0</v>
      </c>
      <c r="AU303" s="173">
        <f t="array" aca="1" ref="AU303" ca="1">IFERROR(INDEX(INDIRECT($B$3&amp;"."&amp;$B$267&amp;".energy["&amp;This.year&amp;"]"),MATCH($C303&amp;AU$5,INDIRECT($B$3&amp;"."&amp;$B$267&amp;".energy[Tech description]")&amp;INDIRECT($B$3&amp;"."&amp;$B$267&amp;".energy[Energy description]"),0)),0)</f>
        <v>0</v>
      </c>
      <c r="AV303" s="173">
        <f t="array" aca="1" ref="AV303" ca="1">IFERROR(INDEX(INDIRECT($B$3&amp;"."&amp;$B$267&amp;".energy["&amp;This.year&amp;"]"),MATCH($C303&amp;AV$5,INDIRECT($B$3&amp;"."&amp;$B$267&amp;".energy[Tech description]")&amp;INDIRECT($B$3&amp;"."&amp;$B$267&amp;".energy[Energy description]"),0)),0)</f>
        <v>0</v>
      </c>
      <c r="AW303" s="173">
        <f t="array" aca="1" ref="AW303" ca="1">IFERROR(INDEX(INDIRECT($B$3&amp;"."&amp;$B$267&amp;".energy["&amp;This.year&amp;"]"),MATCH($C303&amp;AW$5,INDIRECT($B$3&amp;"."&amp;$B$267&amp;".energy[Tech description]")&amp;INDIRECT($B$3&amp;"."&amp;$B$267&amp;".energy[Energy description]"),0)),0)</f>
        <v>0</v>
      </c>
      <c r="AX303" s="173">
        <f t="array" aca="1" ref="AX303" ca="1">IFERROR(INDEX(INDIRECT($B$3&amp;"."&amp;$B$267&amp;".energy["&amp;This.year&amp;"]"),MATCH($C303&amp;AX$5,INDIRECT($B$3&amp;"."&amp;$B$267&amp;".energy[Tech description]")&amp;INDIRECT($B$3&amp;"."&amp;$B$267&amp;".energy[Energy description]"),0)),0)</f>
        <v>0</v>
      </c>
      <c r="AY303" s="173">
        <f t="array" aca="1" ref="AY303" ca="1">IFERROR(INDEX(INDIRECT($B$3&amp;"."&amp;$B$267&amp;".energy["&amp;This.year&amp;"]"),MATCH($C303&amp;AY$5,INDIRECT($B$3&amp;"."&amp;$B$267&amp;".energy[Tech description]")&amp;INDIRECT($B$3&amp;"."&amp;$B$267&amp;".energy[Energy description]"),0)),0)</f>
        <v>0</v>
      </c>
      <c r="AZ303" s="173">
        <f t="array" aca="1" ref="AZ303" ca="1">IFERROR(INDEX(INDIRECT($B$3&amp;"."&amp;$B$267&amp;".energy["&amp;This.year&amp;"]"),MATCH($C303&amp;AZ$5,INDIRECT($B$3&amp;"."&amp;$B$267&amp;".energy[Tech description]")&amp;INDIRECT($B$3&amp;"."&amp;$B$267&amp;".energy[Energy description]"),0)),0)</f>
        <v>0</v>
      </c>
      <c r="BA303" s="173">
        <f t="array" aca="1" ref="BA303" ca="1">IFERROR(INDEX(INDIRECT($B$3&amp;"."&amp;$B$267&amp;".energy["&amp;This.year&amp;"]"),MATCH($C303&amp;BA$5,INDIRECT($B$3&amp;"."&amp;$B$267&amp;".energy[Tech description]")&amp;INDIRECT($B$3&amp;"."&amp;$B$267&amp;".energy[Energy description]"),0)),0)</f>
        <v>0</v>
      </c>
      <c r="BB303" s="173">
        <f t="array" aca="1" ref="BB303" ca="1">IFERROR(INDEX(INDIRECT($B$3&amp;"."&amp;$B$267&amp;".energy["&amp;This.year&amp;"]"),MATCH($C303&amp;BB$5,INDIRECT($B$3&amp;"."&amp;$B$267&amp;".energy[Tech description]")&amp;INDIRECT($B$3&amp;"."&amp;$B$267&amp;".energy[Energy description]"),0)),0)</f>
        <v>0</v>
      </c>
      <c r="BC303" s="173">
        <f t="array" aca="1" ref="BC303" ca="1">IFERROR(INDEX(INDIRECT($B$3&amp;"."&amp;$B$267&amp;".energy["&amp;This.year&amp;"]"),MATCH($C303&amp;BC$5,INDIRECT($B$3&amp;"."&amp;$B$267&amp;".energy[Tech description]")&amp;INDIRECT($B$3&amp;"."&amp;$B$267&amp;".energy[Energy description]"),0)),0)</f>
        <v>0</v>
      </c>
      <c r="BD303" s="173">
        <f ca="1">SUM(AQ303:BB303)</f>
        <v>0</v>
      </c>
      <c r="BF303" s="175">
        <f t="array" aca="1" ref="BF303" ca="1">IFERROR(INDEX(INDIRECT($B$3&amp;"."&amp;$B$267&amp;".energy["&amp;This.year&amp;"]"),MATCH($C303&amp;BF$5,INDIRECT($B$3&amp;"."&amp;$B$267&amp;".energy[Tech description]")&amp;INDIRECT($B$3&amp;"."&amp;$B$267&amp;".energy[Energy description]"),0)),0)</f>
        <v>0</v>
      </c>
      <c r="BG303" s="175">
        <f t="array" aca="1" ref="BG303" ca="1">IFERROR(INDEX(INDIRECT($B$3&amp;"."&amp;$B$267&amp;".energy["&amp;This.year&amp;"]"),MATCH($C303&amp;BG$5,INDIRECT($B$3&amp;"."&amp;$B$267&amp;".energy[Tech description]")&amp;INDIRECT($B$3&amp;"."&amp;$B$267&amp;".energy[Energy description]"),0)),0)</f>
        <v>0</v>
      </c>
      <c r="BH303" s="175">
        <f t="shared" ca="1" si="97"/>
        <v>0</v>
      </c>
      <c r="BI303" s="219">
        <f ca="1">SUM(T303,AO303,BD303,BH303)</f>
        <v>0</v>
      </c>
      <c r="BJ303" s="58"/>
    </row>
    <row r="304" spans="1:62" s="54" customFormat="1">
      <c r="A304" s="106"/>
      <c r="B304" s="176"/>
      <c r="E304" s="121"/>
      <c r="F304" s="121"/>
      <c r="G304" s="121"/>
      <c r="H304" s="121"/>
      <c r="I304" s="121"/>
      <c r="J304" s="121"/>
      <c r="K304" s="121"/>
      <c r="L304" s="121"/>
      <c r="M304" s="121"/>
      <c r="N304" s="121"/>
      <c r="O304" s="121"/>
      <c r="P304" s="121"/>
      <c r="Q304" s="121"/>
      <c r="R304" s="121"/>
      <c r="S304" s="121"/>
      <c r="T304" s="121"/>
      <c r="U304" s="108"/>
      <c r="V304" s="152"/>
      <c r="W304" s="152"/>
      <c r="X304" s="152"/>
      <c r="Y304" s="152"/>
      <c r="Z304" s="152"/>
      <c r="AA304" s="152"/>
      <c r="AB304" s="152"/>
      <c r="AC304" s="152"/>
      <c r="AD304" s="152"/>
      <c r="AE304" s="152"/>
      <c r="AF304" s="152"/>
      <c r="AG304" s="152"/>
      <c r="AH304" s="152"/>
      <c r="AI304" s="152"/>
      <c r="AJ304" s="152"/>
      <c r="AK304" s="152"/>
      <c r="AL304" s="152"/>
      <c r="AM304" s="152"/>
      <c r="AN304" s="152"/>
      <c r="AO304" s="152"/>
      <c r="AP304" s="108"/>
      <c r="AQ304" s="21"/>
      <c r="AR304" s="21"/>
      <c r="AS304" s="21"/>
      <c r="AT304" s="21"/>
      <c r="AU304" s="21"/>
      <c r="AV304" s="21"/>
      <c r="AW304" s="21"/>
      <c r="AX304" s="21"/>
      <c r="AY304" s="21"/>
      <c r="AZ304" s="21"/>
      <c r="BA304" s="21"/>
      <c r="BB304" s="21"/>
      <c r="BC304" s="21"/>
      <c r="BD304" s="21"/>
      <c r="BE304" s="108"/>
      <c r="BF304" s="49"/>
      <c r="BG304" s="49"/>
      <c r="BH304" s="49"/>
      <c r="BI304" s="219"/>
      <c r="BJ304" s="108"/>
    </row>
    <row r="305" spans="1:63">
      <c r="B305" s="167"/>
      <c r="C305" s="219" t="s">
        <v>258</v>
      </c>
      <c r="D305" s="219" t="s">
        <v>414</v>
      </c>
      <c r="E305" s="121">
        <f ca="1">SUM(E306)</f>
        <v>0</v>
      </c>
      <c r="F305" s="121">
        <f t="shared" ref="F305:BI305" ca="1" si="98">SUM(F306)</f>
        <v>0</v>
      </c>
      <c r="G305" s="121">
        <f t="shared" ca="1" si="98"/>
        <v>0</v>
      </c>
      <c r="H305" s="121">
        <f t="shared" ca="1" si="98"/>
        <v>0</v>
      </c>
      <c r="I305" s="121">
        <f t="shared" ca="1" si="98"/>
        <v>0</v>
      </c>
      <c r="J305" s="121">
        <f t="shared" ca="1" si="98"/>
        <v>0</v>
      </c>
      <c r="K305" s="121">
        <f t="shared" ca="1" si="98"/>
        <v>0</v>
      </c>
      <c r="L305" s="121">
        <f t="shared" ca="1" si="98"/>
        <v>0</v>
      </c>
      <c r="M305" s="121">
        <f t="shared" ca="1" si="98"/>
        <v>0</v>
      </c>
      <c r="N305" s="121">
        <f t="shared" ca="1" si="98"/>
        <v>0</v>
      </c>
      <c r="O305" s="121">
        <f t="shared" ca="1" si="98"/>
        <v>0</v>
      </c>
      <c r="P305" s="121">
        <f t="shared" ca="1" si="98"/>
        <v>0</v>
      </c>
      <c r="Q305" s="121">
        <f t="shared" ca="1" si="98"/>
        <v>0</v>
      </c>
      <c r="R305" s="121">
        <f t="shared" ca="1" si="98"/>
        <v>0</v>
      </c>
      <c r="S305" s="121">
        <f t="shared" ca="1" si="98"/>
        <v>0</v>
      </c>
      <c r="T305" s="121">
        <f t="shared" ca="1" si="98"/>
        <v>0</v>
      </c>
      <c r="V305" s="152">
        <f t="shared" ca="1" si="98"/>
        <v>0</v>
      </c>
      <c r="W305" s="152">
        <f t="shared" ca="1" si="98"/>
        <v>0</v>
      </c>
      <c r="X305" s="152">
        <f t="shared" ca="1" si="98"/>
        <v>0</v>
      </c>
      <c r="Y305" s="152">
        <f t="shared" ca="1" si="98"/>
        <v>0</v>
      </c>
      <c r="Z305" s="152">
        <f t="shared" ca="1" si="98"/>
        <v>0</v>
      </c>
      <c r="AA305" s="152">
        <f t="shared" ca="1" si="98"/>
        <v>0</v>
      </c>
      <c r="AB305" s="152">
        <f t="shared" ca="1" si="98"/>
        <v>0</v>
      </c>
      <c r="AC305" s="152">
        <f t="shared" ca="1" si="98"/>
        <v>0</v>
      </c>
      <c r="AD305" s="152">
        <f t="shared" ca="1" si="98"/>
        <v>0</v>
      </c>
      <c r="AE305" s="152">
        <f t="shared" ca="1" si="98"/>
        <v>0</v>
      </c>
      <c r="AF305" s="152">
        <f t="shared" ca="1" si="98"/>
        <v>0</v>
      </c>
      <c r="AG305" s="152">
        <f t="shared" ca="1" si="98"/>
        <v>0</v>
      </c>
      <c r="AH305" s="152">
        <f t="shared" ca="1" si="98"/>
        <v>0</v>
      </c>
      <c r="AI305" s="152">
        <f t="shared" ca="1" si="98"/>
        <v>0</v>
      </c>
      <c r="AJ305" s="152">
        <f t="shared" ca="1" si="98"/>
        <v>0</v>
      </c>
      <c r="AK305" s="152">
        <f t="shared" ca="1" si="98"/>
        <v>0</v>
      </c>
      <c r="AL305" s="152">
        <f ca="1">SUM(AL306)</f>
        <v>0</v>
      </c>
      <c r="AM305" s="152">
        <f t="shared" ca="1" si="98"/>
        <v>0</v>
      </c>
      <c r="AN305" s="152">
        <f t="shared" ca="1" si="98"/>
        <v>0</v>
      </c>
      <c r="AO305" s="152">
        <f t="shared" ca="1" si="98"/>
        <v>0</v>
      </c>
      <c r="AQ305" s="21">
        <f t="shared" ca="1" si="98"/>
        <v>0</v>
      </c>
      <c r="AR305" s="21">
        <f t="shared" ca="1" si="98"/>
        <v>0</v>
      </c>
      <c r="AS305" s="21">
        <f t="shared" ca="1" si="98"/>
        <v>0</v>
      </c>
      <c r="AT305" s="21">
        <f t="shared" ca="1" si="98"/>
        <v>0</v>
      </c>
      <c r="AU305" s="21">
        <f t="shared" ca="1" si="98"/>
        <v>0</v>
      </c>
      <c r="AV305" s="21">
        <f t="shared" ca="1" si="98"/>
        <v>0</v>
      </c>
      <c r="AW305" s="21">
        <f t="shared" ca="1" si="98"/>
        <v>0</v>
      </c>
      <c r="AX305" s="21">
        <f t="shared" ca="1" si="98"/>
        <v>0</v>
      </c>
      <c r="AY305" s="21">
        <f t="shared" ca="1" si="98"/>
        <v>0</v>
      </c>
      <c r="AZ305" s="21">
        <f t="shared" ca="1" si="98"/>
        <v>0</v>
      </c>
      <c r="BA305" s="21">
        <f t="shared" ca="1" si="98"/>
        <v>0</v>
      </c>
      <c r="BB305" s="21">
        <f t="shared" ca="1" si="98"/>
        <v>0</v>
      </c>
      <c r="BC305" s="21">
        <f t="shared" ca="1" si="98"/>
        <v>0</v>
      </c>
      <c r="BD305" s="21">
        <f t="shared" ca="1" si="98"/>
        <v>0</v>
      </c>
      <c r="BF305" s="49">
        <f t="shared" ca="1" si="98"/>
        <v>0</v>
      </c>
      <c r="BG305" s="49">
        <f t="shared" ca="1" si="98"/>
        <v>0</v>
      </c>
      <c r="BH305" s="49">
        <f t="shared" ca="1" si="98"/>
        <v>0</v>
      </c>
      <c r="BI305" s="219">
        <f t="shared" ca="1" si="98"/>
        <v>0</v>
      </c>
      <c r="BJ305" s="58"/>
    </row>
    <row r="306" spans="1:63">
      <c r="B306" s="176" t="s">
        <v>745</v>
      </c>
      <c r="C306" s="114" t="str">
        <f>INDEX(Regional.Technologies[Description],MATCH($B$3&amp;"."&amp;B306,Regional.Technologies[Code],0))</f>
        <v>Global Geothermal</v>
      </c>
      <c r="E306" s="121">
        <f t="array" aca="1" ref="E306" ca="1">IFERROR(INDEX(INDIRECT($B$3&amp;"."&amp;$B$267&amp;".energy["&amp;This.year&amp;"]"),MATCH($C306&amp;E$5,INDIRECT($B$3&amp;"."&amp;$B$267&amp;".energy[Tech description]")&amp;INDIRECT($B$3&amp;"."&amp;$B$267&amp;".energy[Energy description]"),0)),0)</f>
        <v>0</v>
      </c>
      <c r="F306" s="121">
        <f t="array" aca="1" ref="F306" ca="1">IFERROR(INDEX(INDIRECT($B$3&amp;"."&amp;$B$267&amp;".energy["&amp;This.year&amp;"]"),MATCH($C306&amp;F$5,INDIRECT($B$3&amp;"."&amp;$B$267&amp;".energy[Tech description]")&amp;INDIRECT($B$3&amp;"."&amp;$B$267&amp;".energy[Energy description]"),0)),0)</f>
        <v>0</v>
      </c>
      <c r="G306" s="121">
        <f t="array" aca="1" ref="G306" ca="1">IFERROR(INDEX(INDIRECT($B$3&amp;"."&amp;$B$267&amp;".energy["&amp;This.year&amp;"]"),MATCH($C306&amp;G$5,INDIRECT($B$3&amp;"."&amp;$B$267&amp;".energy[Tech description]")&amp;INDIRECT($B$3&amp;"."&amp;$B$267&amp;".energy[Energy description]"),0)),0)</f>
        <v>0</v>
      </c>
      <c r="H306" s="121">
        <f t="array" aca="1" ref="H306" ca="1">IFERROR(INDEX(INDIRECT($B$3&amp;"."&amp;$B$267&amp;".energy["&amp;This.year&amp;"]"),MATCH($C306&amp;H$5,INDIRECT($B$3&amp;"."&amp;$B$267&amp;".energy[Tech description]")&amp;INDIRECT($B$3&amp;"."&amp;$B$267&amp;".energy[Energy description]"),0)),0)</f>
        <v>0</v>
      </c>
      <c r="I306" s="121">
        <f t="array" aca="1" ref="I306" ca="1">IFERROR(INDEX(INDIRECT($B$3&amp;"."&amp;$B$267&amp;".energy["&amp;This.year&amp;"]"),MATCH($C306&amp;I$5,INDIRECT($B$3&amp;"."&amp;$B$267&amp;".energy[Tech description]")&amp;INDIRECT($B$3&amp;"."&amp;$B$267&amp;".energy[Energy description]"),0)),0)</f>
        <v>0</v>
      </c>
      <c r="J306" s="121">
        <f t="array" aca="1" ref="J306" ca="1">IFERROR(INDEX(INDIRECT($B$3&amp;"."&amp;$B$267&amp;".energy["&amp;This.year&amp;"]"),MATCH($C306&amp;J$5,INDIRECT($B$3&amp;"."&amp;$B$267&amp;".energy[Tech description]")&amp;INDIRECT($B$3&amp;"."&amp;$B$267&amp;".energy[Energy description]"),0)),0)</f>
        <v>0</v>
      </c>
      <c r="K306" s="121">
        <f t="array" aca="1" ref="K306" ca="1">IFERROR(INDEX(INDIRECT($B$3&amp;"."&amp;$B$267&amp;".energy["&amp;This.year&amp;"]"),MATCH($C306&amp;K$5,INDIRECT($B$3&amp;"."&amp;$B$267&amp;".energy[Tech description]")&amp;INDIRECT($B$3&amp;"."&amp;$B$267&amp;".energy[Energy description]"),0)),0)</f>
        <v>0</v>
      </c>
      <c r="L306" s="121">
        <f t="array" aca="1" ref="L306" ca="1">IFERROR(INDEX(INDIRECT($B$3&amp;"."&amp;$B$267&amp;".energy["&amp;This.year&amp;"]"),MATCH($C306&amp;L$5,INDIRECT($B$3&amp;"."&amp;$B$267&amp;".energy[Tech description]")&amp;INDIRECT($B$3&amp;"."&amp;$B$267&amp;".energy[Energy description]"),0)),0)</f>
        <v>0</v>
      </c>
      <c r="M306" s="121">
        <f t="array" aca="1" ref="M306" ca="1">IFERROR(INDEX(INDIRECT($B$3&amp;"."&amp;$B$267&amp;".energy["&amp;This.year&amp;"]"),MATCH($C306&amp;M$5,INDIRECT($B$3&amp;"."&amp;$B$267&amp;".energy[Tech description]")&amp;INDIRECT($B$3&amp;"."&amp;$B$267&amp;".energy[Energy description]"),0)),0)</f>
        <v>0</v>
      </c>
      <c r="N306" s="121">
        <f t="array" aca="1" ref="N306" ca="1">IFERROR(INDEX(INDIRECT($B$3&amp;"."&amp;$B$267&amp;".energy["&amp;This.year&amp;"]"),MATCH($C306&amp;N$5,INDIRECT($B$3&amp;"."&amp;$B$267&amp;".energy[Tech description]")&amp;INDIRECT($B$3&amp;"."&amp;$B$267&amp;".energy[Energy description]"),0)),0)</f>
        <v>0</v>
      </c>
      <c r="O306" s="121">
        <f t="array" aca="1" ref="O306" ca="1">IFERROR(INDEX(INDIRECT($B$3&amp;"."&amp;$B$267&amp;".energy["&amp;This.year&amp;"]"),MATCH($C306&amp;O$5,INDIRECT($B$3&amp;"."&amp;$B$267&amp;".energy[Tech description]")&amp;INDIRECT($B$3&amp;"."&amp;$B$267&amp;".energy[Energy description]"),0)),0)</f>
        <v>0</v>
      </c>
      <c r="P306" s="121">
        <f t="array" aca="1" ref="P306" ca="1">IFERROR(INDEX(INDIRECT($B$3&amp;"."&amp;$B$267&amp;".energy["&amp;This.year&amp;"]"),MATCH($C306&amp;P$5,INDIRECT($B$3&amp;"."&amp;$B$267&amp;".energy[Tech description]")&amp;INDIRECT($B$3&amp;"."&amp;$B$267&amp;".energy[Energy description]"),0)),0)</f>
        <v>0</v>
      </c>
      <c r="Q306" s="121">
        <f t="array" aca="1" ref="Q306" ca="1">IFERROR(INDEX(INDIRECT($B$3&amp;"."&amp;$B$267&amp;".energy["&amp;This.year&amp;"]"),MATCH($C306&amp;Q$5,INDIRECT($B$3&amp;"."&amp;$B$267&amp;".energy[Tech description]")&amp;INDIRECT($B$3&amp;"."&amp;$B$267&amp;".energy[Energy description]"),0)),0)</f>
        <v>0</v>
      </c>
      <c r="R306" s="121">
        <f t="array" aca="1" ref="R306" ca="1">IFERROR(INDEX(INDIRECT($B$3&amp;"."&amp;$B$267&amp;".energy["&amp;This.year&amp;"]"),MATCH($C306&amp;R$5,INDIRECT($B$3&amp;"."&amp;$B$267&amp;".energy[Tech description]")&amp;INDIRECT($B$3&amp;"."&amp;$B$267&amp;".energy[Energy description]"),0)),0)</f>
        <v>0</v>
      </c>
      <c r="S306" s="121">
        <f t="array" aca="1" ref="S306" ca="1">IFERROR(INDEX(INDIRECT($B$3&amp;"."&amp;$B$267&amp;".energy["&amp;This.year&amp;"]"),MATCH($C306&amp;S$5,INDIRECT($B$3&amp;"."&amp;$B$267&amp;".energy[Tech description]")&amp;INDIRECT($B$3&amp;"."&amp;$B$267&amp;".energy[Energy description]"),0)),0)</f>
        <v>0</v>
      </c>
      <c r="T306" s="121">
        <f t="shared" ref="T306" ca="1" si="99">SUM(E306:S306)</f>
        <v>0</v>
      </c>
      <c r="V306" s="171">
        <f t="array" aca="1" ref="V306" ca="1">IFERROR(INDEX(INDIRECT($B$3&amp;"."&amp;$B$267&amp;".energy["&amp;This.year&amp;"]"),MATCH($C306&amp;V$5,INDIRECT($B$3&amp;"."&amp;$B$267&amp;".energy[Tech description]")&amp;INDIRECT($B$3&amp;"."&amp;$B$267&amp;".energy[Energy description]"),0)),0)</f>
        <v>0</v>
      </c>
      <c r="W306" s="171">
        <f t="array" aca="1" ref="W306" ca="1">IFERROR(INDEX(INDIRECT($B$3&amp;"."&amp;$B$267&amp;".energy["&amp;This.year&amp;"]"),MATCH($C306&amp;W$5,INDIRECT($B$3&amp;"."&amp;$B$267&amp;".energy[Tech description]")&amp;INDIRECT($B$3&amp;"."&amp;$B$267&amp;".energy[Energy description]"),0)),0)</f>
        <v>0</v>
      </c>
      <c r="X306" s="171">
        <f t="array" aca="1" ref="X306" ca="1">IFERROR(INDEX(INDIRECT($B$3&amp;"."&amp;$B$267&amp;".energy["&amp;This.year&amp;"]"),MATCH($C306&amp;X$5,INDIRECT($B$3&amp;"."&amp;$B$267&amp;".energy[Tech description]")&amp;INDIRECT($B$3&amp;"."&amp;$B$267&amp;".energy[Energy description]"),0)),0)</f>
        <v>0</v>
      </c>
      <c r="Y306" s="171">
        <f t="array" aca="1" ref="Y306" ca="1">IFERROR(INDEX(INDIRECT($B$3&amp;"."&amp;$B$267&amp;".energy["&amp;This.year&amp;"]"),MATCH($C306&amp;Y$5,INDIRECT($B$3&amp;"."&amp;$B$267&amp;".energy[Tech description]")&amp;INDIRECT($B$3&amp;"."&amp;$B$267&amp;".energy[Energy description]"),0)),0)</f>
        <v>0</v>
      </c>
      <c r="Z306" s="171">
        <f t="array" aca="1" ref="Z306" ca="1">IFERROR(INDEX(INDIRECT($B$3&amp;"."&amp;$B$267&amp;".energy["&amp;This.year&amp;"]"),MATCH($C306&amp;Z$5,INDIRECT($B$3&amp;"."&amp;$B$267&amp;".energy[Tech description]")&amp;INDIRECT($B$3&amp;"."&amp;$B$267&amp;".energy[Energy description]"),0)),0)</f>
        <v>0</v>
      </c>
      <c r="AA306" s="171">
        <f t="array" aca="1" ref="AA306" ca="1">IFERROR(INDEX(INDIRECT($B$3&amp;"."&amp;$B$267&amp;".energy["&amp;This.year&amp;"]"),MATCH($C306&amp;AA$5,INDIRECT($B$3&amp;"."&amp;$B$267&amp;".energy[Tech description]")&amp;INDIRECT($B$3&amp;"."&amp;$B$267&amp;".energy[Energy description]"),0)),0)</f>
        <v>0</v>
      </c>
      <c r="AB306" s="171">
        <f t="array" aca="1" ref="AB306" ca="1">IFERROR(INDEX(INDIRECT($B$3&amp;"."&amp;$B$267&amp;".energy["&amp;This.year&amp;"]"),MATCH($C306&amp;AB$5,INDIRECT($B$3&amp;"."&amp;$B$267&amp;".energy[Tech description]")&amp;INDIRECT($B$3&amp;"."&amp;$B$267&amp;".energy[Energy description]"),0)),0)</f>
        <v>0</v>
      </c>
      <c r="AC306" s="171">
        <f t="array" aca="1" ref="AC306" ca="1">IFERROR(INDEX(INDIRECT($B$3&amp;"."&amp;$B$267&amp;".energy["&amp;This.year&amp;"]"),MATCH($C306&amp;AC$5,INDIRECT($B$3&amp;"."&amp;$B$267&amp;".energy[Tech description]")&amp;INDIRECT($B$3&amp;"."&amp;$B$267&amp;".energy[Energy description]"),0)),0)</f>
        <v>0</v>
      </c>
      <c r="AD306" s="171">
        <f t="array" aca="1" ref="AD306" ca="1">IFERROR(INDEX(INDIRECT($B$3&amp;"."&amp;$B$267&amp;".energy["&amp;This.year&amp;"]"),MATCH($C306&amp;AD$5,INDIRECT($B$3&amp;"."&amp;$B$267&amp;".energy[Tech description]")&amp;INDIRECT($B$3&amp;"."&amp;$B$267&amp;".energy[Energy description]"),0)),0)</f>
        <v>0</v>
      </c>
      <c r="AE306" s="171">
        <f t="array" aca="1" ref="AE306" ca="1">IFERROR(INDEX(INDIRECT($B$3&amp;"."&amp;$B$267&amp;".energy["&amp;This.year&amp;"]"),MATCH($C306&amp;AE$5,INDIRECT($B$3&amp;"."&amp;$B$267&amp;".energy[Tech description]")&amp;INDIRECT($B$3&amp;"."&amp;$B$267&amp;".energy[Energy description]"),0)),0)</f>
        <v>0</v>
      </c>
      <c r="AF306" s="171">
        <f t="array" aca="1" ref="AF306" ca="1">IFERROR(INDEX(INDIRECT($B$3&amp;"."&amp;$B$267&amp;".energy["&amp;This.year&amp;"]"),MATCH($C306&amp;AF$5,INDIRECT($B$3&amp;"."&amp;$B$267&amp;".energy[Tech description]")&amp;INDIRECT($B$3&amp;"."&amp;$B$267&amp;".energy[Energy description]"),0)),0)</f>
        <v>0</v>
      </c>
      <c r="AG306" s="171">
        <f t="array" aca="1" ref="AG306" ca="1">IFERROR(INDEX(INDIRECT($B$3&amp;"."&amp;$B$267&amp;".energy["&amp;This.year&amp;"]"),MATCH($C306&amp;AG$5,INDIRECT($B$3&amp;"."&amp;$B$267&amp;".energy[Tech description]")&amp;INDIRECT($B$3&amp;"."&amp;$B$267&amp;".energy[Energy description]"),0)),0)</f>
        <v>0</v>
      </c>
      <c r="AH306" s="171">
        <f t="array" aca="1" ref="AH306" ca="1">IFERROR(INDEX(INDIRECT($B$3&amp;"."&amp;$B$267&amp;".energy["&amp;This.year&amp;"]"),MATCH($C306&amp;AH$5,INDIRECT($B$3&amp;"."&amp;$B$267&amp;".energy[Tech description]")&amp;INDIRECT($B$3&amp;"."&amp;$B$267&amp;".energy[Energy description]"),0)),0)</f>
        <v>0</v>
      </c>
      <c r="AI306" s="171">
        <f t="array" aca="1" ref="AI306" ca="1">IFERROR(INDEX(INDIRECT($B$3&amp;"."&amp;$B$267&amp;".energy["&amp;This.year&amp;"]"),MATCH($C306&amp;AI$5,INDIRECT($B$3&amp;"."&amp;$B$267&amp;".energy[Tech description]")&amp;INDIRECT($B$3&amp;"."&amp;$B$267&amp;".energy[Energy description]"),0)),0)</f>
        <v>0</v>
      </c>
      <c r="AJ306" s="171">
        <f t="array" aca="1" ref="AJ306" ca="1">IFERROR(INDEX(INDIRECT($B$3&amp;"."&amp;$B$267&amp;".energy["&amp;This.year&amp;"]"),MATCH($C306&amp;AJ$5,INDIRECT($B$3&amp;"."&amp;$B$267&amp;".energy[Tech description]")&amp;INDIRECT($B$3&amp;"."&amp;$B$267&amp;".energy[Energy description]"),0)),0)</f>
        <v>0</v>
      </c>
      <c r="AK306" s="171">
        <f t="array" aca="1" ref="AK306" ca="1">IFERROR(INDEX(INDIRECT($B$3&amp;"."&amp;$B$267&amp;".energy["&amp;This.year&amp;"]"),MATCH($C306&amp;AK$5,INDIRECT($B$3&amp;"."&amp;$B$267&amp;".energy[Tech description]")&amp;INDIRECT($B$3&amp;"."&amp;$B$267&amp;".energy[Energy description]"),0)),0)</f>
        <v>0</v>
      </c>
      <c r="AL306" s="171">
        <f t="array" aca="1" ref="AL306" ca="1">IFERROR(INDEX(INDIRECT($B$3&amp;"."&amp;$B$267&amp;".energy["&amp;This.year&amp;"]"),MATCH($C306&amp;AL$5,INDIRECT($B$3&amp;"."&amp;$B$267&amp;".energy[Tech description]")&amp;INDIRECT($B$3&amp;"."&amp;$B$267&amp;".energy[Energy description]"),0)),0)</f>
        <v>0</v>
      </c>
      <c r="AM306" s="171">
        <f t="array" aca="1" ref="AM306" ca="1">IFERROR(INDEX(INDIRECT($B$3&amp;"."&amp;$B$267&amp;".energy["&amp;This.year&amp;"]"),MATCH($C306&amp;AM$5,INDIRECT($B$3&amp;"."&amp;$B$267&amp;".energy[Tech description]")&amp;INDIRECT($B$3&amp;"."&amp;$B$267&amp;".energy[Energy description]"),0)),0)</f>
        <v>0</v>
      </c>
      <c r="AN306" s="171">
        <f t="array" aca="1" ref="AN306" ca="1">IFERROR(INDEX(INDIRECT($B$3&amp;"."&amp;$B$267&amp;".energy["&amp;This.year&amp;"]"),MATCH($C306&amp;AN$5,INDIRECT($B$3&amp;"."&amp;$B$267&amp;".energy[Tech description]")&amp;INDIRECT($B$3&amp;"."&amp;$B$267&amp;".energy[Energy description]"),0)),0)</f>
        <v>0</v>
      </c>
      <c r="AO306" s="171">
        <f ca="1">SUM(V306:AN306)</f>
        <v>0</v>
      </c>
      <c r="AQ306" s="173">
        <f t="array" aca="1" ref="AQ306" ca="1">IFERROR(INDEX(INDIRECT($B$3&amp;"."&amp;$B$267&amp;".energy["&amp;This.year&amp;"]"),MATCH($C306&amp;AQ$5,INDIRECT($B$3&amp;"."&amp;$B$267&amp;".energy[Tech description]")&amp;INDIRECT($B$3&amp;"."&amp;$B$267&amp;".energy[Energy description]"),0)),0)</f>
        <v>0</v>
      </c>
      <c r="AR306" s="173">
        <f t="array" aca="1" ref="AR306" ca="1">IFERROR(INDEX(INDIRECT($B$3&amp;"."&amp;$B$267&amp;".energy["&amp;This.year&amp;"]"),MATCH($C306&amp;AR$5,INDIRECT($B$3&amp;"."&amp;$B$267&amp;".energy[Tech description]")&amp;INDIRECT($B$3&amp;"."&amp;$B$267&amp;".energy[Energy description]"),0)),0)</f>
        <v>0</v>
      </c>
      <c r="AS306" s="173">
        <f t="array" aca="1" ref="AS306" ca="1">IFERROR(INDEX(INDIRECT($B$3&amp;"."&amp;$B$267&amp;".energy["&amp;This.year&amp;"]"),MATCH($C306&amp;AS$5,INDIRECT($B$3&amp;"."&amp;$B$267&amp;".energy[Tech description]")&amp;INDIRECT($B$3&amp;"."&amp;$B$267&amp;".energy[Energy description]"),0)),0)</f>
        <v>0</v>
      </c>
      <c r="AT306" s="173">
        <f t="array" aca="1" ref="AT306" ca="1">IFERROR(INDEX(INDIRECT($B$3&amp;"."&amp;$B$267&amp;".energy["&amp;This.year&amp;"]"),MATCH($C306&amp;AT$5,INDIRECT($B$3&amp;"."&amp;$B$267&amp;".energy[Tech description]")&amp;INDIRECT($B$3&amp;"."&amp;$B$267&amp;".energy[Energy description]"),0)),0)</f>
        <v>0</v>
      </c>
      <c r="AU306" s="173">
        <f t="array" aca="1" ref="AU306" ca="1">IFERROR(INDEX(INDIRECT($B$3&amp;"."&amp;$B$267&amp;".energy["&amp;This.year&amp;"]"),MATCH($C306&amp;AU$5,INDIRECT($B$3&amp;"."&amp;$B$267&amp;".energy[Tech description]")&amp;INDIRECT($B$3&amp;"."&amp;$B$267&amp;".energy[Energy description]"),0)),0)</f>
        <v>0</v>
      </c>
      <c r="AV306" s="173">
        <f t="array" aca="1" ref="AV306" ca="1">IFERROR(INDEX(INDIRECT($B$3&amp;"."&amp;$B$267&amp;".energy["&amp;This.year&amp;"]"),MATCH($C306&amp;AV$5,INDIRECT($B$3&amp;"."&amp;$B$267&amp;".energy[Tech description]")&amp;INDIRECT($B$3&amp;"."&amp;$B$267&amp;".energy[Energy description]"),0)),0)</f>
        <v>0</v>
      </c>
      <c r="AW306" s="173">
        <f t="array" aca="1" ref="AW306" ca="1">IFERROR(INDEX(INDIRECT($B$3&amp;"."&amp;$B$267&amp;".energy["&amp;This.year&amp;"]"),MATCH($C306&amp;AW$5,INDIRECT($B$3&amp;"."&amp;$B$267&amp;".energy[Tech description]")&amp;INDIRECT($B$3&amp;"."&amp;$B$267&amp;".energy[Energy description]"),0)),0)</f>
        <v>0</v>
      </c>
      <c r="AX306" s="173">
        <f t="array" aca="1" ref="AX306" ca="1">IFERROR(INDEX(INDIRECT($B$3&amp;"."&amp;$B$267&amp;".energy["&amp;This.year&amp;"]"),MATCH($C306&amp;AX$5,INDIRECT($B$3&amp;"."&amp;$B$267&amp;".energy[Tech description]")&amp;INDIRECT($B$3&amp;"."&amp;$B$267&amp;".energy[Energy description]"),0)),0)</f>
        <v>0</v>
      </c>
      <c r="AY306" s="173">
        <f t="array" aca="1" ref="AY306" ca="1">IFERROR(INDEX(INDIRECT($B$3&amp;"."&amp;$B$267&amp;".energy["&amp;This.year&amp;"]"),MATCH($C306&amp;AY$5,INDIRECT($B$3&amp;"."&amp;$B$267&amp;".energy[Tech description]")&amp;INDIRECT($B$3&amp;"."&amp;$B$267&amp;".energy[Energy description]"),0)),0)</f>
        <v>0</v>
      </c>
      <c r="AZ306" s="173">
        <f t="array" aca="1" ref="AZ306" ca="1">IFERROR(INDEX(INDIRECT($B$3&amp;"."&amp;$B$267&amp;".energy["&amp;This.year&amp;"]"),MATCH($C306&amp;AZ$5,INDIRECT($B$3&amp;"."&amp;$B$267&amp;".energy[Tech description]")&amp;INDIRECT($B$3&amp;"."&amp;$B$267&amp;".energy[Energy description]"),0)),0)</f>
        <v>0</v>
      </c>
      <c r="BA306" s="173">
        <f t="array" aca="1" ref="BA306" ca="1">IFERROR(INDEX(INDIRECT($B$3&amp;"."&amp;$B$267&amp;".energy["&amp;This.year&amp;"]"),MATCH($C306&amp;BA$5,INDIRECT($B$3&amp;"."&amp;$B$267&amp;".energy[Tech description]")&amp;INDIRECT($B$3&amp;"."&amp;$B$267&amp;".energy[Energy description]"),0)),0)</f>
        <v>0</v>
      </c>
      <c r="BB306" s="173">
        <f t="array" aca="1" ref="BB306" ca="1">IFERROR(INDEX(INDIRECT($B$3&amp;"."&amp;$B$267&amp;".energy["&amp;This.year&amp;"]"),MATCH($C306&amp;BB$5,INDIRECT($B$3&amp;"."&amp;$B$267&amp;".energy[Tech description]")&amp;INDIRECT($B$3&amp;"."&amp;$B$267&amp;".energy[Energy description]"),0)),0)</f>
        <v>0</v>
      </c>
      <c r="BC306" s="173">
        <f t="array" aca="1" ref="BC306" ca="1">IFERROR(INDEX(INDIRECT($B$3&amp;"."&amp;$B$267&amp;".energy["&amp;This.year&amp;"]"),MATCH($C306&amp;BC$5,INDIRECT($B$3&amp;"."&amp;$B$267&amp;".energy[Tech description]")&amp;INDIRECT($B$3&amp;"."&amp;$B$267&amp;".energy[Energy description]"),0)),0)</f>
        <v>0</v>
      </c>
      <c r="BD306" s="173">
        <f ca="1">SUM(AQ306:BB306)</f>
        <v>0</v>
      </c>
      <c r="BF306" s="175">
        <f t="array" aca="1" ref="BF306" ca="1">IFERROR(INDEX(INDIRECT($B$3&amp;"."&amp;$B$267&amp;".energy["&amp;This.year&amp;"]"),MATCH($C306&amp;BF$5,INDIRECT($B$3&amp;"."&amp;$B$267&amp;".energy[Tech description]")&amp;INDIRECT($B$3&amp;"."&amp;$B$267&amp;".energy[Energy description]"),0)),0)</f>
        <v>0</v>
      </c>
      <c r="BG306" s="175">
        <f t="array" aca="1" ref="BG306" ca="1">IFERROR(INDEX(INDIRECT($B$3&amp;"."&amp;$B$267&amp;".energy["&amp;This.year&amp;"]"),MATCH($C306&amp;BG$5,INDIRECT($B$3&amp;"."&amp;$B$267&amp;".energy[Tech description]")&amp;INDIRECT($B$3&amp;"."&amp;$B$267&amp;".energy[Energy description]"),0)),0)</f>
        <v>0</v>
      </c>
      <c r="BH306" s="175">
        <f t="shared" ref="BH306" ca="1" si="100">SUM(BF306:BG306)</f>
        <v>0</v>
      </c>
      <c r="BI306" s="219">
        <f ca="1">SUM(T306,AO306,BD306,BH306)</f>
        <v>0</v>
      </c>
      <c r="BJ306" s="58"/>
    </row>
    <row r="307" spans="1:63" s="54" customFormat="1">
      <c r="A307" s="106"/>
      <c r="B307" s="176"/>
      <c r="E307" s="121"/>
      <c r="F307" s="121"/>
      <c r="G307" s="121"/>
      <c r="H307" s="121"/>
      <c r="I307" s="121"/>
      <c r="J307" s="121"/>
      <c r="K307" s="121"/>
      <c r="L307" s="121"/>
      <c r="M307" s="121"/>
      <c r="N307" s="121"/>
      <c r="O307" s="121"/>
      <c r="P307" s="121"/>
      <c r="Q307" s="121"/>
      <c r="R307" s="121"/>
      <c r="S307" s="121"/>
      <c r="T307" s="121"/>
      <c r="U307" s="108"/>
      <c r="V307" s="152"/>
      <c r="W307" s="152"/>
      <c r="X307" s="152"/>
      <c r="Y307" s="152"/>
      <c r="Z307" s="152"/>
      <c r="AA307" s="152"/>
      <c r="AB307" s="152"/>
      <c r="AC307" s="152"/>
      <c r="AD307" s="152"/>
      <c r="AE307" s="152"/>
      <c r="AF307" s="152"/>
      <c r="AG307" s="152"/>
      <c r="AH307" s="152"/>
      <c r="AI307" s="152"/>
      <c r="AJ307" s="152"/>
      <c r="AK307" s="152"/>
      <c r="AL307" s="152"/>
      <c r="AM307" s="152"/>
      <c r="AN307" s="152"/>
      <c r="AO307" s="152"/>
      <c r="AP307" s="108"/>
      <c r="AQ307" s="21"/>
      <c r="AR307" s="21"/>
      <c r="AS307" s="21"/>
      <c r="AT307" s="21"/>
      <c r="AU307" s="21"/>
      <c r="AV307" s="21"/>
      <c r="AW307" s="21"/>
      <c r="AX307" s="21"/>
      <c r="AY307" s="21"/>
      <c r="AZ307" s="21"/>
      <c r="BA307" s="21"/>
      <c r="BB307" s="21"/>
      <c r="BC307" s="21"/>
      <c r="BD307" s="21"/>
      <c r="BE307" s="108"/>
      <c r="BF307" s="49"/>
      <c r="BG307" s="49"/>
      <c r="BH307" s="49"/>
      <c r="BI307" s="219"/>
      <c r="BJ307" s="108"/>
    </row>
    <row r="308" spans="1:63">
      <c r="B308" s="167"/>
      <c r="C308" s="219" t="s">
        <v>757</v>
      </c>
      <c r="D308" s="219" t="s">
        <v>414</v>
      </c>
      <c r="E308" s="121">
        <f ca="1">SUM(E309)</f>
        <v>0</v>
      </c>
      <c r="F308" s="121">
        <f t="shared" ref="F308:BI308" ca="1" si="101">SUM(F309)</f>
        <v>0</v>
      </c>
      <c r="G308" s="121">
        <f t="shared" ca="1" si="101"/>
        <v>0</v>
      </c>
      <c r="H308" s="121">
        <f t="shared" ca="1" si="101"/>
        <v>0</v>
      </c>
      <c r="I308" s="121">
        <f t="shared" ca="1" si="101"/>
        <v>0</v>
      </c>
      <c r="J308" s="121">
        <f t="shared" ca="1" si="101"/>
        <v>0</v>
      </c>
      <c r="K308" s="121">
        <f t="shared" ca="1" si="101"/>
        <v>0</v>
      </c>
      <c r="L308" s="121">
        <f t="shared" ca="1" si="101"/>
        <v>0</v>
      </c>
      <c r="M308" s="121">
        <f t="shared" ca="1" si="101"/>
        <v>0</v>
      </c>
      <c r="N308" s="121">
        <f t="shared" ca="1" si="101"/>
        <v>0</v>
      </c>
      <c r="O308" s="121">
        <f t="shared" ca="1" si="101"/>
        <v>0</v>
      </c>
      <c r="P308" s="121">
        <f t="shared" ca="1" si="101"/>
        <v>0</v>
      </c>
      <c r="Q308" s="121">
        <f t="shared" ca="1" si="101"/>
        <v>0</v>
      </c>
      <c r="R308" s="121">
        <f t="shared" ca="1" si="101"/>
        <v>0</v>
      </c>
      <c r="S308" s="121">
        <f t="shared" ca="1" si="101"/>
        <v>0</v>
      </c>
      <c r="T308" s="121">
        <f t="shared" ca="1" si="101"/>
        <v>0</v>
      </c>
      <c r="V308" s="152">
        <f t="shared" ca="1" si="101"/>
        <v>0</v>
      </c>
      <c r="W308" s="152">
        <f t="shared" ca="1" si="101"/>
        <v>0</v>
      </c>
      <c r="X308" s="152">
        <f t="shared" ca="1" si="101"/>
        <v>0</v>
      </c>
      <c r="Y308" s="152">
        <f t="shared" ca="1" si="101"/>
        <v>0</v>
      </c>
      <c r="Z308" s="152">
        <f t="shared" ca="1" si="101"/>
        <v>0</v>
      </c>
      <c r="AA308" s="152">
        <f t="shared" ca="1" si="101"/>
        <v>0</v>
      </c>
      <c r="AB308" s="152">
        <f t="shared" ca="1" si="101"/>
        <v>0</v>
      </c>
      <c r="AC308" s="152">
        <f t="shared" ca="1" si="101"/>
        <v>0</v>
      </c>
      <c r="AD308" s="152">
        <f t="shared" ca="1" si="101"/>
        <v>0</v>
      </c>
      <c r="AE308" s="152">
        <f t="shared" ca="1" si="101"/>
        <v>0</v>
      </c>
      <c r="AF308" s="152">
        <f t="shared" ca="1" si="101"/>
        <v>0</v>
      </c>
      <c r="AG308" s="152">
        <f t="shared" ca="1" si="101"/>
        <v>0</v>
      </c>
      <c r="AH308" s="152">
        <f t="shared" ca="1" si="101"/>
        <v>0</v>
      </c>
      <c r="AI308" s="152">
        <f t="shared" ca="1" si="101"/>
        <v>0</v>
      </c>
      <c r="AJ308" s="152">
        <f t="shared" ca="1" si="101"/>
        <v>0</v>
      </c>
      <c r="AK308" s="152">
        <f t="shared" ca="1" si="101"/>
        <v>0</v>
      </c>
      <c r="AL308" s="152">
        <f ca="1">SUM(AL309)</f>
        <v>0</v>
      </c>
      <c r="AM308" s="152">
        <f t="shared" ca="1" si="101"/>
        <v>0</v>
      </c>
      <c r="AN308" s="152">
        <f t="shared" ca="1" si="101"/>
        <v>0</v>
      </c>
      <c r="AO308" s="152">
        <f t="shared" ca="1" si="101"/>
        <v>0</v>
      </c>
      <c r="AQ308" s="21">
        <f t="shared" ca="1" si="101"/>
        <v>0</v>
      </c>
      <c r="AR308" s="21">
        <f t="shared" ca="1" si="101"/>
        <v>0</v>
      </c>
      <c r="AS308" s="21">
        <f t="shared" ca="1" si="101"/>
        <v>0</v>
      </c>
      <c r="AT308" s="21">
        <f t="shared" ca="1" si="101"/>
        <v>0</v>
      </c>
      <c r="AU308" s="21">
        <f t="shared" ca="1" si="101"/>
        <v>0</v>
      </c>
      <c r="AV308" s="21">
        <f t="shared" ca="1" si="101"/>
        <v>0</v>
      </c>
      <c r="AW308" s="21">
        <f t="shared" ca="1" si="101"/>
        <v>0</v>
      </c>
      <c r="AX308" s="21">
        <f t="shared" ca="1" si="101"/>
        <v>0</v>
      </c>
      <c r="AY308" s="21">
        <f t="shared" ca="1" si="101"/>
        <v>0</v>
      </c>
      <c r="AZ308" s="21">
        <f t="shared" ca="1" si="101"/>
        <v>0</v>
      </c>
      <c r="BA308" s="21">
        <f t="shared" ca="1" si="101"/>
        <v>0</v>
      </c>
      <c r="BB308" s="21">
        <f t="shared" ca="1" si="101"/>
        <v>0</v>
      </c>
      <c r="BC308" s="21">
        <f t="shared" ca="1" si="101"/>
        <v>0</v>
      </c>
      <c r="BD308" s="21">
        <f t="shared" ca="1" si="101"/>
        <v>0</v>
      </c>
      <c r="BF308" s="49">
        <f t="shared" ca="1" si="101"/>
        <v>0</v>
      </c>
      <c r="BG308" s="49">
        <f t="shared" ca="1" si="101"/>
        <v>0</v>
      </c>
      <c r="BH308" s="49">
        <f t="shared" ca="1" si="101"/>
        <v>0</v>
      </c>
      <c r="BI308" s="219">
        <f t="shared" ca="1" si="101"/>
        <v>0</v>
      </c>
      <c r="BJ308" s="58"/>
    </row>
    <row r="309" spans="1:63">
      <c r="B309" s="176" t="s">
        <v>746</v>
      </c>
      <c r="C309" s="114" t="str">
        <f>INDEX(Regional.Technologies[Description],MATCH($B$3&amp;"."&amp;B309,Regional.Technologies[Code],0))</f>
        <v>Global Storage unit</v>
      </c>
      <c r="E309" s="121">
        <f t="array" aca="1" ref="E309" ca="1">IFERROR(INDEX(INDIRECT($B$3&amp;"."&amp;$B$267&amp;".energy["&amp;This.year&amp;"]"),MATCH($C309&amp;E$5,INDIRECT($B$3&amp;"."&amp;$B$267&amp;".energy[Tech description]")&amp;INDIRECT($B$3&amp;"."&amp;$B$267&amp;".energy[Energy description]"),0)),0)</f>
        <v>0</v>
      </c>
      <c r="F309" s="121">
        <f t="array" aca="1" ref="F309" ca="1">IFERROR(INDEX(INDIRECT($B$3&amp;"."&amp;$B$267&amp;".energy["&amp;This.year&amp;"]"),MATCH($C309&amp;F$5,INDIRECT($B$3&amp;"."&amp;$B$267&amp;".energy[Tech description]")&amp;INDIRECT($B$3&amp;"."&amp;$B$267&amp;".energy[Energy description]"),0)),0)</f>
        <v>0</v>
      </c>
      <c r="G309" s="121">
        <f t="array" aca="1" ref="G309" ca="1">IFERROR(INDEX(INDIRECT($B$3&amp;"."&amp;$B$267&amp;".energy["&amp;This.year&amp;"]"),MATCH($C309&amp;G$5,INDIRECT($B$3&amp;"."&amp;$B$267&amp;".energy[Tech description]")&amp;INDIRECT($B$3&amp;"."&amp;$B$267&amp;".energy[Energy description]"),0)),0)</f>
        <v>0</v>
      </c>
      <c r="H309" s="121">
        <f t="array" aca="1" ref="H309" ca="1">IFERROR(INDEX(INDIRECT($B$3&amp;"."&amp;$B$267&amp;".energy["&amp;This.year&amp;"]"),MATCH($C309&amp;H$5,INDIRECT($B$3&amp;"."&amp;$B$267&amp;".energy[Tech description]")&amp;INDIRECT($B$3&amp;"."&amp;$B$267&amp;".energy[Energy description]"),0)),0)</f>
        <v>0</v>
      </c>
      <c r="I309" s="121">
        <f t="array" aca="1" ref="I309" ca="1">IFERROR(INDEX(INDIRECT($B$3&amp;"."&amp;$B$267&amp;".energy["&amp;This.year&amp;"]"),MATCH($C309&amp;I$5,INDIRECT($B$3&amp;"."&amp;$B$267&amp;".energy[Tech description]")&amp;INDIRECT($B$3&amp;"."&amp;$B$267&amp;".energy[Energy description]"),0)),0)</f>
        <v>0</v>
      </c>
      <c r="J309" s="121">
        <f t="array" aca="1" ref="J309" ca="1">IFERROR(INDEX(INDIRECT($B$3&amp;"."&amp;$B$267&amp;".energy["&amp;This.year&amp;"]"),MATCH($C309&amp;J$5,INDIRECT($B$3&amp;"."&amp;$B$267&amp;".energy[Tech description]")&amp;INDIRECT($B$3&amp;"."&amp;$B$267&amp;".energy[Energy description]"),0)),0)</f>
        <v>0</v>
      </c>
      <c r="K309" s="121">
        <f t="array" aca="1" ref="K309" ca="1">IFERROR(INDEX(INDIRECT($B$3&amp;"."&amp;$B$267&amp;".energy["&amp;This.year&amp;"]"),MATCH($C309&amp;K$5,INDIRECT($B$3&amp;"."&amp;$B$267&amp;".energy[Tech description]")&amp;INDIRECT($B$3&amp;"."&amp;$B$267&amp;".energy[Energy description]"),0)),0)</f>
        <v>0</v>
      </c>
      <c r="L309" s="121">
        <f t="array" aca="1" ref="L309" ca="1">IFERROR(INDEX(INDIRECT($B$3&amp;"."&amp;$B$267&amp;".energy["&amp;This.year&amp;"]"),MATCH($C309&amp;L$5,INDIRECT($B$3&amp;"."&amp;$B$267&amp;".energy[Tech description]")&amp;INDIRECT($B$3&amp;"."&amp;$B$267&amp;".energy[Energy description]"),0)),0)</f>
        <v>0</v>
      </c>
      <c r="M309" s="121">
        <f t="array" aca="1" ref="M309" ca="1">IFERROR(INDEX(INDIRECT($B$3&amp;"."&amp;$B$267&amp;".energy["&amp;This.year&amp;"]"),MATCH($C309&amp;M$5,INDIRECT($B$3&amp;"."&amp;$B$267&amp;".energy[Tech description]")&amp;INDIRECT($B$3&amp;"."&amp;$B$267&amp;".energy[Energy description]"),0)),0)</f>
        <v>0</v>
      </c>
      <c r="N309" s="121">
        <f t="array" aca="1" ref="N309" ca="1">IFERROR(INDEX(INDIRECT($B$3&amp;"."&amp;$B$267&amp;".energy["&amp;This.year&amp;"]"),MATCH($C309&amp;N$5,INDIRECT($B$3&amp;"."&amp;$B$267&amp;".energy[Tech description]")&amp;INDIRECT($B$3&amp;"."&amp;$B$267&amp;".energy[Energy description]"),0)),0)</f>
        <v>0</v>
      </c>
      <c r="O309" s="121">
        <f t="array" aca="1" ref="O309" ca="1">IFERROR(INDEX(INDIRECT($B$3&amp;"."&amp;$B$267&amp;".energy["&amp;This.year&amp;"]"),MATCH($C309&amp;O$5,INDIRECT($B$3&amp;"."&amp;$B$267&amp;".energy[Tech description]")&amp;INDIRECT($B$3&amp;"."&amp;$B$267&amp;".energy[Energy description]"),0)),0)</f>
        <v>0</v>
      </c>
      <c r="P309" s="121">
        <f t="array" aca="1" ref="P309" ca="1">IFERROR(INDEX(INDIRECT($B$3&amp;"."&amp;$B$267&amp;".energy["&amp;This.year&amp;"]"),MATCH($C309&amp;P$5,INDIRECT($B$3&amp;"."&amp;$B$267&amp;".energy[Tech description]")&amp;INDIRECT($B$3&amp;"."&amp;$B$267&amp;".energy[Energy description]"),0)),0)</f>
        <v>0</v>
      </c>
      <c r="Q309" s="121">
        <f t="array" aca="1" ref="Q309" ca="1">IFERROR(INDEX(INDIRECT($B$3&amp;"."&amp;$B$267&amp;".energy["&amp;This.year&amp;"]"),MATCH($C309&amp;Q$5,INDIRECT($B$3&amp;"."&amp;$B$267&amp;".energy[Tech description]")&amp;INDIRECT($B$3&amp;"."&amp;$B$267&amp;".energy[Energy description]"),0)),0)</f>
        <v>0</v>
      </c>
      <c r="R309" s="121">
        <f t="array" aca="1" ref="R309" ca="1">IFERROR(INDEX(INDIRECT($B$3&amp;"."&amp;$B$267&amp;".energy["&amp;This.year&amp;"]"),MATCH($C309&amp;R$5,INDIRECT($B$3&amp;"."&amp;$B$267&amp;".energy[Tech description]")&amp;INDIRECT($B$3&amp;"."&amp;$B$267&amp;".energy[Energy description]"),0)),0)</f>
        <v>0</v>
      </c>
      <c r="S309" s="121">
        <f t="array" aca="1" ref="S309" ca="1">IFERROR(INDEX(INDIRECT($B$3&amp;"."&amp;$B$267&amp;".energy["&amp;This.year&amp;"]"),MATCH($C309&amp;S$5,INDIRECT($B$3&amp;"."&amp;$B$267&amp;".energy[Tech description]")&amp;INDIRECT($B$3&amp;"."&amp;$B$267&amp;".energy[Energy description]"),0)),0)</f>
        <v>0</v>
      </c>
      <c r="T309" s="121">
        <f t="shared" ref="T309" ca="1" si="102">SUM(E309:S309)</f>
        <v>0</v>
      </c>
      <c r="V309" s="171">
        <f t="array" aca="1" ref="V309" ca="1">IFERROR(INDEX(INDIRECT($B$3&amp;"."&amp;$B$267&amp;".energy["&amp;This.year&amp;"]"),MATCH($C309&amp;V$5,INDIRECT($B$3&amp;"."&amp;$B$267&amp;".energy[Tech description]")&amp;INDIRECT($B$3&amp;"."&amp;$B$267&amp;".energy[Energy description]"),0)),0)</f>
        <v>0</v>
      </c>
      <c r="W309" s="171">
        <f t="array" aca="1" ref="W309" ca="1">IFERROR(INDEX(INDIRECT($B$3&amp;"."&amp;$B$267&amp;".energy["&amp;This.year&amp;"]"),MATCH($C309&amp;W$5,INDIRECT($B$3&amp;"."&amp;$B$267&amp;".energy[Tech description]")&amp;INDIRECT($B$3&amp;"."&amp;$B$267&amp;".energy[Energy description]"),0)),0)</f>
        <v>0</v>
      </c>
      <c r="X309" s="171">
        <f t="array" aca="1" ref="X309" ca="1">IFERROR(INDEX(INDIRECT($B$3&amp;"."&amp;$B$267&amp;".energy["&amp;This.year&amp;"]"),MATCH($C309&amp;X$5,INDIRECT($B$3&amp;"."&amp;$B$267&amp;".energy[Tech description]")&amp;INDIRECT($B$3&amp;"."&amp;$B$267&amp;".energy[Energy description]"),0)),0)</f>
        <v>0</v>
      </c>
      <c r="Y309" s="171">
        <f t="array" aca="1" ref="Y309" ca="1">IFERROR(INDEX(INDIRECT($B$3&amp;"."&amp;$B$267&amp;".energy["&amp;This.year&amp;"]"),MATCH($C309&amp;Y$5,INDIRECT($B$3&amp;"."&amp;$B$267&amp;".energy[Tech description]")&amp;INDIRECT($B$3&amp;"."&amp;$B$267&amp;".energy[Energy description]"),0)),0)</f>
        <v>0</v>
      </c>
      <c r="Z309" s="171">
        <f t="array" aca="1" ref="Z309" ca="1">IFERROR(INDEX(INDIRECT($B$3&amp;"."&amp;$B$267&amp;".energy["&amp;This.year&amp;"]"),MATCH($C309&amp;Z$5,INDIRECT($B$3&amp;"."&amp;$B$267&amp;".energy[Tech description]")&amp;INDIRECT($B$3&amp;"."&amp;$B$267&amp;".energy[Energy description]"),0)),0)</f>
        <v>0</v>
      </c>
      <c r="AA309" s="171">
        <f t="array" aca="1" ref="AA309" ca="1">IFERROR(INDEX(INDIRECT($B$3&amp;"."&amp;$B$267&amp;".energy["&amp;This.year&amp;"]"),MATCH($C309&amp;AA$5,INDIRECT($B$3&amp;"."&amp;$B$267&amp;".energy[Tech description]")&amp;INDIRECT($B$3&amp;"."&amp;$B$267&amp;".energy[Energy description]"),0)),0)</f>
        <v>0</v>
      </c>
      <c r="AB309" s="171">
        <f t="array" aca="1" ref="AB309" ca="1">IFERROR(INDEX(INDIRECT($B$3&amp;"."&amp;$B$267&amp;".energy["&amp;This.year&amp;"]"),MATCH($C309&amp;AB$5,INDIRECT($B$3&amp;"."&amp;$B$267&amp;".energy[Tech description]")&amp;INDIRECT($B$3&amp;"."&amp;$B$267&amp;".energy[Energy description]"),0)),0)</f>
        <v>0</v>
      </c>
      <c r="AC309" s="171">
        <f t="array" aca="1" ref="AC309" ca="1">IFERROR(INDEX(INDIRECT($B$3&amp;"."&amp;$B$267&amp;".energy["&amp;This.year&amp;"]"),MATCH($C309&amp;AC$5,INDIRECT($B$3&amp;"."&amp;$B$267&amp;".energy[Tech description]")&amp;INDIRECT($B$3&amp;"."&amp;$B$267&amp;".energy[Energy description]"),0)),0)</f>
        <v>0</v>
      </c>
      <c r="AD309" s="171">
        <f t="array" aca="1" ref="AD309" ca="1">IFERROR(INDEX(INDIRECT($B$3&amp;"."&amp;$B$267&amp;".energy["&amp;This.year&amp;"]"),MATCH($C309&amp;AD$5,INDIRECT($B$3&amp;"."&amp;$B$267&amp;".energy[Tech description]")&amp;INDIRECT($B$3&amp;"."&amp;$B$267&amp;".energy[Energy description]"),0)),0)</f>
        <v>0</v>
      </c>
      <c r="AE309" s="171">
        <f t="array" aca="1" ref="AE309" ca="1">IFERROR(INDEX(INDIRECT($B$3&amp;"."&amp;$B$267&amp;".energy["&amp;This.year&amp;"]"),MATCH($C309&amp;AE$5,INDIRECT($B$3&amp;"."&amp;$B$267&amp;".energy[Tech description]")&amp;INDIRECT($B$3&amp;"."&amp;$B$267&amp;".energy[Energy description]"),0)),0)</f>
        <v>0</v>
      </c>
      <c r="AF309" s="171">
        <f t="array" aca="1" ref="AF309" ca="1">IFERROR(INDEX(INDIRECT($B$3&amp;"."&amp;$B$267&amp;".energy["&amp;This.year&amp;"]"),MATCH($C309&amp;AF$5,INDIRECT($B$3&amp;"."&amp;$B$267&amp;".energy[Tech description]")&amp;INDIRECT($B$3&amp;"."&amp;$B$267&amp;".energy[Energy description]"),0)),0)</f>
        <v>0</v>
      </c>
      <c r="AG309" s="171">
        <f t="array" aca="1" ref="AG309" ca="1">IFERROR(INDEX(INDIRECT($B$3&amp;"."&amp;$B$267&amp;".energy["&amp;This.year&amp;"]"),MATCH($C309&amp;AG$5,INDIRECT($B$3&amp;"."&amp;$B$267&amp;".energy[Tech description]")&amp;INDIRECT($B$3&amp;"."&amp;$B$267&amp;".energy[Energy description]"),0)),0)</f>
        <v>0</v>
      </c>
      <c r="AH309" s="171">
        <f t="array" aca="1" ref="AH309" ca="1">IFERROR(INDEX(INDIRECT($B$3&amp;"."&amp;$B$267&amp;".energy["&amp;This.year&amp;"]"),MATCH($C309&amp;AH$5,INDIRECT($B$3&amp;"."&amp;$B$267&amp;".energy[Tech description]")&amp;INDIRECT($B$3&amp;"."&amp;$B$267&amp;".energy[Energy description]"),0)),0)</f>
        <v>0</v>
      </c>
      <c r="AI309" s="171">
        <f t="array" aca="1" ref="AI309" ca="1">IFERROR(INDEX(INDIRECT($B$3&amp;"."&amp;$B$267&amp;".energy["&amp;This.year&amp;"]"),MATCH($C309&amp;AI$5,INDIRECT($B$3&amp;"."&amp;$B$267&amp;".energy[Tech description]")&amp;INDIRECT($B$3&amp;"."&amp;$B$267&amp;".energy[Energy description]"),0)),0)</f>
        <v>0</v>
      </c>
      <c r="AJ309" s="171">
        <f t="array" aca="1" ref="AJ309" ca="1">IFERROR(INDEX(INDIRECT($B$3&amp;"."&amp;$B$267&amp;".energy["&amp;This.year&amp;"]"),MATCH($C309&amp;AJ$5,INDIRECT($B$3&amp;"."&amp;$B$267&amp;".energy[Tech description]")&amp;INDIRECT($B$3&amp;"."&amp;$B$267&amp;".energy[Energy description]"),0)),0)</f>
        <v>0</v>
      </c>
      <c r="AK309" s="171">
        <f t="array" aca="1" ref="AK309" ca="1">IFERROR(INDEX(INDIRECT($B$3&amp;"."&amp;$B$267&amp;".energy["&amp;This.year&amp;"]"),MATCH($C309&amp;AK$5,INDIRECT($B$3&amp;"."&amp;$B$267&amp;".energy[Tech description]")&amp;INDIRECT($B$3&amp;"."&amp;$B$267&amp;".energy[Energy description]"),0)),0)</f>
        <v>0</v>
      </c>
      <c r="AL309" s="171">
        <f t="array" aca="1" ref="AL309" ca="1">IFERROR(INDEX(INDIRECT($B$3&amp;"."&amp;$B$267&amp;".energy["&amp;This.year&amp;"]"),MATCH($C309&amp;AL$5,INDIRECT($B$3&amp;"."&amp;$B$267&amp;".energy[Tech description]")&amp;INDIRECT($B$3&amp;"."&amp;$B$267&amp;".energy[Energy description]"),0)),0)</f>
        <v>0</v>
      </c>
      <c r="AM309" s="171">
        <f t="array" aca="1" ref="AM309" ca="1">IFERROR(INDEX(INDIRECT($B$3&amp;"."&amp;$B$267&amp;".energy["&amp;This.year&amp;"]"),MATCH($C309&amp;AM$5,INDIRECT($B$3&amp;"."&amp;$B$267&amp;".energy[Tech description]")&amp;INDIRECT($B$3&amp;"."&amp;$B$267&amp;".energy[Energy description]"),0)),0)</f>
        <v>0</v>
      </c>
      <c r="AN309" s="171">
        <f t="array" aca="1" ref="AN309" ca="1">IFERROR(INDEX(INDIRECT($B$3&amp;"."&amp;$B$267&amp;".energy["&amp;This.year&amp;"]"),MATCH($C309&amp;AN$5,INDIRECT($B$3&amp;"."&amp;$B$267&amp;".energy[Tech description]")&amp;INDIRECT($B$3&amp;"."&amp;$B$267&amp;".energy[Energy description]"),0)),0)</f>
        <v>0</v>
      </c>
      <c r="AO309" s="171">
        <f ca="1">SUM(V309:AN309)</f>
        <v>0</v>
      </c>
      <c r="AQ309" s="173">
        <f t="array" aca="1" ref="AQ309" ca="1">IFERROR(INDEX(INDIRECT($B$3&amp;"."&amp;$B$267&amp;".energy["&amp;This.year&amp;"]"),MATCH($C309&amp;AQ$5,INDIRECT($B$3&amp;"."&amp;$B$267&amp;".energy[Tech description]")&amp;INDIRECT($B$3&amp;"."&amp;$B$267&amp;".energy[Energy description]"),0)),0)</f>
        <v>0</v>
      </c>
      <c r="AR309" s="173">
        <f t="array" aca="1" ref="AR309" ca="1">IFERROR(INDEX(INDIRECT($B$3&amp;"."&amp;$B$267&amp;".energy["&amp;This.year&amp;"]"),MATCH($C309&amp;AR$5,INDIRECT($B$3&amp;"."&amp;$B$267&amp;".energy[Tech description]")&amp;INDIRECT($B$3&amp;"."&amp;$B$267&amp;".energy[Energy description]"),0)),0)</f>
        <v>0</v>
      </c>
      <c r="AS309" s="173">
        <f t="array" aca="1" ref="AS309" ca="1">IFERROR(INDEX(INDIRECT($B$3&amp;"."&amp;$B$267&amp;".energy["&amp;This.year&amp;"]"),MATCH($C309&amp;AS$5,INDIRECT($B$3&amp;"."&amp;$B$267&amp;".energy[Tech description]")&amp;INDIRECT($B$3&amp;"."&amp;$B$267&amp;".energy[Energy description]"),0)),0)</f>
        <v>0</v>
      </c>
      <c r="AT309" s="173">
        <f t="array" aca="1" ref="AT309" ca="1">IFERROR(INDEX(INDIRECT($B$3&amp;"."&amp;$B$267&amp;".energy["&amp;This.year&amp;"]"),MATCH($C309&amp;AT$5,INDIRECT($B$3&amp;"."&amp;$B$267&amp;".energy[Tech description]")&amp;INDIRECT($B$3&amp;"."&amp;$B$267&amp;".energy[Energy description]"),0)),0)</f>
        <v>0</v>
      </c>
      <c r="AU309" s="173">
        <f t="array" aca="1" ref="AU309" ca="1">IFERROR(INDEX(INDIRECT($B$3&amp;"."&amp;$B$267&amp;".energy["&amp;This.year&amp;"]"),MATCH($C309&amp;AU$5,INDIRECT($B$3&amp;"."&amp;$B$267&amp;".energy[Tech description]")&amp;INDIRECT($B$3&amp;"."&amp;$B$267&amp;".energy[Energy description]"),0)),0)</f>
        <v>0</v>
      </c>
      <c r="AV309" s="173">
        <f t="array" aca="1" ref="AV309" ca="1">IFERROR(INDEX(INDIRECT($B$3&amp;"."&amp;$B$267&amp;".energy["&amp;This.year&amp;"]"),MATCH($C309&amp;AV$5,INDIRECT($B$3&amp;"."&amp;$B$267&amp;".energy[Tech description]")&amp;INDIRECT($B$3&amp;"."&amp;$B$267&amp;".energy[Energy description]"),0)),0)</f>
        <v>0</v>
      </c>
      <c r="AW309" s="173">
        <f t="array" aca="1" ref="AW309" ca="1">IFERROR(INDEX(INDIRECT($B$3&amp;"."&amp;$B$267&amp;".energy["&amp;This.year&amp;"]"),MATCH($C309&amp;AW$5,INDIRECT($B$3&amp;"."&amp;$B$267&amp;".energy[Tech description]")&amp;INDIRECT($B$3&amp;"."&amp;$B$267&amp;".energy[Energy description]"),0)),0)</f>
        <v>0</v>
      </c>
      <c r="AX309" s="173">
        <f t="array" aca="1" ref="AX309" ca="1">IFERROR(INDEX(INDIRECT($B$3&amp;"."&amp;$B$267&amp;".energy["&amp;This.year&amp;"]"),MATCH($C309&amp;AX$5,INDIRECT($B$3&amp;"."&amp;$B$267&amp;".energy[Tech description]")&amp;INDIRECT($B$3&amp;"."&amp;$B$267&amp;".energy[Energy description]"),0)),0)</f>
        <v>0</v>
      </c>
      <c r="AY309" s="173">
        <f t="array" aca="1" ref="AY309" ca="1">IFERROR(INDEX(INDIRECT($B$3&amp;"."&amp;$B$267&amp;".energy["&amp;This.year&amp;"]"),MATCH($C309&amp;AY$5,INDIRECT($B$3&amp;"."&amp;$B$267&amp;".energy[Tech description]")&amp;INDIRECT($B$3&amp;"."&amp;$B$267&amp;".energy[Energy description]"),0)),0)</f>
        <v>0</v>
      </c>
      <c r="AZ309" s="173">
        <f t="array" aca="1" ref="AZ309" ca="1">IFERROR(INDEX(INDIRECT($B$3&amp;"."&amp;$B$267&amp;".energy["&amp;This.year&amp;"]"),MATCH($C309&amp;AZ$5,INDIRECT($B$3&amp;"."&amp;$B$267&amp;".energy[Tech description]")&amp;INDIRECT($B$3&amp;"."&amp;$B$267&amp;".energy[Energy description]"),0)),0)</f>
        <v>0</v>
      </c>
      <c r="BA309" s="173">
        <f t="array" aca="1" ref="BA309" ca="1">IFERROR(INDEX(INDIRECT($B$3&amp;"."&amp;$B$267&amp;".energy["&amp;This.year&amp;"]"),MATCH($C309&amp;BA$5,INDIRECT($B$3&amp;"."&amp;$B$267&amp;".energy[Tech description]")&amp;INDIRECT($B$3&amp;"."&amp;$B$267&amp;".energy[Energy description]"),0)),0)</f>
        <v>0</v>
      </c>
      <c r="BB309" s="173">
        <f t="array" aca="1" ref="BB309" ca="1">IFERROR(INDEX(INDIRECT($B$3&amp;"."&amp;$B$267&amp;".energy["&amp;This.year&amp;"]"),MATCH($C309&amp;BB$5,INDIRECT($B$3&amp;"."&amp;$B$267&amp;".energy[Tech description]")&amp;INDIRECT($B$3&amp;"."&amp;$B$267&amp;".energy[Energy description]"),0)),0)</f>
        <v>0</v>
      </c>
      <c r="BC309" s="173">
        <f t="array" aca="1" ref="BC309" ca="1">IFERROR(INDEX(INDIRECT($B$3&amp;"."&amp;$B$267&amp;".energy["&amp;This.year&amp;"]"),MATCH($C309&amp;BC$5,INDIRECT($B$3&amp;"."&amp;$B$267&amp;".energy[Tech description]")&amp;INDIRECT($B$3&amp;"."&amp;$B$267&amp;".energy[Energy description]"),0)),0)</f>
        <v>0</v>
      </c>
      <c r="BD309" s="173">
        <f ca="1">SUM(AQ309:BB309)</f>
        <v>0</v>
      </c>
      <c r="BF309" s="175">
        <f t="array" aca="1" ref="BF309" ca="1">IFERROR(INDEX(INDIRECT($B$3&amp;"."&amp;$B$267&amp;".energy["&amp;This.year&amp;"]"),MATCH($C309&amp;BF$5,INDIRECT($B$3&amp;"."&amp;$B$267&amp;".energy[Tech description]")&amp;INDIRECT($B$3&amp;"."&amp;$B$267&amp;".energy[Energy description]"),0)),0)</f>
        <v>0</v>
      </c>
      <c r="BG309" s="175">
        <f t="array" aca="1" ref="BG309" ca="1">IFERROR(INDEX(INDIRECT($B$3&amp;"."&amp;$B$267&amp;".energy["&amp;This.year&amp;"]"),MATCH($C309&amp;BG$5,INDIRECT($B$3&amp;"."&amp;$B$267&amp;".energy[Tech description]")&amp;INDIRECT($B$3&amp;"."&amp;$B$267&amp;".energy[Energy description]"),0)),0)</f>
        <v>0</v>
      </c>
      <c r="BH309" s="175">
        <f t="shared" ref="BH309" ca="1" si="103">SUM(BF309:BG309)</f>
        <v>0</v>
      </c>
      <c r="BI309" s="219">
        <f ca="1">SUM(T309,AO309,BD309,BH309)</f>
        <v>0</v>
      </c>
      <c r="BJ309" s="58"/>
      <c r="BK309" s="97"/>
    </row>
    <row r="310" spans="1:63">
      <c r="B310" s="167"/>
      <c r="E310" s="121"/>
      <c r="F310" s="121"/>
      <c r="G310" s="121"/>
      <c r="H310" s="121"/>
      <c r="I310" s="121"/>
      <c r="J310" s="121"/>
      <c r="K310" s="121"/>
      <c r="L310" s="121"/>
      <c r="M310" s="121"/>
      <c r="N310" s="121"/>
      <c r="O310" s="121"/>
      <c r="P310" s="121"/>
      <c r="Q310" s="121"/>
      <c r="R310" s="121"/>
      <c r="S310" s="121"/>
      <c r="T310" s="121"/>
      <c r="U310" s="58"/>
      <c r="V310" s="152"/>
      <c r="W310" s="152"/>
      <c r="X310" s="152"/>
      <c r="Y310" s="152"/>
      <c r="Z310" s="152"/>
      <c r="AA310" s="152"/>
      <c r="AB310" s="152"/>
      <c r="AC310" s="152"/>
      <c r="AD310" s="152"/>
      <c r="AE310" s="152"/>
      <c r="AF310" s="152"/>
      <c r="AG310" s="152"/>
      <c r="AH310" s="152"/>
      <c r="AI310" s="152"/>
      <c r="AJ310" s="152"/>
      <c r="AK310" s="152"/>
      <c r="AL310" s="152"/>
      <c r="AM310" s="152"/>
      <c r="AN310" s="152"/>
      <c r="AO310" s="152"/>
      <c r="AP310" s="58"/>
      <c r="AQ310" s="21"/>
      <c r="AR310" s="21"/>
      <c r="AS310" s="21"/>
      <c r="AT310" s="21"/>
      <c r="AU310" s="21"/>
      <c r="AV310" s="21"/>
      <c r="AW310" s="21"/>
      <c r="AX310" s="21"/>
      <c r="AY310" s="21"/>
      <c r="AZ310" s="21"/>
      <c r="BA310" s="21"/>
      <c r="BB310" s="21"/>
      <c r="BC310" s="21"/>
      <c r="BD310" s="21"/>
      <c r="BE310" s="58"/>
      <c r="BF310" s="49"/>
      <c r="BG310" s="49"/>
      <c r="BH310" s="49"/>
      <c r="BJ310" s="58"/>
    </row>
    <row r="311" spans="1:63" ht="15">
      <c r="B311" s="105">
        <v>50</v>
      </c>
      <c r="C311" s="15" t="str">
        <f>INDEX(Regional.sectors[Description],MATCH($B$3&amp;"."&amp;B311,Regional.sectors[Code],0))</f>
        <v>Global Fuel production</v>
      </c>
      <c r="D311" s="219" t="s">
        <v>414</v>
      </c>
      <c r="E311" s="121">
        <f ca="1">SUM(E313,E318,E323,E329)</f>
        <v>0</v>
      </c>
      <c r="F311" s="121">
        <f t="shared" ref="F311:BH311" ca="1" si="104">SUM(F313,F318,F323,F329)</f>
        <v>0</v>
      </c>
      <c r="G311" s="121">
        <f t="shared" ca="1" si="104"/>
        <v>0</v>
      </c>
      <c r="H311" s="121">
        <f t="shared" ca="1" si="104"/>
        <v>0</v>
      </c>
      <c r="I311" s="121">
        <f t="shared" ca="1" si="104"/>
        <v>0</v>
      </c>
      <c r="J311" s="121">
        <f t="shared" ca="1" si="104"/>
        <v>0</v>
      </c>
      <c r="K311" s="121">
        <f t="shared" ca="1" si="104"/>
        <v>0</v>
      </c>
      <c r="L311" s="121">
        <f t="shared" ca="1" si="104"/>
        <v>0</v>
      </c>
      <c r="M311" s="121">
        <f t="shared" ca="1" si="104"/>
        <v>0</v>
      </c>
      <c r="N311" s="121">
        <f t="shared" ca="1" si="104"/>
        <v>0</v>
      </c>
      <c r="O311" s="121">
        <f t="shared" ref="O311" ca="1" si="105">SUM(O313,O318,O323,O329)</f>
        <v>0</v>
      </c>
      <c r="P311" s="121">
        <f t="shared" ca="1" si="104"/>
        <v>0</v>
      </c>
      <c r="Q311" s="121">
        <f t="shared" ca="1" si="104"/>
        <v>0</v>
      </c>
      <c r="R311" s="121">
        <f t="shared" ca="1" si="104"/>
        <v>0</v>
      </c>
      <c r="S311" s="121">
        <f t="shared" ca="1" si="104"/>
        <v>0</v>
      </c>
      <c r="T311" s="121">
        <f t="shared" ca="1" si="104"/>
        <v>0</v>
      </c>
      <c r="U311" s="58"/>
      <c r="V311" s="152">
        <f t="shared" ca="1" si="104"/>
        <v>0</v>
      </c>
      <c r="W311" s="152">
        <f t="shared" ca="1" si="104"/>
        <v>0</v>
      </c>
      <c r="X311" s="152">
        <f t="shared" ca="1" si="104"/>
        <v>0</v>
      </c>
      <c r="Y311" s="152">
        <f t="shared" ca="1" si="104"/>
        <v>0</v>
      </c>
      <c r="Z311" s="152">
        <f t="shared" ca="1" si="104"/>
        <v>0</v>
      </c>
      <c r="AA311" s="152">
        <f t="shared" ca="1" si="104"/>
        <v>0</v>
      </c>
      <c r="AB311" s="152">
        <f t="shared" ca="1" si="104"/>
        <v>0</v>
      </c>
      <c r="AC311" s="152">
        <f t="shared" ca="1" si="104"/>
        <v>0</v>
      </c>
      <c r="AD311" s="152">
        <f t="shared" ca="1" si="104"/>
        <v>0</v>
      </c>
      <c r="AE311" s="152">
        <f t="shared" ca="1" si="104"/>
        <v>0</v>
      </c>
      <c r="AF311" s="152">
        <f t="shared" ca="1" si="104"/>
        <v>0</v>
      </c>
      <c r="AG311" s="152">
        <f t="shared" ca="1" si="104"/>
        <v>0</v>
      </c>
      <c r="AH311" s="152">
        <f t="shared" ca="1" si="104"/>
        <v>0</v>
      </c>
      <c r="AI311" s="152">
        <f t="shared" ca="1" si="104"/>
        <v>0</v>
      </c>
      <c r="AJ311" s="152">
        <f t="shared" ca="1" si="104"/>
        <v>0</v>
      </c>
      <c r="AK311" s="152">
        <f t="shared" ca="1" si="104"/>
        <v>0</v>
      </c>
      <c r="AL311" s="152">
        <f t="shared" ca="1" si="104"/>
        <v>0</v>
      </c>
      <c r="AM311" s="152">
        <f t="shared" ca="1" si="104"/>
        <v>0</v>
      </c>
      <c r="AN311" s="152">
        <f t="shared" ca="1" si="104"/>
        <v>0</v>
      </c>
      <c r="AO311" s="152">
        <f t="shared" ca="1" si="104"/>
        <v>0</v>
      </c>
      <c r="AP311" s="58"/>
      <c r="AQ311" s="21">
        <f t="shared" ca="1" si="104"/>
        <v>0</v>
      </c>
      <c r="AR311" s="21">
        <f t="shared" ca="1" si="104"/>
        <v>0</v>
      </c>
      <c r="AS311" s="21">
        <f t="shared" ca="1" si="104"/>
        <v>0</v>
      </c>
      <c r="AT311" s="21">
        <f t="shared" ca="1" si="104"/>
        <v>0</v>
      </c>
      <c r="AU311" s="21">
        <f t="shared" ca="1" si="104"/>
        <v>0</v>
      </c>
      <c r="AV311" s="21">
        <f t="shared" ca="1" si="104"/>
        <v>0</v>
      </c>
      <c r="AW311" s="21">
        <f t="shared" ca="1" si="104"/>
        <v>0</v>
      </c>
      <c r="AX311" s="21">
        <f t="shared" ca="1" si="104"/>
        <v>0</v>
      </c>
      <c r="AY311" s="21">
        <f t="shared" ca="1" si="104"/>
        <v>0</v>
      </c>
      <c r="AZ311" s="21">
        <f t="shared" ca="1" si="104"/>
        <v>0</v>
      </c>
      <c r="BA311" s="21">
        <f t="shared" ca="1" si="104"/>
        <v>0</v>
      </c>
      <c r="BB311" s="21">
        <f t="shared" ca="1" si="104"/>
        <v>0</v>
      </c>
      <c r="BC311" s="21">
        <f t="shared" ca="1" si="104"/>
        <v>0</v>
      </c>
      <c r="BD311" s="21">
        <f t="shared" ca="1" si="104"/>
        <v>0</v>
      </c>
      <c r="BE311" s="58"/>
      <c r="BF311" s="49">
        <f t="shared" ca="1" si="104"/>
        <v>0</v>
      </c>
      <c r="BG311" s="49">
        <f t="shared" ca="1" si="104"/>
        <v>0</v>
      </c>
      <c r="BH311" s="49">
        <f t="shared" ca="1" si="104"/>
        <v>0</v>
      </c>
      <c r="BI311" s="219">
        <f ca="1">SUM(T311,AO311,BD311,BH311)</f>
        <v>0</v>
      </c>
      <c r="BJ311" s="58"/>
    </row>
    <row r="312" spans="1:63" ht="15">
      <c r="B312" s="105"/>
      <c r="C312" s="15"/>
      <c r="E312" s="230"/>
      <c r="F312" s="230"/>
      <c r="G312" s="230"/>
      <c r="H312" s="230"/>
      <c r="I312" s="230"/>
      <c r="J312" s="230"/>
      <c r="K312" s="230"/>
      <c r="L312" s="230"/>
      <c r="M312" s="230"/>
      <c r="N312" s="230"/>
      <c r="O312" s="230"/>
      <c r="P312" s="121"/>
      <c r="Q312" s="230"/>
      <c r="R312" s="230"/>
      <c r="S312" s="230"/>
      <c r="T312" s="230"/>
      <c r="U312" s="376"/>
      <c r="V312" s="152"/>
      <c r="W312" s="152"/>
      <c r="X312" s="152"/>
      <c r="Y312" s="152"/>
      <c r="Z312" s="152"/>
      <c r="AA312" s="152"/>
      <c r="AB312" s="152"/>
      <c r="AC312" s="152"/>
      <c r="AD312" s="152"/>
      <c r="AE312" s="152"/>
      <c r="AF312" s="152"/>
      <c r="AG312" s="152"/>
      <c r="AH312" s="152"/>
      <c r="AI312" s="152"/>
      <c r="AJ312" s="152"/>
      <c r="AK312" s="152"/>
      <c r="AL312" s="152"/>
      <c r="AM312" s="152"/>
      <c r="AN312" s="152"/>
      <c r="AO312" s="152"/>
      <c r="AP312" s="376"/>
      <c r="AQ312" s="21"/>
      <c r="AR312" s="21"/>
      <c r="AS312" s="21"/>
      <c r="AT312" s="21"/>
      <c r="AU312" s="21"/>
      <c r="AV312" s="21"/>
      <c r="AW312" s="21"/>
      <c r="AX312" s="21"/>
      <c r="AY312" s="21"/>
      <c r="AZ312" s="21"/>
      <c r="BA312" s="21"/>
      <c r="BB312" s="21"/>
      <c r="BC312" s="21"/>
      <c r="BD312" s="21"/>
      <c r="BE312" s="376"/>
      <c r="BF312" s="49"/>
      <c r="BG312" s="49"/>
      <c r="BH312" s="49"/>
      <c r="BJ312" s="58"/>
    </row>
    <row r="313" spans="1:63">
      <c r="B313" s="105"/>
      <c r="C313" s="219" t="s">
        <v>326</v>
      </c>
      <c r="E313" s="121">
        <f ca="1">SUM(E314:E316)</f>
        <v>0</v>
      </c>
      <c r="F313" s="121">
        <f t="shared" ref="F313:BH313" ca="1" si="106">SUM(F314:F316)</f>
        <v>0</v>
      </c>
      <c r="G313" s="121">
        <f t="shared" ca="1" si="106"/>
        <v>0</v>
      </c>
      <c r="H313" s="121">
        <f t="shared" ca="1" si="106"/>
        <v>0</v>
      </c>
      <c r="I313" s="121">
        <f t="shared" ca="1" si="106"/>
        <v>0</v>
      </c>
      <c r="J313" s="121">
        <f t="shared" ca="1" si="106"/>
        <v>0</v>
      </c>
      <c r="K313" s="121">
        <f t="shared" ca="1" si="106"/>
        <v>0</v>
      </c>
      <c r="L313" s="121">
        <f t="shared" ca="1" si="106"/>
        <v>0</v>
      </c>
      <c r="M313" s="121">
        <f t="shared" ca="1" si="106"/>
        <v>0</v>
      </c>
      <c r="N313" s="121">
        <f t="shared" ca="1" si="106"/>
        <v>0</v>
      </c>
      <c r="O313" s="121">
        <f t="shared" ref="O313" ca="1" si="107">SUM(O314:O316)</f>
        <v>0</v>
      </c>
      <c r="P313" s="121">
        <f t="shared" ca="1" si="106"/>
        <v>0</v>
      </c>
      <c r="Q313" s="121">
        <f t="shared" ca="1" si="106"/>
        <v>0</v>
      </c>
      <c r="R313" s="121">
        <f t="shared" ca="1" si="106"/>
        <v>0</v>
      </c>
      <c r="S313" s="121">
        <f t="shared" ca="1" si="106"/>
        <v>0</v>
      </c>
      <c r="T313" s="121">
        <f t="shared" ca="1" si="106"/>
        <v>0</v>
      </c>
      <c r="V313" s="152">
        <f t="shared" ca="1" si="106"/>
        <v>0</v>
      </c>
      <c r="W313" s="152">
        <f t="shared" ca="1" si="106"/>
        <v>0</v>
      </c>
      <c r="X313" s="152">
        <f t="shared" ca="1" si="106"/>
        <v>0</v>
      </c>
      <c r="Y313" s="152">
        <f t="shared" ca="1" si="106"/>
        <v>0</v>
      </c>
      <c r="Z313" s="152">
        <f t="shared" ca="1" si="106"/>
        <v>0</v>
      </c>
      <c r="AA313" s="152">
        <f t="shared" ca="1" si="106"/>
        <v>0</v>
      </c>
      <c r="AB313" s="152">
        <f t="shared" ca="1" si="106"/>
        <v>0</v>
      </c>
      <c r="AC313" s="152">
        <f t="shared" ca="1" si="106"/>
        <v>0</v>
      </c>
      <c r="AD313" s="152">
        <f t="shared" ca="1" si="106"/>
        <v>0</v>
      </c>
      <c r="AE313" s="152">
        <f t="shared" ca="1" si="106"/>
        <v>0</v>
      </c>
      <c r="AF313" s="152">
        <f t="shared" ca="1" si="106"/>
        <v>0</v>
      </c>
      <c r="AG313" s="152">
        <f t="shared" ca="1" si="106"/>
        <v>0</v>
      </c>
      <c r="AH313" s="152">
        <f t="shared" ca="1" si="106"/>
        <v>0</v>
      </c>
      <c r="AI313" s="152">
        <f t="shared" ca="1" si="106"/>
        <v>0</v>
      </c>
      <c r="AJ313" s="152">
        <f t="shared" ca="1" si="106"/>
        <v>0</v>
      </c>
      <c r="AK313" s="152">
        <f t="shared" ca="1" si="106"/>
        <v>0</v>
      </c>
      <c r="AL313" s="152">
        <f t="shared" ca="1" si="106"/>
        <v>0</v>
      </c>
      <c r="AM313" s="152">
        <f t="shared" ca="1" si="106"/>
        <v>0</v>
      </c>
      <c r="AN313" s="152">
        <f t="shared" ca="1" si="106"/>
        <v>0</v>
      </c>
      <c r="AO313" s="152">
        <f t="shared" ca="1" si="106"/>
        <v>0</v>
      </c>
      <c r="AQ313" s="21">
        <f t="shared" ca="1" si="106"/>
        <v>0</v>
      </c>
      <c r="AR313" s="21">
        <f t="shared" ca="1" si="106"/>
        <v>0</v>
      </c>
      <c r="AS313" s="21">
        <f t="shared" ca="1" si="106"/>
        <v>0</v>
      </c>
      <c r="AT313" s="21">
        <f t="shared" ca="1" si="106"/>
        <v>0</v>
      </c>
      <c r="AU313" s="21">
        <f t="shared" ca="1" si="106"/>
        <v>0</v>
      </c>
      <c r="AV313" s="21">
        <f t="shared" ca="1" si="106"/>
        <v>0</v>
      </c>
      <c r="AW313" s="21">
        <f t="shared" ca="1" si="106"/>
        <v>0</v>
      </c>
      <c r="AX313" s="21">
        <f t="shared" ca="1" si="106"/>
        <v>0</v>
      </c>
      <c r="AY313" s="21">
        <f t="shared" ca="1" si="106"/>
        <v>0</v>
      </c>
      <c r="AZ313" s="21">
        <f t="shared" ca="1" si="106"/>
        <v>0</v>
      </c>
      <c r="BA313" s="21">
        <f t="shared" ca="1" si="106"/>
        <v>0</v>
      </c>
      <c r="BB313" s="21">
        <f t="shared" ca="1" si="106"/>
        <v>0</v>
      </c>
      <c r="BC313" s="21">
        <f t="shared" ca="1" si="106"/>
        <v>0</v>
      </c>
      <c r="BD313" s="21">
        <f t="shared" ca="1" si="106"/>
        <v>0</v>
      </c>
      <c r="BF313" s="49">
        <f t="shared" ca="1" si="106"/>
        <v>0</v>
      </c>
      <c r="BG313" s="49">
        <f t="shared" ca="1" si="106"/>
        <v>0</v>
      </c>
      <c r="BH313" s="49">
        <f t="shared" ca="1" si="106"/>
        <v>0</v>
      </c>
      <c r="BI313" s="219">
        <f t="shared" ref="BI313:BI316" ca="1" si="108">SUM(T313,AO313,BD313,BH313)</f>
        <v>0</v>
      </c>
      <c r="BJ313" s="58"/>
    </row>
    <row r="314" spans="1:63">
      <c r="B314" s="176" t="s">
        <v>1728</v>
      </c>
      <c r="C314" s="114" t="str">
        <f>INDEX(Regional.Technologies[Description],MATCH($B$3&amp;"."&amp;B314,Regional.Technologies[Code],0))</f>
        <v>Global Production of hydrogen through SMR</v>
      </c>
      <c r="D314" s="219" t="s">
        <v>414</v>
      </c>
      <c r="E314" s="121">
        <f t="array" aca="1" ref="E314" ca="1">IFERROR(INDEX(INDIRECT($B$3&amp;"."&amp;$B$311&amp;".energy["&amp;This.year&amp;"]"),MATCH($C314&amp;E$5,INDIRECT($B$3&amp;"."&amp;$B$311&amp;".energy[Tech description]")&amp;INDIRECT($B$3&amp;"."&amp;$B$311&amp;".energy[Energy description]"),0)),0)</f>
        <v>0</v>
      </c>
      <c r="F314" s="121">
        <f t="array" aca="1" ref="F314" ca="1">IFERROR(INDEX(INDIRECT($B$3&amp;"."&amp;$B$311&amp;".energy["&amp;This.year&amp;"]"),MATCH($C314&amp;F$5,INDIRECT($B$3&amp;"."&amp;$B$311&amp;".energy[Tech description]")&amp;INDIRECT($B$3&amp;"."&amp;$B$311&amp;".energy[Energy description]"),0)),0)</f>
        <v>0</v>
      </c>
      <c r="G314" s="121">
        <f t="array" aca="1" ref="G314" ca="1">IFERROR(INDEX(INDIRECT($B$3&amp;"."&amp;$B$311&amp;".energy["&amp;This.year&amp;"]"),MATCH($C314&amp;G$5,INDIRECT($B$3&amp;"."&amp;$B$311&amp;".energy[Tech description]")&amp;INDIRECT($B$3&amp;"."&amp;$B$311&amp;".energy[Energy description]"),0)),0)</f>
        <v>0</v>
      </c>
      <c r="H314" s="121">
        <f t="array" aca="1" ref="H314" ca="1">IFERROR(INDEX(INDIRECT($B$3&amp;"."&amp;$B$311&amp;".energy["&amp;This.year&amp;"]"),MATCH($C314&amp;H$5,INDIRECT($B$3&amp;"."&amp;$B$311&amp;".energy[Tech description]")&amp;INDIRECT($B$3&amp;"."&amp;$B$311&amp;".energy[Energy description]"),0)),0)</f>
        <v>0</v>
      </c>
      <c r="I314" s="121">
        <f t="array" aca="1" ref="I314" ca="1">IFERROR(INDEX(INDIRECT($B$3&amp;"."&amp;$B$311&amp;".energy["&amp;This.year&amp;"]"),MATCH($C314&amp;I$5,INDIRECT($B$3&amp;"."&amp;$B$311&amp;".energy[Tech description]")&amp;INDIRECT($B$3&amp;"."&amp;$B$311&amp;".energy[Energy description]"),0)),0)</f>
        <v>0</v>
      </c>
      <c r="J314" s="121">
        <f t="array" aca="1" ref="J314" ca="1">IFERROR(INDEX(INDIRECT($B$3&amp;"."&amp;$B$311&amp;".energy["&amp;This.year&amp;"]"),MATCH($C314&amp;J$5,INDIRECT($B$3&amp;"."&amp;$B$311&amp;".energy[Tech description]")&amp;INDIRECT($B$3&amp;"."&amp;$B$311&amp;".energy[Energy description]"),0)),0)</f>
        <v>0</v>
      </c>
      <c r="K314" s="121">
        <f t="array" aca="1" ref="K314" ca="1">IFERROR(INDEX(INDIRECT($B$3&amp;"."&amp;$B$311&amp;".energy["&amp;This.year&amp;"]"),MATCH($C314&amp;K$5,INDIRECT($B$3&amp;"."&amp;$B$311&amp;".energy[Tech description]")&amp;INDIRECT($B$3&amp;"."&amp;$B$311&amp;".energy[Energy description]"),0)),0)</f>
        <v>0</v>
      </c>
      <c r="L314" s="121">
        <f t="array" aca="1" ref="L314" ca="1">IFERROR(INDEX(INDIRECT($B$3&amp;"."&amp;$B$311&amp;".energy["&amp;This.year&amp;"]"),MATCH($C314&amp;L$5,INDIRECT($B$3&amp;"."&amp;$B$311&amp;".energy[Tech description]")&amp;INDIRECT($B$3&amp;"."&amp;$B$311&amp;".energy[Energy description]"),0)),0)</f>
        <v>0</v>
      </c>
      <c r="M314" s="121">
        <f t="array" aca="1" ref="M314" ca="1">IFERROR(INDEX(INDIRECT($B$3&amp;"."&amp;$B$311&amp;".energy["&amp;This.year&amp;"]"),MATCH($C314&amp;M$5,INDIRECT($B$3&amp;"."&amp;$B$311&amp;".energy[Tech description]")&amp;INDIRECT($B$3&amp;"."&amp;$B$311&amp;".energy[Energy description]"),0)),0)</f>
        <v>0</v>
      </c>
      <c r="N314" s="121">
        <f t="array" aca="1" ref="N314" ca="1">IFERROR(INDEX(INDIRECT($B$3&amp;"."&amp;$B$311&amp;".energy["&amp;This.year&amp;"]"),MATCH($C314&amp;N$5,INDIRECT($B$3&amp;"."&amp;$B$311&amp;".energy[Tech description]")&amp;INDIRECT($B$3&amp;"."&amp;$B$311&amp;".energy[Energy description]"),0)),0)</f>
        <v>0</v>
      </c>
      <c r="O314" s="121">
        <f t="array" aca="1" ref="O314" ca="1">IFERROR(INDEX(INDIRECT($B$3&amp;"."&amp;$B$311&amp;".energy["&amp;This.year&amp;"]"),MATCH($C314&amp;O$5,INDIRECT($B$3&amp;"."&amp;$B$311&amp;".energy[Tech description]")&amp;INDIRECT($B$3&amp;"."&amp;$B$311&amp;".energy[Energy description]"),0)),0)</f>
        <v>0</v>
      </c>
      <c r="P314" s="121">
        <f t="array" aca="1" ref="P314" ca="1">IFERROR(INDEX(INDIRECT($B$3&amp;"."&amp;$B$311&amp;".energy["&amp;This.year&amp;"]"),MATCH($C314&amp;P$5,INDIRECT($B$3&amp;"."&amp;$B$311&amp;".energy[Tech description]")&amp;INDIRECT($B$3&amp;"."&amp;$B$311&amp;".energy[Energy description]"),0)),0)</f>
        <v>0</v>
      </c>
      <c r="Q314" s="121">
        <f t="array" aca="1" ref="Q314" ca="1">IFERROR(INDEX(INDIRECT($B$3&amp;"."&amp;$B$311&amp;".energy["&amp;This.year&amp;"]"),MATCH($C314&amp;Q$5,INDIRECT($B$3&amp;"."&amp;$B$311&amp;".energy[Tech description]")&amp;INDIRECT($B$3&amp;"."&amp;$B$311&amp;".energy[Energy description]"),0)),0)</f>
        <v>0</v>
      </c>
      <c r="R314" s="121">
        <f t="array" aca="1" ref="R314" ca="1">IFERROR(INDEX(INDIRECT($B$3&amp;"."&amp;$B$311&amp;".energy["&amp;This.year&amp;"]"),MATCH($C314&amp;R$5,INDIRECT($B$3&amp;"."&amp;$B$311&amp;".energy[Tech description]")&amp;INDIRECT($B$3&amp;"."&amp;$B$311&amp;".energy[Energy description]"),0)),0)</f>
        <v>0</v>
      </c>
      <c r="S314" s="121">
        <f t="array" aca="1" ref="S314" ca="1">IFERROR(INDEX(INDIRECT($B$3&amp;"."&amp;$B$311&amp;".energy["&amp;This.year&amp;"]"),MATCH($C314&amp;S$5,INDIRECT($B$3&amp;"."&amp;$B$311&amp;".energy[Tech description]")&amp;INDIRECT($B$3&amp;"."&amp;$B$311&amp;".energy[Energy description]"),0)),0)</f>
        <v>0</v>
      </c>
      <c r="T314" s="121">
        <f ca="1">SUM(E314:S314)</f>
        <v>0</v>
      </c>
      <c r="V314" s="152">
        <f t="array" aca="1" ref="V314" ca="1">IFERROR(INDEX(INDIRECT($B$3&amp;"."&amp;$B$311&amp;".energy["&amp;This.year&amp;"]"),MATCH($C314&amp;V$5,INDIRECT($B$3&amp;"."&amp;$B$311&amp;".energy[Tech description]")&amp;INDIRECT($B$3&amp;"."&amp;$B$311&amp;".energy[Energy description]"),0)),0)</f>
        <v>0</v>
      </c>
      <c r="W314" s="152">
        <f t="array" aca="1" ref="W314" ca="1">IFERROR(INDEX(INDIRECT($B$3&amp;"."&amp;$B$311&amp;".energy["&amp;This.year&amp;"]"),MATCH($C314&amp;W$5,INDIRECT($B$3&amp;"."&amp;$B$311&amp;".energy[Tech description]")&amp;INDIRECT($B$3&amp;"."&amp;$B$311&amp;".energy[Energy description]"),0)),0)</f>
        <v>0</v>
      </c>
      <c r="X314" s="152">
        <f t="array" aca="1" ref="X314" ca="1">IFERROR(INDEX(INDIRECT($B$3&amp;"."&amp;$B$311&amp;".energy["&amp;This.year&amp;"]"),MATCH($C314&amp;X$5,INDIRECT($B$3&amp;"."&amp;$B$311&amp;".energy[Tech description]")&amp;INDIRECT($B$3&amp;"."&amp;$B$311&amp;".energy[Energy description]"),0)),0)</f>
        <v>0</v>
      </c>
      <c r="Y314" s="152">
        <f t="array" aca="1" ref="Y314" ca="1">IFERROR(INDEX(INDIRECT($B$3&amp;"."&amp;$B$311&amp;".energy["&amp;This.year&amp;"]"),MATCH($C314&amp;Y$5,INDIRECT($B$3&amp;"."&amp;$B$311&amp;".energy[Tech description]")&amp;INDIRECT($B$3&amp;"."&amp;$B$311&amp;".energy[Energy description]"),0)),0)</f>
        <v>0</v>
      </c>
      <c r="Z314" s="152">
        <f t="array" aca="1" ref="Z314" ca="1">IFERROR(INDEX(INDIRECT($B$3&amp;"."&amp;$B$311&amp;".energy["&amp;This.year&amp;"]"),MATCH($C314&amp;Z$5,INDIRECT($B$3&amp;"."&amp;$B$311&amp;".energy[Tech description]")&amp;INDIRECT($B$3&amp;"."&amp;$B$311&amp;".energy[Energy description]"),0)),0)</f>
        <v>0</v>
      </c>
      <c r="AA314" s="152">
        <f t="array" aca="1" ref="AA314" ca="1">IFERROR(INDEX(INDIRECT($B$3&amp;"."&amp;$B$311&amp;".energy["&amp;This.year&amp;"]"),MATCH($C314&amp;AA$5,INDIRECT($B$3&amp;"."&amp;$B$311&amp;".energy[Tech description]")&amp;INDIRECT($B$3&amp;"."&amp;$B$311&amp;".energy[Energy description]"),0)),0)</f>
        <v>0</v>
      </c>
      <c r="AB314" s="152">
        <f t="array" aca="1" ref="AB314" ca="1">IFERROR(INDEX(INDIRECT($B$3&amp;"."&amp;$B$311&amp;".energy["&amp;This.year&amp;"]"),MATCH($C314&amp;AB$5,INDIRECT($B$3&amp;"."&amp;$B$311&amp;".energy[Tech description]")&amp;INDIRECT($B$3&amp;"."&amp;$B$311&amp;".energy[Energy description]"),0)),0)</f>
        <v>0</v>
      </c>
      <c r="AC314" s="152">
        <f t="array" aca="1" ref="AC314" ca="1">IFERROR(INDEX(INDIRECT($B$3&amp;"."&amp;$B$311&amp;".energy["&amp;This.year&amp;"]"),MATCH($C314&amp;AC$5,INDIRECT($B$3&amp;"."&amp;$B$311&amp;".energy[Tech description]")&amp;INDIRECT($B$3&amp;"."&amp;$B$311&amp;".energy[Energy description]"),0)),0)</f>
        <v>0</v>
      </c>
      <c r="AD314" s="152">
        <f t="array" aca="1" ref="AD314" ca="1">IFERROR(INDEX(INDIRECT($B$3&amp;"."&amp;$B$311&amp;".energy["&amp;This.year&amp;"]"),MATCH($C314&amp;AD$5,INDIRECT($B$3&amp;"."&amp;$B$311&amp;".energy[Tech description]")&amp;INDIRECT($B$3&amp;"."&amp;$B$311&amp;".energy[Energy description]"),0)),0)</f>
        <v>0</v>
      </c>
      <c r="AE314" s="152">
        <f t="array" aca="1" ref="AE314" ca="1">IFERROR(INDEX(INDIRECT($B$3&amp;"."&amp;$B$311&amp;".energy["&amp;This.year&amp;"]"),MATCH($C314&amp;AE$5,INDIRECT($B$3&amp;"."&amp;$B$311&amp;".energy[Tech description]")&amp;INDIRECT($B$3&amp;"."&amp;$B$311&amp;".energy[Energy description]"),0)),0)</f>
        <v>0</v>
      </c>
      <c r="AF314" s="152">
        <f t="array" aca="1" ref="AF314" ca="1">IFERROR(INDEX(INDIRECT($B$3&amp;"."&amp;$B$311&amp;".energy["&amp;This.year&amp;"]"),MATCH($C314&amp;AF$5,INDIRECT($B$3&amp;"."&amp;$B$311&amp;".energy[Tech description]")&amp;INDIRECT($B$3&amp;"."&amp;$B$311&amp;".energy[Energy description]"),0)),0)</f>
        <v>0</v>
      </c>
      <c r="AG314" s="152">
        <f t="array" aca="1" ref="AG314" ca="1">IFERROR(INDEX(INDIRECT($B$3&amp;"."&amp;$B$311&amp;".energy["&amp;This.year&amp;"]"),MATCH($C314&amp;AG$5,INDIRECT($B$3&amp;"."&amp;$B$311&amp;".energy[Tech description]")&amp;INDIRECT($B$3&amp;"."&amp;$B$311&amp;".energy[Energy description]"),0)),0)</f>
        <v>0</v>
      </c>
      <c r="AH314" s="152">
        <f t="array" aca="1" ref="AH314" ca="1">IFERROR(INDEX(INDIRECT($B$3&amp;"."&amp;$B$311&amp;".energy["&amp;This.year&amp;"]"),MATCH($C314&amp;AH$5,INDIRECT($B$3&amp;"."&amp;$B$311&amp;".energy[Tech description]")&amp;INDIRECT($B$3&amp;"."&amp;$B$311&amp;".energy[Energy description]"),0)),0)</f>
        <v>0</v>
      </c>
      <c r="AI314" s="152">
        <f t="array" aca="1" ref="AI314" ca="1">IFERROR(INDEX(INDIRECT($B$3&amp;"."&amp;$B$311&amp;".energy["&amp;This.year&amp;"]"),MATCH($C314&amp;AI$5,INDIRECT($B$3&amp;"."&amp;$B$311&amp;".energy[Tech description]")&amp;INDIRECT($B$3&amp;"."&amp;$B$311&amp;".energy[Energy description]"),0)),0)</f>
        <v>0</v>
      </c>
      <c r="AJ314" s="152">
        <f t="array" aca="1" ref="AJ314" ca="1">IFERROR(INDEX(INDIRECT($B$3&amp;"."&amp;$B$311&amp;".energy["&amp;This.year&amp;"]"),MATCH($C314&amp;AJ$5,INDIRECT($B$3&amp;"."&amp;$B$311&amp;".energy[Tech description]")&amp;INDIRECT($B$3&amp;"."&amp;$B$311&amp;".energy[Energy description]"),0)),0)</f>
        <v>0</v>
      </c>
      <c r="AK314" s="152">
        <f t="array" aca="1" ref="AK314" ca="1">IFERROR(INDEX(INDIRECT($B$3&amp;"."&amp;$B$311&amp;".energy["&amp;This.year&amp;"]"),MATCH($C314&amp;AK$5,INDIRECT($B$3&amp;"."&amp;$B$311&amp;".energy[Tech description]")&amp;INDIRECT($B$3&amp;"."&amp;$B$311&amp;".energy[Energy description]"),0)),0)</f>
        <v>0</v>
      </c>
      <c r="AL314" s="152">
        <f t="array" aca="1" ref="AL314" ca="1">IFERROR(INDEX(INDIRECT($B$3&amp;"."&amp;$B$311&amp;".energy["&amp;This.year&amp;"]"),MATCH($C314&amp;AL$5,INDIRECT($B$3&amp;"."&amp;$B$311&amp;".energy[Tech description]")&amp;INDIRECT($B$3&amp;"."&amp;$B$311&amp;".energy[Energy description]"),0)),0)</f>
        <v>0</v>
      </c>
      <c r="AM314" s="152">
        <f t="array" aca="1" ref="AM314" ca="1">IFERROR(INDEX(INDIRECT($B$3&amp;"."&amp;$B$311&amp;".energy["&amp;This.year&amp;"]"),MATCH($C314&amp;AM$5,INDIRECT($B$3&amp;"."&amp;$B$311&amp;".energy[Tech description]")&amp;INDIRECT($B$3&amp;"."&amp;$B$311&amp;".energy[Energy description]"),0)),0)</f>
        <v>0</v>
      </c>
      <c r="AN314" s="152">
        <f t="array" aca="1" ref="AN314" ca="1">IFERROR(INDEX(INDIRECT($B$3&amp;"."&amp;$B$311&amp;".energy["&amp;This.year&amp;"]"),MATCH($C314&amp;AN$5,INDIRECT($B$3&amp;"."&amp;$B$311&amp;".energy[Tech description]")&amp;INDIRECT($B$3&amp;"."&amp;$B$311&amp;".energy[Energy description]"),0)),0)</f>
        <v>0</v>
      </c>
      <c r="AO314" s="152">
        <f ca="1">SUM(V314:AN314)</f>
        <v>0</v>
      </c>
      <c r="AQ314" s="21">
        <f t="array" aca="1" ref="AQ314" ca="1">IFERROR(INDEX(INDIRECT($B$3&amp;"."&amp;$B$311&amp;".energy["&amp;This.year&amp;"]"),MATCH($C314&amp;AQ$5,INDIRECT($B$3&amp;"."&amp;$B$311&amp;".energy[Tech description]")&amp;INDIRECT($B$3&amp;"."&amp;$B$311&amp;".energy[Energy description]"),0)),0)</f>
        <v>0</v>
      </c>
      <c r="AR314" s="21">
        <f t="array" aca="1" ref="AR314" ca="1">IFERROR(INDEX(INDIRECT($B$3&amp;"."&amp;$B$311&amp;".energy["&amp;This.year&amp;"]"),MATCH($C314&amp;AR$5,INDIRECT($B$3&amp;"."&amp;$B$311&amp;".energy[Tech description]")&amp;INDIRECT($B$3&amp;"."&amp;$B$311&amp;".energy[Energy description]"),0)),0)</f>
        <v>0</v>
      </c>
      <c r="AS314" s="21">
        <f t="array" aca="1" ref="AS314" ca="1">IFERROR(INDEX(INDIRECT($B$3&amp;"."&amp;$B$311&amp;".energy["&amp;This.year&amp;"]"),MATCH($C314&amp;AS$5,INDIRECT($B$3&amp;"."&amp;$B$311&amp;".energy[Tech description]")&amp;INDIRECT($B$3&amp;"."&amp;$B$311&amp;".energy[Energy description]"),0)),0)</f>
        <v>0</v>
      </c>
      <c r="AT314" s="21">
        <f t="array" aca="1" ref="AT314" ca="1">IFERROR(INDEX(INDIRECT($B$3&amp;"."&amp;$B$311&amp;".energy["&amp;This.year&amp;"]"),MATCH($C314&amp;AT$5,INDIRECT($B$3&amp;"."&amp;$B$311&amp;".energy[Tech description]")&amp;INDIRECT($B$3&amp;"."&amp;$B$311&amp;".energy[Energy description]"),0)),0)</f>
        <v>0</v>
      </c>
      <c r="AU314" s="21">
        <f t="array" aca="1" ref="AU314" ca="1">IFERROR(INDEX(INDIRECT($B$3&amp;"."&amp;$B$311&amp;".energy["&amp;This.year&amp;"]"),MATCH($C314&amp;AU$5,INDIRECT($B$3&amp;"."&amp;$B$311&amp;".energy[Tech description]")&amp;INDIRECT($B$3&amp;"."&amp;$B$311&amp;".energy[Energy description]"),0)),0)</f>
        <v>0</v>
      </c>
      <c r="AV314" s="21">
        <f t="array" aca="1" ref="AV314" ca="1">IFERROR(INDEX(INDIRECT($B$3&amp;"."&amp;$B$311&amp;".energy["&amp;This.year&amp;"]"),MATCH($C314&amp;AV$5,INDIRECT($B$3&amp;"."&amp;$B$311&amp;".energy[Tech description]")&amp;INDIRECT($B$3&amp;"."&amp;$B$311&amp;".energy[Energy description]"),0)),0)</f>
        <v>0</v>
      </c>
      <c r="AW314" s="21">
        <f t="array" aca="1" ref="AW314" ca="1">IFERROR(INDEX(INDIRECT($B$3&amp;"."&amp;$B$311&amp;".energy["&amp;This.year&amp;"]"),MATCH($C314&amp;AW$5,INDIRECT($B$3&amp;"."&amp;$B$311&amp;".energy[Tech description]")&amp;INDIRECT($B$3&amp;"."&amp;$B$311&amp;".energy[Energy description]"),0)),0)</f>
        <v>0</v>
      </c>
      <c r="AX314" s="21">
        <f t="array" aca="1" ref="AX314" ca="1">IFERROR(INDEX(INDIRECT($B$3&amp;"."&amp;$B$311&amp;".energy["&amp;This.year&amp;"]"),MATCH($C314&amp;AX$5,INDIRECT($B$3&amp;"."&amp;$B$311&amp;".energy[Tech description]")&amp;INDIRECT($B$3&amp;"."&amp;$B$311&amp;".energy[Energy description]"),0)),0)</f>
        <v>0</v>
      </c>
      <c r="AY314" s="21">
        <f t="array" aca="1" ref="AY314" ca="1">IFERROR(INDEX(INDIRECT($B$3&amp;"."&amp;$B$311&amp;".energy["&amp;This.year&amp;"]"),MATCH($C314&amp;AY$5,INDIRECT($B$3&amp;"."&amp;$B$311&amp;".energy[Tech description]")&amp;INDIRECT($B$3&amp;"."&amp;$B$311&amp;".energy[Energy description]"),0)),0)</f>
        <v>0</v>
      </c>
      <c r="AZ314" s="21">
        <f t="array" aca="1" ref="AZ314" ca="1">IFERROR(INDEX(INDIRECT($B$3&amp;"."&amp;$B$311&amp;".energy["&amp;This.year&amp;"]"),MATCH($C314&amp;AZ$5,INDIRECT($B$3&amp;"."&amp;$B$311&amp;".energy[Tech description]")&amp;INDIRECT($B$3&amp;"."&amp;$B$311&amp;".energy[Energy description]"),0)),0)</f>
        <v>0</v>
      </c>
      <c r="BA314" s="21">
        <f t="array" aca="1" ref="BA314" ca="1">IFERROR(INDEX(INDIRECT($B$3&amp;"."&amp;$B$311&amp;".energy["&amp;This.year&amp;"]"),MATCH($C314&amp;BA$5,INDIRECT($B$3&amp;"."&amp;$B$311&amp;".energy[Tech description]")&amp;INDIRECT($B$3&amp;"."&amp;$B$311&amp;".energy[Energy description]"),0)),0)</f>
        <v>0</v>
      </c>
      <c r="BB314" s="21">
        <f t="array" aca="1" ref="BB314" ca="1">IFERROR(INDEX(INDIRECT($B$3&amp;"."&amp;$B$311&amp;".energy["&amp;This.year&amp;"]"),MATCH($C314&amp;BB$5,INDIRECT($B$3&amp;"."&amp;$B$311&amp;".energy[Tech description]")&amp;INDIRECT($B$3&amp;"."&amp;$B$311&amp;".energy[Energy description]"),0)),0)</f>
        <v>0</v>
      </c>
      <c r="BC314" s="21">
        <f t="array" aca="1" ref="BC314" ca="1">IFERROR(INDEX(INDIRECT($B$3&amp;"."&amp;$B$311&amp;".energy["&amp;This.year&amp;"]"),MATCH($C314&amp;BC$5,INDIRECT($B$3&amp;"."&amp;$B$311&amp;".energy[Tech description]")&amp;INDIRECT($B$3&amp;"."&amp;$B$311&amp;".energy[Energy description]"),0)),0)</f>
        <v>0</v>
      </c>
      <c r="BD314" s="21">
        <f ca="1">SUM(AQ314:BC314)</f>
        <v>0</v>
      </c>
      <c r="BF314" s="49">
        <f t="array" aca="1" ref="BF314" ca="1">IFERROR(INDEX(INDIRECT($B$3&amp;"."&amp;$B$311&amp;".energy["&amp;This.year&amp;"]"),MATCH($C314&amp;BF$5,INDIRECT($B$3&amp;"."&amp;$B$311&amp;".energy[Tech description]")&amp;INDIRECT($B$3&amp;"."&amp;$B$311&amp;".energy[Energy description]"),0)),0)</f>
        <v>0</v>
      </c>
      <c r="BG314" s="49">
        <f t="array" aca="1" ref="BG314" ca="1">IFERROR(INDEX(INDIRECT($B$3&amp;"."&amp;$B$311&amp;".energy["&amp;This.year&amp;"]"),MATCH($C314&amp;BG$5,INDIRECT($B$3&amp;"."&amp;$B$311&amp;".energy[Tech description]")&amp;INDIRECT($B$3&amp;"."&amp;$B$311&amp;".energy[Energy description]"),0)),0)</f>
        <v>0</v>
      </c>
      <c r="BH314" s="49">
        <f ca="1">SUM(BF314:BG314)</f>
        <v>0</v>
      </c>
      <c r="BI314" s="219">
        <f t="shared" ca="1" si="108"/>
        <v>0</v>
      </c>
      <c r="BJ314" s="58"/>
    </row>
    <row r="315" spans="1:63">
      <c r="B315" s="176" t="s">
        <v>1729</v>
      </c>
      <c r="C315" s="114" t="str">
        <f>INDEX(Regional.Technologies[Description],MATCH($B$3&amp;"."&amp;B315,Regional.Technologies[Code],0))</f>
        <v>Global Production of hydrogen through coal gasification</v>
      </c>
      <c r="E315" s="121">
        <f t="array" aca="1" ref="E315" ca="1">IFERROR(INDEX(INDIRECT($B$3&amp;"."&amp;$B$311&amp;".energy["&amp;This.year&amp;"]"),MATCH($C315&amp;E$5,INDIRECT($B$3&amp;"."&amp;$B$311&amp;".energy[Tech description]")&amp;INDIRECT($B$3&amp;"."&amp;$B$311&amp;".energy[Energy description]"),0)),0)</f>
        <v>0</v>
      </c>
      <c r="F315" s="121">
        <f t="array" aca="1" ref="F315" ca="1">IFERROR(INDEX(INDIRECT($B$3&amp;"."&amp;$B$311&amp;".energy["&amp;This.year&amp;"]"),MATCH($C315&amp;F$5,INDIRECT($B$3&amp;"."&amp;$B$311&amp;".energy[Tech description]")&amp;INDIRECT($B$3&amp;"."&amp;$B$311&amp;".energy[Energy description]"),0)),0)</f>
        <v>0</v>
      </c>
      <c r="G315" s="121">
        <f t="array" aca="1" ref="G315" ca="1">IFERROR(INDEX(INDIRECT($B$3&amp;"."&amp;$B$311&amp;".energy["&amp;This.year&amp;"]"),MATCH($C315&amp;G$5,INDIRECT($B$3&amp;"."&amp;$B$311&amp;".energy[Tech description]")&amp;INDIRECT($B$3&amp;"."&amp;$B$311&amp;".energy[Energy description]"),0)),0)</f>
        <v>0</v>
      </c>
      <c r="H315" s="121">
        <f t="array" aca="1" ref="H315" ca="1">IFERROR(INDEX(INDIRECT($B$3&amp;"."&amp;$B$311&amp;".energy["&amp;This.year&amp;"]"),MATCH($C315&amp;H$5,INDIRECT($B$3&amp;"."&amp;$B$311&amp;".energy[Tech description]")&amp;INDIRECT($B$3&amp;"."&amp;$B$311&amp;".energy[Energy description]"),0)),0)</f>
        <v>0</v>
      </c>
      <c r="I315" s="121">
        <f t="array" aca="1" ref="I315" ca="1">IFERROR(INDEX(INDIRECT($B$3&amp;"."&amp;$B$311&amp;".energy["&amp;This.year&amp;"]"),MATCH($C315&amp;I$5,INDIRECT($B$3&amp;"."&amp;$B$311&amp;".energy[Tech description]")&amp;INDIRECT($B$3&amp;"."&amp;$B$311&amp;".energy[Energy description]"),0)),0)</f>
        <v>0</v>
      </c>
      <c r="J315" s="121">
        <f t="array" aca="1" ref="J315" ca="1">IFERROR(INDEX(INDIRECT($B$3&amp;"."&amp;$B$311&amp;".energy["&amp;This.year&amp;"]"),MATCH($C315&amp;J$5,INDIRECT($B$3&amp;"."&amp;$B$311&amp;".energy[Tech description]")&amp;INDIRECT($B$3&amp;"."&amp;$B$311&amp;".energy[Energy description]"),0)),0)</f>
        <v>0</v>
      </c>
      <c r="K315" s="121">
        <f t="array" aca="1" ref="K315" ca="1">IFERROR(INDEX(INDIRECT($B$3&amp;"."&amp;$B$311&amp;".energy["&amp;This.year&amp;"]"),MATCH($C315&amp;K$5,INDIRECT($B$3&amp;"."&amp;$B$311&amp;".energy[Tech description]")&amp;INDIRECT($B$3&amp;"."&amp;$B$311&amp;".energy[Energy description]"),0)),0)</f>
        <v>0</v>
      </c>
      <c r="L315" s="121">
        <f t="array" aca="1" ref="L315" ca="1">IFERROR(INDEX(INDIRECT($B$3&amp;"."&amp;$B$311&amp;".energy["&amp;This.year&amp;"]"),MATCH($C315&amp;L$5,INDIRECT($B$3&amp;"."&amp;$B$311&amp;".energy[Tech description]")&amp;INDIRECT($B$3&amp;"."&amp;$B$311&amp;".energy[Energy description]"),0)),0)</f>
        <v>0</v>
      </c>
      <c r="M315" s="121">
        <f t="array" aca="1" ref="M315" ca="1">IFERROR(INDEX(INDIRECT($B$3&amp;"."&amp;$B$311&amp;".energy["&amp;This.year&amp;"]"),MATCH($C315&amp;M$5,INDIRECT($B$3&amp;"."&amp;$B$311&amp;".energy[Tech description]")&amp;INDIRECT($B$3&amp;"."&amp;$B$311&amp;".energy[Energy description]"),0)),0)</f>
        <v>0</v>
      </c>
      <c r="N315" s="121">
        <f t="array" aca="1" ref="N315" ca="1">IFERROR(INDEX(INDIRECT($B$3&amp;"."&amp;$B$311&amp;".energy["&amp;This.year&amp;"]"),MATCH($C315&amp;N$5,INDIRECT($B$3&amp;"."&amp;$B$311&amp;".energy[Tech description]")&amp;INDIRECT($B$3&amp;"."&amp;$B$311&amp;".energy[Energy description]"),0)),0)</f>
        <v>0</v>
      </c>
      <c r="O315" s="121">
        <f t="array" aca="1" ref="O315" ca="1">IFERROR(INDEX(INDIRECT($B$3&amp;"."&amp;$B$311&amp;".energy["&amp;This.year&amp;"]"),MATCH($C315&amp;O$5,INDIRECT($B$3&amp;"."&amp;$B$311&amp;".energy[Tech description]")&amp;INDIRECT($B$3&amp;"."&amp;$B$311&amp;".energy[Energy description]"),0)),0)</f>
        <v>0</v>
      </c>
      <c r="P315" s="121">
        <f t="array" aca="1" ref="P315" ca="1">IFERROR(INDEX(INDIRECT($B$3&amp;"."&amp;$B$311&amp;".energy["&amp;This.year&amp;"]"),MATCH($C315&amp;P$5,INDIRECT($B$3&amp;"."&amp;$B$311&amp;".energy[Tech description]")&amp;INDIRECT($B$3&amp;"."&amp;$B$311&amp;".energy[Energy description]"),0)),0)</f>
        <v>0</v>
      </c>
      <c r="Q315" s="121">
        <f t="array" aca="1" ref="Q315" ca="1">IFERROR(INDEX(INDIRECT($B$3&amp;"."&amp;$B$311&amp;".energy["&amp;This.year&amp;"]"),MATCH($C315&amp;Q$5,INDIRECT($B$3&amp;"."&amp;$B$311&amp;".energy[Tech description]")&amp;INDIRECT($B$3&amp;"."&amp;$B$311&amp;".energy[Energy description]"),0)),0)</f>
        <v>0</v>
      </c>
      <c r="R315" s="121">
        <f t="array" aca="1" ref="R315" ca="1">IFERROR(INDEX(INDIRECT($B$3&amp;"."&amp;$B$311&amp;".energy["&amp;This.year&amp;"]"),MATCH($C315&amp;R$5,INDIRECT($B$3&amp;"."&amp;$B$311&amp;".energy[Tech description]")&amp;INDIRECT($B$3&amp;"."&amp;$B$311&amp;".energy[Energy description]"),0)),0)</f>
        <v>0</v>
      </c>
      <c r="S315" s="121">
        <f t="array" aca="1" ref="S315" ca="1">IFERROR(INDEX(INDIRECT($B$3&amp;"."&amp;$B$311&amp;".energy["&amp;This.year&amp;"]"),MATCH($C315&amp;S$5,INDIRECT($B$3&amp;"."&amp;$B$311&amp;".energy[Tech description]")&amp;INDIRECT($B$3&amp;"."&amp;$B$311&amp;".energy[Energy description]"),0)),0)</f>
        <v>0</v>
      </c>
      <c r="T315" s="121">
        <f t="shared" ref="T315:T316" ca="1" si="109">SUM(E315:S315)</f>
        <v>0</v>
      </c>
      <c r="V315" s="152">
        <f t="array" aca="1" ref="V315" ca="1">IFERROR(INDEX(INDIRECT($B$3&amp;"."&amp;$B$311&amp;".energy["&amp;This.year&amp;"]"),MATCH($C315&amp;V$5,INDIRECT($B$3&amp;"."&amp;$B$311&amp;".energy[Tech description]")&amp;INDIRECT($B$3&amp;"."&amp;$B$311&amp;".energy[Energy description]"),0)),0)</f>
        <v>0</v>
      </c>
      <c r="W315" s="152">
        <f t="array" aca="1" ref="W315" ca="1">IFERROR(INDEX(INDIRECT($B$3&amp;"."&amp;$B$311&amp;".energy["&amp;This.year&amp;"]"),MATCH($C315&amp;W$5,INDIRECT($B$3&amp;"."&amp;$B$311&amp;".energy[Tech description]")&amp;INDIRECT($B$3&amp;"."&amp;$B$311&amp;".energy[Energy description]"),0)),0)</f>
        <v>0</v>
      </c>
      <c r="X315" s="152">
        <f t="array" aca="1" ref="X315" ca="1">IFERROR(INDEX(INDIRECT($B$3&amp;"."&amp;$B$311&amp;".energy["&amp;This.year&amp;"]"),MATCH($C315&amp;X$5,INDIRECT($B$3&amp;"."&amp;$B$311&amp;".energy[Tech description]")&amp;INDIRECT($B$3&amp;"."&amp;$B$311&amp;".energy[Energy description]"),0)),0)</f>
        <v>0</v>
      </c>
      <c r="Y315" s="152">
        <f t="array" aca="1" ref="Y315" ca="1">IFERROR(INDEX(INDIRECT($B$3&amp;"."&amp;$B$311&amp;".energy["&amp;This.year&amp;"]"),MATCH($C315&amp;Y$5,INDIRECT($B$3&amp;"."&amp;$B$311&amp;".energy[Tech description]")&amp;INDIRECT($B$3&amp;"."&amp;$B$311&amp;".energy[Energy description]"),0)),0)</f>
        <v>0</v>
      </c>
      <c r="Z315" s="152">
        <f t="array" aca="1" ref="Z315" ca="1">IFERROR(INDEX(INDIRECT($B$3&amp;"."&amp;$B$311&amp;".energy["&amp;This.year&amp;"]"),MATCH($C315&amp;Z$5,INDIRECT($B$3&amp;"."&amp;$B$311&amp;".energy[Tech description]")&amp;INDIRECT($B$3&amp;"."&amp;$B$311&amp;".energy[Energy description]"),0)),0)</f>
        <v>0</v>
      </c>
      <c r="AA315" s="152">
        <f t="array" aca="1" ref="AA315" ca="1">IFERROR(INDEX(INDIRECT($B$3&amp;"."&amp;$B$311&amp;".energy["&amp;This.year&amp;"]"),MATCH($C315&amp;AA$5,INDIRECT($B$3&amp;"."&amp;$B$311&amp;".energy[Tech description]")&amp;INDIRECT($B$3&amp;"."&amp;$B$311&amp;".energy[Energy description]"),0)),0)</f>
        <v>0</v>
      </c>
      <c r="AB315" s="152">
        <f t="array" aca="1" ref="AB315" ca="1">IFERROR(INDEX(INDIRECT($B$3&amp;"."&amp;$B$311&amp;".energy["&amp;This.year&amp;"]"),MATCH($C315&amp;AB$5,INDIRECT($B$3&amp;"."&amp;$B$311&amp;".energy[Tech description]")&amp;INDIRECT($B$3&amp;"."&amp;$B$311&amp;".energy[Energy description]"),0)),0)</f>
        <v>0</v>
      </c>
      <c r="AC315" s="152">
        <f t="array" aca="1" ref="AC315" ca="1">IFERROR(INDEX(INDIRECT($B$3&amp;"."&amp;$B$311&amp;".energy["&amp;This.year&amp;"]"),MATCH($C315&amp;AC$5,INDIRECT($B$3&amp;"."&amp;$B$311&amp;".energy[Tech description]")&amp;INDIRECT($B$3&amp;"."&amp;$B$311&amp;".energy[Energy description]"),0)),0)</f>
        <v>0</v>
      </c>
      <c r="AD315" s="152">
        <f t="array" aca="1" ref="AD315" ca="1">IFERROR(INDEX(INDIRECT($B$3&amp;"."&amp;$B$311&amp;".energy["&amp;This.year&amp;"]"),MATCH($C315&amp;AD$5,INDIRECT($B$3&amp;"."&amp;$B$311&amp;".energy[Tech description]")&amp;INDIRECT($B$3&amp;"."&amp;$B$311&amp;".energy[Energy description]"),0)),0)</f>
        <v>0</v>
      </c>
      <c r="AE315" s="152">
        <f t="array" aca="1" ref="AE315" ca="1">IFERROR(INDEX(INDIRECT($B$3&amp;"."&amp;$B$311&amp;".energy["&amp;This.year&amp;"]"),MATCH($C315&amp;AE$5,INDIRECT($B$3&amp;"."&amp;$B$311&amp;".energy[Tech description]")&amp;INDIRECT($B$3&amp;"."&amp;$B$311&amp;".energy[Energy description]"),0)),0)</f>
        <v>0</v>
      </c>
      <c r="AF315" s="152">
        <f t="array" aca="1" ref="AF315" ca="1">IFERROR(INDEX(INDIRECT($B$3&amp;"."&amp;$B$311&amp;".energy["&amp;This.year&amp;"]"),MATCH($C315&amp;AF$5,INDIRECT($B$3&amp;"."&amp;$B$311&amp;".energy[Tech description]")&amp;INDIRECT($B$3&amp;"."&amp;$B$311&amp;".energy[Energy description]"),0)),0)</f>
        <v>0</v>
      </c>
      <c r="AG315" s="152">
        <f t="array" aca="1" ref="AG315" ca="1">IFERROR(INDEX(INDIRECT($B$3&amp;"."&amp;$B$311&amp;".energy["&amp;This.year&amp;"]"),MATCH($C315&amp;AG$5,INDIRECT($B$3&amp;"."&amp;$B$311&amp;".energy[Tech description]")&amp;INDIRECT($B$3&amp;"."&amp;$B$311&amp;".energy[Energy description]"),0)),0)</f>
        <v>0</v>
      </c>
      <c r="AH315" s="152">
        <f t="array" aca="1" ref="AH315" ca="1">IFERROR(INDEX(INDIRECT($B$3&amp;"."&amp;$B$311&amp;".energy["&amp;This.year&amp;"]"),MATCH($C315&amp;AH$5,INDIRECT($B$3&amp;"."&amp;$B$311&amp;".energy[Tech description]")&amp;INDIRECT($B$3&amp;"."&amp;$B$311&amp;".energy[Energy description]"),0)),0)</f>
        <v>0</v>
      </c>
      <c r="AI315" s="152">
        <f t="array" aca="1" ref="AI315" ca="1">IFERROR(INDEX(INDIRECT($B$3&amp;"."&amp;$B$311&amp;".energy["&amp;This.year&amp;"]"),MATCH($C315&amp;AI$5,INDIRECT($B$3&amp;"."&amp;$B$311&amp;".energy[Tech description]")&amp;INDIRECT($B$3&amp;"."&amp;$B$311&amp;".energy[Energy description]"),0)),0)</f>
        <v>0</v>
      </c>
      <c r="AJ315" s="152">
        <f t="array" aca="1" ref="AJ315" ca="1">IFERROR(INDEX(INDIRECT($B$3&amp;"."&amp;$B$311&amp;".energy["&amp;This.year&amp;"]"),MATCH($C315&amp;AJ$5,INDIRECT($B$3&amp;"."&amp;$B$311&amp;".energy[Tech description]")&amp;INDIRECT($B$3&amp;"."&amp;$B$311&amp;".energy[Energy description]"),0)),0)</f>
        <v>0</v>
      </c>
      <c r="AK315" s="152">
        <f t="array" aca="1" ref="AK315" ca="1">IFERROR(INDEX(INDIRECT($B$3&amp;"."&amp;$B$311&amp;".energy["&amp;This.year&amp;"]"),MATCH($C315&amp;AK$5,INDIRECT($B$3&amp;"."&amp;$B$311&amp;".energy[Tech description]")&amp;INDIRECT($B$3&amp;"."&amp;$B$311&amp;".energy[Energy description]"),0)),0)</f>
        <v>0</v>
      </c>
      <c r="AL315" s="152">
        <f t="array" aca="1" ref="AL315" ca="1">IFERROR(INDEX(INDIRECT($B$3&amp;"."&amp;$B$311&amp;".energy["&amp;This.year&amp;"]"),MATCH($C315&amp;AL$5,INDIRECT($B$3&amp;"."&amp;$B$311&amp;".energy[Tech description]")&amp;INDIRECT($B$3&amp;"."&amp;$B$311&amp;".energy[Energy description]"),0)),0)</f>
        <v>0</v>
      </c>
      <c r="AM315" s="152">
        <f t="array" aca="1" ref="AM315" ca="1">IFERROR(INDEX(INDIRECT($B$3&amp;"."&amp;$B$311&amp;".energy["&amp;This.year&amp;"]"),MATCH($C315&amp;AM$5,INDIRECT($B$3&amp;"."&amp;$B$311&amp;".energy[Tech description]")&amp;INDIRECT($B$3&amp;"."&amp;$B$311&amp;".energy[Energy description]"),0)),0)</f>
        <v>0</v>
      </c>
      <c r="AN315" s="152">
        <f t="array" aca="1" ref="AN315" ca="1">IFERROR(INDEX(INDIRECT($B$3&amp;"."&amp;$B$311&amp;".energy["&amp;This.year&amp;"]"),MATCH($C315&amp;AN$5,INDIRECT($B$3&amp;"."&amp;$B$311&amp;".energy[Tech description]")&amp;INDIRECT($B$3&amp;"."&amp;$B$311&amp;".energy[Energy description]"),0)),0)</f>
        <v>0</v>
      </c>
      <c r="AO315" s="152">
        <f t="shared" ref="AO315:AO316" ca="1" si="110">SUM(V315:AN315)</f>
        <v>0</v>
      </c>
      <c r="AQ315" s="21">
        <f t="array" aca="1" ref="AQ315" ca="1">IFERROR(INDEX(INDIRECT($B$3&amp;"."&amp;$B$311&amp;".energy["&amp;This.year&amp;"]"),MATCH($C315&amp;AQ$5,INDIRECT($B$3&amp;"."&amp;$B$311&amp;".energy[Tech description]")&amp;INDIRECT($B$3&amp;"."&amp;$B$311&amp;".energy[Energy description]"),0)),0)</f>
        <v>0</v>
      </c>
      <c r="AR315" s="21">
        <f t="array" aca="1" ref="AR315" ca="1">IFERROR(INDEX(INDIRECT($B$3&amp;"."&amp;$B$311&amp;".energy["&amp;This.year&amp;"]"),MATCH($C315&amp;AR$5,INDIRECT($B$3&amp;"."&amp;$B$311&amp;".energy[Tech description]")&amp;INDIRECT($B$3&amp;"."&amp;$B$311&amp;".energy[Energy description]"),0)),0)</f>
        <v>0</v>
      </c>
      <c r="AS315" s="21">
        <f t="array" aca="1" ref="AS315" ca="1">IFERROR(INDEX(INDIRECT($B$3&amp;"."&amp;$B$311&amp;".energy["&amp;This.year&amp;"]"),MATCH($C315&amp;AS$5,INDIRECT($B$3&amp;"."&amp;$B$311&amp;".energy[Tech description]")&amp;INDIRECT($B$3&amp;"."&amp;$B$311&amp;".energy[Energy description]"),0)),0)</f>
        <v>0</v>
      </c>
      <c r="AT315" s="21">
        <f t="array" aca="1" ref="AT315" ca="1">IFERROR(INDEX(INDIRECT($B$3&amp;"."&amp;$B$311&amp;".energy["&amp;This.year&amp;"]"),MATCH($C315&amp;AT$5,INDIRECT($B$3&amp;"."&amp;$B$311&amp;".energy[Tech description]")&amp;INDIRECT($B$3&amp;"."&amp;$B$311&amp;".energy[Energy description]"),0)),0)</f>
        <v>0</v>
      </c>
      <c r="AU315" s="21">
        <f t="array" aca="1" ref="AU315" ca="1">IFERROR(INDEX(INDIRECT($B$3&amp;"."&amp;$B$311&amp;".energy["&amp;This.year&amp;"]"),MATCH($C315&amp;AU$5,INDIRECT($B$3&amp;"."&amp;$B$311&amp;".energy[Tech description]")&amp;INDIRECT($B$3&amp;"."&amp;$B$311&amp;".energy[Energy description]"),0)),0)</f>
        <v>0</v>
      </c>
      <c r="AV315" s="21">
        <f t="array" aca="1" ref="AV315" ca="1">IFERROR(INDEX(INDIRECT($B$3&amp;"."&amp;$B$311&amp;".energy["&amp;This.year&amp;"]"),MATCH($C315&amp;AV$5,INDIRECT($B$3&amp;"."&amp;$B$311&amp;".energy[Tech description]")&amp;INDIRECT($B$3&amp;"."&amp;$B$311&amp;".energy[Energy description]"),0)),0)</f>
        <v>0</v>
      </c>
      <c r="AW315" s="21">
        <f t="array" aca="1" ref="AW315" ca="1">IFERROR(INDEX(INDIRECT($B$3&amp;"."&amp;$B$311&amp;".energy["&amp;This.year&amp;"]"),MATCH($C315&amp;AW$5,INDIRECT($B$3&amp;"."&amp;$B$311&amp;".energy[Tech description]")&amp;INDIRECT($B$3&amp;"."&amp;$B$311&amp;".energy[Energy description]"),0)),0)</f>
        <v>0</v>
      </c>
      <c r="AX315" s="21">
        <f t="array" aca="1" ref="AX315" ca="1">IFERROR(INDEX(INDIRECT($B$3&amp;"."&amp;$B$311&amp;".energy["&amp;This.year&amp;"]"),MATCH($C315&amp;AX$5,INDIRECT($B$3&amp;"."&amp;$B$311&amp;".energy[Tech description]")&amp;INDIRECT($B$3&amp;"."&amp;$B$311&amp;".energy[Energy description]"),0)),0)</f>
        <v>0</v>
      </c>
      <c r="AY315" s="21">
        <f t="array" aca="1" ref="AY315" ca="1">IFERROR(INDEX(INDIRECT($B$3&amp;"."&amp;$B$311&amp;".energy["&amp;This.year&amp;"]"),MATCH($C315&amp;AY$5,INDIRECT($B$3&amp;"."&amp;$B$311&amp;".energy[Tech description]")&amp;INDIRECT($B$3&amp;"."&amp;$B$311&amp;".energy[Energy description]"),0)),0)</f>
        <v>0</v>
      </c>
      <c r="AZ315" s="21">
        <f t="array" aca="1" ref="AZ315" ca="1">IFERROR(INDEX(INDIRECT($B$3&amp;"."&amp;$B$311&amp;".energy["&amp;This.year&amp;"]"),MATCH($C315&amp;AZ$5,INDIRECT($B$3&amp;"."&amp;$B$311&amp;".energy[Tech description]")&amp;INDIRECT($B$3&amp;"."&amp;$B$311&amp;".energy[Energy description]"),0)),0)</f>
        <v>0</v>
      </c>
      <c r="BA315" s="21">
        <f t="array" aca="1" ref="BA315" ca="1">IFERROR(INDEX(INDIRECT($B$3&amp;"."&amp;$B$311&amp;".energy["&amp;This.year&amp;"]"),MATCH($C315&amp;BA$5,INDIRECT($B$3&amp;"."&amp;$B$311&amp;".energy[Tech description]")&amp;INDIRECT($B$3&amp;"."&amp;$B$311&amp;".energy[Energy description]"),0)),0)</f>
        <v>0</v>
      </c>
      <c r="BB315" s="21">
        <f t="array" aca="1" ref="BB315" ca="1">IFERROR(INDEX(INDIRECT($B$3&amp;"."&amp;$B$311&amp;".energy["&amp;This.year&amp;"]"),MATCH($C315&amp;BB$5,INDIRECT($B$3&amp;"."&amp;$B$311&amp;".energy[Tech description]")&amp;INDIRECT($B$3&amp;"."&amp;$B$311&amp;".energy[Energy description]"),0)),0)</f>
        <v>0</v>
      </c>
      <c r="BC315" s="21">
        <f t="array" aca="1" ref="BC315" ca="1">IFERROR(INDEX(INDIRECT($B$3&amp;"."&amp;$B$311&amp;".energy["&amp;This.year&amp;"]"),MATCH($C315&amp;BC$5,INDIRECT($B$3&amp;"."&amp;$B$311&amp;".energy[Tech description]")&amp;INDIRECT($B$3&amp;"."&amp;$B$311&amp;".energy[Energy description]"),0)),0)</f>
        <v>0</v>
      </c>
      <c r="BD315" s="21">
        <f t="shared" ref="BD315:BD316" ca="1" si="111">SUM(AQ315:BC315)</f>
        <v>0</v>
      </c>
      <c r="BF315" s="49">
        <f t="array" aca="1" ref="BF315" ca="1">IFERROR(INDEX(INDIRECT($B$3&amp;"."&amp;$B$311&amp;".energy["&amp;This.year&amp;"]"),MATCH($C315&amp;BF$5,INDIRECT($B$3&amp;"."&amp;$B$311&amp;".energy[Tech description]")&amp;INDIRECT($B$3&amp;"."&amp;$B$311&amp;".energy[Energy description]"),0)),0)</f>
        <v>0</v>
      </c>
      <c r="BG315" s="49">
        <f t="array" aca="1" ref="BG315" ca="1">IFERROR(INDEX(INDIRECT($B$3&amp;"."&amp;$B$311&amp;".energy["&amp;This.year&amp;"]"),MATCH($C315&amp;BG$5,INDIRECT($B$3&amp;"."&amp;$B$311&amp;".energy[Tech description]")&amp;INDIRECT($B$3&amp;"."&amp;$B$311&amp;".energy[Energy description]"),0)),0)</f>
        <v>0</v>
      </c>
      <c r="BH315" s="49">
        <f t="shared" ref="BH315:BH316" ca="1" si="112">SUM(BF315:BG315)</f>
        <v>0</v>
      </c>
      <c r="BI315" s="219">
        <f t="shared" ca="1" si="108"/>
        <v>0</v>
      </c>
      <c r="BJ315" s="58"/>
    </row>
    <row r="316" spans="1:63">
      <c r="B316" s="176" t="s">
        <v>1730</v>
      </c>
      <c r="C316" s="114" t="str">
        <f>INDEX(Regional.Technologies[Description],MATCH($B$3&amp;"."&amp;B316,Regional.Technologies[Code],0))</f>
        <v>Global Production of hydrogen through electrolysis</v>
      </c>
      <c r="D316" s="54"/>
      <c r="E316" s="121">
        <f t="array" aca="1" ref="E316" ca="1">IFERROR(INDEX(INDIRECT($B$3&amp;"."&amp;$B$311&amp;".energy["&amp;This.year&amp;"]"),MATCH($C316&amp;E$5,INDIRECT($B$3&amp;"."&amp;$B$311&amp;".energy[Tech description]")&amp;INDIRECT($B$3&amp;"."&amp;$B$311&amp;".energy[Energy description]"),0)),0)</f>
        <v>0</v>
      </c>
      <c r="F316" s="121">
        <f t="array" aca="1" ref="F316" ca="1">IFERROR(INDEX(INDIRECT($B$3&amp;"."&amp;$B$311&amp;".energy["&amp;This.year&amp;"]"),MATCH($C316&amp;F$5,INDIRECT($B$3&amp;"."&amp;$B$311&amp;".energy[Tech description]")&amp;INDIRECT($B$3&amp;"."&amp;$B$311&amp;".energy[Energy description]"),0)),0)</f>
        <v>0</v>
      </c>
      <c r="G316" s="121">
        <f t="array" aca="1" ref="G316" ca="1">IFERROR(INDEX(INDIRECT($B$3&amp;"."&amp;$B$311&amp;".energy["&amp;This.year&amp;"]"),MATCH($C316&amp;G$5,INDIRECT($B$3&amp;"."&amp;$B$311&amp;".energy[Tech description]")&amp;INDIRECT($B$3&amp;"."&amp;$B$311&amp;".energy[Energy description]"),0)),0)</f>
        <v>0</v>
      </c>
      <c r="H316" s="121">
        <f t="array" aca="1" ref="H316" ca="1">IFERROR(INDEX(INDIRECT($B$3&amp;"."&amp;$B$311&amp;".energy["&amp;This.year&amp;"]"),MATCH($C316&amp;H$5,INDIRECT($B$3&amp;"."&amp;$B$311&amp;".energy[Tech description]")&amp;INDIRECT($B$3&amp;"."&amp;$B$311&amp;".energy[Energy description]"),0)),0)</f>
        <v>0</v>
      </c>
      <c r="I316" s="121">
        <f t="array" aca="1" ref="I316" ca="1">IFERROR(INDEX(INDIRECT($B$3&amp;"."&amp;$B$311&amp;".energy["&amp;This.year&amp;"]"),MATCH($C316&amp;I$5,INDIRECT($B$3&amp;"."&amp;$B$311&amp;".energy[Tech description]")&amp;INDIRECT($B$3&amp;"."&amp;$B$311&amp;".energy[Energy description]"),0)),0)</f>
        <v>0</v>
      </c>
      <c r="J316" s="121">
        <f t="array" aca="1" ref="J316" ca="1">IFERROR(INDEX(INDIRECT($B$3&amp;"."&amp;$B$311&amp;".energy["&amp;This.year&amp;"]"),MATCH($C316&amp;J$5,INDIRECT($B$3&amp;"."&amp;$B$311&amp;".energy[Tech description]")&amp;INDIRECT($B$3&amp;"."&amp;$B$311&amp;".energy[Energy description]"),0)),0)</f>
        <v>0</v>
      </c>
      <c r="K316" s="121">
        <f t="array" aca="1" ref="K316" ca="1">IFERROR(INDEX(INDIRECT($B$3&amp;"."&amp;$B$311&amp;".energy["&amp;This.year&amp;"]"),MATCH($C316&amp;K$5,INDIRECT($B$3&amp;"."&amp;$B$311&amp;".energy[Tech description]")&amp;INDIRECT($B$3&amp;"."&amp;$B$311&amp;".energy[Energy description]"),0)),0)</f>
        <v>0</v>
      </c>
      <c r="L316" s="121">
        <f t="array" aca="1" ref="L316" ca="1">IFERROR(INDEX(INDIRECT($B$3&amp;"."&amp;$B$311&amp;".energy["&amp;This.year&amp;"]"),MATCH($C316&amp;L$5,INDIRECT($B$3&amp;"."&amp;$B$311&amp;".energy[Tech description]")&amp;INDIRECT($B$3&amp;"."&amp;$B$311&amp;".energy[Energy description]"),0)),0)</f>
        <v>0</v>
      </c>
      <c r="M316" s="121">
        <f t="array" aca="1" ref="M316" ca="1">IFERROR(INDEX(INDIRECT($B$3&amp;"."&amp;$B$311&amp;".energy["&amp;This.year&amp;"]"),MATCH($C316&amp;M$5,INDIRECT($B$3&amp;"."&amp;$B$311&amp;".energy[Tech description]")&amp;INDIRECT($B$3&amp;"."&amp;$B$311&amp;".energy[Energy description]"),0)),0)</f>
        <v>0</v>
      </c>
      <c r="N316" s="121">
        <f t="array" aca="1" ref="N316" ca="1">IFERROR(INDEX(INDIRECT($B$3&amp;"."&amp;$B$311&amp;".energy["&amp;This.year&amp;"]"),MATCH($C316&amp;N$5,INDIRECT($B$3&amp;"."&amp;$B$311&amp;".energy[Tech description]")&amp;INDIRECT($B$3&amp;"."&amp;$B$311&amp;".energy[Energy description]"),0)),0)</f>
        <v>0</v>
      </c>
      <c r="O316" s="121">
        <f t="array" aca="1" ref="O316" ca="1">IFERROR(INDEX(INDIRECT($B$3&amp;"."&amp;$B$311&amp;".energy["&amp;This.year&amp;"]"),MATCH($C316&amp;O$5,INDIRECT($B$3&amp;"."&amp;$B$311&amp;".energy[Tech description]")&amp;INDIRECT($B$3&amp;"."&amp;$B$311&amp;".energy[Energy description]"),0)),0)</f>
        <v>0</v>
      </c>
      <c r="P316" s="121">
        <f t="array" aca="1" ref="P316" ca="1">IFERROR(INDEX(INDIRECT($B$3&amp;"."&amp;$B$311&amp;".energy["&amp;This.year&amp;"]"),MATCH($C316&amp;P$5,INDIRECT($B$3&amp;"."&amp;$B$311&amp;".energy[Tech description]")&amp;INDIRECT($B$3&amp;"."&amp;$B$311&amp;".energy[Energy description]"),0)),0)</f>
        <v>0</v>
      </c>
      <c r="Q316" s="121">
        <f t="array" aca="1" ref="Q316" ca="1">IFERROR(INDEX(INDIRECT($B$3&amp;"."&amp;$B$311&amp;".energy["&amp;This.year&amp;"]"),MATCH($C316&amp;Q$5,INDIRECT($B$3&amp;"."&amp;$B$311&amp;".energy[Tech description]")&amp;INDIRECT($B$3&amp;"."&amp;$B$311&amp;".energy[Energy description]"),0)),0)</f>
        <v>0</v>
      </c>
      <c r="R316" s="121">
        <f t="array" aca="1" ref="R316" ca="1">IFERROR(INDEX(INDIRECT($B$3&amp;"."&amp;$B$311&amp;".energy["&amp;This.year&amp;"]"),MATCH($C316&amp;R$5,INDIRECT($B$3&amp;"."&amp;$B$311&amp;".energy[Tech description]")&amp;INDIRECT($B$3&amp;"."&amp;$B$311&amp;".energy[Energy description]"),0)),0)</f>
        <v>0</v>
      </c>
      <c r="S316" s="121">
        <f t="array" aca="1" ref="S316" ca="1">IFERROR(INDEX(INDIRECT($B$3&amp;"."&amp;$B$311&amp;".energy["&amp;This.year&amp;"]"),MATCH($C316&amp;S$5,INDIRECT($B$3&amp;"."&amp;$B$311&amp;".energy[Tech description]")&amp;INDIRECT($B$3&amp;"."&amp;$B$311&amp;".energy[Energy description]"),0)),0)</f>
        <v>0</v>
      </c>
      <c r="T316" s="121">
        <f t="shared" ca="1" si="109"/>
        <v>0</v>
      </c>
      <c r="V316" s="152">
        <f t="array" aca="1" ref="V316" ca="1">IFERROR(INDEX(INDIRECT($B$3&amp;"."&amp;$B$311&amp;".energy["&amp;This.year&amp;"]"),MATCH($C316&amp;V$5,INDIRECT($B$3&amp;"."&amp;$B$311&amp;".energy[Tech description]")&amp;INDIRECT($B$3&amp;"."&amp;$B$311&amp;".energy[Energy description]"),0)),0)</f>
        <v>0</v>
      </c>
      <c r="W316" s="152">
        <f t="array" aca="1" ref="W316" ca="1">IFERROR(INDEX(INDIRECT($B$3&amp;"."&amp;$B$311&amp;".energy["&amp;This.year&amp;"]"),MATCH($C316&amp;W$5,INDIRECT($B$3&amp;"."&amp;$B$311&amp;".energy[Tech description]")&amp;INDIRECT($B$3&amp;"."&amp;$B$311&amp;".energy[Energy description]"),0)),0)</f>
        <v>0</v>
      </c>
      <c r="X316" s="152">
        <f t="array" aca="1" ref="X316" ca="1">IFERROR(INDEX(INDIRECT($B$3&amp;"."&amp;$B$311&amp;".energy["&amp;This.year&amp;"]"),MATCH($C316&amp;X$5,INDIRECT($B$3&amp;"."&amp;$B$311&amp;".energy[Tech description]")&amp;INDIRECT($B$3&amp;"."&amp;$B$311&amp;".energy[Energy description]"),0)),0)</f>
        <v>0</v>
      </c>
      <c r="Y316" s="152">
        <f t="array" aca="1" ref="Y316" ca="1">IFERROR(INDEX(INDIRECT($B$3&amp;"."&amp;$B$311&amp;".energy["&amp;This.year&amp;"]"),MATCH($C316&amp;Y$5,INDIRECT($B$3&amp;"."&amp;$B$311&amp;".energy[Tech description]")&amp;INDIRECT($B$3&amp;"."&amp;$B$311&amp;".energy[Energy description]"),0)),0)</f>
        <v>0</v>
      </c>
      <c r="Z316" s="152">
        <f t="array" aca="1" ref="Z316" ca="1">IFERROR(INDEX(INDIRECT($B$3&amp;"."&amp;$B$311&amp;".energy["&amp;This.year&amp;"]"),MATCH($C316&amp;Z$5,INDIRECT($B$3&amp;"."&amp;$B$311&amp;".energy[Tech description]")&amp;INDIRECT($B$3&amp;"."&amp;$B$311&amp;".energy[Energy description]"),0)),0)</f>
        <v>0</v>
      </c>
      <c r="AA316" s="152">
        <f t="array" aca="1" ref="AA316" ca="1">IFERROR(INDEX(INDIRECT($B$3&amp;"."&amp;$B$311&amp;".energy["&amp;This.year&amp;"]"),MATCH($C316&amp;AA$5,INDIRECT($B$3&amp;"."&amp;$B$311&amp;".energy[Tech description]")&amp;INDIRECT($B$3&amp;"."&amp;$B$311&amp;".energy[Energy description]"),0)),0)</f>
        <v>0</v>
      </c>
      <c r="AB316" s="152">
        <f t="array" aca="1" ref="AB316" ca="1">IFERROR(INDEX(INDIRECT($B$3&amp;"."&amp;$B$311&amp;".energy["&amp;This.year&amp;"]"),MATCH($C316&amp;AB$5,INDIRECT($B$3&amp;"."&amp;$B$311&amp;".energy[Tech description]")&amp;INDIRECT($B$3&amp;"."&amp;$B$311&amp;".energy[Energy description]"),0)),0)</f>
        <v>0</v>
      </c>
      <c r="AC316" s="152">
        <f t="array" aca="1" ref="AC316" ca="1">IFERROR(INDEX(INDIRECT($B$3&amp;"."&amp;$B$311&amp;".energy["&amp;This.year&amp;"]"),MATCH($C316&amp;AC$5,INDIRECT($B$3&amp;"."&amp;$B$311&amp;".energy[Tech description]")&amp;INDIRECT($B$3&amp;"."&amp;$B$311&amp;".energy[Energy description]"),0)),0)</f>
        <v>0</v>
      </c>
      <c r="AD316" s="152">
        <f t="array" aca="1" ref="AD316" ca="1">IFERROR(INDEX(INDIRECT($B$3&amp;"."&amp;$B$311&amp;".energy["&amp;This.year&amp;"]"),MATCH($C316&amp;AD$5,INDIRECT($B$3&amp;"."&amp;$B$311&amp;".energy[Tech description]")&amp;INDIRECT($B$3&amp;"."&amp;$B$311&amp;".energy[Energy description]"),0)),0)</f>
        <v>0</v>
      </c>
      <c r="AE316" s="152">
        <f t="array" aca="1" ref="AE316" ca="1">IFERROR(INDEX(INDIRECT($B$3&amp;"."&amp;$B$311&amp;".energy["&amp;This.year&amp;"]"),MATCH($C316&amp;AE$5,INDIRECT($B$3&amp;"."&amp;$B$311&amp;".energy[Tech description]")&amp;INDIRECT($B$3&amp;"."&amp;$B$311&amp;".energy[Energy description]"),0)),0)</f>
        <v>0</v>
      </c>
      <c r="AF316" s="152">
        <f t="array" aca="1" ref="AF316" ca="1">IFERROR(INDEX(INDIRECT($B$3&amp;"."&amp;$B$311&amp;".energy["&amp;This.year&amp;"]"),MATCH($C316&amp;AF$5,INDIRECT($B$3&amp;"."&amp;$B$311&amp;".energy[Tech description]")&amp;INDIRECT($B$3&amp;"."&amp;$B$311&amp;".energy[Energy description]"),0)),0)</f>
        <v>0</v>
      </c>
      <c r="AG316" s="152">
        <f t="array" aca="1" ref="AG316" ca="1">IFERROR(INDEX(INDIRECT($B$3&amp;"."&amp;$B$311&amp;".energy["&amp;This.year&amp;"]"),MATCH($C316&amp;AG$5,INDIRECT($B$3&amp;"."&amp;$B$311&amp;".energy[Tech description]")&amp;INDIRECT($B$3&amp;"."&amp;$B$311&amp;".energy[Energy description]"),0)),0)</f>
        <v>0</v>
      </c>
      <c r="AH316" s="152">
        <f t="array" aca="1" ref="AH316" ca="1">IFERROR(INDEX(INDIRECT($B$3&amp;"."&amp;$B$311&amp;".energy["&amp;This.year&amp;"]"),MATCH($C316&amp;AH$5,INDIRECT($B$3&amp;"."&amp;$B$311&amp;".energy[Tech description]")&amp;INDIRECT($B$3&amp;"."&amp;$B$311&amp;".energy[Energy description]"),0)),0)</f>
        <v>0</v>
      </c>
      <c r="AI316" s="152">
        <f t="array" aca="1" ref="AI316" ca="1">IFERROR(INDEX(INDIRECT($B$3&amp;"."&amp;$B$311&amp;".energy["&amp;This.year&amp;"]"),MATCH($C316&amp;AI$5,INDIRECT($B$3&amp;"."&amp;$B$311&amp;".energy[Tech description]")&amp;INDIRECT($B$3&amp;"."&amp;$B$311&amp;".energy[Energy description]"),0)),0)</f>
        <v>0</v>
      </c>
      <c r="AJ316" s="152">
        <f t="array" aca="1" ref="AJ316" ca="1">IFERROR(INDEX(INDIRECT($B$3&amp;"."&amp;$B$311&amp;".energy["&amp;This.year&amp;"]"),MATCH($C316&amp;AJ$5,INDIRECT($B$3&amp;"."&amp;$B$311&amp;".energy[Tech description]")&amp;INDIRECT($B$3&amp;"."&amp;$B$311&amp;".energy[Energy description]"),0)),0)</f>
        <v>0</v>
      </c>
      <c r="AK316" s="152">
        <f t="array" aca="1" ref="AK316" ca="1">IFERROR(INDEX(INDIRECT($B$3&amp;"."&amp;$B$311&amp;".energy["&amp;This.year&amp;"]"),MATCH($C316&amp;AK$5,INDIRECT($B$3&amp;"."&amp;$B$311&amp;".energy[Tech description]")&amp;INDIRECT($B$3&amp;"."&amp;$B$311&amp;".energy[Energy description]"),0)),0)</f>
        <v>0</v>
      </c>
      <c r="AL316" s="152">
        <f t="array" aca="1" ref="AL316" ca="1">IFERROR(INDEX(INDIRECT($B$3&amp;"."&amp;$B$311&amp;".energy["&amp;This.year&amp;"]"),MATCH($C316&amp;AL$5,INDIRECT($B$3&amp;"."&amp;$B$311&amp;".energy[Tech description]")&amp;INDIRECT($B$3&amp;"."&amp;$B$311&amp;".energy[Energy description]"),0)),0)</f>
        <v>0</v>
      </c>
      <c r="AM316" s="152">
        <f t="array" aca="1" ref="AM316" ca="1">IFERROR(INDEX(INDIRECT($B$3&amp;"."&amp;$B$311&amp;".energy["&amp;This.year&amp;"]"),MATCH($C316&amp;AM$5,INDIRECT($B$3&amp;"."&amp;$B$311&amp;".energy[Tech description]")&amp;INDIRECT($B$3&amp;"."&amp;$B$311&amp;".energy[Energy description]"),0)),0)</f>
        <v>0</v>
      </c>
      <c r="AN316" s="152">
        <f t="array" aca="1" ref="AN316" ca="1">IFERROR(INDEX(INDIRECT($B$3&amp;"."&amp;$B$311&amp;".energy["&amp;This.year&amp;"]"),MATCH($C316&amp;AN$5,INDIRECT($B$3&amp;"."&amp;$B$311&amp;".energy[Tech description]")&amp;INDIRECT($B$3&amp;"."&amp;$B$311&amp;".energy[Energy description]"),0)),0)</f>
        <v>0</v>
      </c>
      <c r="AO316" s="152">
        <f t="shared" ca="1" si="110"/>
        <v>0</v>
      </c>
      <c r="AQ316" s="21">
        <f t="array" aca="1" ref="AQ316" ca="1">IFERROR(INDEX(INDIRECT($B$3&amp;"."&amp;$B$311&amp;".energy["&amp;This.year&amp;"]"),MATCH($C316&amp;AQ$5,INDIRECT($B$3&amp;"."&amp;$B$311&amp;".energy[Tech description]")&amp;INDIRECT($B$3&amp;"."&amp;$B$311&amp;".energy[Energy description]"),0)),0)</f>
        <v>0</v>
      </c>
      <c r="AR316" s="21">
        <f t="array" aca="1" ref="AR316" ca="1">IFERROR(INDEX(INDIRECT($B$3&amp;"."&amp;$B$311&amp;".energy["&amp;This.year&amp;"]"),MATCH($C316&amp;AR$5,INDIRECT($B$3&amp;"."&amp;$B$311&amp;".energy[Tech description]")&amp;INDIRECT($B$3&amp;"."&amp;$B$311&amp;".energy[Energy description]"),0)),0)</f>
        <v>0</v>
      </c>
      <c r="AS316" s="21">
        <f t="array" aca="1" ref="AS316" ca="1">IFERROR(INDEX(INDIRECT($B$3&amp;"."&amp;$B$311&amp;".energy["&amp;This.year&amp;"]"),MATCH($C316&amp;AS$5,INDIRECT($B$3&amp;"."&amp;$B$311&amp;".energy[Tech description]")&amp;INDIRECT($B$3&amp;"."&amp;$B$311&amp;".energy[Energy description]"),0)),0)</f>
        <v>0</v>
      </c>
      <c r="AT316" s="21">
        <f t="array" aca="1" ref="AT316" ca="1">IFERROR(INDEX(INDIRECT($B$3&amp;"."&amp;$B$311&amp;".energy["&amp;This.year&amp;"]"),MATCH($C316&amp;AT$5,INDIRECT($B$3&amp;"."&amp;$B$311&amp;".energy[Tech description]")&amp;INDIRECT($B$3&amp;"."&amp;$B$311&amp;".energy[Energy description]"),0)),0)</f>
        <v>0</v>
      </c>
      <c r="AU316" s="21">
        <f t="array" aca="1" ref="AU316" ca="1">IFERROR(INDEX(INDIRECT($B$3&amp;"."&amp;$B$311&amp;".energy["&amp;This.year&amp;"]"),MATCH($C316&amp;AU$5,INDIRECT($B$3&amp;"."&amp;$B$311&amp;".energy[Tech description]")&amp;INDIRECT($B$3&amp;"."&amp;$B$311&amp;".energy[Energy description]"),0)),0)</f>
        <v>0</v>
      </c>
      <c r="AV316" s="21">
        <f t="array" aca="1" ref="AV316" ca="1">IFERROR(INDEX(INDIRECT($B$3&amp;"."&amp;$B$311&amp;".energy["&amp;This.year&amp;"]"),MATCH($C316&amp;AV$5,INDIRECT($B$3&amp;"."&amp;$B$311&amp;".energy[Tech description]")&amp;INDIRECT($B$3&amp;"."&amp;$B$311&amp;".energy[Energy description]"),0)),0)</f>
        <v>0</v>
      </c>
      <c r="AW316" s="21">
        <f t="array" aca="1" ref="AW316" ca="1">IFERROR(INDEX(INDIRECT($B$3&amp;"."&amp;$B$311&amp;".energy["&amp;This.year&amp;"]"),MATCH($C316&amp;AW$5,INDIRECT($B$3&amp;"."&amp;$B$311&amp;".energy[Tech description]")&amp;INDIRECT($B$3&amp;"."&amp;$B$311&amp;".energy[Energy description]"),0)),0)</f>
        <v>0</v>
      </c>
      <c r="AX316" s="21">
        <f t="array" aca="1" ref="AX316" ca="1">IFERROR(INDEX(INDIRECT($B$3&amp;"."&amp;$B$311&amp;".energy["&amp;This.year&amp;"]"),MATCH($C316&amp;AX$5,INDIRECT($B$3&amp;"."&amp;$B$311&amp;".energy[Tech description]")&amp;INDIRECT($B$3&amp;"."&amp;$B$311&amp;".energy[Energy description]"),0)),0)</f>
        <v>0</v>
      </c>
      <c r="AY316" s="21">
        <f t="array" aca="1" ref="AY316" ca="1">IFERROR(INDEX(INDIRECT($B$3&amp;"."&amp;$B$311&amp;".energy["&amp;This.year&amp;"]"),MATCH($C316&amp;AY$5,INDIRECT($B$3&amp;"."&amp;$B$311&amp;".energy[Tech description]")&amp;INDIRECT($B$3&amp;"."&amp;$B$311&amp;".energy[Energy description]"),0)),0)</f>
        <v>0</v>
      </c>
      <c r="AZ316" s="21">
        <f t="array" aca="1" ref="AZ316" ca="1">IFERROR(INDEX(INDIRECT($B$3&amp;"."&amp;$B$311&amp;".energy["&amp;This.year&amp;"]"),MATCH($C316&amp;AZ$5,INDIRECT($B$3&amp;"."&amp;$B$311&amp;".energy[Tech description]")&amp;INDIRECT($B$3&amp;"."&amp;$B$311&amp;".energy[Energy description]"),0)),0)</f>
        <v>0</v>
      </c>
      <c r="BA316" s="21">
        <f t="array" aca="1" ref="BA316" ca="1">IFERROR(INDEX(INDIRECT($B$3&amp;"."&amp;$B$311&amp;".energy["&amp;This.year&amp;"]"),MATCH($C316&amp;BA$5,INDIRECT($B$3&amp;"."&amp;$B$311&amp;".energy[Tech description]")&amp;INDIRECT($B$3&amp;"."&amp;$B$311&amp;".energy[Energy description]"),0)),0)</f>
        <v>0</v>
      </c>
      <c r="BB316" s="21">
        <f t="array" aca="1" ref="BB316" ca="1">IFERROR(INDEX(INDIRECT($B$3&amp;"."&amp;$B$311&amp;".energy["&amp;This.year&amp;"]"),MATCH($C316&amp;BB$5,INDIRECT($B$3&amp;"."&amp;$B$311&amp;".energy[Tech description]")&amp;INDIRECT($B$3&amp;"."&amp;$B$311&amp;".energy[Energy description]"),0)),0)</f>
        <v>0</v>
      </c>
      <c r="BC316" s="21">
        <f t="array" aca="1" ref="BC316" ca="1">IFERROR(INDEX(INDIRECT($B$3&amp;"."&amp;$B$311&amp;".energy["&amp;This.year&amp;"]"),MATCH($C316&amp;BC$5,INDIRECT($B$3&amp;"."&amp;$B$311&amp;".energy[Tech description]")&amp;INDIRECT($B$3&amp;"."&amp;$B$311&amp;".energy[Energy description]"),0)),0)</f>
        <v>0</v>
      </c>
      <c r="BD316" s="21">
        <f t="shared" ca="1" si="111"/>
        <v>0</v>
      </c>
      <c r="BF316" s="49">
        <f t="array" aca="1" ref="BF316" ca="1">IFERROR(INDEX(INDIRECT($B$3&amp;"."&amp;$B$311&amp;".energy["&amp;This.year&amp;"]"),MATCH($C316&amp;BF$5,INDIRECT($B$3&amp;"."&amp;$B$311&amp;".energy[Tech description]")&amp;INDIRECT($B$3&amp;"."&amp;$B$311&amp;".energy[Energy description]"),0)),0)</f>
        <v>0</v>
      </c>
      <c r="BG316" s="49">
        <f t="array" aca="1" ref="BG316" ca="1">IFERROR(INDEX(INDIRECT($B$3&amp;"."&amp;$B$311&amp;".energy["&amp;This.year&amp;"]"),MATCH($C316&amp;BG$5,INDIRECT($B$3&amp;"."&amp;$B$311&amp;".energy[Tech description]")&amp;INDIRECT($B$3&amp;"."&amp;$B$311&amp;".energy[Energy description]"),0)),0)</f>
        <v>0</v>
      </c>
      <c r="BH316" s="49">
        <f t="shared" ca="1" si="112"/>
        <v>0</v>
      </c>
      <c r="BI316" s="219">
        <f t="shared" ca="1" si="108"/>
        <v>0</v>
      </c>
      <c r="BJ316" s="60"/>
    </row>
    <row r="317" spans="1:63">
      <c r="B317" s="176"/>
      <c r="C317" s="114"/>
      <c r="D317" s="54"/>
      <c r="E317" s="121"/>
      <c r="F317" s="121"/>
      <c r="G317" s="121"/>
      <c r="H317" s="121"/>
      <c r="I317" s="121"/>
      <c r="J317" s="121"/>
      <c r="K317" s="121"/>
      <c r="L317" s="121"/>
      <c r="M317" s="121"/>
      <c r="N317" s="121"/>
      <c r="O317" s="121"/>
      <c r="P317" s="121"/>
      <c r="Q317" s="121"/>
      <c r="R317" s="121"/>
      <c r="S317" s="121"/>
      <c r="T317" s="121"/>
      <c r="U317" s="376"/>
      <c r="V317" s="152"/>
      <c r="W317" s="152"/>
      <c r="X317" s="152"/>
      <c r="Y317" s="152"/>
      <c r="Z317" s="152"/>
      <c r="AA317" s="152"/>
      <c r="AB317" s="152"/>
      <c r="AC317" s="152"/>
      <c r="AD317" s="152"/>
      <c r="AE317" s="152"/>
      <c r="AF317" s="152"/>
      <c r="AG317" s="152"/>
      <c r="AH317" s="152"/>
      <c r="AI317" s="152"/>
      <c r="AJ317" s="152"/>
      <c r="AK317" s="152"/>
      <c r="AL317" s="152"/>
      <c r="AM317" s="152"/>
      <c r="AN317" s="152"/>
      <c r="AO317" s="152"/>
      <c r="AP317" s="376"/>
      <c r="AQ317" s="21"/>
      <c r="AR317" s="21"/>
      <c r="AS317" s="21"/>
      <c r="AT317" s="21"/>
      <c r="AU317" s="21"/>
      <c r="AV317" s="21"/>
      <c r="AW317" s="21"/>
      <c r="AX317" s="21"/>
      <c r="AY317" s="21"/>
      <c r="AZ317" s="21"/>
      <c r="BA317" s="21"/>
      <c r="BB317" s="21"/>
      <c r="BC317" s="21"/>
      <c r="BD317" s="21"/>
      <c r="BE317" s="376"/>
      <c r="BF317" s="49"/>
      <c r="BG317" s="49"/>
      <c r="BH317" s="49"/>
      <c r="BJ317" s="60"/>
    </row>
    <row r="318" spans="1:63">
      <c r="B318" s="176"/>
      <c r="C318" s="219" t="s">
        <v>2415</v>
      </c>
      <c r="D318" s="54"/>
      <c r="E318" s="121">
        <f ca="1">SUM(E319:E321)</f>
        <v>0</v>
      </c>
      <c r="F318" s="121">
        <f t="shared" ref="F318:BH318" ca="1" si="113">SUM(F319:F321)</f>
        <v>0</v>
      </c>
      <c r="G318" s="121">
        <f t="shared" ca="1" si="113"/>
        <v>0</v>
      </c>
      <c r="H318" s="121">
        <f t="shared" ca="1" si="113"/>
        <v>0</v>
      </c>
      <c r="I318" s="121">
        <f t="shared" ca="1" si="113"/>
        <v>0</v>
      </c>
      <c r="J318" s="121">
        <f t="shared" ca="1" si="113"/>
        <v>0</v>
      </c>
      <c r="K318" s="121">
        <f t="shared" ca="1" si="113"/>
        <v>0</v>
      </c>
      <c r="L318" s="121">
        <f t="shared" ca="1" si="113"/>
        <v>0</v>
      </c>
      <c r="M318" s="121">
        <f t="shared" ca="1" si="113"/>
        <v>0</v>
      </c>
      <c r="N318" s="121">
        <f t="shared" ca="1" si="113"/>
        <v>0</v>
      </c>
      <c r="O318" s="121">
        <f t="shared" ref="O318" ca="1" si="114">SUM(O319:O321)</f>
        <v>0</v>
      </c>
      <c r="P318" s="121">
        <f t="shared" ca="1" si="113"/>
        <v>0</v>
      </c>
      <c r="Q318" s="121">
        <f t="shared" ca="1" si="113"/>
        <v>0</v>
      </c>
      <c r="R318" s="121">
        <f t="shared" ca="1" si="113"/>
        <v>0</v>
      </c>
      <c r="S318" s="121">
        <f t="shared" ca="1" si="113"/>
        <v>0</v>
      </c>
      <c r="T318" s="121">
        <f t="shared" ca="1" si="113"/>
        <v>0</v>
      </c>
      <c r="V318" s="152">
        <f t="shared" ca="1" si="113"/>
        <v>0</v>
      </c>
      <c r="W318" s="152">
        <f t="shared" ca="1" si="113"/>
        <v>0</v>
      </c>
      <c r="X318" s="152">
        <f t="shared" ca="1" si="113"/>
        <v>0</v>
      </c>
      <c r="Y318" s="152">
        <f t="shared" ca="1" si="113"/>
        <v>0</v>
      </c>
      <c r="Z318" s="152">
        <f t="shared" ca="1" si="113"/>
        <v>0</v>
      </c>
      <c r="AA318" s="152">
        <f t="shared" ca="1" si="113"/>
        <v>0</v>
      </c>
      <c r="AB318" s="152">
        <f t="shared" ca="1" si="113"/>
        <v>0</v>
      </c>
      <c r="AC318" s="152">
        <f t="shared" ca="1" si="113"/>
        <v>0</v>
      </c>
      <c r="AD318" s="152">
        <f t="shared" ca="1" si="113"/>
        <v>0</v>
      </c>
      <c r="AE318" s="152">
        <f t="shared" ca="1" si="113"/>
        <v>0</v>
      </c>
      <c r="AF318" s="152">
        <f t="shared" ca="1" si="113"/>
        <v>0</v>
      </c>
      <c r="AG318" s="152">
        <f t="shared" ca="1" si="113"/>
        <v>0</v>
      </c>
      <c r="AH318" s="152">
        <f t="shared" ca="1" si="113"/>
        <v>0</v>
      </c>
      <c r="AI318" s="152">
        <f t="shared" ca="1" si="113"/>
        <v>0</v>
      </c>
      <c r="AJ318" s="152">
        <f t="shared" ca="1" si="113"/>
        <v>0</v>
      </c>
      <c r="AK318" s="152">
        <f t="shared" ca="1" si="113"/>
        <v>0</v>
      </c>
      <c r="AL318" s="152">
        <f t="shared" ca="1" si="113"/>
        <v>0</v>
      </c>
      <c r="AM318" s="152">
        <f t="shared" ca="1" si="113"/>
        <v>0</v>
      </c>
      <c r="AN318" s="152">
        <f t="shared" ca="1" si="113"/>
        <v>0</v>
      </c>
      <c r="AO318" s="152">
        <f t="shared" ca="1" si="113"/>
        <v>0</v>
      </c>
      <c r="AQ318" s="21">
        <f t="shared" ca="1" si="113"/>
        <v>0</v>
      </c>
      <c r="AR318" s="21">
        <f t="shared" ca="1" si="113"/>
        <v>0</v>
      </c>
      <c r="AS318" s="21">
        <f t="shared" ca="1" si="113"/>
        <v>0</v>
      </c>
      <c r="AT318" s="21">
        <f t="shared" ca="1" si="113"/>
        <v>0</v>
      </c>
      <c r="AU318" s="21">
        <f t="shared" ca="1" si="113"/>
        <v>0</v>
      </c>
      <c r="AV318" s="21">
        <f t="shared" ca="1" si="113"/>
        <v>0</v>
      </c>
      <c r="AW318" s="21">
        <f t="shared" ca="1" si="113"/>
        <v>0</v>
      </c>
      <c r="AX318" s="21">
        <f t="shared" ca="1" si="113"/>
        <v>0</v>
      </c>
      <c r="AY318" s="21">
        <f t="shared" ca="1" si="113"/>
        <v>0</v>
      </c>
      <c r="AZ318" s="21">
        <f t="shared" ca="1" si="113"/>
        <v>0</v>
      </c>
      <c r="BA318" s="21">
        <f t="shared" ca="1" si="113"/>
        <v>0</v>
      </c>
      <c r="BB318" s="21">
        <f t="shared" ca="1" si="113"/>
        <v>0</v>
      </c>
      <c r="BC318" s="21">
        <f t="shared" ca="1" si="113"/>
        <v>0</v>
      </c>
      <c r="BD318" s="21">
        <f t="shared" ca="1" si="113"/>
        <v>0</v>
      </c>
      <c r="BF318" s="49">
        <f t="shared" ca="1" si="113"/>
        <v>0</v>
      </c>
      <c r="BG318" s="49">
        <f t="shared" ca="1" si="113"/>
        <v>0</v>
      </c>
      <c r="BH318" s="49">
        <f t="shared" ca="1" si="113"/>
        <v>0</v>
      </c>
      <c r="BI318" s="219">
        <f t="shared" ref="BI318:BI327" ca="1" si="115">SUM(T318,AO318,BD318,BH318)</f>
        <v>0</v>
      </c>
      <c r="BJ318" s="60"/>
    </row>
    <row r="319" spans="1:63">
      <c r="B319" s="176" t="s">
        <v>2340</v>
      </c>
      <c r="C319" s="114" t="str">
        <f>INDEX(Regional.Technologies[Description],MATCH($B$3&amp;"."&amp;B319,Regional.Technologies[Code],0))</f>
        <v>Global Oil refineries</v>
      </c>
      <c r="D319" s="54"/>
      <c r="E319" s="121">
        <f t="array" aca="1" ref="E319" ca="1">IFERROR(INDEX(INDIRECT($B$3&amp;"."&amp;$B$311&amp;".energy["&amp;This.year&amp;"]"),MATCH($C319&amp;E$5,INDIRECT($B$3&amp;"."&amp;$B$311&amp;".energy[Tech description]")&amp;INDIRECT($B$3&amp;"."&amp;$B$311&amp;".energy[Energy description]"),0)),0)</f>
        <v>0</v>
      </c>
      <c r="F319" s="121">
        <f t="array" aca="1" ref="F319" ca="1">IFERROR(INDEX(INDIRECT($B$3&amp;"."&amp;$B$311&amp;".energy["&amp;This.year&amp;"]"),MATCH($C319&amp;F$5,INDIRECT($B$3&amp;"."&amp;$B$311&amp;".energy[Tech description]")&amp;INDIRECT($B$3&amp;"."&amp;$B$311&amp;".energy[Energy description]"),0)),0)</f>
        <v>0</v>
      </c>
      <c r="G319" s="121">
        <f t="array" aca="1" ref="G319" ca="1">IFERROR(INDEX(INDIRECT($B$3&amp;"."&amp;$B$311&amp;".energy["&amp;This.year&amp;"]"),MATCH($C319&amp;G$5,INDIRECT($B$3&amp;"."&amp;$B$311&amp;".energy[Tech description]")&amp;INDIRECT($B$3&amp;"."&amp;$B$311&amp;".energy[Energy description]"),0)),0)</f>
        <v>0</v>
      </c>
      <c r="H319" s="121">
        <f t="array" aca="1" ref="H319" ca="1">IFERROR(INDEX(INDIRECT($B$3&amp;"."&amp;$B$311&amp;".energy["&amp;This.year&amp;"]"),MATCH($C319&amp;H$5,INDIRECT($B$3&amp;"."&amp;$B$311&amp;".energy[Tech description]")&amp;INDIRECT($B$3&amp;"."&amp;$B$311&amp;".energy[Energy description]"),0)),0)</f>
        <v>0</v>
      </c>
      <c r="I319" s="121">
        <f t="array" aca="1" ref="I319" ca="1">IFERROR(INDEX(INDIRECT($B$3&amp;"."&amp;$B$311&amp;".energy["&amp;This.year&amp;"]"),MATCH($C319&amp;I$5,INDIRECT($B$3&amp;"."&amp;$B$311&amp;".energy[Tech description]")&amp;INDIRECT($B$3&amp;"."&amp;$B$311&amp;".energy[Energy description]"),0)),0)</f>
        <v>0</v>
      </c>
      <c r="J319" s="121">
        <f t="array" aca="1" ref="J319" ca="1">IFERROR(INDEX(INDIRECT($B$3&amp;"."&amp;$B$311&amp;".energy["&amp;This.year&amp;"]"),MATCH($C319&amp;J$5,INDIRECT($B$3&amp;"."&amp;$B$311&amp;".energy[Tech description]")&amp;INDIRECT($B$3&amp;"."&amp;$B$311&amp;".energy[Energy description]"),0)),0)</f>
        <v>0</v>
      </c>
      <c r="K319" s="121">
        <f t="array" aca="1" ref="K319" ca="1">IFERROR(INDEX(INDIRECT($B$3&amp;"."&amp;$B$311&amp;".energy["&amp;This.year&amp;"]"),MATCH($C319&amp;K$5,INDIRECT($B$3&amp;"."&amp;$B$311&amp;".energy[Tech description]")&amp;INDIRECT($B$3&amp;"."&amp;$B$311&amp;".energy[Energy description]"),0)),0)</f>
        <v>0</v>
      </c>
      <c r="L319" s="121">
        <f t="array" aca="1" ref="L319" ca="1">IFERROR(INDEX(INDIRECT($B$3&amp;"."&amp;$B$311&amp;".energy["&amp;This.year&amp;"]"),MATCH($C319&amp;L$5,INDIRECT($B$3&amp;"."&amp;$B$311&amp;".energy[Tech description]")&amp;INDIRECT($B$3&amp;"."&amp;$B$311&amp;".energy[Energy description]"),0)),0)</f>
        <v>0</v>
      </c>
      <c r="M319" s="121">
        <f t="array" aca="1" ref="M319" ca="1">IFERROR(INDEX(INDIRECT($B$3&amp;"."&amp;$B$311&amp;".energy["&amp;This.year&amp;"]"),MATCH($C319&amp;M$5,INDIRECT($B$3&amp;"."&amp;$B$311&amp;".energy[Tech description]")&amp;INDIRECT($B$3&amp;"."&amp;$B$311&amp;".energy[Energy description]"),0)),0)</f>
        <v>0</v>
      </c>
      <c r="N319" s="121">
        <f t="array" aca="1" ref="N319" ca="1">IFERROR(INDEX(INDIRECT($B$3&amp;"."&amp;$B$311&amp;".energy["&amp;This.year&amp;"]"),MATCH($C319&amp;N$5,INDIRECT($B$3&amp;"."&amp;$B$311&amp;".energy[Tech description]")&amp;INDIRECT($B$3&amp;"."&amp;$B$311&amp;".energy[Energy description]"),0)),0)</f>
        <v>0</v>
      </c>
      <c r="O319" s="121">
        <f t="array" aca="1" ref="O319" ca="1">IFERROR(INDEX(INDIRECT($B$3&amp;"."&amp;$B$311&amp;".energy["&amp;This.year&amp;"]"),MATCH($C319&amp;O$5,INDIRECT($B$3&amp;"."&amp;$B$311&amp;".energy[Tech description]")&amp;INDIRECT($B$3&amp;"."&amp;$B$311&amp;".energy[Energy description]"),0)),0)</f>
        <v>0</v>
      </c>
      <c r="P319" s="121">
        <f t="array" aca="1" ref="P319" ca="1">IFERROR(INDEX(INDIRECT($B$3&amp;"."&amp;$B$311&amp;".energy["&amp;This.year&amp;"]"),MATCH($C319&amp;P$5,INDIRECT($B$3&amp;"."&amp;$B$311&amp;".energy[Tech description]")&amp;INDIRECT($B$3&amp;"."&amp;$B$311&amp;".energy[Energy description]"),0)),0)</f>
        <v>0</v>
      </c>
      <c r="Q319" s="121">
        <f t="array" aca="1" ref="Q319" ca="1">IFERROR(INDEX(INDIRECT($B$3&amp;"."&amp;$B$311&amp;".energy["&amp;This.year&amp;"]"),MATCH($C319&amp;Q$5,INDIRECT($B$3&amp;"."&amp;$B$311&amp;".energy[Tech description]")&amp;INDIRECT($B$3&amp;"."&amp;$B$311&amp;".energy[Energy description]"),0)),0)</f>
        <v>0</v>
      </c>
      <c r="R319" s="121">
        <f t="array" aca="1" ref="R319" ca="1">IFERROR(INDEX(INDIRECT($B$3&amp;"."&amp;$B$311&amp;".energy["&amp;This.year&amp;"]"),MATCH($C319&amp;R$5,INDIRECT($B$3&amp;"."&amp;$B$311&amp;".energy[Tech description]")&amp;INDIRECT($B$3&amp;"."&amp;$B$311&amp;".energy[Energy description]"),0)),0)</f>
        <v>0</v>
      </c>
      <c r="S319" s="121">
        <f t="array" aca="1" ref="S319" ca="1">IFERROR(INDEX(INDIRECT($B$3&amp;"."&amp;$B$311&amp;".energy["&amp;This.year&amp;"]"),MATCH($C319&amp;S$5,INDIRECT($B$3&amp;"."&amp;$B$311&amp;".energy[Tech description]")&amp;INDIRECT($B$3&amp;"."&amp;$B$311&amp;".energy[Energy description]"),0)),0)</f>
        <v>0</v>
      </c>
      <c r="T319" s="121">
        <f t="shared" ref="T319:T321" ca="1" si="116">SUM(E319:S319)</f>
        <v>0</v>
      </c>
      <c r="V319" s="152">
        <f t="array" aca="1" ref="V319" ca="1">IFERROR(INDEX(INDIRECT($B$3&amp;"."&amp;$B$311&amp;".energy["&amp;This.year&amp;"]"),MATCH($C319&amp;V$5,INDIRECT($B$3&amp;"."&amp;$B$311&amp;".energy[Tech description]")&amp;INDIRECT($B$3&amp;"."&amp;$B$311&amp;".energy[Energy description]"),0)),0)</f>
        <v>0</v>
      </c>
      <c r="W319" s="152">
        <f t="array" aca="1" ref="W319" ca="1">IFERROR(INDEX(INDIRECT($B$3&amp;"."&amp;$B$311&amp;".energy["&amp;This.year&amp;"]"),MATCH($C319&amp;W$5,INDIRECT($B$3&amp;"."&amp;$B$311&amp;".energy[Tech description]")&amp;INDIRECT($B$3&amp;"."&amp;$B$311&amp;".energy[Energy description]"),0)),0)</f>
        <v>0</v>
      </c>
      <c r="X319" s="152">
        <f t="array" aca="1" ref="X319" ca="1">IFERROR(INDEX(INDIRECT($B$3&amp;"."&amp;$B$311&amp;".energy["&amp;This.year&amp;"]"),MATCH($C319&amp;X$5,INDIRECT($B$3&amp;"."&amp;$B$311&amp;".energy[Tech description]")&amp;INDIRECT($B$3&amp;"."&amp;$B$311&amp;".energy[Energy description]"),0)),0)</f>
        <v>0</v>
      </c>
      <c r="Y319" s="152">
        <f t="array" aca="1" ref="Y319" ca="1">IFERROR(INDEX(INDIRECT($B$3&amp;"."&amp;$B$311&amp;".energy["&amp;This.year&amp;"]"),MATCH($C319&amp;Y$5,INDIRECT($B$3&amp;"."&amp;$B$311&amp;".energy[Tech description]")&amp;INDIRECT($B$3&amp;"."&amp;$B$311&amp;".energy[Energy description]"),0)),0)</f>
        <v>0</v>
      </c>
      <c r="Z319" s="152">
        <f t="array" aca="1" ref="Z319" ca="1">IFERROR(INDEX(INDIRECT($B$3&amp;"."&amp;$B$311&amp;".energy["&amp;This.year&amp;"]"),MATCH($C319&amp;Z$5,INDIRECT($B$3&amp;"."&amp;$B$311&amp;".energy[Tech description]")&amp;INDIRECT($B$3&amp;"."&amp;$B$311&amp;".energy[Energy description]"),0)),0)</f>
        <v>0</v>
      </c>
      <c r="AA319" s="152">
        <f t="array" aca="1" ref="AA319" ca="1">IFERROR(INDEX(INDIRECT($B$3&amp;"."&amp;$B$311&amp;".energy["&amp;This.year&amp;"]"),MATCH($C319&amp;AA$5,INDIRECT($B$3&amp;"."&amp;$B$311&amp;".energy[Tech description]")&amp;INDIRECT($B$3&amp;"."&amp;$B$311&amp;".energy[Energy description]"),0)),0)</f>
        <v>0</v>
      </c>
      <c r="AB319" s="152">
        <f t="array" aca="1" ref="AB319" ca="1">IFERROR(INDEX(INDIRECT($B$3&amp;"."&amp;$B$311&amp;".energy["&amp;This.year&amp;"]"),MATCH($C319&amp;AB$5,INDIRECT($B$3&amp;"."&amp;$B$311&amp;".energy[Tech description]")&amp;INDIRECT($B$3&amp;"."&amp;$B$311&amp;".energy[Energy description]"),0)),0)</f>
        <v>0</v>
      </c>
      <c r="AC319" s="152">
        <f t="array" aca="1" ref="AC319" ca="1">IFERROR(INDEX(INDIRECT($B$3&amp;"."&amp;$B$311&amp;".energy["&amp;This.year&amp;"]"),MATCH($C319&amp;AC$5,INDIRECT($B$3&amp;"."&amp;$B$311&amp;".energy[Tech description]")&amp;INDIRECT($B$3&amp;"."&amp;$B$311&amp;".energy[Energy description]"),0)),0)</f>
        <v>0</v>
      </c>
      <c r="AD319" s="152">
        <f t="array" aca="1" ref="AD319" ca="1">IFERROR(INDEX(INDIRECT($B$3&amp;"."&amp;$B$311&amp;".energy["&amp;This.year&amp;"]"),MATCH($C319&amp;AD$5,INDIRECT($B$3&amp;"."&amp;$B$311&amp;".energy[Tech description]")&amp;INDIRECT($B$3&amp;"."&amp;$B$311&amp;".energy[Energy description]"),0)),0)</f>
        <v>0</v>
      </c>
      <c r="AE319" s="152">
        <f t="array" aca="1" ref="AE319" ca="1">IFERROR(INDEX(INDIRECT($B$3&amp;"."&amp;$B$311&amp;".energy["&amp;This.year&amp;"]"),MATCH($C319&amp;AE$5,INDIRECT($B$3&amp;"."&amp;$B$311&amp;".energy[Tech description]")&amp;INDIRECT($B$3&amp;"."&amp;$B$311&amp;".energy[Energy description]"),0)),0)</f>
        <v>0</v>
      </c>
      <c r="AF319" s="152">
        <f t="array" aca="1" ref="AF319" ca="1">IFERROR(INDEX(INDIRECT($B$3&amp;"."&amp;$B$311&amp;".energy["&amp;This.year&amp;"]"),MATCH($C319&amp;AF$5,INDIRECT($B$3&amp;"."&amp;$B$311&amp;".energy[Tech description]")&amp;INDIRECT($B$3&amp;"."&amp;$B$311&amp;".energy[Energy description]"),0)),0)</f>
        <v>0</v>
      </c>
      <c r="AG319" s="152">
        <f t="array" aca="1" ref="AG319" ca="1">IFERROR(INDEX(INDIRECT($B$3&amp;"."&amp;$B$311&amp;".energy["&amp;This.year&amp;"]"),MATCH($C319&amp;AG$5,INDIRECT($B$3&amp;"."&amp;$B$311&amp;".energy[Tech description]")&amp;INDIRECT($B$3&amp;"."&amp;$B$311&amp;".energy[Energy description]"),0)),0)</f>
        <v>0</v>
      </c>
      <c r="AH319" s="152">
        <f t="array" aca="1" ref="AH319" ca="1">IFERROR(INDEX(INDIRECT($B$3&amp;"."&amp;$B$311&amp;".energy["&amp;This.year&amp;"]"),MATCH($C319&amp;AH$5,INDIRECT($B$3&amp;"."&amp;$B$311&amp;".energy[Tech description]")&amp;INDIRECT($B$3&amp;"."&amp;$B$311&amp;".energy[Energy description]"),0)),0)</f>
        <v>0</v>
      </c>
      <c r="AI319" s="152">
        <f t="array" aca="1" ref="AI319" ca="1">IFERROR(INDEX(INDIRECT($B$3&amp;"."&amp;$B$311&amp;".energy["&amp;This.year&amp;"]"),MATCH($C319&amp;AI$5,INDIRECT($B$3&amp;"."&amp;$B$311&amp;".energy[Tech description]")&amp;INDIRECT($B$3&amp;"."&amp;$B$311&amp;".energy[Energy description]"),0)),0)</f>
        <v>0</v>
      </c>
      <c r="AJ319" s="152">
        <f t="array" aca="1" ref="AJ319" ca="1">IFERROR(INDEX(INDIRECT($B$3&amp;"."&amp;$B$311&amp;".energy["&amp;This.year&amp;"]"),MATCH($C319&amp;AJ$5,INDIRECT($B$3&amp;"."&amp;$B$311&amp;".energy[Tech description]")&amp;INDIRECT($B$3&amp;"."&amp;$B$311&amp;".energy[Energy description]"),0)),0)</f>
        <v>0</v>
      </c>
      <c r="AK319" s="152">
        <f t="array" aca="1" ref="AK319" ca="1">IFERROR(INDEX(INDIRECT($B$3&amp;"."&amp;$B$311&amp;".energy["&amp;This.year&amp;"]"),MATCH($C319&amp;AK$5,INDIRECT($B$3&amp;"."&amp;$B$311&amp;".energy[Tech description]")&amp;INDIRECT($B$3&amp;"."&amp;$B$311&amp;".energy[Energy description]"),0)),0)</f>
        <v>0</v>
      </c>
      <c r="AL319" s="152">
        <f t="array" aca="1" ref="AL319" ca="1">IFERROR(INDEX(INDIRECT($B$3&amp;"."&amp;$B$311&amp;".energy["&amp;This.year&amp;"]"),MATCH($C319&amp;AL$5,INDIRECT($B$3&amp;"."&amp;$B$311&amp;".energy[Tech description]")&amp;INDIRECT($B$3&amp;"."&amp;$B$311&amp;".energy[Energy description]"),0)),0)</f>
        <v>0</v>
      </c>
      <c r="AM319" s="152">
        <f t="array" aca="1" ref="AM319" ca="1">IFERROR(INDEX(INDIRECT($B$3&amp;"."&amp;$B$311&amp;".energy["&amp;This.year&amp;"]"),MATCH($C319&amp;AM$5,INDIRECT($B$3&amp;"."&amp;$B$311&amp;".energy[Tech description]")&amp;INDIRECT($B$3&amp;"."&amp;$B$311&amp;".energy[Energy description]"),0)),0)</f>
        <v>0</v>
      </c>
      <c r="AN319" s="152">
        <f t="array" aca="1" ref="AN319" ca="1">IFERROR(INDEX(INDIRECT($B$3&amp;"."&amp;$B$311&amp;".energy["&amp;This.year&amp;"]"),MATCH($C319&amp;AN$5,INDIRECT($B$3&amp;"."&amp;$B$311&amp;".energy[Tech description]")&amp;INDIRECT($B$3&amp;"."&amp;$B$311&amp;".energy[Energy description]"),0)),0)</f>
        <v>0</v>
      </c>
      <c r="AO319" s="152">
        <f ca="1">SUM(V319:AN319)</f>
        <v>0</v>
      </c>
      <c r="AQ319" s="21">
        <f t="array" aca="1" ref="AQ319" ca="1">IFERROR(INDEX(INDIRECT($B$3&amp;"."&amp;$B$311&amp;".energy["&amp;This.year&amp;"]"),MATCH($C319&amp;AQ$5,INDIRECT($B$3&amp;"."&amp;$B$311&amp;".energy[Tech description]")&amp;INDIRECT($B$3&amp;"."&amp;$B$311&amp;".energy[Energy description]"),0)),0)</f>
        <v>0</v>
      </c>
      <c r="AR319" s="21">
        <f t="array" aca="1" ref="AR319" ca="1">IFERROR(INDEX(INDIRECT($B$3&amp;"."&amp;$B$311&amp;".energy["&amp;This.year&amp;"]"),MATCH($C319&amp;AR$5,INDIRECT($B$3&amp;"."&amp;$B$311&amp;".energy[Tech description]")&amp;INDIRECT($B$3&amp;"."&amp;$B$311&amp;".energy[Energy description]"),0)),0)</f>
        <v>0</v>
      </c>
      <c r="AS319" s="21">
        <f t="array" aca="1" ref="AS319" ca="1">IFERROR(INDEX(INDIRECT($B$3&amp;"."&amp;$B$311&amp;".energy["&amp;This.year&amp;"]"),MATCH($C319&amp;AS$5,INDIRECT($B$3&amp;"."&amp;$B$311&amp;".energy[Tech description]")&amp;INDIRECT($B$3&amp;"."&amp;$B$311&amp;".energy[Energy description]"),0)),0)</f>
        <v>0</v>
      </c>
      <c r="AT319" s="21">
        <f t="array" aca="1" ref="AT319" ca="1">IFERROR(INDEX(INDIRECT($B$3&amp;"."&amp;$B$311&amp;".energy["&amp;This.year&amp;"]"),MATCH($C319&amp;AT$5,INDIRECT($B$3&amp;"."&amp;$B$311&amp;".energy[Tech description]")&amp;INDIRECT($B$3&amp;"."&amp;$B$311&amp;".energy[Energy description]"),0)),0)</f>
        <v>0</v>
      </c>
      <c r="AU319" s="21">
        <f t="array" aca="1" ref="AU319" ca="1">IFERROR(INDEX(INDIRECT($B$3&amp;"."&amp;$B$311&amp;".energy["&amp;This.year&amp;"]"),MATCH($C319&amp;AU$5,INDIRECT($B$3&amp;"."&amp;$B$311&amp;".energy[Tech description]")&amp;INDIRECT($B$3&amp;"."&amp;$B$311&amp;".energy[Energy description]"),0)),0)</f>
        <v>0</v>
      </c>
      <c r="AV319" s="21">
        <f t="array" aca="1" ref="AV319" ca="1">IFERROR(INDEX(INDIRECT($B$3&amp;"."&amp;$B$311&amp;".energy["&amp;This.year&amp;"]"),MATCH($C319&amp;AV$5,INDIRECT($B$3&amp;"."&amp;$B$311&amp;".energy[Tech description]")&amp;INDIRECT($B$3&amp;"."&amp;$B$311&amp;".energy[Energy description]"),0)),0)</f>
        <v>0</v>
      </c>
      <c r="AW319" s="21">
        <f t="array" aca="1" ref="AW319" ca="1">IFERROR(INDEX(INDIRECT($B$3&amp;"."&amp;$B$311&amp;".energy["&amp;This.year&amp;"]"),MATCH($C319&amp;AW$5,INDIRECT($B$3&amp;"."&amp;$B$311&amp;".energy[Tech description]")&amp;INDIRECT($B$3&amp;"."&amp;$B$311&amp;".energy[Energy description]"),0)),0)</f>
        <v>0</v>
      </c>
      <c r="AX319" s="21">
        <f t="array" aca="1" ref="AX319" ca="1">IFERROR(INDEX(INDIRECT($B$3&amp;"."&amp;$B$311&amp;".energy["&amp;This.year&amp;"]"),MATCH($C319&amp;AX$5,INDIRECT($B$3&amp;"."&amp;$B$311&amp;".energy[Tech description]")&amp;INDIRECT($B$3&amp;"."&amp;$B$311&amp;".energy[Energy description]"),0)),0)</f>
        <v>0</v>
      </c>
      <c r="AY319" s="21">
        <f t="array" aca="1" ref="AY319" ca="1">IFERROR(INDEX(INDIRECT($B$3&amp;"."&amp;$B$311&amp;".energy["&amp;This.year&amp;"]"),MATCH($C319&amp;AY$5,INDIRECT($B$3&amp;"."&amp;$B$311&amp;".energy[Tech description]")&amp;INDIRECT($B$3&amp;"."&amp;$B$311&amp;".energy[Energy description]"),0)),0)</f>
        <v>0</v>
      </c>
      <c r="AZ319" s="21">
        <f t="array" aca="1" ref="AZ319" ca="1">IFERROR(INDEX(INDIRECT($B$3&amp;"."&amp;$B$311&amp;".energy["&amp;This.year&amp;"]"),MATCH($C319&amp;AZ$5,INDIRECT($B$3&amp;"."&amp;$B$311&amp;".energy[Tech description]")&amp;INDIRECT($B$3&amp;"."&amp;$B$311&amp;".energy[Energy description]"),0)),0)</f>
        <v>0</v>
      </c>
      <c r="BA319" s="21">
        <f t="array" aca="1" ref="BA319" ca="1">IFERROR(INDEX(INDIRECT($B$3&amp;"."&amp;$B$311&amp;".energy["&amp;This.year&amp;"]"),MATCH($C319&amp;BA$5,INDIRECT($B$3&amp;"."&amp;$B$311&amp;".energy[Tech description]")&amp;INDIRECT($B$3&amp;"."&amp;$B$311&amp;".energy[Energy description]"),0)),0)</f>
        <v>0</v>
      </c>
      <c r="BB319" s="21">
        <f t="array" aca="1" ref="BB319" ca="1">IFERROR(INDEX(INDIRECT($B$3&amp;"."&amp;$B$311&amp;".energy["&amp;This.year&amp;"]"),MATCH($C319&amp;BB$5,INDIRECT($B$3&amp;"."&amp;$B$311&amp;".energy[Tech description]")&amp;INDIRECT($B$3&amp;"."&amp;$B$311&amp;".energy[Energy description]"),0)),0)</f>
        <v>0</v>
      </c>
      <c r="BC319" s="21">
        <f t="array" aca="1" ref="BC319" ca="1">IFERROR(INDEX(INDIRECT($B$3&amp;"."&amp;$B$311&amp;".energy["&amp;This.year&amp;"]"),MATCH($C319&amp;BC$5,INDIRECT($B$3&amp;"."&amp;$B$311&amp;".energy[Tech description]")&amp;INDIRECT($B$3&amp;"."&amp;$B$311&amp;".energy[Energy description]"),0)),0)</f>
        <v>0</v>
      </c>
      <c r="BD319" s="21">
        <f t="shared" ref="BD319:BD321" ca="1" si="117">SUM(AQ319:BC319)</f>
        <v>0</v>
      </c>
      <c r="BF319" s="49">
        <f t="array" aca="1" ref="BF319" ca="1">IFERROR(INDEX(INDIRECT($B$3&amp;"."&amp;$B$311&amp;".energy["&amp;This.year&amp;"]"),MATCH($C319&amp;BF$5,INDIRECT($B$3&amp;"."&amp;$B$311&amp;".energy[Tech description]")&amp;INDIRECT($B$3&amp;"."&amp;$B$311&amp;".energy[Energy description]"),0)),0)</f>
        <v>0</v>
      </c>
      <c r="BG319" s="49">
        <f t="array" aca="1" ref="BG319" ca="1">IFERROR(INDEX(INDIRECT($B$3&amp;"."&amp;$B$311&amp;".energy["&amp;This.year&amp;"]"),MATCH($C319&amp;BG$5,INDIRECT($B$3&amp;"."&amp;$B$311&amp;".energy[Tech description]")&amp;INDIRECT($B$3&amp;"."&amp;$B$311&amp;".energy[Energy description]"),0)),0)</f>
        <v>0</v>
      </c>
      <c r="BH319" s="49">
        <f t="shared" ref="BH319:BH321" ca="1" si="118">SUM(BF319:BG319)</f>
        <v>0</v>
      </c>
      <c r="BI319" s="219">
        <f t="shared" ca="1" si="115"/>
        <v>0</v>
      </c>
      <c r="BJ319" s="60"/>
    </row>
    <row r="320" spans="1:63">
      <c r="B320" s="176" t="s">
        <v>2342</v>
      </c>
      <c r="C320" s="114" t="str">
        <f>INDEX(Regional.Technologies[Description],MATCH($B$3&amp;"."&amp;B320,Regional.Technologies[Code],0))</f>
        <v>Global Coal washeries</v>
      </c>
      <c r="D320" s="54"/>
      <c r="E320" s="121">
        <f t="array" aca="1" ref="E320" ca="1">IFERROR(INDEX(INDIRECT($B$3&amp;"."&amp;$B$311&amp;".energy["&amp;This.year&amp;"]"),MATCH($C320&amp;E$5,INDIRECT($B$3&amp;"."&amp;$B$311&amp;".energy[Tech description]")&amp;INDIRECT($B$3&amp;"."&amp;$B$311&amp;".energy[Energy description]"),0)),0)</f>
        <v>0</v>
      </c>
      <c r="F320" s="121">
        <f t="array" aca="1" ref="F320" ca="1">IFERROR(INDEX(INDIRECT($B$3&amp;"."&amp;$B$311&amp;".energy["&amp;This.year&amp;"]"),MATCH($C320&amp;F$5,INDIRECT($B$3&amp;"."&amp;$B$311&amp;".energy[Tech description]")&amp;INDIRECT($B$3&amp;"."&amp;$B$311&amp;".energy[Energy description]"),0)),0)</f>
        <v>0</v>
      </c>
      <c r="G320" s="121">
        <f t="array" aca="1" ref="G320" ca="1">IFERROR(INDEX(INDIRECT($B$3&amp;"."&amp;$B$311&amp;".energy["&amp;This.year&amp;"]"),MATCH($C320&amp;G$5,INDIRECT($B$3&amp;"."&amp;$B$311&amp;".energy[Tech description]")&amp;INDIRECT($B$3&amp;"."&amp;$B$311&amp;".energy[Energy description]"),0)),0)</f>
        <v>0</v>
      </c>
      <c r="H320" s="121">
        <f t="array" aca="1" ref="H320" ca="1">IFERROR(INDEX(INDIRECT($B$3&amp;"."&amp;$B$311&amp;".energy["&amp;This.year&amp;"]"),MATCH($C320&amp;H$5,INDIRECT($B$3&amp;"."&amp;$B$311&amp;".energy[Tech description]")&amp;INDIRECT($B$3&amp;"."&amp;$B$311&amp;".energy[Energy description]"),0)),0)</f>
        <v>0</v>
      </c>
      <c r="I320" s="121">
        <f t="array" aca="1" ref="I320" ca="1">IFERROR(INDEX(INDIRECT($B$3&amp;"."&amp;$B$311&amp;".energy["&amp;This.year&amp;"]"),MATCH($C320&amp;I$5,INDIRECT($B$3&amp;"."&amp;$B$311&amp;".energy[Tech description]")&amp;INDIRECT($B$3&amp;"."&amp;$B$311&amp;".energy[Energy description]"),0)),0)</f>
        <v>0</v>
      </c>
      <c r="J320" s="121">
        <f t="array" aca="1" ref="J320" ca="1">IFERROR(INDEX(INDIRECT($B$3&amp;"."&amp;$B$311&amp;".energy["&amp;This.year&amp;"]"),MATCH($C320&amp;J$5,INDIRECT($B$3&amp;"."&amp;$B$311&amp;".energy[Tech description]")&amp;INDIRECT($B$3&amp;"."&amp;$B$311&amp;".energy[Energy description]"),0)),0)</f>
        <v>0</v>
      </c>
      <c r="K320" s="121">
        <f t="array" aca="1" ref="K320" ca="1">IFERROR(INDEX(INDIRECT($B$3&amp;"."&amp;$B$311&amp;".energy["&amp;This.year&amp;"]"),MATCH($C320&amp;K$5,INDIRECT($B$3&amp;"."&amp;$B$311&amp;".energy[Tech description]")&amp;INDIRECT($B$3&amp;"."&amp;$B$311&amp;".energy[Energy description]"),0)),0)</f>
        <v>0</v>
      </c>
      <c r="L320" s="121">
        <f t="array" aca="1" ref="L320" ca="1">IFERROR(INDEX(INDIRECT($B$3&amp;"."&amp;$B$311&amp;".energy["&amp;This.year&amp;"]"),MATCH($C320&amp;L$5,INDIRECT($B$3&amp;"."&amp;$B$311&amp;".energy[Tech description]")&amp;INDIRECT($B$3&amp;"."&amp;$B$311&amp;".energy[Energy description]"),0)),0)</f>
        <v>0</v>
      </c>
      <c r="M320" s="121">
        <f t="array" aca="1" ref="M320" ca="1">IFERROR(INDEX(INDIRECT($B$3&amp;"."&amp;$B$311&amp;".energy["&amp;This.year&amp;"]"),MATCH($C320&amp;M$5,INDIRECT($B$3&amp;"."&amp;$B$311&amp;".energy[Tech description]")&amp;INDIRECT($B$3&amp;"."&amp;$B$311&amp;".energy[Energy description]"),0)),0)</f>
        <v>0</v>
      </c>
      <c r="N320" s="121">
        <f t="array" aca="1" ref="N320" ca="1">IFERROR(INDEX(INDIRECT($B$3&amp;"."&amp;$B$311&amp;".energy["&amp;This.year&amp;"]"),MATCH($C320&amp;N$5,INDIRECT($B$3&amp;"."&amp;$B$311&amp;".energy[Tech description]")&amp;INDIRECT($B$3&amp;"."&amp;$B$311&amp;".energy[Energy description]"),0)),0)</f>
        <v>0</v>
      </c>
      <c r="O320" s="121">
        <f t="array" aca="1" ref="O320" ca="1">IFERROR(INDEX(INDIRECT($B$3&amp;"."&amp;$B$311&amp;".energy["&amp;This.year&amp;"]"),MATCH($C320&amp;O$5,INDIRECT($B$3&amp;"."&amp;$B$311&amp;".energy[Tech description]")&amp;INDIRECT($B$3&amp;"."&amp;$B$311&amp;".energy[Energy description]"),0)),0)</f>
        <v>0</v>
      </c>
      <c r="P320" s="121">
        <f t="array" aca="1" ref="P320" ca="1">IFERROR(INDEX(INDIRECT($B$3&amp;"."&amp;$B$311&amp;".energy["&amp;This.year&amp;"]"),MATCH($C320&amp;P$5,INDIRECT($B$3&amp;"."&amp;$B$311&amp;".energy[Tech description]")&amp;INDIRECT($B$3&amp;"."&amp;$B$311&amp;".energy[Energy description]"),0)),0)</f>
        <v>0</v>
      </c>
      <c r="Q320" s="121">
        <f t="array" aca="1" ref="Q320" ca="1">IFERROR(INDEX(INDIRECT($B$3&amp;"."&amp;$B$311&amp;".energy["&amp;This.year&amp;"]"),MATCH($C320&amp;Q$5,INDIRECT($B$3&amp;"."&amp;$B$311&amp;".energy[Tech description]")&amp;INDIRECT($B$3&amp;"."&amp;$B$311&amp;".energy[Energy description]"),0)),0)</f>
        <v>0</v>
      </c>
      <c r="R320" s="121">
        <f t="array" aca="1" ref="R320" ca="1">IFERROR(INDEX(INDIRECT($B$3&amp;"."&amp;$B$311&amp;".energy["&amp;This.year&amp;"]"),MATCH($C320&amp;R$5,INDIRECT($B$3&amp;"."&amp;$B$311&amp;".energy[Tech description]")&amp;INDIRECT($B$3&amp;"."&amp;$B$311&amp;".energy[Energy description]"),0)),0)</f>
        <v>0</v>
      </c>
      <c r="S320" s="121">
        <f t="array" aca="1" ref="S320" ca="1">IFERROR(INDEX(INDIRECT($B$3&amp;"."&amp;$B$311&amp;".energy["&amp;This.year&amp;"]"),MATCH($C320&amp;S$5,INDIRECT($B$3&amp;"."&amp;$B$311&amp;".energy[Tech description]")&amp;INDIRECT($B$3&amp;"."&amp;$B$311&amp;".energy[Energy description]"),0)),0)</f>
        <v>0</v>
      </c>
      <c r="T320" s="121">
        <f t="shared" ca="1" si="116"/>
        <v>0</v>
      </c>
      <c r="V320" s="152">
        <f t="array" aca="1" ref="V320" ca="1">IFERROR(INDEX(INDIRECT($B$3&amp;"."&amp;$B$311&amp;".energy["&amp;This.year&amp;"]"),MATCH($C320&amp;V$5,INDIRECT($B$3&amp;"."&amp;$B$311&amp;".energy[Tech description]")&amp;INDIRECT($B$3&amp;"."&amp;$B$311&amp;".energy[Energy description]"),0)),0)</f>
        <v>0</v>
      </c>
      <c r="W320" s="152">
        <f t="array" aca="1" ref="W320" ca="1">IFERROR(INDEX(INDIRECT($B$3&amp;"."&amp;$B$311&amp;".energy["&amp;This.year&amp;"]"),MATCH($C320&amp;W$5,INDIRECT($B$3&amp;"."&amp;$B$311&amp;".energy[Tech description]")&amp;INDIRECT($B$3&amp;"."&amp;$B$311&amp;".energy[Energy description]"),0)),0)</f>
        <v>0</v>
      </c>
      <c r="X320" s="152">
        <f t="array" aca="1" ref="X320" ca="1">IFERROR(INDEX(INDIRECT($B$3&amp;"."&amp;$B$311&amp;".energy["&amp;This.year&amp;"]"),MATCH($C320&amp;X$5,INDIRECT($B$3&amp;"."&amp;$B$311&amp;".energy[Tech description]")&amp;INDIRECT($B$3&amp;"."&amp;$B$311&amp;".energy[Energy description]"),0)),0)</f>
        <v>0</v>
      </c>
      <c r="Y320" s="152">
        <f t="array" aca="1" ref="Y320" ca="1">IFERROR(INDEX(INDIRECT($B$3&amp;"."&amp;$B$311&amp;".energy["&amp;This.year&amp;"]"),MATCH($C320&amp;Y$5,INDIRECT($B$3&amp;"."&amp;$B$311&amp;".energy[Tech description]")&amp;INDIRECT($B$3&amp;"."&amp;$B$311&amp;".energy[Energy description]"),0)),0)</f>
        <v>0</v>
      </c>
      <c r="Z320" s="152">
        <f t="array" aca="1" ref="Z320" ca="1">IFERROR(INDEX(INDIRECT($B$3&amp;"."&amp;$B$311&amp;".energy["&amp;This.year&amp;"]"),MATCH($C320&amp;Z$5,INDIRECT($B$3&amp;"."&amp;$B$311&amp;".energy[Tech description]")&amp;INDIRECT($B$3&amp;"."&amp;$B$311&amp;".energy[Energy description]"),0)),0)</f>
        <v>0</v>
      </c>
      <c r="AA320" s="152">
        <f t="array" aca="1" ref="AA320" ca="1">IFERROR(INDEX(INDIRECT($B$3&amp;"."&amp;$B$311&amp;".energy["&amp;This.year&amp;"]"),MATCH($C320&amp;AA$5,INDIRECT($B$3&amp;"."&amp;$B$311&amp;".energy[Tech description]")&amp;INDIRECT($B$3&amp;"."&amp;$B$311&amp;".energy[Energy description]"),0)),0)</f>
        <v>0</v>
      </c>
      <c r="AB320" s="152">
        <f t="array" aca="1" ref="AB320" ca="1">IFERROR(INDEX(INDIRECT($B$3&amp;"."&amp;$B$311&amp;".energy["&amp;This.year&amp;"]"),MATCH($C320&amp;AB$5,INDIRECT($B$3&amp;"."&amp;$B$311&amp;".energy[Tech description]")&amp;INDIRECT($B$3&amp;"."&amp;$B$311&amp;".energy[Energy description]"),0)),0)</f>
        <v>0</v>
      </c>
      <c r="AC320" s="152">
        <f t="array" aca="1" ref="AC320" ca="1">IFERROR(INDEX(INDIRECT($B$3&amp;"."&amp;$B$311&amp;".energy["&amp;This.year&amp;"]"),MATCH($C320&amp;AC$5,INDIRECT($B$3&amp;"."&amp;$B$311&amp;".energy[Tech description]")&amp;INDIRECT($B$3&amp;"."&amp;$B$311&amp;".energy[Energy description]"),0)),0)</f>
        <v>0</v>
      </c>
      <c r="AD320" s="152">
        <f t="array" aca="1" ref="AD320" ca="1">IFERROR(INDEX(INDIRECT($B$3&amp;"."&amp;$B$311&amp;".energy["&amp;This.year&amp;"]"),MATCH($C320&amp;AD$5,INDIRECT($B$3&amp;"."&amp;$B$311&amp;".energy[Tech description]")&amp;INDIRECT($B$3&amp;"."&amp;$B$311&amp;".energy[Energy description]"),0)),0)</f>
        <v>0</v>
      </c>
      <c r="AE320" s="152">
        <f t="array" aca="1" ref="AE320" ca="1">IFERROR(INDEX(INDIRECT($B$3&amp;"."&amp;$B$311&amp;".energy["&amp;This.year&amp;"]"),MATCH($C320&amp;AE$5,INDIRECT($B$3&amp;"."&amp;$B$311&amp;".energy[Tech description]")&amp;INDIRECT($B$3&amp;"."&amp;$B$311&amp;".energy[Energy description]"),0)),0)</f>
        <v>0</v>
      </c>
      <c r="AF320" s="152">
        <f t="array" aca="1" ref="AF320" ca="1">IFERROR(INDEX(INDIRECT($B$3&amp;"."&amp;$B$311&amp;".energy["&amp;This.year&amp;"]"),MATCH($C320&amp;AF$5,INDIRECT($B$3&amp;"."&amp;$B$311&amp;".energy[Tech description]")&amp;INDIRECT($B$3&amp;"."&amp;$B$311&amp;".energy[Energy description]"),0)),0)</f>
        <v>0</v>
      </c>
      <c r="AG320" s="152">
        <f t="array" aca="1" ref="AG320" ca="1">IFERROR(INDEX(INDIRECT($B$3&amp;"."&amp;$B$311&amp;".energy["&amp;This.year&amp;"]"),MATCH($C320&amp;AG$5,INDIRECT($B$3&amp;"."&amp;$B$311&amp;".energy[Tech description]")&amp;INDIRECT($B$3&amp;"."&amp;$B$311&amp;".energy[Energy description]"),0)),0)</f>
        <v>0</v>
      </c>
      <c r="AH320" s="152">
        <f t="array" aca="1" ref="AH320" ca="1">IFERROR(INDEX(INDIRECT($B$3&amp;"."&amp;$B$311&amp;".energy["&amp;This.year&amp;"]"),MATCH($C320&amp;AH$5,INDIRECT($B$3&amp;"."&amp;$B$311&amp;".energy[Tech description]")&amp;INDIRECT($B$3&amp;"."&amp;$B$311&amp;".energy[Energy description]"),0)),0)</f>
        <v>0</v>
      </c>
      <c r="AI320" s="152">
        <f t="array" aca="1" ref="AI320" ca="1">IFERROR(INDEX(INDIRECT($B$3&amp;"."&amp;$B$311&amp;".energy["&amp;This.year&amp;"]"),MATCH($C320&amp;AI$5,INDIRECT($B$3&amp;"."&amp;$B$311&amp;".energy[Tech description]")&amp;INDIRECT($B$3&amp;"."&amp;$B$311&amp;".energy[Energy description]"),0)),0)</f>
        <v>0</v>
      </c>
      <c r="AJ320" s="152">
        <f t="array" aca="1" ref="AJ320" ca="1">IFERROR(INDEX(INDIRECT($B$3&amp;"."&amp;$B$311&amp;".energy["&amp;This.year&amp;"]"),MATCH($C320&amp;AJ$5,INDIRECT($B$3&amp;"."&amp;$B$311&amp;".energy[Tech description]")&amp;INDIRECT($B$3&amp;"."&amp;$B$311&amp;".energy[Energy description]"),0)),0)</f>
        <v>0</v>
      </c>
      <c r="AK320" s="152">
        <f t="array" aca="1" ref="AK320" ca="1">IFERROR(INDEX(INDIRECT($B$3&amp;"."&amp;$B$311&amp;".energy["&amp;This.year&amp;"]"),MATCH($C320&amp;AK$5,INDIRECT($B$3&amp;"."&amp;$B$311&amp;".energy[Tech description]")&amp;INDIRECT($B$3&amp;"."&amp;$B$311&amp;".energy[Energy description]"),0)),0)</f>
        <v>0</v>
      </c>
      <c r="AL320" s="152">
        <f t="array" aca="1" ref="AL320" ca="1">IFERROR(INDEX(INDIRECT($B$3&amp;"."&amp;$B$311&amp;".energy["&amp;This.year&amp;"]"),MATCH($C320&amp;AL$5,INDIRECT($B$3&amp;"."&amp;$B$311&amp;".energy[Tech description]")&amp;INDIRECT($B$3&amp;"."&amp;$B$311&amp;".energy[Energy description]"),0)),0)</f>
        <v>0</v>
      </c>
      <c r="AM320" s="152">
        <f t="array" aca="1" ref="AM320" ca="1">IFERROR(INDEX(INDIRECT($B$3&amp;"."&amp;$B$311&amp;".energy["&amp;This.year&amp;"]"),MATCH($C320&amp;AM$5,INDIRECT($B$3&amp;"."&amp;$B$311&amp;".energy[Tech description]")&amp;INDIRECT($B$3&amp;"."&amp;$B$311&amp;".energy[Energy description]"),0)),0)</f>
        <v>0</v>
      </c>
      <c r="AN320" s="152">
        <f t="array" aca="1" ref="AN320" ca="1">IFERROR(INDEX(INDIRECT($B$3&amp;"."&amp;$B$311&amp;".energy["&amp;This.year&amp;"]"),MATCH($C320&amp;AN$5,INDIRECT($B$3&amp;"."&amp;$B$311&amp;".energy[Tech description]")&amp;INDIRECT($B$3&amp;"."&amp;$B$311&amp;".energy[Energy description]"),0)),0)</f>
        <v>0</v>
      </c>
      <c r="AO320" s="152">
        <f t="shared" ref="AO320:AO321" ca="1" si="119">SUM(V320:AN320)</f>
        <v>0</v>
      </c>
      <c r="AQ320" s="21">
        <f t="array" aca="1" ref="AQ320" ca="1">IFERROR(INDEX(INDIRECT($B$3&amp;"."&amp;$B$311&amp;".energy["&amp;This.year&amp;"]"),MATCH($C320&amp;AQ$5,INDIRECT($B$3&amp;"."&amp;$B$311&amp;".energy[Tech description]")&amp;INDIRECT($B$3&amp;"."&amp;$B$311&amp;".energy[Energy description]"),0)),0)</f>
        <v>0</v>
      </c>
      <c r="AR320" s="21">
        <f t="array" aca="1" ref="AR320" ca="1">IFERROR(INDEX(INDIRECT($B$3&amp;"."&amp;$B$311&amp;".energy["&amp;This.year&amp;"]"),MATCH($C320&amp;AR$5,INDIRECT($B$3&amp;"."&amp;$B$311&amp;".energy[Tech description]")&amp;INDIRECT($B$3&amp;"."&amp;$B$311&amp;".energy[Energy description]"),0)),0)</f>
        <v>0</v>
      </c>
      <c r="AS320" s="21">
        <f t="array" aca="1" ref="AS320" ca="1">IFERROR(INDEX(INDIRECT($B$3&amp;"."&amp;$B$311&amp;".energy["&amp;This.year&amp;"]"),MATCH($C320&amp;AS$5,INDIRECT($B$3&amp;"."&amp;$B$311&amp;".energy[Tech description]")&amp;INDIRECT($B$3&amp;"."&amp;$B$311&amp;".energy[Energy description]"),0)),0)</f>
        <v>0</v>
      </c>
      <c r="AT320" s="21">
        <f t="array" aca="1" ref="AT320" ca="1">IFERROR(INDEX(INDIRECT($B$3&amp;"."&amp;$B$311&amp;".energy["&amp;This.year&amp;"]"),MATCH($C320&amp;AT$5,INDIRECT($B$3&amp;"."&amp;$B$311&amp;".energy[Tech description]")&amp;INDIRECT($B$3&amp;"."&amp;$B$311&amp;".energy[Energy description]"),0)),0)</f>
        <v>0</v>
      </c>
      <c r="AU320" s="21">
        <f t="array" aca="1" ref="AU320" ca="1">IFERROR(INDEX(INDIRECT($B$3&amp;"."&amp;$B$311&amp;".energy["&amp;This.year&amp;"]"),MATCH($C320&amp;AU$5,INDIRECT($B$3&amp;"."&amp;$B$311&amp;".energy[Tech description]")&amp;INDIRECT($B$3&amp;"."&amp;$B$311&amp;".energy[Energy description]"),0)),0)</f>
        <v>0</v>
      </c>
      <c r="AV320" s="21">
        <f t="array" aca="1" ref="AV320" ca="1">IFERROR(INDEX(INDIRECT($B$3&amp;"."&amp;$B$311&amp;".energy["&amp;This.year&amp;"]"),MATCH($C320&amp;AV$5,INDIRECT($B$3&amp;"."&amp;$B$311&amp;".energy[Tech description]")&amp;INDIRECT($B$3&amp;"."&amp;$B$311&amp;".energy[Energy description]"),0)),0)</f>
        <v>0</v>
      </c>
      <c r="AW320" s="21">
        <f t="array" aca="1" ref="AW320" ca="1">IFERROR(INDEX(INDIRECT($B$3&amp;"."&amp;$B$311&amp;".energy["&amp;This.year&amp;"]"),MATCH($C320&amp;AW$5,INDIRECT($B$3&amp;"."&amp;$B$311&amp;".energy[Tech description]")&amp;INDIRECT($B$3&amp;"."&amp;$B$311&amp;".energy[Energy description]"),0)),0)</f>
        <v>0</v>
      </c>
      <c r="AX320" s="21">
        <f t="array" aca="1" ref="AX320" ca="1">IFERROR(INDEX(INDIRECT($B$3&amp;"."&amp;$B$311&amp;".energy["&amp;This.year&amp;"]"),MATCH($C320&amp;AX$5,INDIRECT($B$3&amp;"."&amp;$B$311&amp;".energy[Tech description]")&amp;INDIRECT($B$3&amp;"."&amp;$B$311&amp;".energy[Energy description]"),0)),0)</f>
        <v>0</v>
      </c>
      <c r="AY320" s="21">
        <f t="array" aca="1" ref="AY320" ca="1">IFERROR(INDEX(INDIRECT($B$3&amp;"."&amp;$B$311&amp;".energy["&amp;This.year&amp;"]"),MATCH($C320&amp;AY$5,INDIRECT($B$3&amp;"."&amp;$B$311&amp;".energy[Tech description]")&amp;INDIRECT($B$3&amp;"."&amp;$B$311&amp;".energy[Energy description]"),0)),0)</f>
        <v>0</v>
      </c>
      <c r="AZ320" s="21">
        <f t="array" aca="1" ref="AZ320" ca="1">IFERROR(INDEX(INDIRECT($B$3&amp;"."&amp;$B$311&amp;".energy["&amp;This.year&amp;"]"),MATCH($C320&amp;AZ$5,INDIRECT($B$3&amp;"."&amp;$B$311&amp;".energy[Tech description]")&amp;INDIRECT($B$3&amp;"."&amp;$B$311&amp;".energy[Energy description]"),0)),0)</f>
        <v>0</v>
      </c>
      <c r="BA320" s="21">
        <f t="array" aca="1" ref="BA320" ca="1">IFERROR(INDEX(INDIRECT($B$3&amp;"."&amp;$B$311&amp;".energy["&amp;This.year&amp;"]"),MATCH($C320&amp;BA$5,INDIRECT($B$3&amp;"."&amp;$B$311&amp;".energy[Tech description]")&amp;INDIRECT($B$3&amp;"."&amp;$B$311&amp;".energy[Energy description]"),0)),0)</f>
        <v>0</v>
      </c>
      <c r="BB320" s="21">
        <f t="array" aca="1" ref="BB320" ca="1">IFERROR(INDEX(INDIRECT($B$3&amp;"."&amp;$B$311&amp;".energy["&amp;This.year&amp;"]"),MATCH($C320&amp;BB$5,INDIRECT($B$3&amp;"."&amp;$B$311&amp;".energy[Tech description]")&amp;INDIRECT($B$3&amp;"."&amp;$B$311&amp;".energy[Energy description]"),0)),0)</f>
        <v>0</v>
      </c>
      <c r="BC320" s="21">
        <f t="array" aca="1" ref="BC320" ca="1">IFERROR(INDEX(INDIRECT($B$3&amp;"."&amp;$B$311&amp;".energy["&amp;This.year&amp;"]"),MATCH($C320&amp;BC$5,INDIRECT($B$3&amp;"."&amp;$B$311&amp;".energy[Tech description]")&amp;INDIRECT($B$3&amp;"."&amp;$B$311&amp;".energy[Energy description]"),0)),0)</f>
        <v>0</v>
      </c>
      <c r="BD320" s="21">
        <f t="shared" ca="1" si="117"/>
        <v>0</v>
      </c>
      <c r="BF320" s="49">
        <f t="array" aca="1" ref="BF320" ca="1">IFERROR(INDEX(INDIRECT($B$3&amp;"."&amp;$B$311&amp;".energy["&amp;This.year&amp;"]"),MATCH($C320&amp;BF$5,INDIRECT($B$3&amp;"."&amp;$B$311&amp;".energy[Tech description]")&amp;INDIRECT($B$3&amp;"."&amp;$B$311&amp;".energy[Energy description]"),0)),0)</f>
        <v>0</v>
      </c>
      <c r="BG320" s="49">
        <f t="array" aca="1" ref="BG320" ca="1">IFERROR(INDEX(INDIRECT($B$3&amp;"."&amp;$B$311&amp;".energy["&amp;This.year&amp;"]"),MATCH($C320&amp;BG$5,INDIRECT($B$3&amp;"."&amp;$B$311&amp;".energy[Tech description]")&amp;INDIRECT($B$3&amp;"."&amp;$B$311&amp;".energy[Energy description]"),0)),0)</f>
        <v>0</v>
      </c>
      <c r="BH320" s="49">
        <f t="shared" ca="1" si="118"/>
        <v>0</v>
      </c>
      <c r="BI320" s="219">
        <f t="shared" ca="1" si="115"/>
        <v>0</v>
      </c>
      <c r="BJ320" s="60"/>
    </row>
    <row r="321" spans="2:62">
      <c r="B321" s="176" t="s">
        <v>2359</v>
      </c>
      <c r="C321" s="114" t="str">
        <f>INDEX(Regional.Technologies[Description],MATCH($B$3&amp;"."&amp;B321,Regional.Technologies[Code],0))</f>
        <v>Global Natural gas processing plants</v>
      </c>
      <c r="D321" s="54"/>
      <c r="E321" s="121">
        <f t="array" aca="1" ref="E321" ca="1">IFERROR(INDEX(INDIRECT($B$3&amp;"."&amp;$B$311&amp;".energy["&amp;This.year&amp;"]"),MATCH($C321&amp;E$5,INDIRECT($B$3&amp;"."&amp;$B$311&amp;".energy[Tech description]")&amp;INDIRECT($B$3&amp;"."&amp;$B$311&amp;".energy[Energy description]"),0)),0)</f>
        <v>0</v>
      </c>
      <c r="F321" s="121">
        <f t="array" aca="1" ref="F321" ca="1">IFERROR(INDEX(INDIRECT($B$3&amp;"."&amp;$B$311&amp;".energy["&amp;This.year&amp;"]"),MATCH($C321&amp;F$5,INDIRECT($B$3&amp;"."&amp;$B$311&amp;".energy[Tech description]")&amp;INDIRECT($B$3&amp;"."&amp;$B$311&amp;".energy[Energy description]"),0)),0)</f>
        <v>0</v>
      </c>
      <c r="G321" s="121">
        <f t="array" aca="1" ref="G321" ca="1">IFERROR(INDEX(INDIRECT($B$3&amp;"."&amp;$B$311&amp;".energy["&amp;This.year&amp;"]"),MATCH($C321&amp;G$5,INDIRECT($B$3&amp;"."&amp;$B$311&amp;".energy[Tech description]")&amp;INDIRECT($B$3&amp;"."&amp;$B$311&amp;".energy[Energy description]"),0)),0)</f>
        <v>0</v>
      </c>
      <c r="H321" s="121">
        <f t="array" aca="1" ref="H321" ca="1">IFERROR(INDEX(INDIRECT($B$3&amp;"."&amp;$B$311&amp;".energy["&amp;This.year&amp;"]"),MATCH($C321&amp;H$5,INDIRECT($B$3&amp;"."&amp;$B$311&amp;".energy[Tech description]")&amp;INDIRECT($B$3&amp;"."&amp;$B$311&amp;".energy[Energy description]"),0)),0)</f>
        <v>0</v>
      </c>
      <c r="I321" s="121">
        <f t="array" aca="1" ref="I321" ca="1">IFERROR(INDEX(INDIRECT($B$3&amp;"."&amp;$B$311&amp;".energy["&amp;This.year&amp;"]"),MATCH($C321&amp;I$5,INDIRECT($B$3&amp;"."&amp;$B$311&amp;".energy[Tech description]")&amp;INDIRECT($B$3&amp;"."&amp;$B$311&amp;".energy[Energy description]"),0)),0)</f>
        <v>0</v>
      </c>
      <c r="J321" s="121">
        <f t="array" aca="1" ref="J321" ca="1">IFERROR(INDEX(INDIRECT($B$3&amp;"."&amp;$B$311&amp;".energy["&amp;This.year&amp;"]"),MATCH($C321&amp;J$5,INDIRECT($B$3&amp;"."&amp;$B$311&amp;".energy[Tech description]")&amp;INDIRECT($B$3&amp;"."&amp;$B$311&amp;".energy[Energy description]"),0)),0)</f>
        <v>0</v>
      </c>
      <c r="K321" s="121">
        <f t="array" aca="1" ref="K321" ca="1">IFERROR(INDEX(INDIRECT($B$3&amp;"."&amp;$B$311&amp;".energy["&amp;This.year&amp;"]"),MATCH($C321&amp;K$5,INDIRECT($B$3&amp;"."&amp;$B$311&amp;".energy[Tech description]")&amp;INDIRECT($B$3&amp;"."&amp;$B$311&amp;".energy[Energy description]"),0)),0)</f>
        <v>0</v>
      </c>
      <c r="L321" s="121">
        <f t="array" aca="1" ref="L321" ca="1">IFERROR(INDEX(INDIRECT($B$3&amp;"."&amp;$B$311&amp;".energy["&amp;This.year&amp;"]"),MATCH($C321&amp;L$5,INDIRECT($B$3&amp;"."&amp;$B$311&amp;".energy[Tech description]")&amp;INDIRECT($B$3&amp;"."&amp;$B$311&amp;".energy[Energy description]"),0)),0)</f>
        <v>0</v>
      </c>
      <c r="M321" s="121">
        <f t="array" aca="1" ref="M321" ca="1">IFERROR(INDEX(INDIRECT($B$3&amp;"."&amp;$B$311&amp;".energy["&amp;This.year&amp;"]"),MATCH($C321&amp;M$5,INDIRECT($B$3&amp;"."&amp;$B$311&amp;".energy[Tech description]")&amp;INDIRECT($B$3&amp;"."&amp;$B$311&amp;".energy[Energy description]"),0)),0)</f>
        <v>0</v>
      </c>
      <c r="N321" s="121">
        <f t="array" aca="1" ref="N321" ca="1">IFERROR(INDEX(INDIRECT($B$3&amp;"."&amp;$B$311&amp;".energy["&amp;This.year&amp;"]"),MATCH($C321&amp;N$5,INDIRECT($B$3&amp;"."&amp;$B$311&amp;".energy[Tech description]")&amp;INDIRECT($B$3&amp;"."&amp;$B$311&amp;".energy[Energy description]"),0)),0)</f>
        <v>0</v>
      </c>
      <c r="O321" s="121">
        <f t="array" aca="1" ref="O321" ca="1">IFERROR(INDEX(INDIRECT($B$3&amp;"."&amp;$B$311&amp;".energy["&amp;This.year&amp;"]"),MATCH($C321&amp;O$5,INDIRECT($B$3&amp;"."&amp;$B$311&amp;".energy[Tech description]")&amp;INDIRECT($B$3&amp;"."&amp;$B$311&amp;".energy[Energy description]"),0)),0)</f>
        <v>0</v>
      </c>
      <c r="P321" s="121">
        <f t="array" aca="1" ref="P321" ca="1">IFERROR(INDEX(INDIRECT($B$3&amp;"."&amp;$B$311&amp;".energy["&amp;This.year&amp;"]"),MATCH($C321&amp;P$5,INDIRECT($B$3&amp;"."&amp;$B$311&amp;".energy[Tech description]")&amp;INDIRECT($B$3&amp;"."&amp;$B$311&amp;".energy[Energy description]"),0)),0)</f>
        <v>0</v>
      </c>
      <c r="Q321" s="121">
        <f t="array" aca="1" ref="Q321" ca="1">IFERROR(INDEX(INDIRECT($B$3&amp;"."&amp;$B$311&amp;".energy["&amp;This.year&amp;"]"),MATCH($C321&amp;Q$5,INDIRECT($B$3&amp;"."&amp;$B$311&amp;".energy[Tech description]")&amp;INDIRECT($B$3&amp;"."&amp;$B$311&amp;".energy[Energy description]"),0)),0)</f>
        <v>0</v>
      </c>
      <c r="R321" s="121">
        <f t="array" aca="1" ref="R321" ca="1">IFERROR(INDEX(INDIRECT($B$3&amp;"."&amp;$B$311&amp;".energy["&amp;This.year&amp;"]"),MATCH($C321&amp;R$5,INDIRECT($B$3&amp;"."&amp;$B$311&amp;".energy[Tech description]")&amp;INDIRECT($B$3&amp;"."&amp;$B$311&amp;".energy[Energy description]"),0)),0)</f>
        <v>0</v>
      </c>
      <c r="S321" s="121">
        <f t="array" aca="1" ref="S321" ca="1">IFERROR(INDEX(INDIRECT($B$3&amp;"."&amp;$B$311&amp;".energy["&amp;This.year&amp;"]"),MATCH($C321&amp;S$5,INDIRECT($B$3&amp;"."&amp;$B$311&amp;".energy[Tech description]")&amp;INDIRECT($B$3&amp;"."&amp;$B$311&amp;".energy[Energy description]"),0)),0)</f>
        <v>0</v>
      </c>
      <c r="T321" s="121">
        <f t="shared" ca="1" si="116"/>
        <v>0</v>
      </c>
      <c r="V321" s="152">
        <f t="array" aca="1" ref="V321" ca="1">IFERROR(INDEX(INDIRECT($B$3&amp;"."&amp;$B$311&amp;".energy["&amp;This.year&amp;"]"),MATCH($C321&amp;V$5,INDIRECT($B$3&amp;"."&amp;$B$311&amp;".energy[Tech description]")&amp;INDIRECT($B$3&amp;"."&amp;$B$311&amp;".energy[Energy description]"),0)),0)</f>
        <v>0</v>
      </c>
      <c r="W321" s="152">
        <f t="array" aca="1" ref="W321" ca="1">IFERROR(INDEX(INDIRECT($B$3&amp;"."&amp;$B$311&amp;".energy["&amp;This.year&amp;"]"),MATCH($C321&amp;W$5,INDIRECT($B$3&amp;"."&amp;$B$311&amp;".energy[Tech description]")&amp;INDIRECT($B$3&amp;"."&amp;$B$311&amp;".energy[Energy description]"),0)),0)</f>
        <v>0</v>
      </c>
      <c r="X321" s="152">
        <f t="array" aca="1" ref="X321" ca="1">IFERROR(INDEX(INDIRECT($B$3&amp;"."&amp;$B$311&amp;".energy["&amp;This.year&amp;"]"),MATCH($C321&amp;X$5,INDIRECT($B$3&amp;"."&amp;$B$311&amp;".energy[Tech description]")&amp;INDIRECT($B$3&amp;"."&amp;$B$311&amp;".energy[Energy description]"),0)),0)</f>
        <v>0</v>
      </c>
      <c r="Y321" s="152">
        <f t="array" aca="1" ref="Y321" ca="1">IFERROR(INDEX(INDIRECT($B$3&amp;"."&amp;$B$311&amp;".energy["&amp;This.year&amp;"]"),MATCH($C321&amp;Y$5,INDIRECT($B$3&amp;"."&amp;$B$311&amp;".energy[Tech description]")&amp;INDIRECT($B$3&amp;"."&amp;$B$311&amp;".energy[Energy description]"),0)),0)</f>
        <v>0</v>
      </c>
      <c r="Z321" s="152">
        <f t="array" aca="1" ref="Z321" ca="1">IFERROR(INDEX(INDIRECT($B$3&amp;"."&amp;$B$311&amp;".energy["&amp;This.year&amp;"]"),MATCH($C321&amp;Z$5,INDIRECT($B$3&amp;"."&amp;$B$311&amp;".energy[Tech description]")&amp;INDIRECT($B$3&amp;"."&amp;$B$311&amp;".energy[Energy description]"),0)),0)</f>
        <v>0</v>
      </c>
      <c r="AA321" s="152">
        <f t="array" aca="1" ref="AA321" ca="1">IFERROR(INDEX(INDIRECT($B$3&amp;"."&amp;$B$311&amp;".energy["&amp;This.year&amp;"]"),MATCH($C321&amp;AA$5,INDIRECT($B$3&amp;"."&amp;$B$311&amp;".energy[Tech description]")&amp;INDIRECT($B$3&amp;"."&amp;$B$311&amp;".energy[Energy description]"),0)),0)</f>
        <v>0</v>
      </c>
      <c r="AB321" s="152">
        <f t="array" aca="1" ref="AB321" ca="1">IFERROR(INDEX(INDIRECT($B$3&amp;"."&amp;$B$311&amp;".energy["&amp;This.year&amp;"]"),MATCH($C321&amp;AB$5,INDIRECT($B$3&amp;"."&amp;$B$311&amp;".energy[Tech description]")&amp;INDIRECT($B$3&amp;"."&amp;$B$311&amp;".energy[Energy description]"),0)),0)</f>
        <v>0</v>
      </c>
      <c r="AC321" s="152">
        <f t="array" aca="1" ref="AC321" ca="1">IFERROR(INDEX(INDIRECT($B$3&amp;"."&amp;$B$311&amp;".energy["&amp;This.year&amp;"]"),MATCH($C321&amp;AC$5,INDIRECT($B$3&amp;"."&amp;$B$311&amp;".energy[Tech description]")&amp;INDIRECT($B$3&amp;"."&amp;$B$311&amp;".energy[Energy description]"),0)),0)</f>
        <v>0</v>
      </c>
      <c r="AD321" s="152">
        <f t="array" aca="1" ref="AD321" ca="1">IFERROR(INDEX(INDIRECT($B$3&amp;"."&amp;$B$311&amp;".energy["&amp;This.year&amp;"]"),MATCH($C321&amp;AD$5,INDIRECT($B$3&amp;"."&amp;$B$311&amp;".energy[Tech description]")&amp;INDIRECT($B$3&amp;"."&amp;$B$311&amp;".energy[Energy description]"),0)),0)</f>
        <v>0</v>
      </c>
      <c r="AE321" s="152">
        <f t="array" aca="1" ref="AE321" ca="1">IFERROR(INDEX(INDIRECT($B$3&amp;"."&amp;$B$311&amp;".energy["&amp;This.year&amp;"]"),MATCH($C321&amp;AE$5,INDIRECT($B$3&amp;"."&amp;$B$311&amp;".energy[Tech description]")&amp;INDIRECT($B$3&amp;"."&amp;$B$311&amp;".energy[Energy description]"),0)),0)</f>
        <v>0</v>
      </c>
      <c r="AF321" s="152">
        <f t="array" aca="1" ref="AF321" ca="1">IFERROR(INDEX(INDIRECT($B$3&amp;"."&amp;$B$311&amp;".energy["&amp;This.year&amp;"]"),MATCH($C321&amp;AF$5,INDIRECT($B$3&amp;"."&amp;$B$311&amp;".energy[Tech description]")&amp;INDIRECT($B$3&amp;"."&amp;$B$311&amp;".energy[Energy description]"),0)),0)</f>
        <v>0</v>
      </c>
      <c r="AG321" s="152">
        <f t="array" aca="1" ref="AG321" ca="1">IFERROR(INDEX(INDIRECT($B$3&amp;"."&amp;$B$311&amp;".energy["&amp;This.year&amp;"]"),MATCH($C321&amp;AG$5,INDIRECT($B$3&amp;"."&amp;$B$311&amp;".energy[Tech description]")&amp;INDIRECT($B$3&amp;"."&amp;$B$311&amp;".energy[Energy description]"),0)),0)</f>
        <v>0</v>
      </c>
      <c r="AH321" s="152">
        <f t="array" aca="1" ref="AH321" ca="1">IFERROR(INDEX(INDIRECT($B$3&amp;"."&amp;$B$311&amp;".energy["&amp;This.year&amp;"]"),MATCH($C321&amp;AH$5,INDIRECT($B$3&amp;"."&amp;$B$311&amp;".energy[Tech description]")&amp;INDIRECT($B$3&amp;"."&amp;$B$311&amp;".energy[Energy description]"),0)),0)</f>
        <v>0</v>
      </c>
      <c r="AI321" s="152">
        <f t="array" aca="1" ref="AI321" ca="1">IFERROR(INDEX(INDIRECT($B$3&amp;"."&amp;$B$311&amp;".energy["&amp;This.year&amp;"]"),MATCH($C321&amp;AI$5,INDIRECT($B$3&amp;"."&amp;$B$311&amp;".energy[Tech description]")&amp;INDIRECT($B$3&amp;"."&amp;$B$311&amp;".energy[Energy description]"),0)),0)</f>
        <v>0</v>
      </c>
      <c r="AJ321" s="152">
        <f t="array" aca="1" ref="AJ321" ca="1">IFERROR(INDEX(INDIRECT($B$3&amp;"."&amp;$B$311&amp;".energy["&amp;This.year&amp;"]"),MATCH($C321&amp;AJ$5,INDIRECT($B$3&amp;"."&amp;$B$311&amp;".energy[Tech description]")&amp;INDIRECT($B$3&amp;"."&amp;$B$311&amp;".energy[Energy description]"),0)),0)</f>
        <v>0</v>
      </c>
      <c r="AK321" s="152">
        <f t="array" aca="1" ref="AK321" ca="1">IFERROR(INDEX(INDIRECT($B$3&amp;"."&amp;$B$311&amp;".energy["&amp;This.year&amp;"]"),MATCH($C321&amp;AK$5,INDIRECT($B$3&amp;"."&amp;$B$311&amp;".energy[Tech description]")&amp;INDIRECT($B$3&amp;"."&amp;$B$311&amp;".energy[Energy description]"),0)),0)</f>
        <v>0</v>
      </c>
      <c r="AL321" s="152">
        <f t="array" aca="1" ref="AL321" ca="1">IFERROR(INDEX(INDIRECT($B$3&amp;"."&amp;$B$311&amp;".energy["&amp;This.year&amp;"]"),MATCH($C321&amp;AL$5,INDIRECT($B$3&amp;"."&amp;$B$311&amp;".energy[Tech description]")&amp;INDIRECT($B$3&amp;"."&amp;$B$311&amp;".energy[Energy description]"),0)),0)</f>
        <v>0</v>
      </c>
      <c r="AM321" s="152">
        <f t="array" aca="1" ref="AM321" ca="1">IFERROR(INDEX(INDIRECT($B$3&amp;"."&amp;$B$311&amp;".energy["&amp;This.year&amp;"]"),MATCH($C321&amp;AM$5,INDIRECT($B$3&amp;"."&amp;$B$311&amp;".energy[Tech description]")&amp;INDIRECT($B$3&amp;"."&amp;$B$311&amp;".energy[Energy description]"),0)),0)</f>
        <v>0</v>
      </c>
      <c r="AN321" s="152">
        <f t="array" aca="1" ref="AN321" ca="1">IFERROR(INDEX(INDIRECT($B$3&amp;"."&amp;$B$311&amp;".energy["&amp;This.year&amp;"]"),MATCH($C321&amp;AN$5,INDIRECT($B$3&amp;"."&amp;$B$311&amp;".energy[Tech description]")&amp;INDIRECT($B$3&amp;"."&amp;$B$311&amp;".energy[Energy description]"),0)),0)</f>
        <v>0</v>
      </c>
      <c r="AO321" s="152">
        <f t="shared" ca="1" si="119"/>
        <v>0</v>
      </c>
      <c r="AQ321" s="21">
        <f t="array" aca="1" ref="AQ321" ca="1">IFERROR(INDEX(INDIRECT($B$3&amp;"."&amp;$B$311&amp;".energy["&amp;This.year&amp;"]"),MATCH($C321&amp;AQ$5,INDIRECT($B$3&amp;"."&amp;$B$311&amp;".energy[Tech description]")&amp;INDIRECT($B$3&amp;"."&amp;$B$311&amp;".energy[Energy description]"),0)),0)</f>
        <v>0</v>
      </c>
      <c r="AR321" s="21">
        <f t="array" aca="1" ref="AR321" ca="1">IFERROR(INDEX(INDIRECT($B$3&amp;"."&amp;$B$311&amp;".energy["&amp;This.year&amp;"]"),MATCH($C321&amp;AR$5,INDIRECT($B$3&amp;"."&amp;$B$311&amp;".energy[Tech description]")&amp;INDIRECT($B$3&amp;"."&amp;$B$311&amp;".energy[Energy description]"),0)),0)</f>
        <v>0</v>
      </c>
      <c r="AS321" s="21">
        <f t="array" aca="1" ref="AS321" ca="1">IFERROR(INDEX(INDIRECT($B$3&amp;"."&amp;$B$311&amp;".energy["&amp;This.year&amp;"]"),MATCH($C321&amp;AS$5,INDIRECT($B$3&amp;"."&amp;$B$311&amp;".energy[Tech description]")&amp;INDIRECT($B$3&amp;"."&amp;$B$311&amp;".energy[Energy description]"),0)),0)</f>
        <v>0</v>
      </c>
      <c r="AT321" s="21">
        <f t="array" aca="1" ref="AT321" ca="1">IFERROR(INDEX(INDIRECT($B$3&amp;"."&amp;$B$311&amp;".energy["&amp;This.year&amp;"]"),MATCH($C321&amp;AT$5,INDIRECT($B$3&amp;"."&amp;$B$311&amp;".energy[Tech description]")&amp;INDIRECT($B$3&amp;"."&amp;$B$311&amp;".energy[Energy description]"),0)),0)</f>
        <v>0</v>
      </c>
      <c r="AU321" s="21">
        <f t="array" aca="1" ref="AU321" ca="1">IFERROR(INDEX(INDIRECT($B$3&amp;"."&amp;$B$311&amp;".energy["&amp;This.year&amp;"]"),MATCH($C321&amp;AU$5,INDIRECT($B$3&amp;"."&amp;$B$311&amp;".energy[Tech description]")&amp;INDIRECT($B$3&amp;"."&amp;$B$311&amp;".energy[Energy description]"),0)),0)</f>
        <v>0</v>
      </c>
      <c r="AV321" s="21">
        <f t="array" aca="1" ref="AV321" ca="1">IFERROR(INDEX(INDIRECT($B$3&amp;"."&amp;$B$311&amp;".energy["&amp;This.year&amp;"]"),MATCH($C321&amp;AV$5,INDIRECT($B$3&amp;"."&amp;$B$311&amp;".energy[Tech description]")&amp;INDIRECT($B$3&amp;"."&amp;$B$311&amp;".energy[Energy description]"),0)),0)</f>
        <v>0</v>
      </c>
      <c r="AW321" s="21">
        <f t="array" aca="1" ref="AW321" ca="1">IFERROR(INDEX(INDIRECT($B$3&amp;"."&amp;$B$311&amp;".energy["&amp;This.year&amp;"]"),MATCH($C321&amp;AW$5,INDIRECT($B$3&amp;"."&amp;$B$311&amp;".energy[Tech description]")&amp;INDIRECT($B$3&amp;"."&amp;$B$311&amp;".energy[Energy description]"),0)),0)</f>
        <v>0</v>
      </c>
      <c r="AX321" s="21">
        <f t="array" aca="1" ref="AX321" ca="1">IFERROR(INDEX(INDIRECT($B$3&amp;"."&amp;$B$311&amp;".energy["&amp;This.year&amp;"]"),MATCH($C321&amp;AX$5,INDIRECT($B$3&amp;"."&amp;$B$311&amp;".energy[Tech description]")&amp;INDIRECT($B$3&amp;"."&amp;$B$311&amp;".energy[Energy description]"),0)),0)</f>
        <v>0</v>
      </c>
      <c r="AY321" s="21">
        <f t="array" aca="1" ref="AY321" ca="1">IFERROR(INDEX(INDIRECT($B$3&amp;"."&amp;$B$311&amp;".energy["&amp;This.year&amp;"]"),MATCH($C321&amp;AY$5,INDIRECT($B$3&amp;"."&amp;$B$311&amp;".energy[Tech description]")&amp;INDIRECT($B$3&amp;"."&amp;$B$311&amp;".energy[Energy description]"),0)),0)</f>
        <v>0</v>
      </c>
      <c r="AZ321" s="21">
        <f t="array" aca="1" ref="AZ321" ca="1">IFERROR(INDEX(INDIRECT($B$3&amp;"."&amp;$B$311&amp;".energy["&amp;This.year&amp;"]"),MATCH($C321&amp;AZ$5,INDIRECT($B$3&amp;"."&amp;$B$311&amp;".energy[Tech description]")&amp;INDIRECT($B$3&amp;"."&amp;$B$311&amp;".energy[Energy description]"),0)),0)</f>
        <v>0</v>
      </c>
      <c r="BA321" s="21">
        <f t="array" aca="1" ref="BA321" ca="1">IFERROR(INDEX(INDIRECT($B$3&amp;"."&amp;$B$311&amp;".energy["&amp;This.year&amp;"]"),MATCH($C321&amp;BA$5,INDIRECT($B$3&amp;"."&amp;$B$311&amp;".energy[Tech description]")&amp;INDIRECT($B$3&amp;"."&amp;$B$311&amp;".energy[Energy description]"),0)),0)</f>
        <v>0</v>
      </c>
      <c r="BB321" s="21">
        <f t="array" aca="1" ref="BB321" ca="1">IFERROR(INDEX(INDIRECT($B$3&amp;"."&amp;$B$311&amp;".energy["&amp;This.year&amp;"]"),MATCH($C321&amp;BB$5,INDIRECT($B$3&amp;"."&amp;$B$311&amp;".energy[Tech description]")&amp;INDIRECT($B$3&amp;"."&amp;$B$311&amp;".energy[Energy description]"),0)),0)</f>
        <v>0</v>
      </c>
      <c r="BC321" s="21">
        <f t="array" aca="1" ref="BC321" ca="1">IFERROR(INDEX(INDIRECT($B$3&amp;"."&amp;$B$311&amp;".energy["&amp;This.year&amp;"]"),MATCH($C321&amp;BC$5,INDIRECT($B$3&amp;"."&amp;$B$311&amp;".energy[Tech description]")&amp;INDIRECT($B$3&amp;"."&amp;$B$311&amp;".energy[Energy description]"),0)),0)</f>
        <v>0</v>
      </c>
      <c r="BD321" s="21">
        <f t="shared" ca="1" si="117"/>
        <v>0</v>
      </c>
      <c r="BF321" s="49">
        <f t="array" aca="1" ref="BF321" ca="1">IFERROR(INDEX(INDIRECT($B$3&amp;"."&amp;$B$311&amp;".energy["&amp;This.year&amp;"]"),MATCH($C321&amp;BF$5,INDIRECT($B$3&amp;"."&amp;$B$311&amp;".energy[Tech description]")&amp;INDIRECT($B$3&amp;"."&amp;$B$311&amp;".energy[Energy description]"),0)),0)</f>
        <v>0</v>
      </c>
      <c r="BG321" s="49">
        <f t="array" aca="1" ref="BG321" ca="1">IFERROR(INDEX(INDIRECT($B$3&amp;"."&amp;$B$311&amp;".energy["&amp;This.year&amp;"]"),MATCH($C321&amp;BG$5,INDIRECT($B$3&amp;"."&amp;$B$311&amp;".energy[Tech description]")&amp;INDIRECT($B$3&amp;"."&amp;$B$311&amp;".energy[Energy description]"),0)),0)</f>
        <v>0</v>
      </c>
      <c r="BH321" s="49">
        <f t="shared" ca="1" si="118"/>
        <v>0</v>
      </c>
      <c r="BI321" s="219">
        <f t="shared" ca="1" si="115"/>
        <v>0</v>
      </c>
      <c r="BJ321" s="60"/>
    </row>
    <row r="322" spans="2:62">
      <c r="B322" s="176"/>
      <c r="C322" s="114"/>
      <c r="D322" s="54"/>
      <c r="E322" s="121"/>
      <c r="F322" s="121"/>
      <c r="G322" s="121"/>
      <c r="H322" s="121"/>
      <c r="I322" s="121"/>
      <c r="J322" s="121"/>
      <c r="K322" s="121"/>
      <c r="L322" s="121"/>
      <c r="M322" s="121"/>
      <c r="N322" s="121"/>
      <c r="O322" s="121"/>
      <c r="P322" s="121"/>
      <c r="Q322" s="121"/>
      <c r="R322" s="121"/>
      <c r="S322" s="121"/>
      <c r="T322" s="121"/>
      <c r="U322" s="376"/>
      <c r="V322" s="152"/>
      <c r="W322" s="152"/>
      <c r="X322" s="152"/>
      <c r="Y322" s="152"/>
      <c r="Z322" s="152"/>
      <c r="AA322" s="152"/>
      <c r="AB322" s="152"/>
      <c r="AC322" s="152"/>
      <c r="AD322" s="152"/>
      <c r="AE322" s="152"/>
      <c r="AF322" s="152"/>
      <c r="AG322" s="152"/>
      <c r="AH322" s="152"/>
      <c r="AI322" s="152"/>
      <c r="AJ322" s="152"/>
      <c r="AK322" s="152"/>
      <c r="AL322" s="152"/>
      <c r="AM322" s="152"/>
      <c r="AN322" s="152"/>
      <c r="AO322" s="152"/>
      <c r="AP322" s="376"/>
      <c r="AQ322" s="21"/>
      <c r="AR322" s="21"/>
      <c r="AS322" s="21"/>
      <c r="AT322" s="21"/>
      <c r="AU322" s="21"/>
      <c r="AV322" s="21"/>
      <c r="AW322" s="21"/>
      <c r="AX322" s="21"/>
      <c r="AY322" s="21"/>
      <c r="AZ322" s="21"/>
      <c r="BA322" s="21"/>
      <c r="BB322" s="21"/>
      <c r="BC322" s="21"/>
      <c r="BD322" s="21"/>
      <c r="BE322" s="376"/>
      <c r="BF322" s="49"/>
      <c r="BG322" s="49"/>
      <c r="BH322" s="49"/>
      <c r="BJ322" s="60"/>
    </row>
    <row r="323" spans="2:62">
      <c r="B323" s="176"/>
      <c r="C323" s="219" t="s">
        <v>2416</v>
      </c>
      <c r="D323" s="54"/>
      <c r="E323" s="121">
        <f ca="1">SUM(E324:E327)</f>
        <v>0</v>
      </c>
      <c r="F323" s="121">
        <f t="shared" ref="F323:BH323" ca="1" si="120">SUM(F324:F327)</f>
        <v>0</v>
      </c>
      <c r="G323" s="121">
        <f t="shared" ca="1" si="120"/>
        <v>0</v>
      </c>
      <c r="H323" s="121">
        <f t="shared" ca="1" si="120"/>
        <v>0</v>
      </c>
      <c r="I323" s="121">
        <f t="shared" ca="1" si="120"/>
        <v>0</v>
      </c>
      <c r="J323" s="121">
        <f t="shared" ca="1" si="120"/>
        <v>0</v>
      </c>
      <c r="K323" s="121">
        <f t="shared" ca="1" si="120"/>
        <v>0</v>
      </c>
      <c r="L323" s="121">
        <f t="shared" ca="1" si="120"/>
        <v>0</v>
      </c>
      <c r="M323" s="121">
        <f t="shared" ca="1" si="120"/>
        <v>0</v>
      </c>
      <c r="N323" s="121">
        <f t="shared" ca="1" si="120"/>
        <v>0</v>
      </c>
      <c r="O323" s="121">
        <f t="shared" ref="O323" ca="1" si="121">SUM(O324:O327)</f>
        <v>0</v>
      </c>
      <c r="P323" s="121">
        <f t="shared" ca="1" si="120"/>
        <v>0</v>
      </c>
      <c r="Q323" s="121">
        <f t="shared" ca="1" si="120"/>
        <v>0</v>
      </c>
      <c r="R323" s="121">
        <f t="shared" ca="1" si="120"/>
        <v>0</v>
      </c>
      <c r="S323" s="121">
        <f t="shared" ca="1" si="120"/>
        <v>0</v>
      </c>
      <c r="T323" s="121">
        <f t="shared" ca="1" si="120"/>
        <v>0</v>
      </c>
      <c r="V323" s="152">
        <f t="shared" ca="1" si="120"/>
        <v>0</v>
      </c>
      <c r="W323" s="152">
        <f t="shared" ca="1" si="120"/>
        <v>0</v>
      </c>
      <c r="X323" s="152">
        <f t="shared" ca="1" si="120"/>
        <v>0</v>
      </c>
      <c r="Y323" s="152">
        <f t="shared" ca="1" si="120"/>
        <v>0</v>
      </c>
      <c r="Z323" s="152">
        <f t="shared" ca="1" si="120"/>
        <v>0</v>
      </c>
      <c r="AA323" s="152">
        <f t="shared" ca="1" si="120"/>
        <v>0</v>
      </c>
      <c r="AB323" s="152">
        <f t="shared" ca="1" si="120"/>
        <v>0</v>
      </c>
      <c r="AC323" s="152">
        <f t="shared" ca="1" si="120"/>
        <v>0</v>
      </c>
      <c r="AD323" s="152">
        <f t="shared" ca="1" si="120"/>
        <v>0</v>
      </c>
      <c r="AE323" s="152">
        <f t="shared" ca="1" si="120"/>
        <v>0</v>
      </c>
      <c r="AF323" s="152">
        <f t="shared" ca="1" si="120"/>
        <v>0</v>
      </c>
      <c r="AG323" s="152">
        <f t="shared" ca="1" si="120"/>
        <v>0</v>
      </c>
      <c r="AH323" s="152">
        <f t="shared" ca="1" si="120"/>
        <v>0</v>
      </c>
      <c r="AI323" s="152">
        <f t="shared" ca="1" si="120"/>
        <v>0</v>
      </c>
      <c r="AJ323" s="152">
        <f t="shared" ca="1" si="120"/>
        <v>0</v>
      </c>
      <c r="AK323" s="152">
        <f t="shared" ca="1" si="120"/>
        <v>0</v>
      </c>
      <c r="AL323" s="152">
        <f t="shared" ca="1" si="120"/>
        <v>0</v>
      </c>
      <c r="AM323" s="152">
        <f t="shared" ca="1" si="120"/>
        <v>0</v>
      </c>
      <c r="AN323" s="152">
        <f t="shared" ca="1" si="120"/>
        <v>0</v>
      </c>
      <c r="AO323" s="152">
        <f t="shared" ca="1" si="120"/>
        <v>0</v>
      </c>
      <c r="AQ323" s="21">
        <f t="shared" ca="1" si="120"/>
        <v>0</v>
      </c>
      <c r="AR323" s="21">
        <f t="shared" ca="1" si="120"/>
        <v>0</v>
      </c>
      <c r="AS323" s="21">
        <f t="shared" ca="1" si="120"/>
        <v>0</v>
      </c>
      <c r="AT323" s="21">
        <f t="shared" ca="1" si="120"/>
        <v>0</v>
      </c>
      <c r="AU323" s="21">
        <f t="shared" ca="1" si="120"/>
        <v>0</v>
      </c>
      <c r="AV323" s="21">
        <f t="shared" ca="1" si="120"/>
        <v>0</v>
      </c>
      <c r="AW323" s="21">
        <f t="shared" ca="1" si="120"/>
        <v>0</v>
      </c>
      <c r="AX323" s="21">
        <f t="shared" ca="1" si="120"/>
        <v>0</v>
      </c>
      <c r="AY323" s="21">
        <f t="shared" ca="1" si="120"/>
        <v>0</v>
      </c>
      <c r="AZ323" s="21">
        <f t="shared" ca="1" si="120"/>
        <v>0</v>
      </c>
      <c r="BA323" s="21">
        <f t="shared" ca="1" si="120"/>
        <v>0</v>
      </c>
      <c r="BB323" s="21">
        <f t="shared" ca="1" si="120"/>
        <v>0</v>
      </c>
      <c r="BC323" s="21">
        <f t="shared" ca="1" si="120"/>
        <v>0</v>
      </c>
      <c r="BD323" s="21">
        <f t="shared" ca="1" si="120"/>
        <v>0</v>
      </c>
      <c r="BF323" s="49">
        <f t="shared" ca="1" si="120"/>
        <v>0</v>
      </c>
      <c r="BG323" s="49">
        <f t="shared" ca="1" si="120"/>
        <v>0</v>
      </c>
      <c r="BH323" s="49">
        <f t="shared" ca="1" si="120"/>
        <v>0</v>
      </c>
      <c r="BI323" s="219">
        <f t="shared" ca="1" si="115"/>
        <v>0</v>
      </c>
      <c r="BJ323" s="60"/>
    </row>
    <row r="324" spans="2:62">
      <c r="B324" s="176" t="s">
        <v>2399</v>
      </c>
      <c r="C324" s="114" t="str">
        <f>INDEX(Regional.Technologies[Description],MATCH($B$3&amp;"."&amp;B324,Regional.Technologies[Code],0))</f>
        <v>Global Gas distribution network</v>
      </c>
      <c r="D324" s="54"/>
      <c r="E324" s="121">
        <f t="array" aca="1" ref="E324" ca="1">IFERROR(INDEX(INDIRECT($B$3&amp;"."&amp;$B$311&amp;".energy["&amp;This.year&amp;"]"),MATCH($C324&amp;E$5,INDIRECT($B$3&amp;"."&amp;$B$311&amp;".energy[Tech description]")&amp;INDIRECT($B$3&amp;"."&amp;$B$311&amp;".energy[Energy description]"),0)),0)</f>
        <v>0</v>
      </c>
      <c r="F324" s="121">
        <f t="array" aca="1" ref="F324" ca="1">IFERROR(INDEX(INDIRECT($B$3&amp;"."&amp;$B$311&amp;".energy["&amp;This.year&amp;"]"),MATCH($C324&amp;F$5,INDIRECT($B$3&amp;"."&amp;$B$311&amp;".energy[Tech description]")&amp;INDIRECT($B$3&amp;"."&amp;$B$311&amp;".energy[Energy description]"),0)),0)</f>
        <v>0</v>
      </c>
      <c r="G324" s="121">
        <f t="array" aca="1" ref="G324" ca="1">IFERROR(INDEX(INDIRECT($B$3&amp;"."&amp;$B$311&amp;".energy["&amp;This.year&amp;"]"),MATCH($C324&amp;G$5,INDIRECT($B$3&amp;"."&amp;$B$311&amp;".energy[Tech description]")&amp;INDIRECT($B$3&amp;"."&amp;$B$311&amp;".energy[Energy description]"),0)),0)</f>
        <v>0</v>
      </c>
      <c r="H324" s="121">
        <f t="array" aca="1" ref="H324" ca="1">IFERROR(INDEX(INDIRECT($B$3&amp;"."&amp;$B$311&amp;".energy["&amp;This.year&amp;"]"),MATCH($C324&amp;H$5,INDIRECT($B$3&amp;"."&amp;$B$311&amp;".energy[Tech description]")&amp;INDIRECT($B$3&amp;"."&amp;$B$311&amp;".energy[Energy description]"),0)),0)</f>
        <v>0</v>
      </c>
      <c r="I324" s="121">
        <f t="array" aca="1" ref="I324" ca="1">IFERROR(INDEX(INDIRECT($B$3&amp;"."&amp;$B$311&amp;".energy["&amp;This.year&amp;"]"),MATCH($C324&amp;I$5,INDIRECT($B$3&amp;"."&amp;$B$311&amp;".energy[Tech description]")&amp;INDIRECT($B$3&amp;"."&amp;$B$311&amp;".energy[Energy description]"),0)),0)</f>
        <v>0</v>
      </c>
      <c r="J324" s="121">
        <f t="array" aca="1" ref="J324" ca="1">IFERROR(INDEX(INDIRECT($B$3&amp;"."&amp;$B$311&amp;".energy["&amp;This.year&amp;"]"),MATCH($C324&amp;J$5,INDIRECT($B$3&amp;"."&amp;$B$311&amp;".energy[Tech description]")&amp;INDIRECT($B$3&amp;"."&amp;$B$311&amp;".energy[Energy description]"),0)),0)</f>
        <v>0</v>
      </c>
      <c r="K324" s="121">
        <f t="array" aca="1" ref="K324" ca="1">IFERROR(INDEX(INDIRECT($B$3&amp;"."&amp;$B$311&amp;".energy["&amp;This.year&amp;"]"),MATCH($C324&amp;K$5,INDIRECT($B$3&amp;"."&amp;$B$311&amp;".energy[Tech description]")&amp;INDIRECT($B$3&amp;"."&amp;$B$311&amp;".energy[Energy description]"),0)),0)</f>
        <v>0</v>
      </c>
      <c r="L324" s="121">
        <f t="array" aca="1" ref="L324" ca="1">IFERROR(INDEX(INDIRECT($B$3&amp;"."&amp;$B$311&amp;".energy["&amp;This.year&amp;"]"),MATCH($C324&amp;L$5,INDIRECT($B$3&amp;"."&amp;$B$311&amp;".energy[Tech description]")&amp;INDIRECT($B$3&amp;"."&amp;$B$311&amp;".energy[Energy description]"),0)),0)</f>
        <v>0</v>
      </c>
      <c r="M324" s="121">
        <f t="array" aca="1" ref="M324" ca="1">IFERROR(INDEX(INDIRECT($B$3&amp;"."&amp;$B$311&amp;".energy["&amp;This.year&amp;"]"),MATCH($C324&amp;M$5,INDIRECT($B$3&amp;"."&amp;$B$311&amp;".energy[Tech description]")&amp;INDIRECT($B$3&amp;"."&amp;$B$311&amp;".energy[Energy description]"),0)),0)</f>
        <v>0</v>
      </c>
      <c r="N324" s="121">
        <f t="array" aca="1" ref="N324" ca="1">IFERROR(INDEX(INDIRECT($B$3&amp;"."&amp;$B$311&amp;".energy["&amp;This.year&amp;"]"),MATCH($C324&amp;N$5,INDIRECT($B$3&amp;"."&amp;$B$311&amp;".energy[Tech description]")&amp;INDIRECT($B$3&amp;"."&amp;$B$311&amp;".energy[Energy description]"),0)),0)</f>
        <v>0</v>
      </c>
      <c r="O324" s="121">
        <f t="array" aca="1" ref="O324" ca="1">IFERROR(INDEX(INDIRECT($B$3&amp;"."&amp;$B$311&amp;".energy["&amp;This.year&amp;"]"),MATCH($C324&amp;O$5,INDIRECT($B$3&amp;"."&amp;$B$311&amp;".energy[Tech description]")&amp;INDIRECT($B$3&amp;"."&amp;$B$311&amp;".energy[Energy description]"),0)),0)</f>
        <v>0</v>
      </c>
      <c r="P324" s="121">
        <f t="array" aca="1" ref="P324" ca="1">IFERROR(INDEX(INDIRECT($B$3&amp;"."&amp;$B$311&amp;".energy["&amp;This.year&amp;"]"),MATCH($C324&amp;P$5,INDIRECT($B$3&amp;"."&amp;$B$311&amp;".energy[Tech description]")&amp;INDIRECT($B$3&amp;"."&amp;$B$311&amp;".energy[Energy description]"),0)),0)</f>
        <v>0</v>
      </c>
      <c r="Q324" s="121">
        <f t="array" aca="1" ref="Q324" ca="1">IFERROR(INDEX(INDIRECT($B$3&amp;"."&amp;$B$311&amp;".energy["&amp;This.year&amp;"]"),MATCH($C324&amp;Q$5,INDIRECT($B$3&amp;"."&amp;$B$311&amp;".energy[Tech description]")&amp;INDIRECT($B$3&amp;"."&amp;$B$311&amp;".energy[Energy description]"),0)),0)</f>
        <v>0</v>
      </c>
      <c r="R324" s="121">
        <f t="array" aca="1" ref="R324" ca="1">IFERROR(INDEX(INDIRECT($B$3&amp;"."&amp;$B$311&amp;".energy["&amp;This.year&amp;"]"),MATCH($C324&amp;R$5,INDIRECT($B$3&amp;"."&amp;$B$311&amp;".energy[Tech description]")&amp;INDIRECT($B$3&amp;"."&amp;$B$311&amp;".energy[Energy description]"),0)),0)</f>
        <v>0</v>
      </c>
      <c r="S324" s="121">
        <f t="array" aca="1" ref="S324" ca="1">IFERROR(INDEX(INDIRECT($B$3&amp;"."&amp;$B$311&amp;".energy["&amp;This.year&amp;"]"),MATCH($C324&amp;S$5,INDIRECT($B$3&amp;"."&amp;$B$311&amp;".energy[Tech description]")&amp;INDIRECT($B$3&amp;"."&amp;$B$311&amp;".energy[Energy description]"),0)),0)</f>
        <v>0</v>
      </c>
      <c r="T324" s="121">
        <f t="shared" ref="T324:T327" ca="1" si="122">SUM(E324:S324)</f>
        <v>0</v>
      </c>
      <c r="V324" s="152">
        <f t="array" aca="1" ref="V324" ca="1">IFERROR(INDEX(INDIRECT($B$3&amp;"."&amp;$B$311&amp;".energy["&amp;This.year&amp;"]"),MATCH($C324&amp;V$5,INDIRECT($B$3&amp;"."&amp;$B$311&amp;".energy[Tech description]")&amp;INDIRECT($B$3&amp;"."&amp;$B$311&amp;".energy[Energy description]"),0)),0)</f>
        <v>0</v>
      </c>
      <c r="W324" s="152">
        <f t="array" aca="1" ref="W324" ca="1">IFERROR(INDEX(INDIRECT($B$3&amp;"."&amp;$B$311&amp;".energy["&amp;This.year&amp;"]"),MATCH($C324&amp;W$5,INDIRECT($B$3&amp;"."&amp;$B$311&amp;".energy[Tech description]")&amp;INDIRECT($B$3&amp;"."&amp;$B$311&amp;".energy[Energy description]"),0)),0)</f>
        <v>0</v>
      </c>
      <c r="X324" s="152">
        <f t="array" aca="1" ref="X324" ca="1">IFERROR(INDEX(INDIRECT($B$3&amp;"."&amp;$B$311&amp;".energy["&amp;This.year&amp;"]"),MATCH($C324&amp;X$5,INDIRECT($B$3&amp;"."&amp;$B$311&amp;".energy[Tech description]")&amp;INDIRECT($B$3&amp;"."&amp;$B$311&amp;".energy[Energy description]"),0)),0)</f>
        <v>0</v>
      </c>
      <c r="Y324" s="152">
        <f t="array" aca="1" ref="Y324" ca="1">IFERROR(INDEX(INDIRECT($B$3&amp;"."&amp;$B$311&amp;".energy["&amp;This.year&amp;"]"),MATCH($C324&amp;Y$5,INDIRECT($B$3&amp;"."&amp;$B$311&amp;".energy[Tech description]")&amp;INDIRECT($B$3&amp;"."&amp;$B$311&amp;".energy[Energy description]"),0)),0)</f>
        <v>0</v>
      </c>
      <c r="Z324" s="152">
        <f t="array" aca="1" ref="Z324" ca="1">IFERROR(INDEX(INDIRECT($B$3&amp;"."&amp;$B$311&amp;".energy["&amp;This.year&amp;"]"),MATCH($C324&amp;Z$5,INDIRECT($B$3&amp;"."&amp;$B$311&amp;".energy[Tech description]")&amp;INDIRECT($B$3&amp;"."&amp;$B$311&amp;".energy[Energy description]"),0)),0)</f>
        <v>0</v>
      </c>
      <c r="AA324" s="152">
        <f t="array" aca="1" ref="AA324" ca="1">IFERROR(INDEX(INDIRECT($B$3&amp;"."&amp;$B$311&amp;".energy["&amp;This.year&amp;"]"),MATCH($C324&amp;AA$5,INDIRECT($B$3&amp;"."&amp;$B$311&amp;".energy[Tech description]")&amp;INDIRECT($B$3&amp;"."&amp;$B$311&amp;".energy[Energy description]"),0)),0)</f>
        <v>0</v>
      </c>
      <c r="AB324" s="152">
        <f t="array" aca="1" ref="AB324" ca="1">IFERROR(INDEX(INDIRECT($B$3&amp;"."&amp;$B$311&amp;".energy["&amp;This.year&amp;"]"),MATCH($C324&amp;AB$5,INDIRECT($B$3&amp;"."&amp;$B$311&amp;".energy[Tech description]")&amp;INDIRECT($B$3&amp;"."&amp;$B$311&amp;".energy[Energy description]"),0)),0)</f>
        <v>0</v>
      </c>
      <c r="AC324" s="152">
        <f t="array" aca="1" ref="AC324" ca="1">IFERROR(INDEX(INDIRECT($B$3&amp;"."&amp;$B$311&amp;".energy["&amp;This.year&amp;"]"),MATCH($C324&amp;AC$5,INDIRECT($B$3&amp;"."&amp;$B$311&amp;".energy[Tech description]")&amp;INDIRECT($B$3&amp;"."&amp;$B$311&amp;".energy[Energy description]"),0)),0)</f>
        <v>0</v>
      </c>
      <c r="AD324" s="152">
        <f t="array" aca="1" ref="AD324" ca="1">IFERROR(INDEX(INDIRECT($B$3&amp;"."&amp;$B$311&amp;".energy["&amp;This.year&amp;"]"),MATCH($C324&amp;AD$5,INDIRECT($B$3&amp;"."&amp;$B$311&amp;".energy[Tech description]")&amp;INDIRECT($B$3&amp;"."&amp;$B$311&amp;".energy[Energy description]"),0)),0)</f>
        <v>0</v>
      </c>
      <c r="AE324" s="152">
        <f t="array" aca="1" ref="AE324" ca="1">IFERROR(INDEX(INDIRECT($B$3&amp;"."&amp;$B$311&amp;".energy["&amp;This.year&amp;"]"),MATCH($C324&amp;AE$5,INDIRECT($B$3&amp;"."&amp;$B$311&amp;".energy[Tech description]")&amp;INDIRECT($B$3&amp;"."&amp;$B$311&amp;".energy[Energy description]"),0)),0)</f>
        <v>0</v>
      </c>
      <c r="AF324" s="152">
        <f t="array" aca="1" ref="AF324" ca="1">IFERROR(INDEX(INDIRECT($B$3&amp;"."&amp;$B$311&amp;".energy["&amp;This.year&amp;"]"),MATCH($C324&amp;AF$5,INDIRECT($B$3&amp;"."&amp;$B$311&amp;".energy[Tech description]")&amp;INDIRECT($B$3&amp;"."&amp;$B$311&amp;".energy[Energy description]"),0)),0)</f>
        <v>0</v>
      </c>
      <c r="AG324" s="152">
        <f t="array" aca="1" ref="AG324" ca="1">IFERROR(INDEX(INDIRECT($B$3&amp;"."&amp;$B$311&amp;".energy["&amp;This.year&amp;"]"),MATCH($C324&amp;AG$5,INDIRECT($B$3&amp;"."&amp;$B$311&amp;".energy[Tech description]")&amp;INDIRECT($B$3&amp;"."&amp;$B$311&amp;".energy[Energy description]"),0)),0)</f>
        <v>0</v>
      </c>
      <c r="AH324" s="152">
        <f t="array" aca="1" ref="AH324" ca="1">IFERROR(INDEX(INDIRECT($B$3&amp;"."&amp;$B$311&amp;".energy["&amp;This.year&amp;"]"),MATCH($C324&amp;AH$5,INDIRECT($B$3&amp;"."&amp;$B$311&amp;".energy[Tech description]")&amp;INDIRECT($B$3&amp;"."&amp;$B$311&amp;".energy[Energy description]"),0)),0)</f>
        <v>0</v>
      </c>
      <c r="AI324" s="152">
        <f t="array" aca="1" ref="AI324" ca="1">IFERROR(INDEX(INDIRECT($B$3&amp;"."&amp;$B$311&amp;".energy["&amp;This.year&amp;"]"),MATCH($C324&amp;AI$5,INDIRECT($B$3&amp;"."&amp;$B$311&amp;".energy[Tech description]")&amp;INDIRECT($B$3&amp;"."&amp;$B$311&amp;".energy[Energy description]"),0)),0)</f>
        <v>0</v>
      </c>
      <c r="AJ324" s="152">
        <f t="array" aca="1" ref="AJ324" ca="1">IFERROR(INDEX(INDIRECT($B$3&amp;"."&amp;$B$311&amp;".energy["&amp;This.year&amp;"]"),MATCH($C324&amp;AJ$5,INDIRECT($B$3&amp;"."&amp;$B$311&amp;".energy[Tech description]")&amp;INDIRECT($B$3&amp;"."&amp;$B$311&amp;".energy[Energy description]"),0)),0)</f>
        <v>0</v>
      </c>
      <c r="AK324" s="152">
        <f t="array" aca="1" ref="AK324" ca="1">IFERROR(INDEX(INDIRECT($B$3&amp;"."&amp;$B$311&amp;".energy["&amp;This.year&amp;"]"),MATCH($C324&amp;AK$5,INDIRECT($B$3&amp;"."&amp;$B$311&amp;".energy[Tech description]")&amp;INDIRECT($B$3&amp;"."&amp;$B$311&amp;".energy[Energy description]"),0)),0)</f>
        <v>0</v>
      </c>
      <c r="AL324" s="152">
        <f t="array" aca="1" ref="AL324" ca="1">IFERROR(INDEX(INDIRECT($B$3&amp;"."&amp;$B$311&amp;".energy["&amp;This.year&amp;"]"),MATCH($C324&amp;AL$5,INDIRECT($B$3&amp;"."&amp;$B$311&amp;".energy[Tech description]")&amp;INDIRECT($B$3&amp;"."&amp;$B$311&amp;".energy[Energy description]"),0)),0)</f>
        <v>0</v>
      </c>
      <c r="AM324" s="152">
        <f t="array" aca="1" ref="AM324" ca="1">IFERROR(INDEX(INDIRECT($B$3&amp;"."&amp;$B$311&amp;".energy["&amp;This.year&amp;"]"),MATCH($C324&amp;AM$5,INDIRECT($B$3&amp;"."&amp;$B$311&amp;".energy[Tech description]")&amp;INDIRECT($B$3&amp;"."&amp;$B$311&amp;".energy[Energy description]"),0)),0)</f>
        <v>0</v>
      </c>
      <c r="AN324" s="152">
        <f t="array" aca="1" ref="AN324" ca="1">IFERROR(INDEX(INDIRECT($B$3&amp;"."&amp;$B$311&amp;".energy["&amp;This.year&amp;"]"),MATCH($C324&amp;AN$5,INDIRECT($B$3&amp;"."&amp;$B$311&amp;".energy[Tech description]")&amp;INDIRECT($B$3&amp;"."&amp;$B$311&amp;".energy[Energy description]"),0)),0)</f>
        <v>0</v>
      </c>
      <c r="AO324" s="152">
        <f ca="1">SUM(V324:AN324)</f>
        <v>0</v>
      </c>
      <c r="AQ324" s="21">
        <f t="array" aca="1" ref="AQ324" ca="1">IFERROR(INDEX(INDIRECT($B$3&amp;"."&amp;$B$311&amp;".energy["&amp;This.year&amp;"]"),MATCH($C324&amp;AQ$5,INDIRECT($B$3&amp;"."&amp;$B$311&amp;".energy[Tech description]")&amp;INDIRECT($B$3&amp;"."&amp;$B$311&amp;".energy[Energy description]"),0)),0)</f>
        <v>0</v>
      </c>
      <c r="AR324" s="21">
        <f t="array" aca="1" ref="AR324" ca="1">IFERROR(INDEX(INDIRECT($B$3&amp;"."&amp;$B$311&amp;".energy["&amp;This.year&amp;"]"),MATCH($C324&amp;AR$5,INDIRECT($B$3&amp;"."&amp;$B$311&amp;".energy[Tech description]")&amp;INDIRECT($B$3&amp;"."&amp;$B$311&amp;".energy[Energy description]"),0)),0)</f>
        <v>0</v>
      </c>
      <c r="AS324" s="21">
        <f t="array" aca="1" ref="AS324" ca="1">IFERROR(INDEX(INDIRECT($B$3&amp;"."&amp;$B$311&amp;".energy["&amp;This.year&amp;"]"),MATCH($C324&amp;AS$5,INDIRECT($B$3&amp;"."&amp;$B$311&amp;".energy[Tech description]")&amp;INDIRECT($B$3&amp;"."&amp;$B$311&amp;".energy[Energy description]"),0)),0)</f>
        <v>0</v>
      </c>
      <c r="AT324" s="21">
        <f t="array" aca="1" ref="AT324" ca="1">IFERROR(INDEX(INDIRECT($B$3&amp;"."&amp;$B$311&amp;".energy["&amp;This.year&amp;"]"),MATCH($C324&amp;AT$5,INDIRECT($B$3&amp;"."&amp;$B$311&amp;".energy[Tech description]")&amp;INDIRECT($B$3&amp;"."&amp;$B$311&amp;".energy[Energy description]"),0)),0)</f>
        <v>0</v>
      </c>
      <c r="AU324" s="21">
        <f t="array" aca="1" ref="AU324" ca="1">IFERROR(INDEX(INDIRECT($B$3&amp;"."&amp;$B$311&amp;".energy["&amp;This.year&amp;"]"),MATCH($C324&amp;AU$5,INDIRECT($B$3&amp;"."&amp;$B$311&amp;".energy[Tech description]")&amp;INDIRECT($B$3&amp;"."&amp;$B$311&amp;".energy[Energy description]"),0)),0)</f>
        <v>0</v>
      </c>
      <c r="AV324" s="21">
        <f t="array" aca="1" ref="AV324" ca="1">IFERROR(INDEX(INDIRECT($B$3&amp;"."&amp;$B$311&amp;".energy["&amp;This.year&amp;"]"),MATCH($C324&amp;AV$5,INDIRECT($B$3&amp;"."&amp;$B$311&amp;".energy[Tech description]")&amp;INDIRECT($B$3&amp;"."&amp;$B$311&amp;".energy[Energy description]"),0)),0)</f>
        <v>0</v>
      </c>
      <c r="AW324" s="21">
        <f t="array" aca="1" ref="AW324" ca="1">IFERROR(INDEX(INDIRECT($B$3&amp;"."&amp;$B$311&amp;".energy["&amp;This.year&amp;"]"),MATCH($C324&amp;AW$5,INDIRECT($B$3&amp;"."&amp;$B$311&amp;".energy[Tech description]")&amp;INDIRECT($B$3&amp;"."&amp;$B$311&amp;".energy[Energy description]"),0)),0)</f>
        <v>0</v>
      </c>
      <c r="AX324" s="21">
        <f t="array" aca="1" ref="AX324" ca="1">IFERROR(INDEX(INDIRECT($B$3&amp;"."&amp;$B$311&amp;".energy["&amp;This.year&amp;"]"),MATCH($C324&amp;AX$5,INDIRECT($B$3&amp;"."&amp;$B$311&amp;".energy[Tech description]")&amp;INDIRECT($B$3&amp;"."&amp;$B$311&amp;".energy[Energy description]"),0)),0)</f>
        <v>0</v>
      </c>
      <c r="AY324" s="21">
        <f t="array" aca="1" ref="AY324" ca="1">IFERROR(INDEX(INDIRECT($B$3&amp;"."&amp;$B$311&amp;".energy["&amp;This.year&amp;"]"),MATCH($C324&amp;AY$5,INDIRECT($B$3&amp;"."&amp;$B$311&amp;".energy[Tech description]")&amp;INDIRECT($B$3&amp;"."&amp;$B$311&amp;".energy[Energy description]"),0)),0)</f>
        <v>0</v>
      </c>
      <c r="AZ324" s="21">
        <f t="array" aca="1" ref="AZ324" ca="1">IFERROR(INDEX(INDIRECT($B$3&amp;"."&amp;$B$311&amp;".energy["&amp;This.year&amp;"]"),MATCH($C324&amp;AZ$5,INDIRECT($B$3&amp;"."&amp;$B$311&amp;".energy[Tech description]")&amp;INDIRECT($B$3&amp;"."&amp;$B$311&amp;".energy[Energy description]"),0)),0)</f>
        <v>0</v>
      </c>
      <c r="BA324" s="21">
        <f t="array" aca="1" ref="BA324" ca="1">IFERROR(INDEX(INDIRECT($B$3&amp;"."&amp;$B$311&amp;".energy["&amp;This.year&amp;"]"),MATCH($C324&amp;BA$5,INDIRECT($B$3&amp;"."&amp;$B$311&amp;".energy[Tech description]")&amp;INDIRECT($B$3&amp;"."&amp;$B$311&amp;".energy[Energy description]"),0)),0)</f>
        <v>0</v>
      </c>
      <c r="BB324" s="21">
        <f t="array" aca="1" ref="BB324" ca="1">IFERROR(INDEX(INDIRECT($B$3&amp;"."&amp;$B$311&amp;".energy["&amp;This.year&amp;"]"),MATCH($C324&amp;BB$5,INDIRECT($B$3&amp;"."&amp;$B$311&amp;".energy[Tech description]")&amp;INDIRECT($B$3&amp;"."&amp;$B$311&amp;".energy[Energy description]"),0)),0)</f>
        <v>0</v>
      </c>
      <c r="BC324" s="21">
        <f t="array" aca="1" ref="BC324" ca="1">IFERROR(INDEX(INDIRECT($B$3&amp;"."&amp;$B$311&amp;".energy["&amp;This.year&amp;"]"),MATCH($C324&amp;BC$5,INDIRECT($B$3&amp;"."&amp;$B$311&amp;".energy[Tech description]")&amp;INDIRECT($B$3&amp;"."&amp;$B$311&amp;".energy[Energy description]"),0)),0)</f>
        <v>0</v>
      </c>
      <c r="BD324" s="21">
        <f t="shared" ref="BD324:BD327" ca="1" si="123">SUM(AQ324:BC324)</f>
        <v>0</v>
      </c>
      <c r="BF324" s="49">
        <f t="array" aca="1" ref="BF324" ca="1">IFERROR(INDEX(INDIRECT($B$3&amp;"."&amp;$B$311&amp;".energy["&amp;This.year&amp;"]"),MATCH($C324&amp;BF$5,INDIRECT($B$3&amp;"."&amp;$B$311&amp;".energy[Tech description]")&amp;INDIRECT($B$3&amp;"."&amp;$B$311&amp;".energy[Energy description]"),0)),0)</f>
        <v>0</v>
      </c>
      <c r="BG324" s="49">
        <f t="array" aca="1" ref="BG324" ca="1">IFERROR(INDEX(INDIRECT($B$3&amp;"."&amp;$B$311&amp;".energy["&amp;This.year&amp;"]"),MATCH($C324&amp;BG$5,INDIRECT($B$3&amp;"."&amp;$B$311&amp;".energy[Tech description]")&amp;INDIRECT($B$3&amp;"."&amp;$B$311&amp;".energy[Energy description]"),0)),0)</f>
        <v>0</v>
      </c>
      <c r="BH324" s="49">
        <f t="shared" ref="BH324:BH327" ca="1" si="124">SUM(BF324:BG324)</f>
        <v>0</v>
      </c>
      <c r="BI324" s="219">
        <f t="shared" ca="1" si="115"/>
        <v>0</v>
      </c>
      <c r="BJ324" s="60"/>
    </row>
    <row r="325" spans="2:62">
      <c r="B325" s="176" t="s">
        <v>2401</v>
      </c>
      <c r="C325" s="114" t="str">
        <f>INDEX(Regional.Technologies[Description],MATCH($B$3&amp;"."&amp;B325,Regional.Technologies[Code],0))</f>
        <v>Global Coal distribution network</v>
      </c>
      <c r="D325" s="54"/>
      <c r="E325" s="121">
        <f t="array" aca="1" ref="E325" ca="1">IFERROR(INDEX(INDIRECT($B$3&amp;"."&amp;$B$311&amp;".energy["&amp;This.year&amp;"]"),MATCH($C325&amp;E$5,INDIRECT($B$3&amp;"."&amp;$B$311&amp;".energy[Tech description]")&amp;INDIRECT($B$3&amp;"."&amp;$B$311&amp;".energy[Energy description]"),0)),0)</f>
        <v>0</v>
      </c>
      <c r="F325" s="121">
        <f t="array" aca="1" ref="F325" ca="1">IFERROR(INDEX(INDIRECT($B$3&amp;"."&amp;$B$311&amp;".energy["&amp;This.year&amp;"]"),MATCH($C325&amp;F$5,INDIRECT($B$3&amp;"."&amp;$B$311&amp;".energy[Tech description]")&amp;INDIRECT($B$3&amp;"."&amp;$B$311&amp;".energy[Energy description]"),0)),0)</f>
        <v>0</v>
      </c>
      <c r="G325" s="121">
        <f t="array" aca="1" ref="G325" ca="1">IFERROR(INDEX(INDIRECT($B$3&amp;"."&amp;$B$311&amp;".energy["&amp;This.year&amp;"]"),MATCH($C325&amp;G$5,INDIRECT($B$3&amp;"."&amp;$B$311&amp;".energy[Tech description]")&amp;INDIRECT($B$3&amp;"."&amp;$B$311&amp;".energy[Energy description]"),0)),0)</f>
        <v>0</v>
      </c>
      <c r="H325" s="121">
        <f t="array" aca="1" ref="H325" ca="1">IFERROR(INDEX(INDIRECT($B$3&amp;"."&amp;$B$311&amp;".energy["&amp;This.year&amp;"]"),MATCH($C325&amp;H$5,INDIRECT($B$3&amp;"."&amp;$B$311&amp;".energy[Tech description]")&amp;INDIRECT($B$3&amp;"."&amp;$B$311&amp;".energy[Energy description]"),0)),0)</f>
        <v>0</v>
      </c>
      <c r="I325" s="121">
        <f t="array" aca="1" ref="I325" ca="1">IFERROR(INDEX(INDIRECT($B$3&amp;"."&amp;$B$311&amp;".energy["&amp;This.year&amp;"]"),MATCH($C325&amp;I$5,INDIRECT($B$3&amp;"."&amp;$B$311&amp;".energy[Tech description]")&amp;INDIRECT($B$3&amp;"."&amp;$B$311&amp;".energy[Energy description]"),0)),0)</f>
        <v>0</v>
      </c>
      <c r="J325" s="121">
        <f t="array" aca="1" ref="J325" ca="1">IFERROR(INDEX(INDIRECT($B$3&amp;"."&amp;$B$311&amp;".energy["&amp;This.year&amp;"]"),MATCH($C325&amp;J$5,INDIRECT($B$3&amp;"."&amp;$B$311&amp;".energy[Tech description]")&amp;INDIRECT($B$3&amp;"."&amp;$B$311&amp;".energy[Energy description]"),0)),0)</f>
        <v>0</v>
      </c>
      <c r="K325" s="121">
        <f t="array" aca="1" ref="K325" ca="1">IFERROR(INDEX(INDIRECT($B$3&amp;"."&amp;$B$311&amp;".energy["&amp;This.year&amp;"]"),MATCH($C325&amp;K$5,INDIRECT($B$3&amp;"."&amp;$B$311&amp;".energy[Tech description]")&amp;INDIRECT($B$3&amp;"."&amp;$B$311&amp;".energy[Energy description]"),0)),0)</f>
        <v>0</v>
      </c>
      <c r="L325" s="121">
        <f t="array" aca="1" ref="L325" ca="1">IFERROR(INDEX(INDIRECT($B$3&amp;"."&amp;$B$311&amp;".energy["&amp;This.year&amp;"]"),MATCH($C325&amp;L$5,INDIRECT($B$3&amp;"."&amp;$B$311&amp;".energy[Tech description]")&amp;INDIRECT($B$3&amp;"."&amp;$B$311&amp;".energy[Energy description]"),0)),0)</f>
        <v>0</v>
      </c>
      <c r="M325" s="121">
        <f t="array" aca="1" ref="M325" ca="1">IFERROR(INDEX(INDIRECT($B$3&amp;"."&amp;$B$311&amp;".energy["&amp;This.year&amp;"]"),MATCH($C325&amp;M$5,INDIRECT($B$3&amp;"."&amp;$B$311&amp;".energy[Tech description]")&amp;INDIRECT($B$3&amp;"."&amp;$B$311&amp;".energy[Energy description]"),0)),0)</f>
        <v>0</v>
      </c>
      <c r="N325" s="121">
        <f t="array" aca="1" ref="N325" ca="1">IFERROR(INDEX(INDIRECT($B$3&amp;"."&amp;$B$311&amp;".energy["&amp;This.year&amp;"]"),MATCH($C325&amp;N$5,INDIRECT($B$3&amp;"."&amp;$B$311&amp;".energy[Tech description]")&amp;INDIRECT($B$3&amp;"."&amp;$B$311&amp;".energy[Energy description]"),0)),0)</f>
        <v>0</v>
      </c>
      <c r="O325" s="121">
        <f t="array" aca="1" ref="O325" ca="1">IFERROR(INDEX(INDIRECT($B$3&amp;"."&amp;$B$311&amp;".energy["&amp;This.year&amp;"]"),MATCH($C325&amp;O$5,INDIRECT($B$3&amp;"."&amp;$B$311&amp;".energy[Tech description]")&amp;INDIRECT($B$3&amp;"."&amp;$B$311&amp;".energy[Energy description]"),0)),0)</f>
        <v>0</v>
      </c>
      <c r="P325" s="121">
        <f t="array" aca="1" ref="P325" ca="1">IFERROR(INDEX(INDIRECT($B$3&amp;"."&amp;$B$311&amp;".energy["&amp;This.year&amp;"]"),MATCH($C325&amp;P$5,INDIRECT($B$3&amp;"."&amp;$B$311&amp;".energy[Tech description]")&amp;INDIRECT($B$3&amp;"."&amp;$B$311&amp;".energy[Energy description]"),0)),0)</f>
        <v>0</v>
      </c>
      <c r="Q325" s="121">
        <f t="array" aca="1" ref="Q325" ca="1">IFERROR(INDEX(INDIRECT($B$3&amp;"."&amp;$B$311&amp;".energy["&amp;This.year&amp;"]"),MATCH($C325&amp;Q$5,INDIRECT($B$3&amp;"."&amp;$B$311&amp;".energy[Tech description]")&amp;INDIRECT($B$3&amp;"."&amp;$B$311&amp;".energy[Energy description]"),0)),0)</f>
        <v>0</v>
      </c>
      <c r="R325" s="121">
        <f t="array" aca="1" ref="R325" ca="1">IFERROR(INDEX(INDIRECT($B$3&amp;"."&amp;$B$311&amp;".energy["&amp;This.year&amp;"]"),MATCH($C325&amp;R$5,INDIRECT($B$3&amp;"."&amp;$B$311&amp;".energy[Tech description]")&amp;INDIRECT($B$3&amp;"."&amp;$B$311&amp;".energy[Energy description]"),0)),0)</f>
        <v>0</v>
      </c>
      <c r="S325" s="121">
        <f t="array" aca="1" ref="S325" ca="1">IFERROR(INDEX(INDIRECT($B$3&amp;"."&amp;$B$311&amp;".energy["&amp;This.year&amp;"]"),MATCH($C325&amp;S$5,INDIRECT($B$3&amp;"."&amp;$B$311&amp;".energy[Tech description]")&amp;INDIRECT($B$3&amp;"."&amp;$B$311&amp;".energy[Energy description]"),0)),0)</f>
        <v>0</v>
      </c>
      <c r="T325" s="121">
        <f t="shared" ca="1" si="122"/>
        <v>0</v>
      </c>
      <c r="V325" s="152">
        <f t="array" aca="1" ref="V325" ca="1">IFERROR(INDEX(INDIRECT($B$3&amp;"."&amp;$B$311&amp;".energy["&amp;This.year&amp;"]"),MATCH($C325&amp;V$5,INDIRECT($B$3&amp;"."&amp;$B$311&amp;".energy[Tech description]")&amp;INDIRECT($B$3&amp;"."&amp;$B$311&amp;".energy[Energy description]"),0)),0)</f>
        <v>0</v>
      </c>
      <c r="W325" s="152">
        <f t="array" aca="1" ref="W325" ca="1">IFERROR(INDEX(INDIRECT($B$3&amp;"."&amp;$B$311&amp;".energy["&amp;This.year&amp;"]"),MATCH($C325&amp;W$5,INDIRECT($B$3&amp;"."&amp;$B$311&amp;".energy[Tech description]")&amp;INDIRECT($B$3&amp;"."&amp;$B$311&amp;".energy[Energy description]"),0)),0)</f>
        <v>0</v>
      </c>
      <c r="X325" s="152">
        <f t="array" aca="1" ref="X325" ca="1">IFERROR(INDEX(INDIRECT($B$3&amp;"."&amp;$B$311&amp;".energy["&amp;This.year&amp;"]"),MATCH($C325&amp;X$5,INDIRECT($B$3&amp;"."&amp;$B$311&amp;".energy[Tech description]")&amp;INDIRECT($B$3&amp;"."&amp;$B$311&amp;".energy[Energy description]"),0)),0)</f>
        <v>0</v>
      </c>
      <c r="Y325" s="152">
        <f t="array" aca="1" ref="Y325" ca="1">IFERROR(INDEX(INDIRECT($B$3&amp;"."&amp;$B$311&amp;".energy["&amp;This.year&amp;"]"),MATCH($C325&amp;Y$5,INDIRECT($B$3&amp;"."&amp;$B$311&amp;".energy[Tech description]")&amp;INDIRECT($B$3&amp;"."&amp;$B$311&amp;".energy[Energy description]"),0)),0)</f>
        <v>0</v>
      </c>
      <c r="Z325" s="152">
        <f t="array" aca="1" ref="Z325" ca="1">IFERROR(INDEX(INDIRECT($B$3&amp;"."&amp;$B$311&amp;".energy["&amp;This.year&amp;"]"),MATCH($C325&amp;Z$5,INDIRECT($B$3&amp;"."&amp;$B$311&amp;".energy[Tech description]")&amp;INDIRECT($B$3&amp;"."&amp;$B$311&amp;".energy[Energy description]"),0)),0)</f>
        <v>0</v>
      </c>
      <c r="AA325" s="152">
        <f t="array" aca="1" ref="AA325" ca="1">IFERROR(INDEX(INDIRECT($B$3&amp;"."&amp;$B$311&amp;".energy["&amp;This.year&amp;"]"),MATCH($C325&amp;AA$5,INDIRECT($B$3&amp;"."&amp;$B$311&amp;".energy[Tech description]")&amp;INDIRECT($B$3&amp;"."&amp;$B$311&amp;".energy[Energy description]"),0)),0)</f>
        <v>0</v>
      </c>
      <c r="AB325" s="152">
        <f t="array" aca="1" ref="AB325" ca="1">IFERROR(INDEX(INDIRECT($B$3&amp;"."&amp;$B$311&amp;".energy["&amp;This.year&amp;"]"),MATCH($C325&amp;AB$5,INDIRECT($B$3&amp;"."&amp;$B$311&amp;".energy[Tech description]")&amp;INDIRECT($B$3&amp;"."&amp;$B$311&amp;".energy[Energy description]"),0)),0)</f>
        <v>0</v>
      </c>
      <c r="AC325" s="152">
        <f t="array" aca="1" ref="AC325" ca="1">IFERROR(INDEX(INDIRECT($B$3&amp;"."&amp;$B$311&amp;".energy["&amp;This.year&amp;"]"),MATCH($C325&amp;AC$5,INDIRECT($B$3&amp;"."&amp;$B$311&amp;".energy[Tech description]")&amp;INDIRECT($B$3&amp;"."&amp;$B$311&amp;".energy[Energy description]"),0)),0)</f>
        <v>0</v>
      </c>
      <c r="AD325" s="152">
        <f t="array" aca="1" ref="AD325" ca="1">IFERROR(INDEX(INDIRECT($B$3&amp;"."&amp;$B$311&amp;".energy["&amp;This.year&amp;"]"),MATCH($C325&amp;AD$5,INDIRECT($B$3&amp;"."&amp;$B$311&amp;".energy[Tech description]")&amp;INDIRECT($B$3&amp;"."&amp;$B$311&amp;".energy[Energy description]"),0)),0)</f>
        <v>0</v>
      </c>
      <c r="AE325" s="152">
        <f t="array" aca="1" ref="AE325" ca="1">IFERROR(INDEX(INDIRECT($B$3&amp;"."&amp;$B$311&amp;".energy["&amp;This.year&amp;"]"),MATCH($C325&amp;AE$5,INDIRECT($B$3&amp;"."&amp;$B$311&amp;".energy[Tech description]")&amp;INDIRECT($B$3&amp;"."&amp;$B$311&amp;".energy[Energy description]"),0)),0)</f>
        <v>0</v>
      </c>
      <c r="AF325" s="152">
        <f t="array" aca="1" ref="AF325" ca="1">IFERROR(INDEX(INDIRECT($B$3&amp;"."&amp;$B$311&amp;".energy["&amp;This.year&amp;"]"),MATCH($C325&amp;AF$5,INDIRECT($B$3&amp;"."&amp;$B$311&amp;".energy[Tech description]")&amp;INDIRECT($B$3&amp;"."&amp;$B$311&amp;".energy[Energy description]"),0)),0)</f>
        <v>0</v>
      </c>
      <c r="AG325" s="152">
        <f t="array" aca="1" ref="AG325" ca="1">IFERROR(INDEX(INDIRECT($B$3&amp;"."&amp;$B$311&amp;".energy["&amp;This.year&amp;"]"),MATCH($C325&amp;AG$5,INDIRECT($B$3&amp;"."&amp;$B$311&amp;".energy[Tech description]")&amp;INDIRECT($B$3&amp;"."&amp;$B$311&amp;".energy[Energy description]"),0)),0)</f>
        <v>0</v>
      </c>
      <c r="AH325" s="152">
        <f t="array" aca="1" ref="AH325" ca="1">IFERROR(INDEX(INDIRECT($B$3&amp;"."&amp;$B$311&amp;".energy["&amp;This.year&amp;"]"),MATCH($C325&amp;AH$5,INDIRECT($B$3&amp;"."&amp;$B$311&amp;".energy[Tech description]")&amp;INDIRECT($B$3&amp;"."&amp;$B$311&amp;".energy[Energy description]"),0)),0)</f>
        <v>0</v>
      </c>
      <c r="AI325" s="152">
        <f t="array" aca="1" ref="AI325" ca="1">IFERROR(INDEX(INDIRECT($B$3&amp;"."&amp;$B$311&amp;".energy["&amp;This.year&amp;"]"),MATCH($C325&amp;AI$5,INDIRECT($B$3&amp;"."&amp;$B$311&amp;".energy[Tech description]")&amp;INDIRECT($B$3&amp;"."&amp;$B$311&amp;".energy[Energy description]"),0)),0)</f>
        <v>0</v>
      </c>
      <c r="AJ325" s="152">
        <f t="array" aca="1" ref="AJ325" ca="1">IFERROR(INDEX(INDIRECT($B$3&amp;"."&amp;$B$311&amp;".energy["&amp;This.year&amp;"]"),MATCH($C325&amp;AJ$5,INDIRECT($B$3&amp;"."&amp;$B$311&amp;".energy[Tech description]")&amp;INDIRECT($B$3&amp;"."&amp;$B$311&amp;".energy[Energy description]"),0)),0)</f>
        <v>0</v>
      </c>
      <c r="AK325" s="152">
        <f t="array" aca="1" ref="AK325" ca="1">IFERROR(INDEX(INDIRECT($B$3&amp;"."&amp;$B$311&amp;".energy["&amp;This.year&amp;"]"),MATCH($C325&amp;AK$5,INDIRECT($B$3&amp;"."&amp;$B$311&amp;".energy[Tech description]")&amp;INDIRECT($B$3&amp;"."&amp;$B$311&amp;".energy[Energy description]"),0)),0)</f>
        <v>0</v>
      </c>
      <c r="AL325" s="152">
        <f t="array" aca="1" ref="AL325" ca="1">IFERROR(INDEX(INDIRECT($B$3&amp;"."&amp;$B$311&amp;".energy["&amp;This.year&amp;"]"),MATCH($C325&amp;AL$5,INDIRECT($B$3&amp;"."&amp;$B$311&amp;".energy[Tech description]")&amp;INDIRECT($B$3&amp;"."&amp;$B$311&amp;".energy[Energy description]"),0)),0)</f>
        <v>0</v>
      </c>
      <c r="AM325" s="152">
        <f t="array" aca="1" ref="AM325" ca="1">IFERROR(INDEX(INDIRECT($B$3&amp;"."&amp;$B$311&amp;".energy["&amp;This.year&amp;"]"),MATCH($C325&amp;AM$5,INDIRECT($B$3&amp;"."&amp;$B$311&amp;".energy[Tech description]")&amp;INDIRECT($B$3&amp;"."&amp;$B$311&amp;".energy[Energy description]"),0)),0)</f>
        <v>0</v>
      </c>
      <c r="AN325" s="152">
        <f t="array" aca="1" ref="AN325" ca="1">IFERROR(INDEX(INDIRECT($B$3&amp;"."&amp;$B$311&amp;".energy["&amp;This.year&amp;"]"),MATCH($C325&amp;AN$5,INDIRECT($B$3&amp;"."&amp;$B$311&amp;".energy[Tech description]")&amp;INDIRECT($B$3&amp;"."&amp;$B$311&amp;".energy[Energy description]"),0)),0)</f>
        <v>0</v>
      </c>
      <c r="AO325" s="152">
        <f ca="1">SUM(V325:AN325)</f>
        <v>0</v>
      </c>
      <c r="AQ325" s="21">
        <f t="array" aca="1" ref="AQ325" ca="1">IFERROR(INDEX(INDIRECT($B$3&amp;"."&amp;$B$311&amp;".energy["&amp;This.year&amp;"]"),MATCH($C325&amp;AQ$5,INDIRECT($B$3&amp;"."&amp;$B$311&amp;".energy[Tech description]")&amp;INDIRECT($B$3&amp;"."&amp;$B$311&amp;".energy[Energy description]"),0)),0)</f>
        <v>0</v>
      </c>
      <c r="AR325" s="21">
        <f t="array" aca="1" ref="AR325" ca="1">IFERROR(INDEX(INDIRECT($B$3&amp;"."&amp;$B$311&amp;".energy["&amp;This.year&amp;"]"),MATCH($C325&amp;AR$5,INDIRECT($B$3&amp;"."&amp;$B$311&amp;".energy[Tech description]")&amp;INDIRECT($B$3&amp;"."&amp;$B$311&amp;".energy[Energy description]"),0)),0)</f>
        <v>0</v>
      </c>
      <c r="AS325" s="21">
        <f t="array" aca="1" ref="AS325" ca="1">IFERROR(INDEX(INDIRECT($B$3&amp;"."&amp;$B$311&amp;".energy["&amp;This.year&amp;"]"),MATCH($C325&amp;AS$5,INDIRECT($B$3&amp;"."&amp;$B$311&amp;".energy[Tech description]")&amp;INDIRECT($B$3&amp;"."&amp;$B$311&amp;".energy[Energy description]"),0)),0)</f>
        <v>0</v>
      </c>
      <c r="AT325" s="21">
        <f t="array" aca="1" ref="AT325" ca="1">IFERROR(INDEX(INDIRECT($B$3&amp;"."&amp;$B$311&amp;".energy["&amp;This.year&amp;"]"),MATCH($C325&amp;AT$5,INDIRECT($B$3&amp;"."&amp;$B$311&amp;".energy[Tech description]")&amp;INDIRECT($B$3&amp;"."&amp;$B$311&amp;".energy[Energy description]"),0)),0)</f>
        <v>0</v>
      </c>
      <c r="AU325" s="21">
        <f t="array" aca="1" ref="AU325" ca="1">IFERROR(INDEX(INDIRECT($B$3&amp;"."&amp;$B$311&amp;".energy["&amp;This.year&amp;"]"),MATCH($C325&amp;AU$5,INDIRECT($B$3&amp;"."&amp;$B$311&amp;".energy[Tech description]")&amp;INDIRECT($B$3&amp;"."&amp;$B$311&amp;".energy[Energy description]"),0)),0)</f>
        <v>0</v>
      </c>
      <c r="AV325" s="21">
        <f t="array" aca="1" ref="AV325" ca="1">IFERROR(INDEX(INDIRECT($B$3&amp;"."&amp;$B$311&amp;".energy["&amp;This.year&amp;"]"),MATCH($C325&amp;AV$5,INDIRECT($B$3&amp;"."&amp;$B$311&amp;".energy[Tech description]")&amp;INDIRECT($B$3&amp;"."&amp;$B$311&amp;".energy[Energy description]"),0)),0)</f>
        <v>0</v>
      </c>
      <c r="AW325" s="21">
        <f t="array" aca="1" ref="AW325" ca="1">IFERROR(INDEX(INDIRECT($B$3&amp;"."&amp;$B$311&amp;".energy["&amp;This.year&amp;"]"),MATCH($C325&amp;AW$5,INDIRECT($B$3&amp;"."&amp;$B$311&amp;".energy[Tech description]")&amp;INDIRECT($B$3&amp;"."&amp;$B$311&amp;".energy[Energy description]"),0)),0)</f>
        <v>0</v>
      </c>
      <c r="AX325" s="21">
        <f t="array" aca="1" ref="AX325" ca="1">IFERROR(INDEX(INDIRECT($B$3&amp;"."&amp;$B$311&amp;".energy["&amp;This.year&amp;"]"),MATCH($C325&amp;AX$5,INDIRECT($B$3&amp;"."&amp;$B$311&amp;".energy[Tech description]")&amp;INDIRECT($B$3&amp;"."&amp;$B$311&amp;".energy[Energy description]"),0)),0)</f>
        <v>0</v>
      </c>
      <c r="AY325" s="21">
        <f t="array" aca="1" ref="AY325" ca="1">IFERROR(INDEX(INDIRECT($B$3&amp;"."&amp;$B$311&amp;".energy["&amp;This.year&amp;"]"),MATCH($C325&amp;AY$5,INDIRECT($B$3&amp;"."&amp;$B$311&amp;".energy[Tech description]")&amp;INDIRECT($B$3&amp;"."&amp;$B$311&amp;".energy[Energy description]"),0)),0)</f>
        <v>0</v>
      </c>
      <c r="AZ325" s="21">
        <f t="array" aca="1" ref="AZ325" ca="1">IFERROR(INDEX(INDIRECT($B$3&amp;"."&amp;$B$311&amp;".energy["&amp;This.year&amp;"]"),MATCH($C325&amp;AZ$5,INDIRECT($B$3&amp;"."&amp;$B$311&amp;".energy[Tech description]")&amp;INDIRECT($B$3&amp;"."&amp;$B$311&amp;".energy[Energy description]"),0)),0)</f>
        <v>0</v>
      </c>
      <c r="BA325" s="21">
        <f t="array" aca="1" ref="BA325" ca="1">IFERROR(INDEX(INDIRECT($B$3&amp;"."&amp;$B$311&amp;".energy["&amp;This.year&amp;"]"),MATCH($C325&amp;BA$5,INDIRECT($B$3&amp;"."&amp;$B$311&amp;".energy[Tech description]")&amp;INDIRECT($B$3&amp;"."&amp;$B$311&amp;".energy[Energy description]"),0)),0)</f>
        <v>0</v>
      </c>
      <c r="BB325" s="21">
        <f t="array" aca="1" ref="BB325" ca="1">IFERROR(INDEX(INDIRECT($B$3&amp;"."&amp;$B$311&amp;".energy["&amp;This.year&amp;"]"),MATCH($C325&amp;BB$5,INDIRECT($B$3&amp;"."&amp;$B$311&amp;".energy[Tech description]")&amp;INDIRECT($B$3&amp;"."&amp;$B$311&amp;".energy[Energy description]"),0)),0)</f>
        <v>0</v>
      </c>
      <c r="BC325" s="21">
        <f t="array" aca="1" ref="BC325" ca="1">IFERROR(INDEX(INDIRECT($B$3&amp;"."&amp;$B$311&amp;".energy["&amp;This.year&amp;"]"),MATCH($C325&amp;BC$5,INDIRECT($B$3&amp;"."&amp;$B$311&amp;".energy[Tech description]")&amp;INDIRECT($B$3&amp;"."&amp;$B$311&amp;".energy[Energy description]"),0)),0)</f>
        <v>0</v>
      </c>
      <c r="BD325" s="21">
        <f t="shared" ca="1" si="123"/>
        <v>0</v>
      </c>
      <c r="BF325" s="49">
        <f t="array" aca="1" ref="BF325" ca="1">IFERROR(INDEX(INDIRECT($B$3&amp;"."&amp;$B$311&amp;".energy["&amp;This.year&amp;"]"),MATCH($C325&amp;BF$5,INDIRECT($B$3&amp;"."&amp;$B$311&amp;".energy[Tech description]")&amp;INDIRECT($B$3&amp;"."&amp;$B$311&amp;".energy[Energy description]"),0)),0)</f>
        <v>0</v>
      </c>
      <c r="BG325" s="49">
        <f t="array" aca="1" ref="BG325" ca="1">IFERROR(INDEX(INDIRECT($B$3&amp;"."&amp;$B$311&amp;".energy["&amp;This.year&amp;"]"),MATCH($C325&amp;BG$5,INDIRECT($B$3&amp;"."&amp;$B$311&amp;".energy[Tech description]")&amp;INDIRECT($B$3&amp;"."&amp;$B$311&amp;".energy[Energy description]"),0)),0)</f>
        <v>0</v>
      </c>
      <c r="BH325" s="49">
        <f t="shared" ca="1" si="124"/>
        <v>0</v>
      </c>
      <c r="BI325" s="219">
        <f t="shared" ca="1" si="115"/>
        <v>0</v>
      </c>
      <c r="BJ325" s="60"/>
    </row>
    <row r="326" spans="2:62">
      <c r="B326" s="176" t="s">
        <v>2403</v>
      </c>
      <c r="C326" s="114" t="str">
        <f>INDEX(Regional.Technologies[Description],MATCH($B$3&amp;"."&amp;B326,Regional.Technologies[Code],0))</f>
        <v>Global Oil distribution network</v>
      </c>
      <c r="D326" s="54"/>
      <c r="E326" s="121">
        <f t="array" aca="1" ref="E326" ca="1">IFERROR(INDEX(INDIRECT($B$3&amp;"."&amp;$B$311&amp;".energy["&amp;This.year&amp;"]"),MATCH($C326&amp;E$5,INDIRECT($B$3&amp;"."&amp;$B$311&amp;".energy[Tech description]")&amp;INDIRECT($B$3&amp;"."&amp;$B$311&amp;".energy[Energy description]"),0)),0)</f>
        <v>0</v>
      </c>
      <c r="F326" s="121">
        <f t="array" aca="1" ref="F326" ca="1">IFERROR(INDEX(INDIRECT($B$3&amp;"."&amp;$B$311&amp;".energy["&amp;This.year&amp;"]"),MATCH($C326&amp;F$5,INDIRECT($B$3&amp;"."&amp;$B$311&amp;".energy[Tech description]")&amp;INDIRECT($B$3&amp;"."&amp;$B$311&amp;".energy[Energy description]"),0)),0)</f>
        <v>0</v>
      </c>
      <c r="G326" s="121">
        <f t="array" aca="1" ref="G326" ca="1">IFERROR(INDEX(INDIRECT($B$3&amp;"."&amp;$B$311&amp;".energy["&amp;This.year&amp;"]"),MATCH($C326&amp;G$5,INDIRECT($B$3&amp;"."&amp;$B$311&amp;".energy[Tech description]")&amp;INDIRECT($B$3&amp;"."&amp;$B$311&amp;".energy[Energy description]"),0)),0)</f>
        <v>0</v>
      </c>
      <c r="H326" s="121">
        <f t="array" aca="1" ref="H326" ca="1">IFERROR(INDEX(INDIRECT($B$3&amp;"."&amp;$B$311&amp;".energy["&amp;This.year&amp;"]"),MATCH($C326&amp;H$5,INDIRECT($B$3&amp;"."&amp;$B$311&amp;".energy[Tech description]")&amp;INDIRECT($B$3&amp;"."&amp;$B$311&amp;".energy[Energy description]"),0)),0)</f>
        <v>0</v>
      </c>
      <c r="I326" s="121">
        <f t="array" aca="1" ref="I326" ca="1">IFERROR(INDEX(INDIRECT($B$3&amp;"."&amp;$B$311&amp;".energy["&amp;This.year&amp;"]"),MATCH($C326&amp;I$5,INDIRECT($B$3&amp;"."&amp;$B$311&amp;".energy[Tech description]")&amp;INDIRECT($B$3&amp;"."&amp;$B$311&amp;".energy[Energy description]"),0)),0)</f>
        <v>0</v>
      </c>
      <c r="J326" s="121">
        <f t="array" aca="1" ref="J326" ca="1">IFERROR(INDEX(INDIRECT($B$3&amp;"."&amp;$B$311&amp;".energy["&amp;This.year&amp;"]"),MATCH($C326&amp;J$5,INDIRECT($B$3&amp;"."&amp;$B$311&amp;".energy[Tech description]")&amp;INDIRECT($B$3&amp;"."&amp;$B$311&amp;".energy[Energy description]"),0)),0)</f>
        <v>0</v>
      </c>
      <c r="K326" s="121">
        <f t="array" aca="1" ref="K326" ca="1">IFERROR(INDEX(INDIRECT($B$3&amp;"."&amp;$B$311&amp;".energy["&amp;This.year&amp;"]"),MATCH($C326&amp;K$5,INDIRECT($B$3&amp;"."&amp;$B$311&amp;".energy[Tech description]")&amp;INDIRECT($B$3&amp;"."&amp;$B$311&amp;".energy[Energy description]"),0)),0)</f>
        <v>0</v>
      </c>
      <c r="L326" s="121">
        <f t="array" aca="1" ref="L326" ca="1">IFERROR(INDEX(INDIRECT($B$3&amp;"."&amp;$B$311&amp;".energy["&amp;This.year&amp;"]"),MATCH($C326&amp;L$5,INDIRECT($B$3&amp;"."&amp;$B$311&amp;".energy[Tech description]")&amp;INDIRECT($B$3&amp;"."&amp;$B$311&amp;".energy[Energy description]"),0)),0)</f>
        <v>0</v>
      </c>
      <c r="M326" s="121">
        <f t="array" aca="1" ref="M326" ca="1">IFERROR(INDEX(INDIRECT($B$3&amp;"."&amp;$B$311&amp;".energy["&amp;This.year&amp;"]"),MATCH($C326&amp;M$5,INDIRECT($B$3&amp;"."&amp;$B$311&amp;".energy[Tech description]")&amp;INDIRECT($B$3&amp;"."&amp;$B$311&amp;".energy[Energy description]"),0)),0)</f>
        <v>0</v>
      </c>
      <c r="N326" s="121">
        <f t="array" aca="1" ref="N326" ca="1">IFERROR(INDEX(INDIRECT($B$3&amp;"."&amp;$B$311&amp;".energy["&amp;This.year&amp;"]"),MATCH($C326&amp;N$5,INDIRECT($B$3&amp;"."&amp;$B$311&amp;".energy[Tech description]")&amp;INDIRECT($B$3&amp;"."&amp;$B$311&amp;".energy[Energy description]"),0)),0)</f>
        <v>0</v>
      </c>
      <c r="O326" s="121">
        <f t="array" aca="1" ref="O326" ca="1">IFERROR(INDEX(INDIRECT($B$3&amp;"."&amp;$B$311&amp;".energy["&amp;This.year&amp;"]"),MATCH($C326&amp;O$5,INDIRECT($B$3&amp;"."&amp;$B$311&amp;".energy[Tech description]")&amp;INDIRECT($B$3&amp;"."&amp;$B$311&amp;".energy[Energy description]"),0)),0)</f>
        <v>0</v>
      </c>
      <c r="P326" s="121">
        <f t="array" aca="1" ref="P326" ca="1">IFERROR(INDEX(INDIRECT($B$3&amp;"."&amp;$B$311&amp;".energy["&amp;This.year&amp;"]"),MATCH($C326&amp;P$5,INDIRECT($B$3&amp;"."&amp;$B$311&amp;".energy[Tech description]")&amp;INDIRECT($B$3&amp;"."&amp;$B$311&amp;".energy[Energy description]"),0)),0)</f>
        <v>0</v>
      </c>
      <c r="Q326" s="121">
        <f t="array" aca="1" ref="Q326" ca="1">IFERROR(INDEX(INDIRECT($B$3&amp;"."&amp;$B$311&amp;".energy["&amp;This.year&amp;"]"),MATCH($C326&amp;Q$5,INDIRECT($B$3&amp;"."&amp;$B$311&amp;".energy[Tech description]")&amp;INDIRECT($B$3&amp;"."&amp;$B$311&amp;".energy[Energy description]"),0)),0)</f>
        <v>0</v>
      </c>
      <c r="R326" s="121">
        <f t="array" aca="1" ref="R326" ca="1">IFERROR(INDEX(INDIRECT($B$3&amp;"."&amp;$B$311&amp;".energy["&amp;This.year&amp;"]"),MATCH($C326&amp;R$5,INDIRECT($B$3&amp;"."&amp;$B$311&amp;".energy[Tech description]")&amp;INDIRECT($B$3&amp;"."&amp;$B$311&amp;".energy[Energy description]"),0)),0)</f>
        <v>0</v>
      </c>
      <c r="S326" s="121">
        <f t="array" aca="1" ref="S326" ca="1">IFERROR(INDEX(INDIRECT($B$3&amp;"."&amp;$B$311&amp;".energy["&amp;This.year&amp;"]"),MATCH($C326&amp;S$5,INDIRECT($B$3&amp;"."&amp;$B$311&amp;".energy[Tech description]")&amp;INDIRECT($B$3&amp;"."&amp;$B$311&amp;".energy[Energy description]"),0)),0)</f>
        <v>0</v>
      </c>
      <c r="T326" s="121">
        <f t="shared" ca="1" si="122"/>
        <v>0</v>
      </c>
      <c r="V326" s="152">
        <f t="array" aca="1" ref="V326" ca="1">IFERROR(INDEX(INDIRECT($B$3&amp;"."&amp;$B$311&amp;".energy["&amp;This.year&amp;"]"),MATCH($C326&amp;V$5,INDIRECT($B$3&amp;"."&amp;$B$311&amp;".energy[Tech description]")&amp;INDIRECT($B$3&amp;"."&amp;$B$311&amp;".energy[Energy description]"),0)),0)</f>
        <v>0</v>
      </c>
      <c r="W326" s="152">
        <f t="array" aca="1" ref="W326" ca="1">IFERROR(INDEX(INDIRECT($B$3&amp;"."&amp;$B$311&amp;".energy["&amp;This.year&amp;"]"),MATCH($C326&amp;W$5,INDIRECT($B$3&amp;"."&amp;$B$311&amp;".energy[Tech description]")&amp;INDIRECT($B$3&amp;"."&amp;$B$311&amp;".energy[Energy description]"),0)),0)</f>
        <v>0</v>
      </c>
      <c r="X326" s="152">
        <f t="array" aca="1" ref="X326" ca="1">IFERROR(INDEX(INDIRECT($B$3&amp;"."&amp;$B$311&amp;".energy["&amp;This.year&amp;"]"),MATCH($C326&amp;X$5,INDIRECT($B$3&amp;"."&amp;$B$311&amp;".energy[Tech description]")&amp;INDIRECT($B$3&amp;"."&amp;$B$311&amp;".energy[Energy description]"),0)),0)</f>
        <v>0</v>
      </c>
      <c r="Y326" s="152">
        <f t="array" aca="1" ref="Y326" ca="1">IFERROR(INDEX(INDIRECT($B$3&amp;"."&amp;$B$311&amp;".energy["&amp;This.year&amp;"]"),MATCH($C326&amp;Y$5,INDIRECT($B$3&amp;"."&amp;$B$311&amp;".energy[Tech description]")&amp;INDIRECT($B$3&amp;"."&amp;$B$311&amp;".energy[Energy description]"),0)),0)</f>
        <v>0</v>
      </c>
      <c r="Z326" s="152">
        <f t="array" aca="1" ref="Z326" ca="1">IFERROR(INDEX(INDIRECT($B$3&amp;"."&amp;$B$311&amp;".energy["&amp;This.year&amp;"]"),MATCH($C326&amp;Z$5,INDIRECT($B$3&amp;"."&amp;$B$311&amp;".energy[Tech description]")&amp;INDIRECT($B$3&amp;"."&amp;$B$311&amp;".energy[Energy description]"),0)),0)</f>
        <v>0</v>
      </c>
      <c r="AA326" s="152">
        <f t="array" aca="1" ref="AA326" ca="1">IFERROR(INDEX(INDIRECT($B$3&amp;"."&amp;$B$311&amp;".energy["&amp;This.year&amp;"]"),MATCH($C326&amp;AA$5,INDIRECT($B$3&amp;"."&amp;$B$311&amp;".energy[Tech description]")&amp;INDIRECT($B$3&amp;"."&amp;$B$311&amp;".energy[Energy description]"),0)),0)</f>
        <v>0</v>
      </c>
      <c r="AB326" s="152">
        <f t="array" aca="1" ref="AB326" ca="1">IFERROR(INDEX(INDIRECT($B$3&amp;"."&amp;$B$311&amp;".energy["&amp;This.year&amp;"]"),MATCH($C326&amp;AB$5,INDIRECT($B$3&amp;"."&amp;$B$311&amp;".energy[Tech description]")&amp;INDIRECT($B$3&amp;"."&amp;$B$311&amp;".energy[Energy description]"),0)),0)</f>
        <v>0</v>
      </c>
      <c r="AC326" s="152">
        <f t="array" aca="1" ref="AC326" ca="1">IFERROR(INDEX(INDIRECT($B$3&amp;"."&amp;$B$311&amp;".energy["&amp;This.year&amp;"]"),MATCH($C326&amp;AC$5,INDIRECT($B$3&amp;"."&amp;$B$311&amp;".energy[Tech description]")&amp;INDIRECT($B$3&amp;"."&amp;$B$311&amp;".energy[Energy description]"),0)),0)</f>
        <v>0</v>
      </c>
      <c r="AD326" s="152">
        <f t="array" aca="1" ref="AD326" ca="1">IFERROR(INDEX(INDIRECT($B$3&amp;"."&amp;$B$311&amp;".energy["&amp;This.year&amp;"]"),MATCH($C326&amp;AD$5,INDIRECT($B$3&amp;"."&amp;$B$311&amp;".energy[Tech description]")&amp;INDIRECT($B$3&amp;"."&amp;$B$311&amp;".energy[Energy description]"),0)),0)</f>
        <v>0</v>
      </c>
      <c r="AE326" s="152">
        <f t="array" aca="1" ref="AE326" ca="1">IFERROR(INDEX(INDIRECT($B$3&amp;"."&amp;$B$311&amp;".energy["&amp;This.year&amp;"]"),MATCH($C326&amp;AE$5,INDIRECT($B$3&amp;"."&amp;$B$311&amp;".energy[Tech description]")&amp;INDIRECT($B$3&amp;"."&amp;$B$311&amp;".energy[Energy description]"),0)),0)</f>
        <v>0</v>
      </c>
      <c r="AF326" s="152">
        <f t="array" aca="1" ref="AF326" ca="1">IFERROR(INDEX(INDIRECT($B$3&amp;"."&amp;$B$311&amp;".energy["&amp;This.year&amp;"]"),MATCH($C326&amp;AF$5,INDIRECT($B$3&amp;"."&amp;$B$311&amp;".energy[Tech description]")&amp;INDIRECT($B$3&amp;"."&amp;$B$311&amp;".energy[Energy description]"),0)),0)</f>
        <v>0</v>
      </c>
      <c r="AG326" s="152">
        <f t="array" aca="1" ref="AG326" ca="1">IFERROR(INDEX(INDIRECT($B$3&amp;"."&amp;$B$311&amp;".energy["&amp;This.year&amp;"]"),MATCH($C326&amp;AG$5,INDIRECT($B$3&amp;"."&amp;$B$311&amp;".energy[Tech description]")&amp;INDIRECT($B$3&amp;"."&amp;$B$311&amp;".energy[Energy description]"),0)),0)</f>
        <v>0</v>
      </c>
      <c r="AH326" s="152">
        <f t="array" aca="1" ref="AH326" ca="1">IFERROR(INDEX(INDIRECT($B$3&amp;"."&amp;$B$311&amp;".energy["&amp;This.year&amp;"]"),MATCH($C326&amp;AH$5,INDIRECT($B$3&amp;"."&amp;$B$311&amp;".energy[Tech description]")&amp;INDIRECT($B$3&amp;"."&amp;$B$311&amp;".energy[Energy description]"),0)),0)</f>
        <v>0</v>
      </c>
      <c r="AI326" s="152">
        <f t="array" aca="1" ref="AI326" ca="1">IFERROR(INDEX(INDIRECT($B$3&amp;"."&amp;$B$311&amp;".energy["&amp;This.year&amp;"]"),MATCH($C326&amp;AI$5,INDIRECT($B$3&amp;"."&amp;$B$311&amp;".energy[Tech description]")&amp;INDIRECT($B$3&amp;"."&amp;$B$311&amp;".energy[Energy description]"),0)),0)</f>
        <v>0</v>
      </c>
      <c r="AJ326" s="152">
        <f t="array" aca="1" ref="AJ326" ca="1">IFERROR(INDEX(INDIRECT($B$3&amp;"."&amp;$B$311&amp;".energy["&amp;This.year&amp;"]"),MATCH($C326&amp;AJ$5,INDIRECT($B$3&amp;"."&amp;$B$311&amp;".energy[Tech description]")&amp;INDIRECT($B$3&amp;"."&amp;$B$311&amp;".energy[Energy description]"),0)),0)</f>
        <v>0</v>
      </c>
      <c r="AK326" s="152">
        <f t="array" aca="1" ref="AK326" ca="1">IFERROR(INDEX(INDIRECT($B$3&amp;"."&amp;$B$311&amp;".energy["&amp;This.year&amp;"]"),MATCH($C326&amp;AK$5,INDIRECT($B$3&amp;"."&amp;$B$311&amp;".energy[Tech description]")&amp;INDIRECT($B$3&amp;"."&amp;$B$311&amp;".energy[Energy description]"),0)),0)</f>
        <v>0</v>
      </c>
      <c r="AL326" s="152">
        <f t="array" aca="1" ref="AL326" ca="1">IFERROR(INDEX(INDIRECT($B$3&amp;"."&amp;$B$311&amp;".energy["&amp;This.year&amp;"]"),MATCH($C326&amp;AL$5,INDIRECT($B$3&amp;"."&amp;$B$311&amp;".energy[Tech description]")&amp;INDIRECT($B$3&amp;"."&amp;$B$311&amp;".energy[Energy description]"),0)),0)</f>
        <v>0</v>
      </c>
      <c r="AM326" s="152">
        <f t="array" aca="1" ref="AM326" ca="1">IFERROR(INDEX(INDIRECT($B$3&amp;"."&amp;$B$311&amp;".energy["&amp;This.year&amp;"]"),MATCH($C326&amp;AM$5,INDIRECT($B$3&amp;"."&amp;$B$311&amp;".energy[Tech description]")&amp;INDIRECT($B$3&amp;"."&amp;$B$311&amp;".energy[Energy description]"),0)),0)</f>
        <v>0</v>
      </c>
      <c r="AN326" s="152">
        <f t="array" aca="1" ref="AN326" ca="1">IFERROR(INDEX(INDIRECT($B$3&amp;"."&amp;$B$311&amp;".energy["&amp;This.year&amp;"]"),MATCH($C326&amp;AN$5,INDIRECT($B$3&amp;"."&amp;$B$311&amp;".energy[Tech description]")&amp;INDIRECT($B$3&amp;"."&amp;$B$311&amp;".energy[Energy description]"),0)),0)</f>
        <v>0</v>
      </c>
      <c r="AO326" s="152">
        <f t="shared" ref="AO326:AO327" ca="1" si="125">SUM(V326:AN326)</f>
        <v>0</v>
      </c>
      <c r="AQ326" s="21">
        <f t="array" aca="1" ref="AQ326" ca="1">IFERROR(INDEX(INDIRECT($B$3&amp;"."&amp;$B$311&amp;".energy["&amp;This.year&amp;"]"),MATCH($C326&amp;AQ$5,INDIRECT($B$3&amp;"."&amp;$B$311&amp;".energy[Tech description]")&amp;INDIRECT($B$3&amp;"."&amp;$B$311&amp;".energy[Energy description]"),0)),0)</f>
        <v>0</v>
      </c>
      <c r="AR326" s="21">
        <f t="array" aca="1" ref="AR326" ca="1">IFERROR(INDEX(INDIRECT($B$3&amp;"."&amp;$B$311&amp;".energy["&amp;This.year&amp;"]"),MATCH($C326&amp;AR$5,INDIRECT($B$3&amp;"."&amp;$B$311&amp;".energy[Tech description]")&amp;INDIRECT($B$3&amp;"."&amp;$B$311&amp;".energy[Energy description]"),0)),0)</f>
        <v>0</v>
      </c>
      <c r="AS326" s="21">
        <f t="array" aca="1" ref="AS326" ca="1">IFERROR(INDEX(INDIRECT($B$3&amp;"."&amp;$B$311&amp;".energy["&amp;This.year&amp;"]"),MATCH($C326&amp;AS$5,INDIRECT($B$3&amp;"."&amp;$B$311&amp;".energy[Tech description]")&amp;INDIRECT($B$3&amp;"."&amp;$B$311&amp;".energy[Energy description]"),0)),0)</f>
        <v>0</v>
      </c>
      <c r="AT326" s="21">
        <f t="array" aca="1" ref="AT326" ca="1">IFERROR(INDEX(INDIRECT($B$3&amp;"."&amp;$B$311&amp;".energy["&amp;This.year&amp;"]"),MATCH($C326&amp;AT$5,INDIRECT($B$3&amp;"."&amp;$B$311&amp;".energy[Tech description]")&amp;INDIRECT($B$3&amp;"."&amp;$B$311&amp;".energy[Energy description]"),0)),0)</f>
        <v>0</v>
      </c>
      <c r="AU326" s="21">
        <f t="array" aca="1" ref="AU326" ca="1">IFERROR(INDEX(INDIRECT($B$3&amp;"."&amp;$B$311&amp;".energy["&amp;This.year&amp;"]"),MATCH($C326&amp;AU$5,INDIRECT($B$3&amp;"."&amp;$B$311&amp;".energy[Tech description]")&amp;INDIRECT($B$3&amp;"."&amp;$B$311&amp;".energy[Energy description]"),0)),0)</f>
        <v>0</v>
      </c>
      <c r="AV326" s="21">
        <f t="array" aca="1" ref="AV326" ca="1">IFERROR(INDEX(INDIRECT($B$3&amp;"."&amp;$B$311&amp;".energy["&amp;This.year&amp;"]"),MATCH($C326&amp;AV$5,INDIRECT($B$3&amp;"."&amp;$B$311&amp;".energy[Tech description]")&amp;INDIRECT($B$3&amp;"."&amp;$B$311&amp;".energy[Energy description]"),0)),0)</f>
        <v>0</v>
      </c>
      <c r="AW326" s="21">
        <f t="array" aca="1" ref="AW326" ca="1">IFERROR(INDEX(INDIRECT($B$3&amp;"."&amp;$B$311&amp;".energy["&amp;This.year&amp;"]"),MATCH($C326&amp;AW$5,INDIRECT($B$3&amp;"."&amp;$B$311&amp;".energy[Tech description]")&amp;INDIRECT($B$3&amp;"."&amp;$B$311&amp;".energy[Energy description]"),0)),0)</f>
        <v>0</v>
      </c>
      <c r="AX326" s="21">
        <f t="array" aca="1" ref="AX326" ca="1">IFERROR(INDEX(INDIRECT($B$3&amp;"."&amp;$B$311&amp;".energy["&amp;This.year&amp;"]"),MATCH($C326&amp;AX$5,INDIRECT($B$3&amp;"."&amp;$B$311&amp;".energy[Tech description]")&amp;INDIRECT($B$3&amp;"."&amp;$B$311&amp;".energy[Energy description]"),0)),0)</f>
        <v>0</v>
      </c>
      <c r="AY326" s="21">
        <f t="array" aca="1" ref="AY326" ca="1">IFERROR(INDEX(INDIRECT($B$3&amp;"."&amp;$B$311&amp;".energy["&amp;This.year&amp;"]"),MATCH($C326&amp;AY$5,INDIRECT($B$3&amp;"."&amp;$B$311&amp;".energy[Tech description]")&amp;INDIRECT($B$3&amp;"."&amp;$B$311&amp;".energy[Energy description]"),0)),0)</f>
        <v>0</v>
      </c>
      <c r="AZ326" s="21">
        <f t="array" aca="1" ref="AZ326" ca="1">IFERROR(INDEX(INDIRECT($B$3&amp;"."&amp;$B$311&amp;".energy["&amp;This.year&amp;"]"),MATCH($C326&amp;AZ$5,INDIRECT($B$3&amp;"."&amp;$B$311&amp;".energy[Tech description]")&amp;INDIRECT($B$3&amp;"."&amp;$B$311&amp;".energy[Energy description]"),0)),0)</f>
        <v>0</v>
      </c>
      <c r="BA326" s="21">
        <f t="array" aca="1" ref="BA326" ca="1">IFERROR(INDEX(INDIRECT($B$3&amp;"."&amp;$B$311&amp;".energy["&amp;This.year&amp;"]"),MATCH($C326&amp;BA$5,INDIRECT($B$3&amp;"."&amp;$B$311&amp;".energy[Tech description]")&amp;INDIRECT($B$3&amp;"."&amp;$B$311&amp;".energy[Energy description]"),0)),0)</f>
        <v>0</v>
      </c>
      <c r="BB326" s="21">
        <f t="array" aca="1" ref="BB326" ca="1">IFERROR(INDEX(INDIRECT($B$3&amp;"."&amp;$B$311&amp;".energy["&amp;This.year&amp;"]"),MATCH($C326&amp;BB$5,INDIRECT($B$3&amp;"."&amp;$B$311&amp;".energy[Tech description]")&amp;INDIRECT($B$3&amp;"."&amp;$B$311&amp;".energy[Energy description]"),0)),0)</f>
        <v>0</v>
      </c>
      <c r="BC326" s="21">
        <f t="array" aca="1" ref="BC326" ca="1">IFERROR(INDEX(INDIRECT($B$3&amp;"."&amp;$B$311&amp;".energy["&amp;This.year&amp;"]"),MATCH($C326&amp;BC$5,INDIRECT($B$3&amp;"."&amp;$B$311&amp;".energy[Tech description]")&amp;INDIRECT($B$3&amp;"."&amp;$B$311&amp;".energy[Energy description]"),0)),0)</f>
        <v>0</v>
      </c>
      <c r="BD326" s="21">
        <f t="shared" ca="1" si="123"/>
        <v>0</v>
      </c>
      <c r="BF326" s="49">
        <f t="array" aca="1" ref="BF326" ca="1">IFERROR(INDEX(INDIRECT($B$3&amp;"."&amp;$B$311&amp;".energy["&amp;This.year&amp;"]"),MATCH($C326&amp;BF$5,INDIRECT($B$3&amp;"."&amp;$B$311&amp;".energy[Tech description]")&amp;INDIRECT($B$3&amp;"."&amp;$B$311&amp;".energy[Energy description]"),0)),0)</f>
        <v>0</v>
      </c>
      <c r="BG326" s="49">
        <f t="array" aca="1" ref="BG326" ca="1">IFERROR(INDEX(INDIRECT($B$3&amp;"."&amp;$B$311&amp;".energy["&amp;This.year&amp;"]"),MATCH($C326&amp;BG$5,INDIRECT($B$3&amp;"."&amp;$B$311&amp;".energy[Tech description]")&amp;INDIRECT($B$3&amp;"."&amp;$B$311&amp;".energy[Energy description]"),0)),0)</f>
        <v>0</v>
      </c>
      <c r="BH326" s="49">
        <f t="shared" ca="1" si="124"/>
        <v>0</v>
      </c>
      <c r="BI326" s="219">
        <f t="shared" ca="1" si="115"/>
        <v>0</v>
      </c>
      <c r="BJ326" s="60"/>
    </row>
    <row r="327" spans="2:62">
      <c r="B327" s="176" t="s">
        <v>2405</v>
      </c>
      <c r="C327" s="114" t="str">
        <f>INDEX(Regional.Technologies[Description],MATCH($B$3&amp;"."&amp;B327,Regional.Technologies[Code],0))</f>
        <v>Global Electricity distribution network</v>
      </c>
      <c r="D327" s="54"/>
      <c r="E327" s="121">
        <f t="array" aca="1" ref="E327" ca="1">IFERROR(INDEX(INDIRECT($B$3&amp;"."&amp;$B$311&amp;".energy["&amp;This.year&amp;"]"),MATCH($C327&amp;E$5,INDIRECT($B$3&amp;"."&amp;$B$311&amp;".energy[Tech description]")&amp;INDIRECT($B$3&amp;"."&amp;$B$311&amp;".energy[Energy description]"),0)),0)</f>
        <v>0</v>
      </c>
      <c r="F327" s="121">
        <f t="array" aca="1" ref="F327" ca="1">IFERROR(INDEX(INDIRECT($B$3&amp;"."&amp;$B$311&amp;".energy["&amp;This.year&amp;"]"),MATCH($C327&amp;F$5,INDIRECT($B$3&amp;"."&amp;$B$311&amp;".energy[Tech description]")&amp;INDIRECT($B$3&amp;"."&amp;$B$311&amp;".energy[Energy description]"),0)),0)</f>
        <v>0</v>
      </c>
      <c r="G327" s="121">
        <f t="array" aca="1" ref="G327" ca="1">IFERROR(INDEX(INDIRECT($B$3&amp;"."&amp;$B$311&amp;".energy["&amp;This.year&amp;"]"),MATCH($C327&amp;G$5,INDIRECT($B$3&amp;"."&amp;$B$311&amp;".energy[Tech description]")&amp;INDIRECT($B$3&amp;"."&amp;$B$311&amp;".energy[Energy description]"),0)),0)</f>
        <v>0</v>
      </c>
      <c r="H327" s="121">
        <f t="array" aca="1" ref="H327" ca="1">IFERROR(INDEX(INDIRECT($B$3&amp;"."&amp;$B$311&amp;".energy["&amp;This.year&amp;"]"),MATCH($C327&amp;H$5,INDIRECT($B$3&amp;"."&amp;$B$311&amp;".energy[Tech description]")&amp;INDIRECT($B$3&amp;"."&amp;$B$311&amp;".energy[Energy description]"),0)),0)</f>
        <v>0</v>
      </c>
      <c r="I327" s="121">
        <f t="array" aca="1" ref="I327" ca="1">IFERROR(INDEX(INDIRECT($B$3&amp;"."&amp;$B$311&amp;".energy["&amp;This.year&amp;"]"),MATCH($C327&amp;I$5,INDIRECT($B$3&amp;"."&amp;$B$311&amp;".energy[Tech description]")&amp;INDIRECT($B$3&amp;"."&amp;$B$311&amp;".energy[Energy description]"),0)),0)</f>
        <v>0</v>
      </c>
      <c r="J327" s="121">
        <f t="array" aca="1" ref="J327" ca="1">IFERROR(INDEX(INDIRECT($B$3&amp;"."&amp;$B$311&amp;".energy["&amp;This.year&amp;"]"),MATCH($C327&amp;J$5,INDIRECT($B$3&amp;"."&amp;$B$311&amp;".energy[Tech description]")&amp;INDIRECT($B$3&amp;"."&amp;$B$311&amp;".energy[Energy description]"),0)),0)</f>
        <v>0</v>
      </c>
      <c r="K327" s="121">
        <f t="array" aca="1" ref="K327" ca="1">IFERROR(INDEX(INDIRECT($B$3&amp;"."&amp;$B$311&amp;".energy["&amp;This.year&amp;"]"),MATCH($C327&amp;K$5,INDIRECT($B$3&amp;"."&amp;$B$311&amp;".energy[Tech description]")&amp;INDIRECT($B$3&amp;"."&amp;$B$311&amp;".energy[Energy description]"),0)),0)</f>
        <v>0</v>
      </c>
      <c r="L327" s="121">
        <f t="array" aca="1" ref="L327" ca="1">IFERROR(INDEX(INDIRECT($B$3&amp;"."&amp;$B$311&amp;".energy["&amp;This.year&amp;"]"),MATCH($C327&amp;L$5,INDIRECT($B$3&amp;"."&amp;$B$311&amp;".energy[Tech description]")&amp;INDIRECT($B$3&amp;"."&amp;$B$311&amp;".energy[Energy description]"),0)),0)</f>
        <v>0</v>
      </c>
      <c r="M327" s="121">
        <f t="array" aca="1" ref="M327" ca="1">IFERROR(INDEX(INDIRECT($B$3&amp;"."&amp;$B$311&amp;".energy["&amp;This.year&amp;"]"),MATCH($C327&amp;M$5,INDIRECT($B$3&amp;"."&amp;$B$311&amp;".energy[Tech description]")&amp;INDIRECT($B$3&amp;"."&amp;$B$311&amp;".energy[Energy description]"),0)),0)</f>
        <v>0</v>
      </c>
      <c r="N327" s="121">
        <f t="array" aca="1" ref="N327" ca="1">IFERROR(INDEX(INDIRECT($B$3&amp;"."&amp;$B$311&amp;".energy["&amp;This.year&amp;"]"),MATCH($C327&amp;N$5,INDIRECT($B$3&amp;"."&amp;$B$311&amp;".energy[Tech description]")&amp;INDIRECT($B$3&amp;"."&amp;$B$311&amp;".energy[Energy description]"),0)),0)</f>
        <v>0</v>
      </c>
      <c r="O327" s="121">
        <f t="array" aca="1" ref="O327" ca="1">IFERROR(INDEX(INDIRECT($B$3&amp;"."&amp;$B$311&amp;".energy["&amp;This.year&amp;"]"),MATCH($C327&amp;O$5,INDIRECT($B$3&amp;"."&amp;$B$311&amp;".energy[Tech description]")&amp;INDIRECT($B$3&amp;"."&amp;$B$311&amp;".energy[Energy description]"),0)),0)</f>
        <v>0</v>
      </c>
      <c r="P327" s="121">
        <f t="array" aca="1" ref="P327" ca="1">IFERROR(INDEX(INDIRECT($B$3&amp;"."&amp;$B$311&amp;".energy["&amp;This.year&amp;"]"),MATCH($C327&amp;P$5,INDIRECT($B$3&amp;"."&amp;$B$311&amp;".energy[Tech description]")&amp;INDIRECT($B$3&amp;"."&amp;$B$311&amp;".energy[Energy description]"),0)),0)</f>
        <v>0</v>
      </c>
      <c r="Q327" s="121">
        <f t="array" aca="1" ref="Q327" ca="1">IFERROR(INDEX(INDIRECT($B$3&amp;"."&amp;$B$311&amp;".energy["&amp;This.year&amp;"]"),MATCH($C327&amp;Q$5,INDIRECT($B$3&amp;"."&amp;$B$311&amp;".energy[Tech description]")&amp;INDIRECT($B$3&amp;"."&amp;$B$311&amp;".energy[Energy description]"),0)),0)</f>
        <v>0</v>
      </c>
      <c r="R327" s="121">
        <f t="array" aca="1" ref="R327" ca="1">IFERROR(INDEX(INDIRECT($B$3&amp;"."&amp;$B$311&amp;".energy["&amp;This.year&amp;"]"),MATCH($C327&amp;R$5,INDIRECT($B$3&amp;"."&amp;$B$311&amp;".energy[Tech description]")&amp;INDIRECT($B$3&amp;"."&amp;$B$311&amp;".energy[Energy description]"),0)),0)</f>
        <v>0</v>
      </c>
      <c r="S327" s="121">
        <f t="array" aca="1" ref="S327" ca="1">IFERROR(INDEX(INDIRECT($B$3&amp;"."&amp;$B$311&amp;".energy["&amp;This.year&amp;"]"),MATCH($C327&amp;S$5,INDIRECT($B$3&amp;"."&amp;$B$311&amp;".energy[Tech description]")&amp;INDIRECT($B$3&amp;"."&amp;$B$311&amp;".energy[Energy description]"),0)),0)</f>
        <v>0</v>
      </c>
      <c r="T327" s="121">
        <f t="shared" ca="1" si="122"/>
        <v>0</v>
      </c>
      <c r="V327" s="152">
        <f t="array" aca="1" ref="V327" ca="1">IFERROR(INDEX(INDIRECT($B$3&amp;"."&amp;$B$311&amp;".energy["&amp;This.year&amp;"]"),MATCH($C327&amp;V$5,INDIRECT($B$3&amp;"."&amp;$B$311&amp;".energy[Tech description]")&amp;INDIRECT($B$3&amp;"."&amp;$B$311&amp;".energy[Energy description]"),0)),0)</f>
        <v>0</v>
      </c>
      <c r="W327" s="152">
        <f t="array" aca="1" ref="W327" ca="1">IFERROR(INDEX(INDIRECT($B$3&amp;"."&amp;$B$311&amp;".energy["&amp;This.year&amp;"]"),MATCH($C327&amp;W$5,INDIRECT($B$3&amp;"."&amp;$B$311&amp;".energy[Tech description]")&amp;INDIRECT($B$3&amp;"."&amp;$B$311&amp;".energy[Energy description]"),0)),0)</f>
        <v>0</v>
      </c>
      <c r="X327" s="152">
        <f t="array" aca="1" ref="X327" ca="1">IFERROR(INDEX(INDIRECT($B$3&amp;"."&amp;$B$311&amp;".energy["&amp;This.year&amp;"]"),MATCH($C327&amp;X$5,INDIRECT($B$3&amp;"."&amp;$B$311&amp;".energy[Tech description]")&amp;INDIRECT($B$3&amp;"."&amp;$B$311&amp;".energy[Energy description]"),0)),0)</f>
        <v>0</v>
      </c>
      <c r="Y327" s="152">
        <f t="array" aca="1" ref="Y327" ca="1">IFERROR(INDEX(INDIRECT($B$3&amp;"."&amp;$B$311&amp;".energy["&amp;This.year&amp;"]"),MATCH($C327&amp;Y$5,INDIRECT($B$3&amp;"."&amp;$B$311&amp;".energy[Tech description]")&amp;INDIRECT($B$3&amp;"."&amp;$B$311&amp;".energy[Energy description]"),0)),0)</f>
        <v>0</v>
      </c>
      <c r="Z327" s="152">
        <f t="array" aca="1" ref="Z327" ca="1">IFERROR(INDEX(INDIRECT($B$3&amp;"."&amp;$B$311&amp;".energy["&amp;This.year&amp;"]"),MATCH($C327&amp;Z$5,INDIRECT($B$3&amp;"."&amp;$B$311&amp;".energy[Tech description]")&amp;INDIRECT($B$3&amp;"."&amp;$B$311&amp;".energy[Energy description]"),0)),0)</f>
        <v>0</v>
      </c>
      <c r="AA327" s="152">
        <f t="array" aca="1" ref="AA327" ca="1">IFERROR(INDEX(INDIRECT($B$3&amp;"."&amp;$B$311&amp;".energy["&amp;This.year&amp;"]"),MATCH($C327&amp;AA$5,INDIRECT($B$3&amp;"."&amp;$B$311&amp;".energy[Tech description]")&amp;INDIRECT($B$3&amp;"."&amp;$B$311&amp;".energy[Energy description]"),0)),0)</f>
        <v>0</v>
      </c>
      <c r="AB327" s="152">
        <f t="array" aca="1" ref="AB327" ca="1">IFERROR(INDEX(INDIRECT($B$3&amp;"."&amp;$B$311&amp;".energy["&amp;This.year&amp;"]"),MATCH($C327&amp;AB$5,INDIRECT($B$3&amp;"."&amp;$B$311&amp;".energy[Tech description]")&amp;INDIRECT($B$3&amp;"."&amp;$B$311&amp;".energy[Energy description]"),0)),0)</f>
        <v>0</v>
      </c>
      <c r="AC327" s="152">
        <f t="array" aca="1" ref="AC327" ca="1">IFERROR(INDEX(INDIRECT($B$3&amp;"."&amp;$B$311&amp;".energy["&amp;This.year&amp;"]"),MATCH($C327&amp;AC$5,INDIRECT($B$3&amp;"."&amp;$B$311&amp;".energy[Tech description]")&amp;INDIRECT($B$3&amp;"."&amp;$B$311&amp;".energy[Energy description]"),0)),0)</f>
        <v>0</v>
      </c>
      <c r="AD327" s="152">
        <f t="array" aca="1" ref="AD327" ca="1">IFERROR(INDEX(INDIRECT($B$3&amp;"."&amp;$B$311&amp;".energy["&amp;This.year&amp;"]"),MATCH($C327&amp;AD$5,INDIRECT($B$3&amp;"."&amp;$B$311&amp;".energy[Tech description]")&amp;INDIRECT($B$3&amp;"."&amp;$B$311&amp;".energy[Energy description]"),0)),0)</f>
        <v>0</v>
      </c>
      <c r="AE327" s="152">
        <f t="array" aca="1" ref="AE327" ca="1">IFERROR(INDEX(INDIRECT($B$3&amp;"."&amp;$B$311&amp;".energy["&amp;This.year&amp;"]"),MATCH($C327&amp;AE$5,INDIRECT($B$3&amp;"."&amp;$B$311&amp;".energy[Tech description]")&amp;INDIRECT($B$3&amp;"."&amp;$B$311&amp;".energy[Energy description]"),0)),0)</f>
        <v>0</v>
      </c>
      <c r="AF327" s="152">
        <f t="array" aca="1" ref="AF327" ca="1">IFERROR(INDEX(INDIRECT($B$3&amp;"."&amp;$B$311&amp;".energy["&amp;This.year&amp;"]"),MATCH($C327&amp;AF$5,INDIRECT($B$3&amp;"."&amp;$B$311&amp;".energy[Tech description]")&amp;INDIRECT($B$3&amp;"."&amp;$B$311&amp;".energy[Energy description]"),0)),0)</f>
        <v>0</v>
      </c>
      <c r="AG327" s="152">
        <f t="array" aca="1" ref="AG327" ca="1">IFERROR(INDEX(INDIRECT($B$3&amp;"."&amp;$B$311&amp;".energy["&amp;This.year&amp;"]"),MATCH($C327&amp;AG$5,INDIRECT($B$3&amp;"."&amp;$B$311&amp;".energy[Tech description]")&amp;INDIRECT($B$3&amp;"."&amp;$B$311&amp;".energy[Energy description]"),0)),0)</f>
        <v>0</v>
      </c>
      <c r="AH327" s="152">
        <f t="array" aca="1" ref="AH327" ca="1">IFERROR(INDEX(INDIRECT($B$3&amp;"."&amp;$B$311&amp;".energy["&amp;This.year&amp;"]"),MATCH($C327&amp;AH$5,INDIRECT($B$3&amp;"."&amp;$B$311&amp;".energy[Tech description]")&amp;INDIRECT($B$3&amp;"."&amp;$B$311&amp;".energy[Energy description]"),0)),0)</f>
        <v>0</v>
      </c>
      <c r="AI327" s="152">
        <f t="array" aca="1" ref="AI327" ca="1">IFERROR(INDEX(INDIRECT($B$3&amp;"."&amp;$B$311&amp;".energy["&amp;This.year&amp;"]"),MATCH($C327&amp;AI$5,INDIRECT($B$3&amp;"."&amp;$B$311&amp;".energy[Tech description]")&amp;INDIRECT($B$3&amp;"."&amp;$B$311&amp;".energy[Energy description]"),0)),0)</f>
        <v>0</v>
      </c>
      <c r="AJ327" s="152">
        <f t="array" aca="1" ref="AJ327" ca="1">IFERROR(INDEX(INDIRECT($B$3&amp;"."&amp;$B$311&amp;".energy["&amp;This.year&amp;"]"),MATCH($C327&amp;AJ$5,INDIRECT($B$3&amp;"."&amp;$B$311&amp;".energy[Tech description]")&amp;INDIRECT($B$3&amp;"."&amp;$B$311&amp;".energy[Energy description]"),0)),0)</f>
        <v>0</v>
      </c>
      <c r="AK327" s="152">
        <f t="array" aca="1" ref="AK327" ca="1">IFERROR(INDEX(INDIRECT($B$3&amp;"."&amp;$B$311&amp;".energy["&amp;This.year&amp;"]"),MATCH($C327&amp;AK$5,INDIRECT($B$3&amp;"."&amp;$B$311&amp;".energy[Tech description]")&amp;INDIRECT($B$3&amp;"."&amp;$B$311&amp;".energy[Energy description]"),0)),0)</f>
        <v>0</v>
      </c>
      <c r="AL327" s="152">
        <f t="array" aca="1" ref="AL327" ca="1">IFERROR(INDEX(INDIRECT($B$3&amp;"."&amp;$B$311&amp;".energy["&amp;This.year&amp;"]"),MATCH($C327&amp;AL$5,INDIRECT($B$3&amp;"."&amp;$B$311&amp;".energy[Tech description]")&amp;INDIRECT($B$3&amp;"."&amp;$B$311&amp;".energy[Energy description]"),0)),0)</f>
        <v>0</v>
      </c>
      <c r="AM327" s="152">
        <f t="array" aca="1" ref="AM327" ca="1">IFERROR(INDEX(INDIRECT($B$3&amp;"."&amp;$B$311&amp;".energy["&amp;This.year&amp;"]"),MATCH($C327&amp;AM$5,INDIRECT($B$3&amp;"."&amp;$B$311&amp;".energy[Tech description]")&amp;INDIRECT($B$3&amp;"."&amp;$B$311&amp;".energy[Energy description]"),0)),0)</f>
        <v>0</v>
      </c>
      <c r="AN327" s="152">
        <f t="array" aca="1" ref="AN327" ca="1">IFERROR(INDEX(INDIRECT($B$3&amp;"."&amp;$B$311&amp;".energy["&amp;This.year&amp;"]"),MATCH($C327&amp;AN$5,INDIRECT($B$3&amp;"."&amp;$B$311&amp;".energy[Tech description]")&amp;INDIRECT($B$3&amp;"."&amp;$B$311&amp;".energy[Energy description]"),0)),0)</f>
        <v>0</v>
      </c>
      <c r="AO327" s="152">
        <f t="shared" ca="1" si="125"/>
        <v>0</v>
      </c>
      <c r="AQ327" s="21">
        <f t="array" aca="1" ref="AQ327" ca="1">IFERROR(INDEX(INDIRECT($B$3&amp;"."&amp;$B$311&amp;".energy["&amp;This.year&amp;"]"),MATCH($C327&amp;AQ$5,INDIRECT($B$3&amp;"."&amp;$B$311&amp;".energy[Tech description]")&amp;INDIRECT($B$3&amp;"."&amp;$B$311&amp;".energy[Energy description]"),0)),0)</f>
        <v>0</v>
      </c>
      <c r="AR327" s="21">
        <f t="array" aca="1" ref="AR327" ca="1">IFERROR(INDEX(INDIRECT($B$3&amp;"."&amp;$B$311&amp;".energy["&amp;This.year&amp;"]"),MATCH($C327&amp;AR$5,INDIRECT($B$3&amp;"."&amp;$B$311&amp;".energy[Tech description]")&amp;INDIRECT($B$3&amp;"."&amp;$B$311&amp;".energy[Energy description]"),0)),0)</f>
        <v>0</v>
      </c>
      <c r="AS327" s="21">
        <f t="array" aca="1" ref="AS327" ca="1">IFERROR(INDEX(INDIRECT($B$3&amp;"."&amp;$B$311&amp;".energy["&amp;This.year&amp;"]"),MATCH($C327&amp;AS$5,INDIRECT($B$3&amp;"."&amp;$B$311&amp;".energy[Tech description]")&amp;INDIRECT($B$3&amp;"."&amp;$B$311&amp;".energy[Energy description]"),0)),0)</f>
        <v>0</v>
      </c>
      <c r="AT327" s="21">
        <f t="array" aca="1" ref="AT327" ca="1">IFERROR(INDEX(INDIRECT($B$3&amp;"."&amp;$B$311&amp;".energy["&amp;This.year&amp;"]"),MATCH($C327&amp;AT$5,INDIRECT($B$3&amp;"."&amp;$B$311&amp;".energy[Tech description]")&amp;INDIRECT($B$3&amp;"."&amp;$B$311&amp;".energy[Energy description]"),0)),0)</f>
        <v>0</v>
      </c>
      <c r="AU327" s="21">
        <f t="array" aca="1" ref="AU327" ca="1">IFERROR(INDEX(INDIRECT($B$3&amp;"."&amp;$B$311&amp;".energy["&amp;This.year&amp;"]"),MATCH($C327&amp;AU$5,INDIRECT($B$3&amp;"."&amp;$B$311&amp;".energy[Tech description]")&amp;INDIRECT($B$3&amp;"."&amp;$B$311&amp;".energy[Energy description]"),0)),0)</f>
        <v>0</v>
      </c>
      <c r="AV327" s="21">
        <f t="array" aca="1" ref="AV327" ca="1">IFERROR(INDEX(INDIRECT($B$3&amp;"."&amp;$B$311&amp;".energy["&amp;This.year&amp;"]"),MATCH($C327&amp;AV$5,INDIRECT($B$3&amp;"."&amp;$B$311&amp;".energy[Tech description]")&amp;INDIRECT($B$3&amp;"."&amp;$B$311&amp;".energy[Energy description]"),0)),0)</f>
        <v>0</v>
      </c>
      <c r="AW327" s="21">
        <f t="array" aca="1" ref="AW327" ca="1">IFERROR(INDEX(INDIRECT($B$3&amp;"."&amp;$B$311&amp;".energy["&amp;This.year&amp;"]"),MATCH($C327&amp;AW$5,INDIRECT($B$3&amp;"."&amp;$B$311&amp;".energy[Tech description]")&amp;INDIRECT($B$3&amp;"."&amp;$B$311&amp;".energy[Energy description]"),0)),0)</f>
        <v>0</v>
      </c>
      <c r="AX327" s="21">
        <f t="array" aca="1" ref="AX327" ca="1">IFERROR(INDEX(INDIRECT($B$3&amp;"."&amp;$B$311&amp;".energy["&amp;This.year&amp;"]"),MATCH($C327&amp;AX$5,INDIRECT($B$3&amp;"."&amp;$B$311&amp;".energy[Tech description]")&amp;INDIRECT($B$3&amp;"."&amp;$B$311&amp;".energy[Energy description]"),0)),0)</f>
        <v>0</v>
      </c>
      <c r="AY327" s="21">
        <f t="array" aca="1" ref="AY327" ca="1">IFERROR(INDEX(INDIRECT($B$3&amp;"."&amp;$B$311&amp;".energy["&amp;This.year&amp;"]"),MATCH($C327&amp;AY$5,INDIRECT($B$3&amp;"."&amp;$B$311&amp;".energy[Tech description]")&amp;INDIRECT($B$3&amp;"."&amp;$B$311&amp;".energy[Energy description]"),0)),0)</f>
        <v>0</v>
      </c>
      <c r="AZ327" s="21">
        <f t="array" aca="1" ref="AZ327" ca="1">IFERROR(INDEX(INDIRECT($B$3&amp;"."&amp;$B$311&amp;".energy["&amp;This.year&amp;"]"),MATCH($C327&amp;AZ$5,INDIRECT($B$3&amp;"."&amp;$B$311&amp;".energy[Tech description]")&amp;INDIRECT($B$3&amp;"."&amp;$B$311&amp;".energy[Energy description]"),0)),0)</f>
        <v>0</v>
      </c>
      <c r="BA327" s="21">
        <f t="array" aca="1" ref="BA327" ca="1">IFERROR(INDEX(INDIRECT($B$3&amp;"."&amp;$B$311&amp;".energy["&amp;This.year&amp;"]"),MATCH($C327&amp;BA$5,INDIRECT($B$3&amp;"."&amp;$B$311&amp;".energy[Tech description]")&amp;INDIRECT($B$3&amp;"."&amp;$B$311&amp;".energy[Energy description]"),0)),0)</f>
        <v>0</v>
      </c>
      <c r="BB327" s="21">
        <f t="array" aca="1" ref="BB327" ca="1">IFERROR(INDEX(INDIRECT($B$3&amp;"."&amp;$B$311&amp;".energy["&amp;This.year&amp;"]"),MATCH($C327&amp;BB$5,INDIRECT($B$3&amp;"."&amp;$B$311&amp;".energy[Tech description]")&amp;INDIRECT($B$3&amp;"."&amp;$B$311&amp;".energy[Energy description]"),0)),0)</f>
        <v>0</v>
      </c>
      <c r="BC327" s="21">
        <f t="array" aca="1" ref="BC327" ca="1">IFERROR(INDEX(INDIRECT($B$3&amp;"."&amp;$B$311&amp;".energy["&amp;This.year&amp;"]"),MATCH($C327&amp;BC$5,INDIRECT($B$3&amp;"."&amp;$B$311&amp;".energy[Tech description]")&amp;INDIRECT($B$3&amp;"."&amp;$B$311&amp;".energy[Energy description]"),0)),0)</f>
        <v>0</v>
      </c>
      <c r="BD327" s="21">
        <f t="shared" ca="1" si="123"/>
        <v>0</v>
      </c>
      <c r="BF327" s="49">
        <f t="array" aca="1" ref="BF327" ca="1">IFERROR(INDEX(INDIRECT($B$3&amp;"."&amp;$B$311&amp;".energy["&amp;This.year&amp;"]"),MATCH($C327&amp;BF$5,INDIRECT($B$3&amp;"."&amp;$B$311&amp;".energy[Tech description]")&amp;INDIRECT($B$3&amp;"."&amp;$B$311&amp;".energy[Energy description]"),0)),0)</f>
        <v>0</v>
      </c>
      <c r="BG327" s="49">
        <f t="array" aca="1" ref="BG327" ca="1">IFERROR(INDEX(INDIRECT($B$3&amp;"."&amp;$B$311&amp;".energy["&amp;This.year&amp;"]"),MATCH($C327&amp;BG$5,INDIRECT($B$3&amp;"."&amp;$B$311&amp;".energy[Tech description]")&amp;INDIRECT($B$3&amp;"."&amp;$B$311&amp;".energy[Energy description]"),0)),0)</f>
        <v>0</v>
      </c>
      <c r="BH327" s="49">
        <f t="shared" ca="1" si="124"/>
        <v>0</v>
      </c>
      <c r="BI327" s="219">
        <f t="shared" ca="1" si="115"/>
        <v>0</v>
      </c>
      <c r="BJ327" s="60"/>
    </row>
    <row r="328" spans="2:62">
      <c r="B328" s="176"/>
      <c r="C328" s="114"/>
      <c r="D328" s="54"/>
      <c r="E328" s="121"/>
      <c r="F328" s="121"/>
      <c r="G328" s="121"/>
      <c r="H328" s="121"/>
      <c r="I328" s="121"/>
      <c r="J328" s="121"/>
      <c r="K328" s="121"/>
      <c r="L328" s="121"/>
      <c r="M328" s="121"/>
      <c r="N328" s="121"/>
      <c r="O328" s="121"/>
      <c r="P328" s="121"/>
      <c r="Q328" s="121"/>
      <c r="R328" s="121"/>
      <c r="S328" s="121"/>
      <c r="T328" s="121"/>
      <c r="U328" s="376"/>
      <c r="V328" s="152"/>
      <c r="W328" s="152"/>
      <c r="X328" s="152"/>
      <c r="Y328" s="152"/>
      <c r="Z328" s="152"/>
      <c r="AA328" s="152"/>
      <c r="AB328" s="152"/>
      <c r="AC328" s="152"/>
      <c r="AD328" s="152"/>
      <c r="AE328" s="152"/>
      <c r="AF328" s="152"/>
      <c r="AG328" s="152"/>
      <c r="AH328" s="152"/>
      <c r="AI328" s="152"/>
      <c r="AJ328" s="152"/>
      <c r="AK328" s="152"/>
      <c r="AL328" s="152"/>
      <c r="AM328" s="152"/>
      <c r="AN328" s="152"/>
      <c r="AO328" s="152"/>
      <c r="AP328" s="376"/>
      <c r="AQ328" s="21"/>
      <c r="AR328" s="21"/>
      <c r="AS328" s="21"/>
      <c r="AT328" s="21"/>
      <c r="AU328" s="21"/>
      <c r="AV328" s="21"/>
      <c r="AW328" s="21"/>
      <c r="AX328" s="21"/>
      <c r="AY328" s="21"/>
      <c r="AZ328" s="21"/>
      <c r="BA328" s="21"/>
      <c r="BB328" s="21"/>
      <c r="BC328" s="21"/>
      <c r="BD328" s="21"/>
      <c r="BE328" s="376"/>
      <c r="BF328" s="49"/>
      <c r="BG328" s="49"/>
      <c r="BH328" s="49"/>
      <c r="BJ328" s="60"/>
    </row>
    <row r="329" spans="2:62">
      <c r="B329" s="176"/>
      <c r="C329" s="219" t="s">
        <v>2417</v>
      </c>
      <c r="D329" s="54"/>
      <c r="E329" s="121">
        <f ca="1">SUM(E330:E335)</f>
        <v>0</v>
      </c>
      <c r="F329" s="121">
        <f t="shared" ref="F329:BH329" ca="1" si="126">SUM(F330:F335)</f>
        <v>0</v>
      </c>
      <c r="G329" s="121">
        <f t="shared" ca="1" si="126"/>
        <v>0</v>
      </c>
      <c r="H329" s="121">
        <f t="shared" ca="1" si="126"/>
        <v>0</v>
      </c>
      <c r="I329" s="121">
        <f t="shared" ca="1" si="126"/>
        <v>0</v>
      </c>
      <c r="J329" s="121">
        <f t="shared" ca="1" si="126"/>
        <v>0</v>
      </c>
      <c r="K329" s="121">
        <f t="shared" ca="1" si="126"/>
        <v>0</v>
      </c>
      <c r="L329" s="121">
        <f t="shared" ca="1" si="126"/>
        <v>0</v>
      </c>
      <c r="M329" s="121">
        <f t="shared" ca="1" si="126"/>
        <v>0</v>
      </c>
      <c r="N329" s="121">
        <f t="shared" ca="1" si="126"/>
        <v>0</v>
      </c>
      <c r="O329" s="121">
        <f t="shared" ref="O329" ca="1" si="127">SUM(O330:O335)</f>
        <v>0</v>
      </c>
      <c r="P329" s="121">
        <f t="shared" ca="1" si="126"/>
        <v>0</v>
      </c>
      <c r="Q329" s="121">
        <f t="shared" ca="1" si="126"/>
        <v>0</v>
      </c>
      <c r="R329" s="121">
        <f t="shared" ca="1" si="126"/>
        <v>0</v>
      </c>
      <c r="S329" s="121">
        <f t="shared" ca="1" si="126"/>
        <v>0</v>
      </c>
      <c r="T329" s="121">
        <f t="shared" ca="1" si="126"/>
        <v>0</v>
      </c>
      <c r="V329" s="152">
        <f t="shared" ca="1" si="126"/>
        <v>0</v>
      </c>
      <c r="W329" s="152">
        <f t="shared" ca="1" si="126"/>
        <v>0</v>
      </c>
      <c r="X329" s="152">
        <f t="shared" ca="1" si="126"/>
        <v>0</v>
      </c>
      <c r="Y329" s="152">
        <f t="shared" ca="1" si="126"/>
        <v>0</v>
      </c>
      <c r="Z329" s="152">
        <f t="shared" ca="1" si="126"/>
        <v>0</v>
      </c>
      <c r="AA329" s="152">
        <f t="shared" ca="1" si="126"/>
        <v>0</v>
      </c>
      <c r="AB329" s="152">
        <f t="shared" ca="1" si="126"/>
        <v>0</v>
      </c>
      <c r="AC329" s="152">
        <f t="shared" ca="1" si="126"/>
        <v>0</v>
      </c>
      <c r="AD329" s="152">
        <f t="shared" ca="1" si="126"/>
        <v>0</v>
      </c>
      <c r="AE329" s="152">
        <f t="shared" ca="1" si="126"/>
        <v>0</v>
      </c>
      <c r="AF329" s="152">
        <f t="shared" ca="1" si="126"/>
        <v>0</v>
      </c>
      <c r="AG329" s="152">
        <f t="shared" ca="1" si="126"/>
        <v>0</v>
      </c>
      <c r="AH329" s="152">
        <f t="shared" ca="1" si="126"/>
        <v>0</v>
      </c>
      <c r="AI329" s="152">
        <f t="shared" ca="1" si="126"/>
        <v>0</v>
      </c>
      <c r="AJ329" s="152">
        <f t="shared" ca="1" si="126"/>
        <v>0</v>
      </c>
      <c r="AK329" s="152">
        <f t="shared" ca="1" si="126"/>
        <v>0</v>
      </c>
      <c r="AL329" s="152">
        <f t="shared" ca="1" si="126"/>
        <v>0</v>
      </c>
      <c r="AM329" s="152">
        <f t="shared" ca="1" si="126"/>
        <v>0</v>
      </c>
      <c r="AN329" s="152">
        <f t="shared" ca="1" si="126"/>
        <v>0</v>
      </c>
      <c r="AO329" s="152">
        <f t="shared" ca="1" si="126"/>
        <v>0</v>
      </c>
      <c r="AQ329" s="21">
        <f t="shared" ca="1" si="126"/>
        <v>0</v>
      </c>
      <c r="AR329" s="21">
        <f t="shared" ca="1" si="126"/>
        <v>0</v>
      </c>
      <c r="AS329" s="21">
        <f t="shared" ca="1" si="126"/>
        <v>0</v>
      </c>
      <c r="AT329" s="21">
        <f t="shared" ca="1" si="126"/>
        <v>0</v>
      </c>
      <c r="AU329" s="21">
        <f t="shared" ca="1" si="126"/>
        <v>0</v>
      </c>
      <c r="AV329" s="21">
        <f t="shared" ca="1" si="126"/>
        <v>0</v>
      </c>
      <c r="AW329" s="21">
        <f t="shared" ca="1" si="126"/>
        <v>0</v>
      </c>
      <c r="AX329" s="21">
        <f t="shared" ca="1" si="126"/>
        <v>0</v>
      </c>
      <c r="AY329" s="21">
        <f t="shared" ca="1" si="126"/>
        <v>0</v>
      </c>
      <c r="AZ329" s="21">
        <f t="shared" ca="1" si="126"/>
        <v>0</v>
      </c>
      <c r="BA329" s="21">
        <f t="shared" ca="1" si="126"/>
        <v>0</v>
      </c>
      <c r="BB329" s="21">
        <f t="shared" ca="1" si="126"/>
        <v>0</v>
      </c>
      <c r="BC329" s="21">
        <f t="shared" ca="1" si="126"/>
        <v>0</v>
      </c>
      <c r="BD329" s="21">
        <f t="shared" ca="1" si="126"/>
        <v>0</v>
      </c>
      <c r="BF329" s="49">
        <f t="shared" ca="1" si="126"/>
        <v>0</v>
      </c>
      <c r="BG329" s="49">
        <f t="shared" ca="1" si="126"/>
        <v>0</v>
      </c>
      <c r="BH329" s="49">
        <f t="shared" ca="1" si="126"/>
        <v>0</v>
      </c>
      <c r="BI329" s="219">
        <f t="shared" ref="BI329:BI335" ca="1" si="128">SUM(T329,AO329,BD329,BH329)</f>
        <v>0</v>
      </c>
      <c r="BJ329" s="60"/>
    </row>
    <row r="330" spans="2:62">
      <c r="B330" s="176" t="s">
        <v>2407</v>
      </c>
      <c r="C330" s="114" t="str">
        <f>INDEX(Regional.Technologies[Description],MATCH($B$3&amp;"."&amp;B330,Regional.Technologies[Code],0))</f>
        <v>Global Biomass pelletization</v>
      </c>
      <c r="D330" s="54"/>
      <c r="E330" s="121">
        <f t="array" aca="1" ref="E330" ca="1">IFERROR(INDEX(INDIRECT($B$3&amp;"."&amp;$B$311&amp;".energy["&amp;This.year&amp;"]"),MATCH($C330&amp;E$5,INDIRECT($B$3&amp;"."&amp;$B$311&amp;".energy[Tech description]")&amp;INDIRECT($B$3&amp;"."&amp;$B$311&amp;".energy[Energy description]"),0)),0)</f>
        <v>0</v>
      </c>
      <c r="F330" s="121">
        <f t="array" aca="1" ref="F330" ca="1">IFERROR(INDEX(INDIRECT($B$3&amp;"."&amp;$B$311&amp;".energy["&amp;This.year&amp;"]"),MATCH($C330&amp;F$5,INDIRECT($B$3&amp;"."&amp;$B$311&amp;".energy[Tech description]")&amp;INDIRECT($B$3&amp;"."&amp;$B$311&amp;".energy[Energy description]"),0)),0)</f>
        <v>0</v>
      </c>
      <c r="G330" s="121">
        <f t="array" aca="1" ref="G330" ca="1">IFERROR(INDEX(INDIRECT($B$3&amp;"."&amp;$B$311&amp;".energy["&amp;This.year&amp;"]"),MATCH($C330&amp;G$5,INDIRECT($B$3&amp;"."&amp;$B$311&amp;".energy[Tech description]")&amp;INDIRECT($B$3&amp;"."&amp;$B$311&amp;".energy[Energy description]"),0)),0)</f>
        <v>0</v>
      </c>
      <c r="H330" s="121">
        <f t="array" aca="1" ref="H330" ca="1">IFERROR(INDEX(INDIRECT($B$3&amp;"."&amp;$B$311&amp;".energy["&amp;This.year&amp;"]"),MATCH($C330&amp;H$5,INDIRECT($B$3&amp;"."&amp;$B$311&amp;".energy[Tech description]")&amp;INDIRECT($B$3&amp;"."&amp;$B$311&amp;".energy[Energy description]"),0)),0)</f>
        <v>0</v>
      </c>
      <c r="I330" s="121">
        <f t="array" aca="1" ref="I330" ca="1">IFERROR(INDEX(INDIRECT($B$3&amp;"."&amp;$B$311&amp;".energy["&amp;This.year&amp;"]"),MATCH($C330&amp;I$5,INDIRECT($B$3&amp;"."&amp;$B$311&amp;".energy[Tech description]")&amp;INDIRECT($B$3&amp;"."&amp;$B$311&amp;".energy[Energy description]"),0)),0)</f>
        <v>0</v>
      </c>
      <c r="J330" s="121">
        <f t="array" aca="1" ref="J330" ca="1">IFERROR(INDEX(INDIRECT($B$3&amp;"."&amp;$B$311&amp;".energy["&amp;This.year&amp;"]"),MATCH($C330&amp;J$5,INDIRECT($B$3&amp;"."&amp;$B$311&amp;".energy[Tech description]")&amp;INDIRECT($B$3&amp;"."&amp;$B$311&amp;".energy[Energy description]"),0)),0)</f>
        <v>0</v>
      </c>
      <c r="K330" s="121">
        <f t="array" aca="1" ref="K330" ca="1">IFERROR(INDEX(INDIRECT($B$3&amp;"."&amp;$B$311&amp;".energy["&amp;This.year&amp;"]"),MATCH($C330&amp;K$5,INDIRECT($B$3&amp;"."&amp;$B$311&amp;".energy[Tech description]")&amp;INDIRECT($B$3&amp;"."&amp;$B$311&amp;".energy[Energy description]"),0)),0)</f>
        <v>0</v>
      </c>
      <c r="L330" s="121">
        <f t="array" aca="1" ref="L330" ca="1">IFERROR(INDEX(INDIRECT($B$3&amp;"."&amp;$B$311&amp;".energy["&amp;This.year&amp;"]"),MATCH($C330&amp;L$5,INDIRECT($B$3&amp;"."&amp;$B$311&amp;".energy[Tech description]")&amp;INDIRECT($B$3&amp;"."&amp;$B$311&amp;".energy[Energy description]"),0)),0)</f>
        <v>0</v>
      </c>
      <c r="M330" s="121">
        <f t="array" aca="1" ref="M330" ca="1">IFERROR(INDEX(INDIRECT($B$3&amp;"."&amp;$B$311&amp;".energy["&amp;This.year&amp;"]"),MATCH($C330&amp;M$5,INDIRECT($B$3&amp;"."&amp;$B$311&amp;".energy[Tech description]")&amp;INDIRECT($B$3&amp;"."&amp;$B$311&amp;".energy[Energy description]"),0)),0)</f>
        <v>0</v>
      </c>
      <c r="N330" s="121">
        <f t="array" aca="1" ref="N330" ca="1">IFERROR(INDEX(INDIRECT($B$3&amp;"."&amp;$B$311&amp;".energy["&amp;This.year&amp;"]"),MATCH($C330&amp;N$5,INDIRECT($B$3&amp;"."&amp;$B$311&amp;".energy[Tech description]")&amp;INDIRECT($B$3&amp;"."&amp;$B$311&amp;".energy[Energy description]"),0)),0)</f>
        <v>0</v>
      </c>
      <c r="O330" s="121">
        <f t="array" aca="1" ref="O330" ca="1">IFERROR(INDEX(INDIRECT($B$3&amp;"."&amp;$B$311&amp;".energy["&amp;This.year&amp;"]"),MATCH($C330&amp;O$5,INDIRECT($B$3&amp;"."&amp;$B$311&amp;".energy[Tech description]")&amp;INDIRECT($B$3&amp;"."&amp;$B$311&amp;".energy[Energy description]"),0)),0)</f>
        <v>0</v>
      </c>
      <c r="P330" s="121">
        <f t="array" aca="1" ref="P330" ca="1">IFERROR(INDEX(INDIRECT($B$3&amp;"."&amp;$B$311&amp;".energy["&amp;This.year&amp;"]"),MATCH($C330&amp;P$5,INDIRECT($B$3&amp;"."&amp;$B$311&amp;".energy[Tech description]")&amp;INDIRECT($B$3&amp;"."&amp;$B$311&amp;".energy[Energy description]"),0)),0)</f>
        <v>0</v>
      </c>
      <c r="Q330" s="121">
        <f t="array" aca="1" ref="Q330" ca="1">IFERROR(INDEX(INDIRECT($B$3&amp;"."&amp;$B$311&amp;".energy["&amp;This.year&amp;"]"),MATCH($C330&amp;Q$5,INDIRECT($B$3&amp;"."&amp;$B$311&amp;".energy[Tech description]")&amp;INDIRECT($B$3&amp;"."&amp;$B$311&amp;".energy[Energy description]"),0)),0)</f>
        <v>0</v>
      </c>
      <c r="R330" s="121">
        <f t="array" aca="1" ref="R330" ca="1">IFERROR(INDEX(INDIRECT($B$3&amp;"."&amp;$B$311&amp;".energy["&amp;This.year&amp;"]"),MATCH($C330&amp;R$5,INDIRECT($B$3&amp;"."&amp;$B$311&amp;".energy[Tech description]")&amp;INDIRECT($B$3&amp;"."&amp;$B$311&amp;".energy[Energy description]"),0)),0)</f>
        <v>0</v>
      </c>
      <c r="S330" s="121">
        <f t="array" aca="1" ref="S330" ca="1">IFERROR(INDEX(INDIRECT($B$3&amp;"."&amp;$B$311&amp;".energy["&amp;This.year&amp;"]"),MATCH($C330&amp;S$5,INDIRECT($B$3&amp;"."&amp;$B$311&amp;".energy[Tech description]")&amp;INDIRECT($B$3&amp;"."&amp;$B$311&amp;".energy[Energy description]"),0)),0)</f>
        <v>0</v>
      </c>
      <c r="T330" s="121">
        <f t="shared" ref="T330:T335" ca="1" si="129">SUM(E330:S330)</f>
        <v>0</v>
      </c>
      <c r="V330" s="152">
        <f t="array" aca="1" ref="V330" ca="1">IFERROR(INDEX(INDIRECT($B$3&amp;"."&amp;$B$311&amp;".energy["&amp;This.year&amp;"]"),MATCH($C330&amp;V$5,INDIRECT($B$3&amp;"."&amp;$B$311&amp;".energy[Tech description]")&amp;INDIRECT($B$3&amp;"."&amp;$B$311&amp;".energy[Energy description]"),0)),0)</f>
        <v>0</v>
      </c>
      <c r="W330" s="152">
        <f t="array" aca="1" ref="W330" ca="1">IFERROR(INDEX(INDIRECT($B$3&amp;"."&amp;$B$311&amp;".energy["&amp;This.year&amp;"]"),MATCH($C330&amp;W$5,INDIRECT($B$3&amp;"."&amp;$B$311&amp;".energy[Tech description]")&amp;INDIRECT($B$3&amp;"."&amp;$B$311&amp;".energy[Energy description]"),0)),0)</f>
        <v>0</v>
      </c>
      <c r="X330" s="152">
        <f t="array" aca="1" ref="X330" ca="1">IFERROR(INDEX(INDIRECT($B$3&amp;"."&amp;$B$311&amp;".energy["&amp;This.year&amp;"]"),MATCH($C330&amp;X$5,INDIRECT($B$3&amp;"."&amp;$B$311&amp;".energy[Tech description]")&amp;INDIRECT($B$3&amp;"."&amp;$B$311&amp;".energy[Energy description]"),0)),0)</f>
        <v>0</v>
      </c>
      <c r="Y330" s="152">
        <f t="array" aca="1" ref="Y330" ca="1">IFERROR(INDEX(INDIRECT($B$3&amp;"."&amp;$B$311&amp;".energy["&amp;This.year&amp;"]"),MATCH($C330&amp;Y$5,INDIRECT($B$3&amp;"."&amp;$B$311&amp;".energy[Tech description]")&amp;INDIRECT($B$3&amp;"."&amp;$B$311&amp;".energy[Energy description]"),0)),0)</f>
        <v>0</v>
      </c>
      <c r="Z330" s="152">
        <f t="array" aca="1" ref="Z330" ca="1">IFERROR(INDEX(INDIRECT($B$3&amp;"."&amp;$B$311&amp;".energy["&amp;This.year&amp;"]"),MATCH($C330&amp;Z$5,INDIRECT($B$3&amp;"."&amp;$B$311&amp;".energy[Tech description]")&amp;INDIRECT($B$3&amp;"."&amp;$B$311&amp;".energy[Energy description]"),0)),0)</f>
        <v>0</v>
      </c>
      <c r="AA330" s="152">
        <f t="array" aca="1" ref="AA330" ca="1">IFERROR(INDEX(INDIRECT($B$3&amp;"."&amp;$B$311&amp;".energy["&amp;This.year&amp;"]"),MATCH($C330&amp;AA$5,INDIRECT($B$3&amp;"."&amp;$B$311&amp;".energy[Tech description]")&amp;INDIRECT($B$3&amp;"."&amp;$B$311&amp;".energy[Energy description]"),0)),0)</f>
        <v>0</v>
      </c>
      <c r="AB330" s="152">
        <f t="array" aca="1" ref="AB330" ca="1">IFERROR(INDEX(INDIRECT($B$3&amp;"."&amp;$B$311&amp;".energy["&amp;This.year&amp;"]"),MATCH($C330&amp;AB$5,INDIRECT($B$3&amp;"."&amp;$B$311&amp;".energy[Tech description]")&amp;INDIRECT($B$3&amp;"."&amp;$B$311&amp;".energy[Energy description]"),0)),0)</f>
        <v>0</v>
      </c>
      <c r="AC330" s="152">
        <f t="array" aca="1" ref="AC330" ca="1">IFERROR(INDEX(INDIRECT($B$3&amp;"."&amp;$B$311&amp;".energy["&amp;This.year&amp;"]"),MATCH($C330&amp;AC$5,INDIRECT($B$3&amp;"."&amp;$B$311&amp;".energy[Tech description]")&amp;INDIRECT($B$3&amp;"."&amp;$B$311&amp;".energy[Energy description]"),0)),0)</f>
        <v>0</v>
      </c>
      <c r="AD330" s="152">
        <f t="array" aca="1" ref="AD330" ca="1">IFERROR(INDEX(INDIRECT($B$3&amp;"."&amp;$B$311&amp;".energy["&amp;This.year&amp;"]"),MATCH($C330&amp;AD$5,INDIRECT($B$3&amp;"."&amp;$B$311&amp;".energy[Tech description]")&amp;INDIRECT($B$3&amp;"."&amp;$B$311&amp;".energy[Energy description]"),0)),0)</f>
        <v>0</v>
      </c>
      <c r="AE330" s="152">
        <f t="array" aca="1" ref="AE330" ca="1">IFERROR(INDEX(INDIRECT($B$3&amp;"."&amp;$B$311&amp;".energy["&amp;This.year&amp;"]"),MATCH($C330&amp;AE$5,INDIRECT($B$3&amp;"."&amp;$B$311&amp;".energy[Tech description]")&amp;INDIRECT($B$3&amp;"."&amp;$B$311&amp;".energy[Energy description]"),0)),0)</f>
        <v>0</v>
      </c>
      <c r="AF330" s="152">
        <f t="array" aca="1" ref="AF330" ca="1">IFERROR(INDEX(INDIRECT($B$3&amp;"."&amp;$B$311&amp;".energy["&amp;This.year&amp;"]"),MATCH($C330&amp;AF$5,INDIRECT($B$3&amp;"."&amp;$B$311&amp;".energy[Tech description]")&amp;INDIRECT($B$3&amp;"."&amp;$B$311&amp;".energy[Energy description]"),0)),0)</f>
        <v>0</v>
      </c>
      <c r="AG330" s="152">
        <f t="array" aca="1" ref="AG330" ca="1">IFERROR(INDEX(INDIRECT($B$3&amp;"."&amp;$B$311&amp;".energy["&amp;This.year&amp;"]"),MATCH($C330&amp;AG$5,INDIRECT($B$3&amp;"."&amp;$B$311&amp;".energy[Tech description]")&amp;INDIRECT($B$3&amp;"."&amp;$B$311&amp;".energy[Energy description]"),0)),0)</f>
        <v>0</v>
      </c>
      <c r="AH330" s="152">
        <f t="array" aca="1" ref="AH330" ca="1">IFERROR(INDEX(INDIRECT($B$3&amp;"."&amp;$B$311&amp;".energy["&amp;This.year&amp;"]"),MATCH($C330&amp;AH$5,INDIRECT($B$3&amp;"."&amp;$B$311&amp;".energy[Tech description]")&amp;INDIRECT($B$3&amp;"."&amp;$B$311&amp;".energy[Energy description]"),0)),0)</f>
        <v>0</v>
      </c>
      <c r="AI330" s="152">
        <f t="array" aca="1" ref="AI330" ca="1">IFERROR(INDEX(INDIRECT($B$3&amp;"."&amp;$B$311&amp;".energy["&amp;This.year&amp;"]"),MATCH($C330&amp;AI$5,INDIRECT($B$3&amp;"."&amp;$B$311&amp;".energy[Tech description]")&amp;INDIRECT($B$3&amp;"."&amp;$B$311&amp;".energy[Energy description]"),0)),0)</f>
        <v>0</v>
      </c>
      <c r="AJ330" s="152">
        <f t="array" aca="1" ref="AJ330" ca="1">IFERROR(INDEX(INDIRECT($B$3&amp;"."&amp;$B$311&amp;".energy["&amp;This.year&amp;"]"),MATCH($C330&amp;AJ$5,INDIRECT($B$3&amp;"."&amp;$B$311&amp;".energy[Tech description]")&amp;INDIRECT($B$3&amp;"."&amp;$B$311&amp;".energy[Energy description]"),0)),0)</f>
        <v>0</v>
      </c>
      <c r="AK330" s="152">
        <f t="array" aca="1" ref="AK330" ca="1">IFERROR(INDEX(INDIRECT($B$3&amp;"."&amp;$B$311&amp;".energy["&amp;This.year&amp;"]"),MATCH($C330&amp;AK$5,INDIRECT($B$3&amp;"."&amp;$B$311&amp;".energy[Tech description]")&amp;INDIRECT($B$3&amp;"."&amp;$B$311&amp;".energy[Energy description]"),0)),0)</f>
        <v>0</v>
      </c>
      <c r="AL330" s="152">
        <f t="array" aca="1" ref="AL330" ca="1">IFERROR(INDEX(INDIRECT($B$3&amp;"."&amp;$B$311&amp;".energy["&amp;This.year&amp;"]"),MATCH($C330&amp;AL$5,INDIRECT($B$3&amp;"."&amp;$B$311&amp;".energy[Tech description]")&amp;INDIRECT($B$3&amp;"."&amp;$B$311&amp;".energy[Energy description]"),0)),0)</f>
        <v>0</v>
      </c>
      <c r="AM330" s="152">
        <f t="array" aca="1" ref="AM330" ca="1">IFERROR(INDEX(INDIRECT($B$3&amp;"."&amp;$B$311&amp;".energy["&amp;This.year&amp;"]"),MATCH($C330&amp;AM$5,INDIRECT($B$3&amp;"."&amp;$B$311&amp;".energy[Tech description]")&amp;INDIRECT($B$3&amp;"."&amp;$B$311&amp;".energy[Energy description]"),0)),0)</f>
        <v>0</v>
      </c>
      <c r="AN330" s="152">
        <f t="array" aca="1" ref="AN330" ca="1">IFERROR(INDEX(INDIRECT($B$3&amp;"."&amp;$B$311&amp;".energy["&amp;This.year&amp;"]"),MATCH($C330&amp;AN$5,INDIRECT($B$3&amp;"."&amp;$B$311&amp;".energy[Tech description]")&amp;INDIRECT($B$3&amp;"."&amp;$B$311&amp;".energy[Energy description]"),0)),0)</f>
        <v>0</v>
      </c>
      <c r="AO330" s="152">
        <f ca="1">SUM(V330:AN330)</f>
        <v>0</v>
      </c>
      <c r="AQ330" s="21">
        <f t="array" aca="1" ref="AQ330" ca="1">IFERROR(INDEX(INDIRECT($B$3&amp;"."&amp;$B$311&amp;".energy["&amp;This.year&amp;"]"),MATCH($C330&amp;AQ$5,INDIRECT($B$3&amp;"."&amp;$B$311&amp;".energy[Tech description]")&amp;INDIRECT($B$3&amp;"."&amp;$B$311&amp;".energy[Energy description]"),0)),0)</f>
        <v>0</v>
      </c>
      <c r="AR330" s="21">
        <f t="array" aca="1" ref="AR330" ca="1">IFERROR(INDEX(INDIRECT($B$3&amp;"."&amp;$B$311&amp;".energy["&amp;This.year&amp;"]"),MATCH($C330&amp;AR$5,INDIRECT($B$3&amp;"."&amp;$B$311&amp;".energy[Tech description]")&amp;INDIRECT($B$3&amp;"."&amp;$B$311&amp;".energy[Energy description]"),0)),0)</f>
        <v>0</v>
      </c>
      <c r="AS330" s="21">
        <f t="array" aca="1" ref="AS330" ca="1">IFERROR(INDEX(INDIRECT($B$3&amp;"."&amp;$B$311&amp;".energy["&amp;This.year&amp;"]"),MATCH($C330&amp;AS$5,INDIRECT($B$3&amp;"."&amp;$B$311&amp;".energy[Tech description]")&amp;INDIRECT($B$3&amp;"."&amp;$B$311&amp;".energy[Energy description]"),0)),0)</f>
        <v>0</v>
      </c>
      <c r="AT330" s="21">
        <f t="array" aca="1" ref="AT330" ca="1">IFERROR(INDEX(INDIRECT($B$3&amp;"."&amp;$B$311&amp;".energy["&amp;This.year&amp;"]"),MATCH($C330&amp;AT$5,INDIRECT($B$3&amp;"."&amp;$B$311&amp;".energy[Tech description]")&amp;INDIRECT($B$3&amp;"."&amp;$B$311&amp;".energy[Energy description]"),0)),0)</f>
        <v>0</v>
      </c>
      <c r="AU330" s="21">
        <f t="array" aca="1" ref="AU330" ca="1">IFERROR(INDEX(INDIRECT($B$3&amp;"."&amp;$B$311&amp;".energy["&amp;This.year&amp;"]"),MATCH($C330&amp;AU$5,INDIRECT($B$3&amp;"."&amp;$B$311&amp;".energy[Tech description]")&amp;INDIRECT($B$3&amp;"."&amp;$B$311&amp;".energy[Energy description]"),0)),0)</f>
        <v>0</v>
      </c>
      <c r="AV330" s="21">
        <f t="array" aca="1" ref="AV330" ca="1">IFERROR(INDEX(INDIRECT($B$3&amp;"."&amp;$B$311&amp;".energy["&amp;This.year&amp;"]"),MATCH($C330&amp;AV$5,INDIRECT($B$3&amp;"."&amp;$B$311&amp;".energy[Tech description]")&amp;INDIRECT($B$3&amp;"."&amp;$B$311&amp;".energy[Energy description]"),0)),0)</f>
        <v>0</v>
      </c>
      <c r="AW330" s="21">
        <f t="array" aca="1" ref="AW330" ca="1">IFERROR(INDEX(INDIRECT($B$3&amp;"."&amp;$B$311&amp;".energy["&amp;This.year&amp;"]"),MATCH($C330&amp;AW$5,INDIRECT($B$3&amp;"."&amp;$B$311&amp;".energy[Tech description]")&amp;INDIRECT($B$3&amp;"."&amp;$B$311&amp;".energy[Energy description]"),0)),0)</f>
        <v>0</v>
      </c>
      <c r="AX330" s="21">
        <f t="array" aca="1" ref="AX330" ca="1">IFERROR(INDEX(INDIRECT($B$3&amp;"."&amp;$B$311&amp;".energy["&amp;This.year&amp;"]"),MATCH($C330&amp;AX$5,INDIRECT($B$3&amp;"."&amp;$B$311&amp;".energy[Tech description]")&amp;INDIRECT($B$3&amp;"."&amp;$B$311&amp;".energy[Energy description]"),0)),0)</f>
        <v>0</v>
      </c>
      <c r="AY330" s="21">
        <f t="array" aca="1" ref="AY330" ca="1">IFERROR(INDEX(INDIRECT($B$3&amp;"."&amp;$B$311&amp;".energy["&amp;This.year&amp;"]"),MATCH($C330&amp;AY$5,INDIRECT($B$3&amp;"."&amp;$B$311&amp;".energy[Tech description]")&amp;INDIRECT($B$3&amp;"."&amp;$B$311&amp;".energy[Energy description]"),0)),0)</f>
        <v>0</v>
      </c>
      <c r="AZ330" s="21">
        <f t="array" aca="1" ref="AZ330" ca="1">IFERROR(INDEX(INDIRECT($B$3&amp;"."&amp;$B$311&amp;".energy["&amp;This.year&amp;"]"),MATCH($C330&amp;AZ$5,INDIRECT($B$3&amp;"."&amp;$B$311&amp;".energy[Tech description]")&amp;INDIRECT($B$3&amp;"."&amp;$B$311&amp;".energy[Energy description]"),0)),0)</f>
        <v>0</v>
      </c>
      <c r="BA330" s="21">
        <f t="array" aca="1" ref="BA330" ca="1">IFERROR(INDEX(INDIRECT($B$3&amp;"."&amp;$B$311&amp;".energy["&amp;This.year&amp;"]"),MATCH($C330&amp;BA$5,INDIRECT($B$3&amp;"."&amp;$B$311&amp;".energy[Tech description]")&amp;INDIRECT($B$3&amp;"."&amp;$B$311&amp;".energy[Energy description]"),0)),0)</f>
        <v>0</v>
      </c>
      <c r="BB330" s="21">
        <f t="array" aca="1" ref="BB330" ca="1">IFERROR(INDEX(INDIRECT($B$3&amp;"."&amp;$B$311&amp;".energy["&amp;This.year&amp;"]"),MATCH($C330&amp;BB$5,INDIRECT($B$3&amp;"."&amp;$B$311&amp;".energy[Tech description]")&amp;INDIRECT($B$3&amp;"."&amp;$B$311&amp;".energy[Energy description]"),0)),0)</f>
        <v>0</v>
      </c>
      <c r="BC330" s="21">
        <f t="array" aca="1" ref="BC330" ca="1">IFERROR(INDEX(INDIRECT($B$3&amp;"."&amp;$B$311&amp;".energy["&amp;This.year&amp;"]"),MATCH($C330&amp;BC$5,INDIRECT($B$3&amp;"."&amp;$B$311&amp;".energy[Tech description]")&amp;INDIRECT($B$3&amp;"."&amp;$B$311&amp;".energy[Energy description]"),0)),0)</f>
        <v>0</v>
      </c>
      <c r="BD330" s="21">
        <f t="shared" ref="BD330:BD335" ca="1" si="130">SUM(AQ330:BC330)</f>
        <v>0</v>
      </c>
      <c r="BF330" s="49">
        <f t="array" aca="1" ref="BF330" ca="1">IFERROR(INDEX(INDIRECT($B$3&amp;"."&amp;$B$311&amp;".energy["&amp;This.year&amp;"]"),MATCH($C330&amp;BF$5,INDIRECT($B$3&amp;"."&amp;$B$311&amp;".energy[Tech description]")&amp;INDIRECT($B$3&amp;"."&amp;$B$311&amp;".energy[Energy description]"),0)),0)</f>
        <v>0</v>
      </c>
      <c r="BG330" s="49">
        <f t="array" aca="1" ref="BG330" ca="1">IFERROR(INDEX(INDIRECT($B$3&amp;"."&amp;$B$311&amp;".energy["&amp;This.year&amp;"]"),MATCH($C330&amp;BG$5,INDIRECT($B$3&amp;"."&amp;$B$311&amp;".energy[Tech description]")&amp;INDIRECT($B$3&amp;"."&amp;$B$311&amp;".energy[Energy description]"),0)),0)</f>
        <v>0</v>
      </c>
      <c r="BH330" s="49">
        <f t="shared" ref="BH330:BH335" ca="1" si="131">SUM(BF330:BG330)</f>
        <v>0</v>
      </c>
      <c r="BI330" s="219">
        <f t="shared" ca="1" si="128"/>
        <v>0</v>
      </c>
      <c r="BJ330" s="60"/>
    </row>
    <row r="331" spans="2:62">
      <c r="B331" s="176" t="s">
        <v>2349</v>
      </c>
      <c r="C331" s="114" t="str">
        <f>INDEX(Regional.Technologies[Description],MATCH($B$3&amp;"."&amp;B331,Regional.Technologies[Code],0))</f>
        <v>Global Conversion plant (dry biomass to liquid)</v>
      </c>
      <c r="D331" s="54"/>
      <c r="E331" s="121">
        <f t="array" aca="1" ref="E331" ca="1">IFERROR(INDEX(INDIRECT($B$3&amp;"."&amp;$B$311&amp;".energy["&amp;This.year&amp;"]"),MATCH($C331&amp;E$5,INDIRECT($B$3&amp;"."&amp;$B$311&amp;".energy[Tech description]")&amp;INDIRECT($B$3&amp;"."&amp;$B$311&amp;".energy[Energy description]"),0)),0)</f>
        <v>0</v>
      </c>
      <c r="F331" s="121">
        <f t="array" aca="1" ref="F331" ca="1">IFERROR(INDEX(INDIRECT($B$3&amp;"."&amp;$B$311&amp;".energy["&amp;This.year&amp;"]"),MATCH($C331&amp;F$5,INDIRECT($B$3&amp;"."&amp;$B$311&amp;".energy[Tech description]")&amp;INDIRECT($B$3&amp;"."&amp;$B$311&amp;".energy[Energy description]"),0)),0)</f>
        <v>0</v>
      </c>
      <c r="G331" s="121">
        <f t="array" aca="1" ref="G331" ca="1">IFERROR(INDEX(INDIRECT($B$3&amp;"."&amp;$B$311&amp;".energy["&amp;This.year&amp;"]"),MATCH($C331&amp;G$5,INDIRECT($B$3&amp;"."&amp;$B$311&amp;".energy[Tech description]")&amp;INDIRECT($B$3&amp;"."&amp;$B$311&amp;".energy[Energy description]"),0)),0)</f>
        <v>0</v>
      </c>
      <c r="H331" s="121">
        <f t="array" aca="1" ref="H331" ca="1">IFERROR(INDEX(INDIRECT($B$3&amp;"."&amp;$B$311&amp;".energy["&amp;This.year&amp;"]"),MATCH($C331&amp;H$5,INDIRECT($B$3&amp;"."&amp;$B$311&amp;".energy[Tech description]")&amp;INDIRECT($B$3&amp;"."&amp;$B$311&amp;".energy[Energy description]"),0)),0)</f>
        <v>0</v>
      </c>
      <c r="I331" s="121">
        <f t="array" aca="1" ref="I331" ca="1">IFERROR(INDEX(INDIRECT($B$3&amp;"."&amp;$B$311&amp;".energy["&amp;This.year&amp;"]"),MATCH($C331&amp;I$5,INDIRECT($B$3&amp;"."&amp;$B$311&amp;".energy[Tech description]")&amp;INDIRECT($B$3&amp;"."&amp;$B$311&amp;".energy[Energy description]"),0)),0)</f>
        <v>0</v>
      </c>
      <c r="J331" s="121">
        <f t="array" aca="1" ref="J331" ca="1">IFERROR(INDEX(INDIRECT($B$3&amp;"."&amp;$B$311&amp;".energy["&amp;This.year&amp;"]"),MATCH($C331&amp;J$5,INDIRECT($B$3&amp;"."&amp;$B$311&amp;".energy[Tech description]")&amp;INDIRECT($B$3&amp;"."&amp;$B$311&amp;".energy[Energy description]"),0)),0)</f>
        <v>0</v>
      </c>
      <c r="K331" s="121">
        <f t="array" aca="1" ref="K331" ca="1">IFERROR(INDEX(INDIRECT($B$3&amp;"."&amp;$B$311&amp;".energy["&amp;This.year&amp;"]"),MATCH($C331&amp;K$5,INDIRECT($B$3&amp;"."&amp;$B$311&amp;".energy[Tech description]")&amp;INDIRECT($B$3&amp;"."&amp;$B$311&amp;".energy[Energy description]"),0)),0)</f>
        <v>0</v>
      </c>
      <c r="L331" s="121">
        <f t="array" aca="1" ref="L331" ca="1">IFERROR(INDEX(INDIRECT($B$3&amp;"."&amp;$B$311&amp;".energy["&amp;This.year&amp;"]"),MATCH($C331&amp;L$5,INDIRECT($B$3&amp;"."&amp;$B$311&amp;".energy[Tech description]")&amp;INDIRECT($B$3&amp;"."&amp;$B$311&amp;".energy[Energy description]"),0)),0)</f>
        <v>0</v>
      </c>
      <c r="M331" s="121">
        <f t="array" aca="1" ref="M331" ca="1">IFERROR(INDEX(INDIRECT($B$3&amp;"."&amp;$B$311&amp;".energy["&amp;This.year&amp;"]"),MATCH($C331&amp;M$5,INDIRECT($B$3&amp;"."&amp;$B$311&amp;".energy[Tech description]")&amp;INDIRECT($B$3&amp;"."&amp;$B$311&amp;".energy[Energy description]"),0)),0)</f>
        <v>0</v>
      </c>
      <c r="N331" s="121">
        <f t="array" aca="1" ref="N331" ca="1">IFERROR(INDEX(INDIRECT($B$3&amp;"."&amp;$B$311&amp;".energy["&amp;This.year&amp;"]"),MATCH($C331&amp;N$5,INDIRECT($B$3&amp;"."&amp;$B$311&amp;".energy[Tech description]")&amp;INDIRECT($B$3&amp;"."&amp;$B$311&amp;".energy[Energy description]"),0)),0)</f>
        <v>0</v>
      </c>
      <c r="O331" s="121">
        <f t="array" aca="1" ref="O331" ca="1">IFERROR(INDEX(INDIRECT($B$3&amp;"."&amp;$B$311&amp;".energy["&amp;This.year&amp;"]"),MATCH($C331&amp;O$5,INDIRECT($B$3&amp;"."&amp;$B$311&amp;".energy[Tech description]")&amp;INDIRECT($B$3&amp;"."&amp;$B$311&amp;".energy[Energy description]"),0)),0)</f>
        <v>0</v>
      </c>
      <c r="P331" s="121">
        <f t="array" aca="1" ref="P331" ca="1">IFERROR(INDEX(INDIRECT($B$3&amp;"."&amp;$B$311&amp;".energy["&amp;This.year&amp;"]"),MATCH($C331&amp;P$5,INDIRECT($B$3&amp;"."&amp;$B$311&amp;".energy[Tech description]")&amp;INDIRECT($B$3&amp;"."&amp;$B$311&amp;".energy[Energy description]"),0)),0)</f>
        <v>0</v>
      </c>
      <c r="Q331" s="121">
        <f t="array" aca="1" ref="Q331" ca="1">IFERROR(INDEX(INDIRECT($B$3&amp;"."&amp;$B$311&amp;".energy["&amp;This.year&amp;"]"),MATCH($C331&amp;Q$5,INDIRECT($B$3&amp;"."&amp;$B$311&amp;".energy[Tech description]")&amp;INDIRECT($B$3&amp;"."&amp;$B$311&amp;".energy[Energy description]"),0)),0)</f>
        <v>0</v>
      </c>
      <c r="R331" s="121">
        <f t="array" aca="1" ref="R331" ca="1">IFERROR(INDEX(INDIRECT($B$3&amp;"."&amp;$B$311&amp;".energy["&amp;This.year&amp;"]"),MATCH($C331&amp;R$5,INDIRECT($B$3&amp;"."&amp;$B$311&amp;".energy[Tech description]")&amp;INDIRECT($B$3&amp;"."&amp;$B$311&amp;".energy[Energy description]"),0)),0)</f>
        <v>0</v>
      </c>
      <c r="S331" s="121">
        <f t="array" aca="1" ref="S331" ca="1">IFERROR(INDEX(INDIRECT($B$3&amp;"."&amp;$B$311&amp;".energy["&amp;This.year&amp;"]"),MATCH($C331&amp;S$5,INDIRECT($B$3&amp;"."&amp;$B$311&amp;".energy[Tech description]")&amp;INDIRECT($B$3&amp;"."&amp;$B$311&amp;".energy[Energy description]"),0)),0)</f>
        <v>0</v>
      </c>
      <c r="T331" s="121">
        <f t="shared" ca="1" si="129"/>
        <v>0</v>
      </c>
      <c r="V331" s="152">
        <f t="array" aca="1" ref="V331" ca="1">IFERROR(INDEX(INDIRECT($B$3&amp;"."&amp;$B$311&amp;".energy["&amp;This.year&amp;"]"),MATCH($C331&amp;V$5,INDIRECT($B$3&amp;"."&amp;$B$311&amp;".energy[Tech description]")&amp;INDIRECT($B$3&amp;"."&amp;$B$311&amp;".energy[Energy description]"),0)),0)</f>
        <v>0</v>
      </c>
      <c r="W331" s="152">
        <f t="array" aca="1" ref="W331" ca="1">IFERROR(INDEX(INDIRECT($B$3&amp;"."&amp;$B$311&amp;".energy["&amp;This.year&amp;"]"),MATCH($C331&amp;W$5,INDIRECT($B$3&amp;"."&amp;$B$311&amp;".energy[Tech description]")&amp;INDIRECT($B$3&amp;"."&amp;$B$311&amp;".energy[Energy description]"),0)),0)</f>
        <v>0</v>
      </c>
      <c r="X331" s="152">
        <f t="array" aca="1" ref="X331" ca="1">IFERROR(INDEX(INDIRECT($B$3&amp;"."&amp;$B$311&amp;".energy["&amp;This.year&amp;"]"),MATCH($C331&amp;X$5,INDIRECT($B$3&amp;"."&amp;$B$311&amp;".energy[Tech description]")&amp;INDIRECT($B$3&amp;"."&amp;$B$311&amp;".energy[Energy description]"),0)),0)</f>
        <v>0</v>
      </c>
      <c r="Y331" s="152">
        <f t="array" aca="1" ref="Y331" ca="1">IFERROR(INDEX(INDIRECT($B$3&amp;"."&amp;$B$311&amp;".energy["&amp;This.year&amp;"]"),MATCH($C331&amp;Y$5,INDIRECT($B$3&amp;"."&amp;$B$311&amp;".energy[Tech description]")&amp;INDIRECT($B$3&amp;"."&amp;$B$311&amp;".energy[Energy description]"),0)),0)</f>
        <v>0</v>
      </c>
      <c r="Z331" s="152">
        <f t="array" aca="1" ref="Z331" ca="1">IFERROR(INDEX(INDIRECT($B$3&amp;"."&amp;$B$311&amp;".energy["&amp;This.year&amp;"]"),MATCH($C331&amp;Z$5,INDIRECT($B$3&amp;"."&amp;$B$311&amp;".energy[Tech description]")&amp;INDIRECT($B$3&amp;"."&amp;$B$311&amp;".energy[Energy description]"),0)),0)</f>
        <v>0</v>
      </c>
      <c r="AA331" s="152">
        <f t="array" aca="1" ref="AA331" ca="1">IFERROR(INDEX(INDIRECT($B$3&amp;"."&amp;$B$311&amp;".energy["&amp;This.year&amp;"]"),MATCH($C331&amp;AA$5,INDIRECT($B$3&amp;"."&amp;$B$311&amp;".energy[Tech description]")&amp;INDIRECT($B$3&amp;"."&amp;$B$311&amp;".energy[Energy description]"),0)),0)</f>
        <v>0</v>
      </c>
      <c r="AB331" s="152">
        <f t="array" aca="1" ref="AB331" ca="1">IFERROR(INDEX(INDIRECT($B$3&amp;"."&amp;$B$311&amp;".energy["&amp;This.year&amp;"]"),MATCH($C331&amp;AB$5,INDIRECT($B$3&amp;"."&amp;$B$311&amp;".energy[Tech description]")&amp;INDIRECT($B$3&amp;"."&amp;$B$311&amp;".energy[Energy description]"),0)),0)</f>
        <v>0</v>
      </c>
      <c r="AC331" s="152">
        <f t="array" aca="1" ref="AC331" ca="1">IFERROR(INDEX(INDIRECT($B$3&amp;"."&amp;$B$311&amp;".energy["&amp;This.year&amp;"]"),MATCH($C331&amp;AC$5,INDIRECT($B$3&amp;"."&amp;$B$311&amp;".energy[Tech description]")&amp;INDIRECT($B$3&amp;"."&amp;$B$311&amp;".energy[Energy description]"),0)),0)</f>
        <v>0</v>
      </c>
      <c r="AD331" s="152">
        <f t="array" aca="1" ref="AD331" ca="1">IFERROR(INDEX(INDIRECT($B$3&amp;"."&amp;$B$311&amp;".energy["&amp;This.year&amp;"]"),MATCH($C331&amp;AD$5,INDIRECT($B$3&amp;"."&amp;$B$311&amp;".energy[Tech description]")&amp;INDIRECT($B$3&amp;"."&amp;$B$311&amp;".energy[Energy description]"),0)),0)</f>
        <v>0</v>
      </c>
      <c r="AE331" s="152">
        <f t="array" aca="1" ref="AE331" ca="1">IFERROR(INDEX(INDIRECT($B$3&amp;"."&amp;$B$311&amp;".energy["&amp;This.year&amp;"]"),MATCH($C331&amp;AE$5,INDIRECT($B$3&amp;"."&amp;$B$311&amp;".energy[Tech description]")&amp;INDIRECT($B$3&amp;"."&amp;$B$311&amp;".energy[Energy description]"),0)),0)</f>
        <v>0</v>
      </c>
      <c r="AF331" s="152">
        <f t="array" aca="1" ref="AF331" ca="1">IFERROR(INDEX(INDIRECT($B$3&amp;"."&amp;$B$311&amp;".energy["&amp;This.year&amp;"]"),MATCH($C331&amp;AF$5,INDIRECT($B$3&amp;"."&amp;$B$311&amp;".energy[Tech description]")&amp;INDIRECT($B$3&amp;"."&amp;$B$311&amp;".energy[Energy description]"),0)),0)</f>
        <v>0</v>
      </c>
      <c r="AG331" s="152">
        <f t="array" aca="1" ref="AG331" ca="1">IFERROR(INDEX(INDIRECT($B$3&amp;"."&amp;$B$311&amp;".energy["&amp;This.year&amp;"]"),MATCH($C331&amp;AG$5,INDIRECT($B$3&amp;"."&amp;$B$311&amp;".energy[Tech description]")&amp;INDIRECT($B$3&amp;"."&amp;$B$311&amp;".energy[Energy description]"),0)),0)</f>
        <v>0</v>
      </c>
      <c r="AH331" s="152">
        <f t="array" aca="1" ref="AH331" ca="1">IFERROR(INDEX(INDIRECT($B$3&amp;"."&amp;$B$311&amp;".energy["&amp;This.year&amp;"]"),MATCH($C331&amp;AH$5,INDIRECT($B$3&amp;"."&amp;$B$311&amp;".energy[Tech description]")&amp;INDIRECT($B$3&amp;"."&amp;$B$311&amp;".energy[Energy description]"),0)),0)</f>
        <v>0</v>
      </c>
      <c r="AI331" s="152">
        <f t="array" aca="1" ref="AI331" ca="1">IFERROR(INDEX(INDIRECT($B$3&amp;"."&amp;$B$311&amp;".energy["&amp;This.year&amp;"]"),MATCH($C331&amp;AI$5,INDIRECT($B$3&amp;"."&amp;$B$311&amp;".energy[Tech description]")&amp;INDIRECT($B$3&amp;"."&amp;$B$311&amp;".energy[Energy description]"),0)),0)</f>
        <v>0</v>
      </c>
      <c r="AJ331" s="152">
        <f t="array" aca="1" ref="AJ331" ca="1">IFERROR(INDEX(INDIRECT($B$3&amp;"."&amp;$B$311&amp;".energy["&amp;This.year&amp;"]"),MATCH($C331&amp;AJ$5,INDIRECT($B$3&amp;"."&amp;$B$311&amp;".energy[Tech description]")&amp;INDIRECT($B$3&amp;"."&amp;$B$311&amp;".energy[Energy description]"),0)),0)</f>
        <v>0</v>
      </c>
      <c r="AK331" s="152">
        <f t="array" aca="1" ref="AK331" ca="1">IFERROR(INDEX(INDIRECT($B$3&amp;"."&amp;$B$311&amp;".energy["&amp;This.year&amp;"]"),MATCH($C331&amp;AK$5,INDIRECT($B$3&amp;"."&amp;$B$311&amp;".energy[Tech description]")&amp;INDIRECT($B$3&amp;"."&amp;$B$311&amp;".energy[Energy description]"),0)),0)</f>
        <v>0</v>
      </c>
      <c r="AL331" s="152">
        <f t="array" aca="1" ref="AL331" ca="1">IFERROR(INDEX(INDIRECT($B$3&amp;"."&amp;$B$311&amp;".energy["&amp;This.year&amp;"]"),MATCH($C331&amp;AL$5,INDIRECT($B$3&amp;"."&amp;$B$311&amp;".energy[Tech description]")&amp;INDIRECT($B$3&amp;"."&amp;$B$311&amp;".energy[Energy description]"),0)),0)</f>
        <v>0</v>
      </c>
      <c r="AM331" s="152">
        <f t="array" aca="1" ref="AM331" ca="1">IFERROR(INDEX(INDIRECT($B$3&amp;"."&amp;$B$311&amp;".energy["&amp;This.year&amp;"]"),MATCH($C331&amp;AM$5,INDIRECT($B$3&amp;"."&amp;$B$311&amp;".energy[Tech description]")&amp;INDIRECT($B$3&amp;"."&amp;$B$311&amp;".energy[Energy description]"),0)),0)</f>
        <v>0</v>
      </c>
      <c r="AN331" s="152">
        <f t="array" aca="1" ref="AN331" ca="1">IFERROR(INDEX(INDIRECT($B$3&amp;"."&amp;$B$311&amp;".energy["&amp;This.year&amp;"]"),MATCH($C331&amp;AN$5,INDIRECT($B$3&amp;"."&amp;$B$311&amp;".energy[Tech description]")&amp;INDIRECT($B$3&amp;"."&amp;$B$311&amp;".energy[Energy description]"),0)),0)</f>
        <v>0</v>
      </c>
      <c r="AO331" s="152">
        <f t="shared" ref="AO331:AO332" ca="1" si="132">SUM(V331:AN331)</f>
        <v>0</v>
      </c>
      <c r="AQ331" s="21">
        <f t="array" aca="1" ref="AQ331" ca="1">IFERROR(INDEX(INDIRECT($B$3&amp;"."&amp;$B$311&amp;".energy["&amp;This.year&amp;"]"),MATCH($C331&amp;AQ$5,INDIRECT($B$3&amp;"."&amp;$B$311&amp;".energy[Tech description]")&amp;INDIRECT($B$3&amp;"."&amp;$B$311&amp;".energy[Energy description]"),0)),0)</f>
        <v>0</v>
      </c>
      <c r="AR331" s="21">
        <f t="array" aca="1" ref="AR331" ca="1">IFERROR(INDEX(INDIRECT($B$3&amp;"."&amp;$B$311&amp;".energy["&amp;This.year&amp;"]"),MATCH($C331&amp;AR$5,INDIRECT($B$3&amp;"."&amp;$B$311&amp;".energy[Tech description]")&amp;INDIRECT($B$3&amp;"."&amp;$B$311&amp;".energy[Energy description]"),0)),0)</f>
        <v>0</v>
      </c>
      <c r="AS331" s="21">
        <f t="array" aca="1" ref="AS331" ca="1">IFERROR(INDEX(INDIRECT($B$3&amp;"."&amp;$B$311&amp;".energy["&amp;This.year&amp;"]"),MATCH($C331&amp;AS$5,INDIRECT($B$3&amp;"."&amp;$B$311&amp;".energy[Tech description]")&amp;INDIRECT($B$3&amp;"."&amp;$B$311&amp;".energy[Energy description]"),0)),0)</f>
        <v>0</v>
      </c>
      <c r="AT331" s="21">
        <f t="array" aca="1" ref="AT331" ca="1">IFERROR(INDEX(INDIRECT($B$3&amp;"."&amp;$B$311&amp;".energy["&amp;This.year&amp;"]"),MATCH($C331&amp;AT$5,INDIRECT($B$3&amp;"."&amp;$B$311&amp;".energy[Tech description]")&amp;INDIRECT($B$3&amp;"."&amp;$B$311&amp;".energy[Energy description]"),0)),0)</f>
        <v>0</v>
      </c>
      <c r="AU331" s="21">
        <f t="array" aca="1" ref="AU331" ca="1">IFERROR(INDEX(INDIRECT($B$3&amp;"."&amp;$B$311&amp;".energy["&amp;This.year&amp;"]"),MATCH($C331&amp;AU$5,INDIRECT($B$3&amp;"."&amp;$B$311&amp;".energy[Tech description]")&amp;INDIRECT($B$3&amp;"."&amp;$B$311&amp;".energy[Energy description]"),0)),0)</f>
        <v>0</v>
      </c>
      <c r="AV331" s="21">
        <f t="array" aca="1" ref="AV331" ca="1">IFERROR(INDEX(INDIRECT($B$3&amp;"."&amp;$B$311&amp;".energy["&amp;This.year&amp;"]"),MATCH($C331&amp;AV$5,INDIRECT($B$3&amp;"."&amp;$B$311&amp;".energy[Tech description]")&amp;INDIRECT($B$3&amp;"."&amp;$B$311&amp;".energy[Energy description]"),0)),0)</f>
        <v>0</v>
      </c>
      <c r="AW331" s="21">
        <f t="array" aca="1" ref="AW331" ca="1">IFERROR(INDEX(INDIRECT($B$3&amp;"."&amp;$B$311&amp;".energy["&amp;This.year&amp;"]"),MATCH($C331&amp;AW$5,INDIRECT($B$3&amp;"."&amp;$B$311&amp;".energy[Tech description]")&amp;INDIRECT($B$3&amp;"."&amp;$B$311&amp;".energy[Energy description]"),0)),0)</f>
        <v>0</v>
      </c>
      <c r="AX331" s="21">
        <f t="array" aca="1" ref="AX331" ca="1">IFERROR(INDEX(INDIRECT($B$3&amp;"."&amp;$B$311&amp;".energy["&amp;This.year&amp;"]"),MATCH($C331&amp;AX$5,INDIRECT($B$3&amp;"."&amp;$B$311&amp;".energy[Tech description]")&amp;INDIRECT($B$3&amp;"."&amp;$B$311&amp;".energy[Energy description]"),0)),0)</f>
        <v>0</v>
      </c>
      <c r="AY331" s="21">
        <f t="array" aca="1" ref="AY331" ca="1">IFERROR(INDEX(INDIRECT($B$3&amp;"."&amp;$B$311&amp;".energy["&amp;This.year&amp;"]"),MATCH($C331&amp;AY$5,INDIRECT($B$3&amp;"."&amp;$B$311&amp;".energy[Tech description]")&amp;INDIRECT($B$3&amp;"."&amp;$B$311&amp;".energy[Energy description]"),0)),0)</f>
        <v>0</v>
      </c>
      <c r="AZ331" s="21">
        <f t="array" aca="1" ref="AZ331" ca="1">IFERROR(INDEX(INDIRECT($B$3&amp;"."&amp;$B$311&amp;".energy["&amp;This.year&amp;"]"),MATCH($C331&amp;AZ$5,INDIRECT($B$3&amp;"."&amp;$B$311&amp;".energy[Tech description]")&amp;INDIRECT($B$3&amp;"."&amp;$B$311&amp;".energy[Energy description]"),0)),0)</f>
        <v>0</v>
      </c>
      <c r="BA331" s="21">
        <f t="array" aca="1" ref="BA331" ca="1">IFERROR(INDEX(INDIRECT($B$3&amp;"."&amp;$B$311&amp;".energy["&amp;This.year&amp;"]"),MATCH($C331&amp;BA$5,INDIRECT($B$3&amp;"."&amp;$B$311&amp;".energy[Tech description]")&amp;INDIRECT($B$3&amp;"."&amp;$B$311&amp;".energy[Energy description]"),0)),0)</f>
        <v>0</v>
      </c>
      <c r="BB331" s="21">
        <f t="array" aca="1" ref="BB331" ca="1">IFERROR(INDEX(INDIRECT($B$3&amp;"."&amp;$B$311&amp;".energy["&amp;This.year&amp;"]"),MATCH($C331&amp;BB$5,INDIRECT($B$3&amp;"."&amp;$B$311&amp;".energy[Tech description]")&amp;INDIRECT($B$3&amp;"."&amp;$B$311&amp;".energy[Energy description]"),0)),0)</f>
        <v>0</v>
      </c>
      <c r="BC331" s="21">
        <f t="array" aca="1" ref="BC331" ca="1">IFERROR(INDEX(INDIRECT($B$3&amp;"."&amp;$B$311&amp;".energy["&amp;This.year&amp;"]"),MATCH($C331&amp;BC$5,INDIRECT($B$3&amp;"."&amp;$B$311&amp;".energy[Tech description]")&amp;INDIRECT($B$3&amp;"."&amp;$B$311&amp;".energy[Energy description]"),0)),0)</f>
        <v>0</v>
      </c>
      <c r="BD331" s="21">
        <f t="shared" ca="1" si="130"/>
        <v>0</v>
      </c>
      <c r="BF331" s="49">
        <f t="array" aca="1" ref="BF331" ca="1">IFERROR(INDEX(INDIRECT($B$3&amp;"."&amp;$B$311&amp;".energy["&amp;This.year&amp;"]"),MATCH($C331&amp;BF$5,INDIRECT($B$3&amp;"."&amp;$B$311&amp;".energy[Tech description]")&amp;INDIRECT($B$3&amp;"."&amp;$B$311&amp;".energy[Energy description]"),0)),0)</f>
        <v>0</v>
      </c>
      <c r="BG331" s="49">
        <f t="array" aca="1" ref="BG331" ca="1">IFERROR(INDEX(INDIRECT($B$3&amp;"."&amp;$B$311&amp;".energy["&amp;This.year&amp;"]"),MATCH($C331&amp;BG$5,INDIRECT($B$3&amp;"."&amp;$B$311&amp;".energy[Tech description]")&amp;INDIRECT($B$3&amp;"."&amp;$B$311&amp;".energy[Energy description]"),0)),0)</f>
        <v>0</v>
      </c>
      <c r="BH331" s="49">
        <f t="shared" ca="1" si="131"/>
        <v>0</v>
      </c>
      <c r="BI331" s="219">
        <f t="shared" ca="1" si="128"/>
        <v>0</v>
      </c>
      <c r="BJ331" s="60"/>
    </row>
    <row r="332" spans="2:62">
      <c r="B332" s="176" t="s">
        <v>2351</v>
      </c>
      <c r="C332" s="114" t="str">
        <f>INDEX(Regional.Technologies[Description],MATCH($B$3&amp;"."&amp;B332,Regional.Technologies[Code],0))</f>
        <v>Global Conversion plant (dry biomass to gas)</v>
      </c>
      <c r="D332" s="54"/>
      <c r="E332" s="121">
        <f t="array" aca="1" ref="E332" ca="1">IFERROR(INDEX(INDIRECT($B$3&amp;"."&amp;$B$311&amp;".energy["&amp;This.year&amp;"]"),MATCH($C332&amp;E$5,INDIRECT($B$3&amp;"."&amp;$B$311&amp;".energy[Tech description]")&amp;INDIRECT($B$3&amp;"."&amp;$B$311&amp;".energy[Energy description]"),0)),0)</f>
        <v>0</v>
      </c>
      <c r="F332" s="121">
        <f t="array" aca="1" ref="F332" ca="1">IFERROR(INDEX(INDIRECT($B$3&amp;"."&amp;$B$311&amp;".energy["&amp;This.year&amp;"]"),MATCH($C332&amp;F$5,INDIRECT($B$3&amp;"."&amp;$B$311&amp;".energy[Tech description]")&amp;INDIRECT($B$3&amp;"."&amp;$B$311&amp;".energy[Energy description]"),0)),0)</f>
        <v>0</v>
      </c>
      <c r="G332" s="121">
        <f t="array" aca="1" ref="G332" ca="1">IFERROR(INDEX(INDIRECT($B$3&amp;"."&amp;$B$311&amp;".energy["&amp;This.year&amp;"]"),MATCH($C332&amp;G$5,INDIRECT($B$3&amp;"."&amp;$B$311&amp;".energy[Tech description]")&amp;INDIRECT($B$3&amp;"."&amp;$B$311&amp;".energy[Energy description]"),0)),0)</f>
        <v>0</v>
      </c>
      <c r="H332" s="121">
        <f t="array" aca="1" ref="H332" ca="1">IFERROR(INDEX(INDIRECT($B$3&amp;"."&amp;$B$311&amp;".energy["&amp;This.year&amp;"]"),MATCH($C332&amp;H$5,INDIRECT($B$3&amp;"."&amp;$B$311&amp;".energy[Tech description]")&amp;INDIRECT($B$3&amp;"."&amp;$B$311&amp;".energy[Energy description]"),0)),0)</f>
        <v>0</v>
      </c>
      <c r="I332" s="121">
        <f t="array" aca="1" ref="I332" ca="1">IFERROR(INDEX(INDIRECT($B$3&amp;"."&amp;$B$311&amp;".energy["&amp;This.year&amp;"]"),MATCH($C332&amp;I$5,INDIRECT($B$3&amp;"."&amp;$B$311&amp;".energy[Tech description]")&amp;INDIRECT($B$3&amp;"."&amp;$B$311&amp;".energy[Energy description]"),0)),0)</f>
        <v>0</v>
      </c>
      <c r="J332" s="121">
        <f t="array" aca="1" ref="J332" ca="1">IFERROR(INDEX(INDIRECT($B$3&amp;"."&amp;$B$311&amp;".energy["&amp;This.year&amp;"]"),MATCH($C332&amp;J$5,INDIRECT($B$3&amp;"."&amp;$B$311&amp;".energy[Tech description]")&amp;INDIRECT($B$3&amp;"."&amp;$B$311&amp;".energy[Energy description]"),0)),0)</f>
        <v>0</v>
      </c>
      <c r="K332" s="121">
        <f t="array" aca="1" ref="K332" ca="1">IFERROR(INDEX(INDIRECT($B$3&amp;"."&amp;$B$311&amp;".energy["&amp;This.year&amp;"]"),MATCH($C332&amp;K$5,INDIRECT($B$3&amp;"."&amp;$B$311&amp;".energy[Tech description]")&amp;INDIRECT($B$3&amp;"."&amp;$B$311&amp;".energy[Energy description]"),0)),0)</f>
        <v>0</v>
      </c>
      <c r="L332" s="121">
        <f t="array" aca="1" ref="L332" ca="1">IFERROR(INDEX(INDIRECT($B$3&amp;"."&amp;$B$311&amp;".energy["&amp;This.year&amp;"]"),MATCH($C332&amp;L$5,INDIRECT($B$3&amp;"."&amp;$B$311&amp;".energy[Tech description]")&amp;INDIRECT($B$3&amp;"."&amp;$B$311&amp;".energy[Energy description]"),0)),0)</f>
        <v>0</v>
      </c>
      <c r="M332" s="121">
        <f t="array" aca="1" ref="M332" ca="1">IFERROR(INDEX(INDIRECT($B$3&amp;"."&amp;$B$311&amp;".energy["&amp;This.year&amp;"]"),MATCH($C332&amp;M$5,INDIRECT($B$3&amp;"."&amp;$B$311&amp;".energy[Tech description]")&amp;INDIRECT($B$3&amp;"."&amp;$B$311&amp;".energy[Energy description]"),0)),0)</f>
        <v>0</v>
      </c>
      <c r="N332" s="121">
        <f t="array" aca="1" ref="N332" ca="1">IFERROR(INDEX(INDIRECT($B$3&amp;"."&amp;$B$311&amp;".energy["&amp;This.year&amp;"]"),MATCH($C332&amp;N$5,INDIRECT($B$3&amp;"."&amp;$B$311&amp;".energy[Tech description]")&amp;INDIRECT($B$3&amp;"."&amp;$B$311&amp;".energy[Energy description]"),0)),0)</f>
        <v>0</v>
      </c>
      <c r="O332" s="121">
        <f t="array" aca="1" ref="O332" ca="1">IFERROR(INDEX(INDIRECT($B$3&amp;"."&amp;$B$311&amp;".energy["&amp;This.year&amp;"]"),MATCH($C332&amp;O$5,INDIRECT($B$3&amp;"."&amp;$B$311&amp;".energy[Tech description]")&amp;INDIRECT($B$3&amp;"."&amp;$B$311&amp;".energy[Energy description]"),0)),0)</f>
        <v>0</v>
      </c>
      <c r="P332" s="121">
        <f t="array" aca="1" ref="P332" ca="1">IFERROR(INDEX(INDIRECT($B$3&amp;"."&amp;$B$311&amp;".energy["&amp;This.year&amp;"]"),MATCH($C332&amp;P$5,INDIRECT($B$3&amp;"."&amp;$B$311&amp;".energy[Tech description]")&amp;INDIRECT($B$3&amp;"."&amp;$B$311&amp;".energy[Energy description]"),0)),0)</f>
        <v>0</v>
      </c>
      <c r="Q332" s="121">
        <f t="array" aca="1" ref="Q332" ca="1">IFERROR(INDEX(INDIRECT($B$3&amp;"."&amp;$B$311&amp;".energy["&amp;This.year&amp;"]"),MATCH($C332&amp;Q$5,INDIRECT($B$3&amp;"."&amp;$B$311&amp;".energy[Tech description]")&amp;INDIRECT($B$3&amp;"."&amp;$B$311&amp;".energy[Energy description]"),0)),0)</f>
        <v>0</v>
      </c>
      <c r="R332" s="121">
        <f t="array" aca="1" ref="R332" ca="1">IFERROR(INDEX(INDIRECT($B$3&amp;"."&amp;$B$311&amp;".energy["&amp;This.year&amp;"]"),MATCH($C332&amp;R$5,INDIRECT($B$3&amp;"."&amp;$B$311&amp;".energy[Tech description]")&amp;INDIRECT($B$3&amp;"."&amp;$B$311&amp;".energy[Energy description]"),0)),0)</f>
        <v>0</v>
      </c>
      <c r="S332" s="121">
        <f t="array" aca="1" ref="S332" ca="1">IFERROR(INDEX(INDIRECT($B$3&amp;"."&amp;$B$311&amp;".energy["&amp;This.year&amp;"]"),MATCH($C332&amp;S$5,INDIRECT($B$3&amp;"."&amp;$B$311&amp;".energy[Tech description]")&amp;INDIRECT($B$3&amp;"."&amp;$B$311&amp;".energy[Energy description]"),0)),0)</f>
        <v>0</v>
      </c>
      <c r="T332" s="121">
        <f t="shared" ca="1" si="129"/>
        <v>0</v>
      </c>
      <c r="V332" s="152">
        <f t="array" aca="1" ref="V332" ca="1">IFERROR(INDEX(INDIRECT($B$3&amp;"."&amp;$B$311&amp;".energy["&amp;This.year&amp;"]"),MATCH($C332&amp;V$5,INDIRECT($B$3&amp;"."&amp;$B$311&amp;".energy[Tech description]")&amp;INDIRECT($B$3&amp;"."&amp;$B$311&amp;".energy[Energy description]"),0)),0)</f>
        <v>0</v>
      </c>
      <c r="W332" s="152">
        <f t="array" aca="1" ref="W332" ca="1">IFERROR(INDEX(INDIRECT($B$3&amp;"."&amp;$B$311&amp;".energy["&amp;This.year&amp;"]"),MATCH($C332&amp;W$5,INDIRECT($B$3&amp;"."&amp;$B$311&amp;".energy[Tech description]")&amp;INDIRECT($B$3&amp;"."&amp;$B$311&amp;".energy[Energy description]"),0)),0)</f>
        <v>0</v>
      </c>
      <c r="X332" s="152">
        <f t="array" aca="1" ref="X332" ca="1">IFERROR(INDEX(INDIRECT($B$3&amp;"."&amp;$B$311&amp;".energy["&amp;This.year&amp;"]"),MATCH($C332&amp;X$5,INDIRECT($B$3&amp;"."&amp;$B$311&amp;".energy[Tech description]")&amp;INDIRECT($B$3&amp;"."&amp;$B$311&amp;".energy[Energy description]"),0)),0)</f>
        <v>0</v>
      </c>
      <c r="Y332" s="152">
        <f t="array" aca="1" ref="Y332" ca="1">IFERROR(INDEX(INDIRECT($B$3&amp;"."&amp;$B$311&amp;".energy["&amp;This.year&amp;"]"),MATCH($C332&amp;Y$5,INDIRECT($B$3&amp;"."&amp;$B$311&amp;".energy[Tech description]")&amp;INDIRECT($B$3&amp;"."&amp;$B$311&amp;".energy[Energy description]"),0)),0)</f>
        <v>0</v>
      </c>
      <c r="Z332" s="152">
        <f t="array" aca="1" ref="Z332" ca="1">IFERROR(INDEX(INDIRECT($B$3&amp;"."&amp;$B$311&amp;".energy["&amp;This.year&amp;"]"),MATCH($C332&amp;Z$5,INDIRECT($B$3&amp;"."&amp;$B$311&amp;".energy[Tech description]")&amp;INDIRECT($B$3&amp;"."&amp;$B$311&amp;".energy[Energy description]"),0)),0)</f>
        <v>0</v>
      </c>
      <c r="AA332" s="152">
        <f t="array" aca="1" ref="AA332" ca="1">IFERROR(INDEX(INDIRECT($B$3&amp;"."&amp;$B$311&amp;".energy["&amp;This.year&amp;"]"),MATCH($C332&amp;AA$5,INDIRECT($B$3&amp;"."&amp;$B$311&amp;".energy[Tech description]")&amp;INDIRECT($B$3&amp;"."&amp;$B$311&amp;".energy[Energy description]"),0)),0)</f>
        <v>0</v>
      </c>
      <c r="AB332" s="152">
        <f t="array" aca="1" ref="AB332" ca="1">IFERROR(INDEX(INDIRECT($B$3&amp;"."&amp;$B$311&amp;".energy["&amp;This.year&amp;"]"),MATCH($C332&amp;AB$5,INDIRECT($B$3&amp;"."&amp;$B$311&amp;".energy[Tech description]")&amp;INDIRECT($B$3&amp;"."&amp;$B$311&amp;".energy[Energy description]"),0)),0)</f>
        <v>0</v>
      </c>
      <c r="AC332" s="152">
        <f t="array" aca="1" ref="AC332" ca="1">IFERROR(INDEX(INDIRECT($B$3&amp;"."&amp;$B$311&amp;".energy["&amp;This.year&amp;"]"),MATCH($C332&amp;AC$5,INDIRECT($B$3&amp;"."&amp;$B$311&amp;".energy[Tech description]")&amp;INDIRECT($B$3&amp;"."&amp;$B$311&amp;".energy[Energy description]"),0)),0)</f>
        <v>0</v>
      </c>
      <c r="AD332" s="152">
        <f t="array" aca="1" ref="AD332" ca="1">IFERROR(INDEX(INDIRECT($B$3&amp;"."&amp;$B$311&amp;".energy["&amp;This.year&amp;"]"),MATCH($C332&amp;AD$5,INDIRECT($B$3&amp;"."&amp;$B$311&amp;".energy[Tech description]")&amp;INDIRECT($B$3&amp;"."&amp;$B$311&amp;".energy[Energy description]"),0)),0)</f>
        <v>0</v>
      </c>
      <c r="AE332" s="152">
        <f t="array" aca="1" ref="AE332" ca="1">IFERROR(INDEX(INDIRECT($B$3&amp;"."&amp;$B$311&amp;".energy["&amp;This.year&amp;"]"),MATCH($C332&amp;AE$5,INDIRECT($B$3&amp;"."&amp;$B$311&amp;".energy[Tech description]")&amp;INDIRECT($B$3&amp;"."&amp;$B$311&amp;".energy[Energy description]"),0)),0)</f>
        <v>0</v>
      </c>
      <c r="AF332" s="152">
        <f t="array" aca="1" ref="AF332" ca="1">IFERROR(INDEX(INDIRECT($B$3&amp;"."&amp;$B$311&amp;".energy["&amp;This.year&amp;"]"),MATCH($C332&amp;AF$5,INDIRECT($B$3&amp;"."&amp;$B$311&amp;".energy[Tech description]")&amp;INDIRECT($B$3&amp;"."&amp;$B$311&amp;".energy[Energy description]"),0)),0)</f>
        <v>0</v>
      </c>
      <c r="AG332" s="152">
        <f t="array" aca="1" ref="AG332" ca="1">IFERROR(INDEX(INDIRECT($B$3&amp;"."&amp;$B$311&amp;".energy["&amp;This.year&amp;"]"),MATCH($C332&amp;AG$5,INDIRECT($B$3&amp;"."&amp;$B$311&amp;".energy[Tech description]")&amp;INDIRECT($B$3&amp;"."&amp;$B$311&amp;".energy[Energy description]"),0)),0)</f>
        <v>0</v>
      </c>
      <c r="AH332" s="152">
        <f t="array" aca="1" ref="AH332" ca="1">IFERROR(INDEX(INDIRECT($B$3&amp;"."&amp;$B$311&amp;".energy["&amp;This.year&amp;"]"),MATCH($C332&amp;AH$5,INDIRECT($B$3&amp;"."&amp;$B$311&amp;".energy[Tech description]")&amp;INDIRECT($B$3&amp;"."&amp;$B$311&amp;".energy[Energy description]"),0)),0)</f>
        <v>0</v>
      </c>
      <c r="AI332" s="152">
        <f t="array" aca="1" ref="AI332" ca="1">IFERROR(INDEX(INDIRECT($B$3&amp;"."&amp;$B$311&amp;".energy["&amp;This.year&amp;"]"),MATCH($C332&amp;AI$5,INDIRECT($B$3&amp;"."&amp;$B$311&amp;".energy[Tech description]")&amp;INDIRECT($B$3&amp;"."&amp;$B$311&amp;".energy[Energy description]"),0)),0)</f>
        <v>0</v>
      </c>
      <c r="AJ332" s="152">
        <f t="array" aca="1" ref="AJ332" ca="1">IFERROR(INDEX(INDIRECT($B$3&amp;"."&amp;$B$311&amp;".energy["&amp;This.year&amp;"]"),MATCH($C332&amp;AJ$5,INDIRECT($B$3&amp;"."&amp;$B$311&amp;".energy[Tech description]")&amp;INDIRECT($B$3&amp;"."&amp;$B$311&amp;".energy[Energy description]"),0)),0)</f>
        <v>0</v>
      </c>
      <c r="AK332" s="152">
        <f t="array" aca="1" ref="AK332" ca="1">IFERROR(INDEX(INDIRECT($B$3&amp;"."&amp;$B$311&amp;".energy["&amp;This.year&amp;"]"),MATCH($C332&amp;AK$5,INDIRECT($B$3&amp;"."&amp;$B$311&amp;".energy[Tech description]")&amp;INDIRECT($B$3&amp;"."&amp;$B$311&amp;".energy[Energy description]"),0)),0)</f>
        <v>0</v>
      </c>
      <c r="AL332" s="152">
        <f t="array" aca="1" ref="AL332" ca="1">IFERROR(INDEX(INDIRECT($B$3&amp;"."&amp;$B$311&amp;".energy["&amp;This.year&amp;"]"),MATCH($C332&amp;AL$5,INDIRECT($B$3&amp;"."&amp;$B$311&amp;".energy[Tech description]")&amp;INDIRECT($B$3&amp;"."&amp;$B$311&amp;".energy[Energy description]"),0)),0)</f>
        <v>0</v>
      </c>
      <c r="AM332" s="152">
        <f t="array" aca="1" ref="AM332" ca="1">IFERROR(INDEX(INDIRECT($B$3&amp;"."&amp;$B$311&amp;".energy["&amp;This.year&amp;"]"),MATCH($C332&amp;AM$5,INDIRECT($B$3&amp;"."&amp;$B$311&amp;".energy[Tech description]")&amp;INDIRECT($B$3&amp;"."&amp;$B$311&amp;".energy[Energy description]"),0)),0)</f>
        <v>0</v>
      </c>
      <c r="AN332" s="152">
        <f t="array" aca="1" ref="AN332" ca="1">IFERROR(INDEX(INDIRECT($B$3&amp;"."&amp;$B$311&amp;".energy["&amp;This.year&amp;"]"),MATCH($C332&amp;AN$5,INDIRECT($B$3&amp;"."&amp;$B$311&amp;".energy[Tech description]")&amp;INDIRECT($B$3&amp;"."&amp;$B$311&amp;".energy[Energy description]"),0)),0)</f>
        <v>0</v>
      </c>
      <c r="AO332" s="152">
        <f t="shared" ca="1" si="132"/>
        <v>0</v>
      </c>
      <c r="AQ332" s="21">
        <f t="array" aca="1" ref="AQ332" ca="1">IFERROR(INDEX(INDIRECT($B$3&amp;"."&amp;$B$311&amp;".energy["&amp;This.year&amp;"]"),MATCH($C332&amp;AQ$5,INDIRECT($B$3&amp;"."&amp;$B$311&amp;".energy[Tech description]")&amp;INDIRECT($B$3&amp;"."&amp;$B$311&amp;".energy[Energy description]"),0)),0)</f>
        <v>0</v>
      </c>
      <c r="AR332" s="21">
        <f t="array" aca="1" ref="AR332" ca="1">IFERROR(INDEX(INDIRECT($B$3&amp;"."&amp;$B$311&amp;".energy["&amp;This.year&amp;"]"),MATCH($C332&amp;AR$5,INDIRECT($B$3&amp;"."&amp;$B$311&amp;".energy[Tech description]")&amp;INDIRECT($B$3&amp;"."&amp;$B$311&amp;".energy[Energy description]"),0)),0)</f>
        <v>0</v>
      </c>
      <c r="AS332" s="21">
        <f t="array" aca="1" ref="AS332" ca="1">IFERROR(INDEX(INDIRECT($B$3&amp;"."&amp;$B$311&amp;".energy["&amp;This.year&amp;"]"),MATCH($C332&amp;AS$5,INDIRECT($B$3&amp;"."&amp;$B$311&amp;".energy[Tech description]")&amp;INDIRECT($B$3&amp;"."&amp;$B$311&amp;".energy[Energy description]"),0)),0)</f>
        <v>0</v>
      </c>
      <c r="AT332" s="21">
        <f t="array" aca="1" ref="AT332" ca="1">IFERROR(INDEX(INDIRECT($B$3&amp;"."&amp;$B$311&amp;".energy["&amp;This.year&amp;"]"),MATCH($C332&amp;AT$5,INDIRECT($B$3&amp;"."&amp;$B$311&amp;".energy[Tech description]")&amp;INDIRECT($B$3&amp;"."&amp;$B$311&amp;".energy[Energy description]"),0)),0)</f>
        <v>0</v>
      </c>
      <c r="AU332" s="21">
        <f t="array" aca="1" ref="AU332" ca="1">IFERROR(INDEX(INDIRECT($B$3&amp;"."&amp;$B$311&amp;".energy["&amp;This.year&amp;"]"),MATCH($C332&amp;AU$5,INDIRECT($B$3&amp;"."&amp;$B$311&amp;".energy[Tech description]")&amp;INDIRECT($B$3&amp;"."&amp;$B$311&amp;".energy[Energy description]"),0)),0)</f>
        <v>0</v>
      </c>
      <c r="AV332" s="21">
        <f t="array" aca="1" ref="AV332" ca="1">IFERROR(INDEX(INDIRECT($B$3&amp;"."&amp;$B$311&amp;".energy["&amp;This.year&amp;"]"),MATCH($C332&amp;AV$5,INDIRECT($B$3&amp;"."&amp;$B$311&amp;".energy[Tech description]")&amp;INDIRECT($B$3&amp;"."&amp;$B$311&amp;".energy[Energy description]"),0)),0)</f>
        <v>0</v>
      </c>
      <c r="AW332" s="21">
        <f t="array" aca="1" ref="AW332" ca="1">IFERROR(INDEX(INDIRECT($B$3&amp;"."&amp;$B$311&amp;".energy["&amp;This.year&amp;"]"),MATCH($C332&amp;AW$5,INDIRECT($B$3&amp;"."&amp;$B$311&amp;".energy[Tech description]")&amp;INDIRECT($B$3&amp;"."&amp;$B$311&amp;".energy[Energy description]"),0)),0)</f>
        <v>0</v>
      </c>
      <c r="AX332" s="21">
        <f t="array" aca="1" ref="AX332" ca="1">IFERROR(INDEX(INDIRECT($B$3&amp;"."&amp;$B$311&amp;".energy["&amp;This.year&amp;"]"),MATCH($C332&amp;AX$5,INDIRECT($B$3&amp;"."&amp;$B$311&amp;".energy[Tech description]")&amp;INDIRECT($B$3&amp;"."&amp;$B$311&amp;".energy[Energy description]"),0)),0)</f>
        <v>0</v>
      </c>
      <c r="AY332" s="21">
        <f t="array" aca="1" ref="AY332" ca="1">IFERROR(INDEX(INDIRECT($B$3&amp;"."&amp;$B$311&amp;".energy["&amp;This.year&amp;"]"),MATCH($C332&amp;AY$5,INDIRECT($B$3&amp;"."&amp;$B$311&amp;".energy[Tech description]")&amp;INDIRECT($B$3&amp;"."&amp;$B$311&amp;".energy[Energy description]"),0)),0)</f>
        <v>0</v>
      </c>
      <c r="AZ332" s="21">
        <f t="array" aca="1" ref="AZ332" ca="1">IFERROR(INDEX(INDIRECT($B$3&amp;"."&amp;$B$311&amp;".energy["&amp;This.year&amp;"]"),MATCH($C332&amp;AZ$5,INDIRECT($B$3&amp;"."&amp;$B$311&amp;".energy[Tech description]")&amp;INDIRECT($B$3&amp;"."&amp;$B$311&amp;".energy[Energy description]"),0)),0)</f>
        <v>0</v>
      </c>
      <c r="BA332" s="21">
        <f t="array" aca="1" ref="BA332" ca="1">IFERROR(INDEX(INDIRECT($B$3&amp;"."&amp;$B$311&amp;".energy["&amp;This.year&amp;"]"),MATCH($C332&amp;BA$5,INDIRECT($B$3&amp;"."&amp;$B$311&amp;".energy[Tech description]")&amp;INDIRECT($B$3&amp;"."&amp;$B$311&amp;".energy[Energy description]"),0)),0)</f>
        <v>0</v>
      </c>
      <c r="BB332" s="21">
        <f t="array" aca="1" ref="BB332" ca="1">IFERROR(INDEX(INDIRECT($B$3&amp;"."&amp;$B$311&amp;".energy["&amp;This.year&amp;"]"),MATCH($C332&amp;BB$5,INDIRECT($B$3&amp;"."&amp;$B$311&amp;".energy[Tech description]")&amp;INDIRECT($B$3&amp;"."&amp;$B$311&amp;".energy[Energy description]"),0)),0)</f>
        <v>0</v>
      </c>
      <c r="BC332" s="21">
        <f t="array" aca="1" ref="BC332" ca="1">IFERROR(INDEX(INDIRECT($B$3&amp;"."&amp;$B$311&amp;".energy["&amp;This.year&amp;"]"),MATCH($C332&amp;BC$5,INDIRECT($B$3&amp;"."&amp;$B$311&amp;".energy[Tech description]")&amp;INDIRECT($B$3&amp;"."&amp;$B$311&amp;".energy[Energy description]"),0)),0)</f>
        <v>0</v>
      </c>
      <c r="BD332" s="21">
        <f t="shared" ca="1" si="130"/>
        <v>0</v>
      </c>
      <c r="BF332" s="49">
        <f t="array" aca="1" ref="BF332" ca="1">IFERROR(INDEX(INDIRECT($B$3&amp;"."&amp;$B$311&amp;".energy["&amp;This.year&amp;"]"),MATCH($C332&amp;BF$5,INDIRECT($B$3&amp;"."&amp;$B$311&amp;".energy[Tech description]")&amp;INDIRECT($B$3&amp;"."&amp;$B$311&amp;".energy[Energy description]"),0)),0)</f>
        <v>0</v>
      </c>
      <c r="BG332" s="49">
        <f t="array" aca="1" ref="BG332" ca="1">IFERROR(INDEX(INDIRECT($B$3&amp;"."&amp;$B$311&amp;".energy["&amp;This.year&amp;"]"),MATCH($C332&amp;BG$5,INDIRECT($B$3&amp;"."&amp;$B$311&amp;".energy[Tech description]")&amp;INDIRECT($B$3&amp;"."&amp;$B$311&amp;".energy[Energy description]"),0)),0)</f>
        <v>0</v>
      </c>
      <c r="BH332" s="49">
        <f t="shared" ca="1" si="131"/>
        <v>0</v>
      </c>
      <c r="BI332" s="219">
        <f t="shared" ca="1" si="128"/>
        <v>0</v>
      </c>
      <c r="BJ332" s="60"/>
    </row>
    <row r="333" spans="2:62">
      <c r="B333" s="176" t="s">
        <v>2397</v>
      </c>
      <c r="C333" s="114" t="str">
        <f>INDEX(Regional.Technologies[Description],MATCH($B$3&amp;"."&amp;B333,Regional.Technologies[Code],0))</f>
        <v>Global Conversion plant (liquid biomass to liquid hydrocarbon)</v>
      </c>
      <c r="D333" s="54"/>
      <c r="E333" s="121">
        <f t="array" aca="1" ref="E333" ca="1">IFERROR(INDEX(INDIRECT($B$3&amp;"."&amp;$B$311&amp;".energy["&amp;This.year&amp;"]"),MATCH($C333&amp;E$5,INDIRECT($B$3&amp;"."&amp;$B$311&amp;".energy[Tech description]")&amp;INDIRECT($B$3&amp;"."&amp;$B$311&amp;".energy[Energy description]"),0)),0)</f>
        <v>0</v>
      </c>
      <c r="F333" s="121">
        <f t="array" aca="1" ref="F333" ca="1">IFERROR(INDEX(INDIRECT($B$3&amp;"."&amp;$B$311&amp;".energy["&amp;This.year&amp;"]"),MATCH($C333&amp;F$5,INDIRECT($B$3&amp;"."&amp;$B$311&amp;".energy[Tech description]")&amp;INDIRECT($B$3&amp;"."&amp;$B$311&amp;".energy[Energy description]"),0)),0)</f>
        <v>0</v>
      </c>
      <c r="G333" s="121">
        <f t="array" aca="1" ref="G333" ca="1">IFERROR(INDEX(INDIRECT($B$3&amp;"."&amp;$B$311&amp;".energy["&amp;This.year&amp;"]"),MATCH($C333&amp;G$5,INDIRECT($B$3&amp;"."&amp;$B$311&amp;".energy[Tech description]")&amp;INDIRECT($B$3&amp;"."&amp;$B$311&amp;".energy[Energy description]"),0)),0)</f>
        <v>0</v>
      </c>
      <c r="H333" s="121">
        <f t="array" aca="1" ref="H333" ca="1">IFERROR(INDEX(INDIRECT($B$3&amp;"."&amp;$B$311&amp;".energy["&amp;This.year&amp;"]"),MATCH($C333&amp;H$5,INDIRECT($B$3&amp;"."&amp;$B$311&amp;".energy[Tech description]")&amp;INDIRECT($B$3&amp;"."&amp;$B$311&amp;".energy[Energy description]"),0)),0)</f>
        <v>0</v>
      </c>
      <c r="I333" s="121">
        <f t="array" aca="1" ref="I333" ca="1">IFERROR(INDEX(INDIRECT($B$3&amp;"."&amp;$B$311&amp;".energy["&amp;This.year&amp;"]"),MATCH($C333&amp;I$5,INDIRECT($B$3&amp;"."&amp;$B$311&amp;".energy[Tech description]")&amp;INDIRECT($B$3&amp;"."&amp;$B$311&amp;".energy[Energy description]"),0)),0)</f>
        <v>0</v>
      </c>
      <c r="J333" s="121">
        <f t="array" aca="1" ref="J333" ca="1">IFERROR(INDEX(INDIRECT($B$3&amp;"."&amp;$B$311&amp;".energy["&amp;This.year&amp;"]"),MATCH($C333&amp;J$5,INDIRECT($B$3&amp;"."&amp;$B$311&amp;".energy[Tech description]")&amp;INDIRECT($B$3&amp;"."&amp;$B$311&amp;".energy[Energy description]"),0)),0)</f>
        <v>0</v>
      </c>
      <c r="K333" s="121">
        <f t="array" aca="1" ref="K333" ca="1">IFERROR(INDEX(INDIRECT($B$3&amp;"."&amp;$B$311&amp;".energy["&amp;This.year&amp;"]"),MATCH($C333&amp;K$5,INDIRECT($B$3&amp;"."&amp;$B$311&amp;".energy[Tech description]")&amp;INDIRECT($B$3&amp;"."&amp;$B$311&amp;".energy[Energy description]"),0)),0)</f>
        <v>0</v>
      </c>
      <c r="L333" s="121">
        <f t="array" aca="1" ref="L333" ca="1">IFERROR(INDEX(INDIRECT($B$3&amp;"."&amp;$B$311&amp;".energy["&amp;This.year&amp;"]"),MATCH($C333&amp;L$5,INDIRECT($B$3&amp;"."&amp;$B$311&amp;".energy[Tech description]")&amp;INDIRECT($B$3&amp;"."&amp;$B$311&amp;".energy[Energy description]"),0)),0)</f>
        <v>0</v>
      </c>
      <c r="M333" s="121">
        <f t="array" aca="1" ref="M333" ca="1">IFERROR(INDEX(INDIRECT($B$3&amp;"."&amp;$B$311&amp;".energy["&amp;This.year&amp;"]"),MATCH($C333&amp;M$5,INDIRECT($B$3&amp;"."&amp;$B$311&amp;".energy[Tech description]")&amp;INDIRECT($B$3&amp;"."&amp;$B$311&amp;".energy[Energy description]"),0)),0)</f>
        <v>0</v>
      </c>
      <c r="N333" s="121">
        <f t="array" aca="1" ref="N333" ca="1">IFERROR(INDEX(INDIRECT($B$3&amp;"."&amp;$B$311&amp;".energy["&amp;This.year&amp;"]"),MATCH($C333&amp;N$5,INDIRECT($B$3&amp;"."&amp;$B$311&amp;".energy[Tech description]")&amp;INDIRECT($B$3&amp;"."&amp;$B$311&amp;".energy[Energy description]"),0)),0)</f>
        <v>0</v>
      </c>
      <c r="O333" s="121">
        <f t="array" aca="1" ref="O333" ca="1">IFERROR(INDEX(INDIRECT($B$3&amp;"."&amp;$B$311&amp;".energy["&amp;This.year&amp;"]"),MATCH($C333&amp;O$5,INDIRECT($B$3&amp;"."&amp;$B$311&amp;".energy[Tech description]")&amp;INDIRECT($B$3&amp;"."&amp;$B$311&amp;".energy[Energy description]"),0)),0)</f>
        <v>0</v>
      </c>
      <c r="P333" s="121">
        <f t="array" aca="1" ref="P333" ca="1">IFERROR(INDEX(INDIRECT($B$3&amp;"."&amp;$B$311&amp;".energy["&amp;This.year&amp;"]"),MATCH($C333&amp;P$5,INDIRECT($B$3&amp;"."&amp;$B$311&amp;".energy[Tech description]")&amp;INDIRECT($B$3&amp;"."&amp;$B$311&amp;".energy[Energy description]"),0)),0)</f>
        <v>0</v>
      </c>
      <c r="Q333" s="121">
        <f t="array" aca="1" ref="Q333" ca="1">IFERROR(INDEX(INDIRECT($B$3&amp;"."&amp;$B$311&amp;".energy["&amp;This.year&amp;"]"),MATCH($C333&amp;Q$5,INDIRECT($B$3&amp;"."&amp;$B$311&amp;".energy[Tech description]")&amp;INDIRECT($B$3&amp;"."&amp;$B$311&amp;".energy[Energy description]"),0)),0)</f>
        <v>0</v>
      </c>
      <c r="R333" s="121">
        <f t="array" aca="1" ref="R333" ca="1">IFERROR(INDEX(INDIRECT($B$3&amp;"."&amp;$B$311&amp;".energy["&amp;This.year&amp;"]"),MATCH($C333&amp;R$5,INDIRECT($B$3&amp;"."&amp;$B$311&amp;".energy[Tech description]")&amp;INDIRECT($B$3&amp;"."&amp;$B$311&amp;".energy[Energy description]"),0)),0)</f>
        <v>0</v>
      </c>
      <c r="S333" s="121">
        <f t="array" aca="1" ref="S333" ca="1">IFERROR(INDEX(INDIRECT($B$3&amp;"."&amp;$B$311&amp;".energy["&amp;This.year&amp;"]"),MATCH($C333&amp;S$5,INDIRECT($B$3&amp;"."&amp;$B$311&amp;".energy[Tech description]")&amp;INDIRECT($B$3&amp;"."&amp;$B$311&amp;".energy[Energy description]"),0)),0)</f>
        <v>0</v>
      </c>
      <c r="T333" s="121">
        <f t="shared" ca="1" si="129"/>
        <v>0</v>
      </c>
      <c r="V333" s="152">
        <f t="array" aca="1" ref="V333" ca="1">IFERROR(INDEX(INDIRECT($B$3&amp;"."&amp;$B$311&amp;".energy["&amp;This.year&amp;"]"),MATCH($C333&amp;V$5,INDIRECT($B$3&amp;"."&amp;$B$311&amp;".energy[Tech description]")&amp;INDIRECT($B$3&amp;"."&amp;$B$311&amp;".energy[Energy description]"),0)),0)</f>
        <v>0</v>
      </c>
      <c r="W333" s="152">
        <f t="array" aca="1" ref="W333" ca="1">IFERROR(INDEX(INDIRECT($B$3&amp;"."&amp;$B$311&amp;".energy["&amp;This.year&amp;"]"),MATCH($C333&amp;W$5,INDIRECT($B$3&amp;"."&amp;$B$311&amp;".energy[Tech description]")&amp;INDIRECT($B$3&amp;"."&amp;$B$311&amp;".energy[Energy description]"),0)),0)</f>
        <v>0</v>
      </c>
      <c r="X333" s="152">
        <f t="array" aca="1" ref="X333" ca="1">IFERROR(INDEX(INDIRECT($B$3&amp;"."&amp;$B$311&amp;".energy["&amp;This.year&amp;"]"),MATCH($C333&amp;X$5,INDIRECT($B$3&amp;"."&amp;$B$311&amp;".energy[Tech description]")&amp;INDIRECT($B$3&amp;"."&amp;$B$311&amp;".energy[Energy description]"),0)),0)</f>
        <v>0</v>
      </c>
      <c r="Y333" s="152">
        <f t="array" aca="1" ref="Y333" ca="1">IFERROR(INDEX(INDIRECT($B$3&amp;"."&amp;$B$311&amp;".energy["&amp;This.year&amp;"]"),MATCH($C333&amp;Y$5,INDIRECT($B$3&amp;"."&amp;$B$311&amp;".energy[Tech description]")&amp;INDIRECT($B$3&amp;"."&amp;$B$311&amp;".energy[Energy description]"),0)),0)</f>
        <v>0</v>
      </c>
      <c r="Z333" s="152">
        <f t="array" aca="1" ref="Z333" ca="1">IFERROR(INDEX(INDIRECT($B$3&amp;"."&amp;$B$311&amp;".energy["&amp;This.year&amp;"]"),MATCH($C333&amp;Z$5,INDIRECT($B$3&amp;"."&amp;$B$311&amp;".energy[Tech description]")&amp;INDIRECT($B$3&amp;"."&amp;$B$311&amp;".energy[Energy description]"),0)),0)</f>
        <v>0</v>
      </c>
      <c r="AA333" s="152">
        <f t="array" aca="1" ref="AA333" ca="1">IFERROR(INDEX(INDIRECT($B$3&amp;"."&amp;$B$311&amp;".energy["&amp;This.year&amp;"]"),MATCH($C333&amp;AA$5,INDIRECT($B$3&amp;"."&amp;$B$311&amp;".energy[Tech description]")&amp;INDIRECT($B$3&amp;"."&amp;$B$311&amp;".energy[Energy description]"),0)),0)</f>
        <v>0</v>
      </c>
      <c r="AB333" s="152">
        <f t="array" aca="1" ref="AB333" ca="1">IFERROR(INDEX(INDIRECT($B$3&amp;"."&amp;$B$311&amp;".energy["&amp;This.year&amp;"]"),MATCH($C333&amp;AB$5,INDIRECT($B$3&amp;"."&amp;$B$311&amp;".energy[Tech description]")&amp;INDIRECT($B$3&amp;"."&amp;$B$311&amp;".energy[Energy description]"),0)),0)</f>
        <v>0</v>
      </c>
      <c r="AC333" s="152">
        <f t="array" aca="1" ref="AC333" ca="1">IFERROR(INDEX(INDIRECT($B$3&amp;"."&amp;$B$311&amp;".energy["&amp;This.year&amp;"]"),MATCH($C333&amp;AC$5,INDIRECT($B$3&amp;"."&amp;$B$311&amp;".energy[Tech description]")&amp;INDIRECT($B$3&amp;"."&amp;$B$311&amp;".energy[Energy description]"),0)),0)</f>
        <v>0</v>
      </c>
      <c r="AD333" s="152">
        <f t="array" aca="1" ref="AD333" ca="1">IFERROR(INDEX(INDIRECT($B$3&amp;"."&amp;$B$311&amp;".energy["&amp;This.year&amp;"]"),MATCH($C333&amp;AD$5,INDIRECT($B$3&amp;"."&amp;$B$311&amp;".energy[Tech description]")&amp;INDIRECT($B$3&amp;"."&amp;$B$311&amp;".energy[Energy description]"),0)),0)</f>
        <v>0</v>
      </c>
      <c r="AE333" s="152">
        <f t="array" aca="1" ref="AE333" ca="1">IFERROR(INDEX(INDIRECT($B$3&amp;"."&amp;$B$311&amp;".energy["&amp;This.year&amp;"]"),MATCH($C333&amp;AE$5,INDIRECT($B$3&amp;"."&amp;$B$311&amp;".energy[Tech description]")&amp;INDIRECT($B$3&amp;"."&amp;$B$311&amp;".energy[Energy description]"),0)),0)</f>
        <v>0</v>
      </c>
      <c r="AF333" s="152">
        <f t="array" aca="1" ref="AF333" ca="1">IFERROR(INDEX(INDIRECT($B$3&amp;"."&amp;$B$311&amp;".energy["&amp;This.year&amp;"]"),MATCH($C333&amp;AF$5,INDIRECT($B$3&amp;"."&amp;$B$311&amp;".energy[Tech description]")&amp;INDIRECT($B$3&amp;"."&amp;$B$311&amp;".energy[Energy description]"),0)),0)</f>
        <v>0</v>
      </c>
      <c r="AG333" s="152">
        <f t="array" aca="1" ref="AG333" ca="1">IFERROR(INDEX(INDIRECT($B$3&amp;"."&amp;$B$311&amp;".energy["&amp;This.year&amp;"]"),MATCH($C333&amp;AG$5,INDIRECT($B$3&amp;"."&amp;$B$311&amp;".energy[Tech description]")&amp;INDIRECT($B$3&amp;"."&amp;$B$311&amp;".energy[Energy description]"),0)),0)</f>
        <v>0</v>
      </c>
      <c r="AH333" s="152">
        <f t="array" aca="1" ref="AH333" ca="1">IFERROR(INDEX(INDIRECT($B$3&amp;"."&amp;$B$311&amp;".energy["&amp;This.year&amp;"]"),MATCH($C333&amp;AH$5,INDIRECT($B$3&amp;"."&amp;$B$311&amp;".energy[Tech description]")&amp;INDIRECT($B$3&amp;"."&amp;$B$311&amp;".energy[Energy description]"),0)),0)</f>
        <v>0</v>
      </c>
      <c r="AI333" s="152">
        <f t="array" aca="1" ref="AI333" ca="1">IFERROR(INDEX(INDIRECT($B$3&amp;"."&amp;$B$311&amp;".energy["&amp;This.year&amp;"]"),MATCH($C333&amp;AI$5,INDIRECT($B$3&amp;"."&amp;$B$311&amp;".energy[Tech description]")&amp;INDIRECT($B$3&amp;"."&amp;$B$311&amp;".energy[Energy description]"),0)),0)</f>
        <v>0</v>
      </c>
      <c r="AJ333" s="152">
        <f t="array" aca="1" ref="AJ333" ca="1">IFERROR(INDEX(INDIRECT($B$3&amp;"."&amp;$B$311&amp;".energy["&amp;This.year&amp;"]"),MATCH($C333&amp;AJ$5,INDIRECT($B$3&amp;"."&amp;$B$311&amp;".energy[Tech description]")&amp;INDIRECT($B$3&amp;"."&amp;$B$311&amp;".energy[Energy description]"),0)),0)</f>
        <v>0</v>
      </c>
      <c r="AK333" s="152">
        <f t="array" aca="1" ref="AK333" ca="1">IFERROR(INDEX(INDIRECT($B$3&amp;"."&amp;$B$311&amp;".energy["&amp;This.year&amp;"]"),MATCH($C333&amp;AK$5,INDIRECT($B$3&amp;"."&amp;$B$311&amp;".energy[Tech description]")&amp;INDIRECT($B$3&amp;"."&amp;$B$311&amp;".energy[Energy description]"),0)),0)</f>
        <v>0</v>
      </c>
      <c r="AL333" s="152">
        <f t="array" aca="1" ref="AL333" ca="1">IFERROR(INDEX(INDIRECT($B$3&amp;"."&amp;$B$311&amp;".energy["&amp;This.year&amp;"]"),MATCH($C333&amp;AL$5,INDIRECT($B$3&amp;"."&amp;$B$311&amp;".energy[Tech description]")&amp;INDIRECT($B$3&amp;"."&amp;$B$311&amp;".energy[Energy description]"),0)),0)</f>
        <v>0</v>
      </c>
      <c r="AM333" s="152">
        <f t="array" aca="1" ref="AM333" ca="1">IFERROR(INDEX(INDIRECT($B$3&amp;"."&amp;$B$311&amp;".energy["&amp;This.year&amp;"]"),MATCH($C333&amp;AM$5,INDIRECT($B$3&amp;"."&amp;$B$311&amp;".energy[Tech description]")&amp;INDIRECT($B$3&amp;"."&amp;$B$311&amp;".energy[Energy description]"),0)),0)</f>
        <v>0</v>
      </c>
      <c r="AN333" s="152">
        <f t="array" aca="1" ref="AN333" ca="1">IFERROR(INDEX(INDIRECT($B$3&amp;"."&amp;$B$311&amp;".energy["&amp;This.year&amp;"]"),MATCH($C333&amp;AN$5,INDIRECT($B$3&amp;"."&amp;$B$311&amp;".energy[Tech description]")&amp;INDIRECT($B$3&amp;"."&amp;$B$311&amp;".energy[Energy description]"),0)),0)</f>
        <v>0</v>
      </c>
      <c r="AO333" s="152">
        <f ca="1">SUM(V333:AN333)</f>
        <v>0</v>
      </c>
      <c r="AQ333" s="21">
        <f t="array" aca="1" ref="AQ333" ca="1">IFERROR(INDEX(INDIRECT($B$3&amp;"."&amp;$B$311&amp;".energy["&amp;This.year&amp;"]"),MATCH($C333&amp;AQ$5,INDIRECT($B$3&amp;"."&amp;$B$311&amp;".energy[Tech description]")&amp;INDIRECT($B$3&amp;"."&amp;$B$311&amp;".energy[Energy description]"),0)),0)</f>
        <v>0</v>
      </c>
      <c r="AR333" s="21">
        <f t="array" aca="1" ref="AR333" ca="1">IFERROR(INDEX(INDIRECT($B$3&amp;"."&amp;$B$311&amp;".energy["&amp;This.year&amp;"]"),MATCH($C333&amp;AR$5,INDIRECT($B$3&amp;"."&amp;$B$311&amp;".energy[Tech description]")&amp;INDIRECT($B$3&amp;"."&amp;$B$311&amp;".energy[Energy description]"),0)),0)</f>
        <v>0</v>
      </c>
      <c r="AS333" s="21">
        <f t="array" aca="1" ref="AS333" ca="1">IFERROR(INDEX(INDIRECT($B$3&amp;"."&amp;$B$311&amp;".energy["&amp;This.year&amp;"]"),MATCH($C333&amp;AS$5,INDIRECT($B$3&amp;"."&amp;$B$311&amp;".energy[Tech description]")&amp;INDIRECT($B$3&amp;"."&amp;$B$311&amp;".energy[Energy description]"),0)),0)</f>
        <v>0</v>
      </c>
      <c r="AT333" s="21">
        <f t="array" aca="1" ref="AT333" ca="1">IFERROR(INDEX(INDIRECT($B$3&amp;"."&amp;$B$311&amp;".energy["&amp;This.year&amp;"]"),MATCH($C333&amp;AT$5,INDIRECT($B$3&amp;"."&amp;$B$311&amp;".energy[Tech description]")&amp;INDIRECT($B$3&amp;"."&amp;$B$311&amp;".energy[Energy description]"),0)),0)</f>
        <v>0</v>
      </c>
      <c r="AU333" s="21">
        <f t="array" aca="1" ref="AU333" ca="1">IFERROR(INDEX(INDIRECT($B$3&amp;"."&amp;$B$311&amp;".energy["&amp;This.year&amp;"]"),MATCH($C333&amp;AU$5,INDIRECT($B$3&amp;"."&amp;$B$311&amp;".energy[Tech description]")&amp;INDIRECT($B$3&amp;"."&amp;$B$311&amp;".energy[Energy description]"),0)),0)</f>
        <v>0</v>
      </c>
      <c r="AV333" s="21">
        <f t="array" aca="1" ref="AV333" ca="1">IFERROR(INDEX(INDIRECT($B$3&amp;"."&amp;$B$311&amp;".energy["&amp;This.year&amp;"]"),MATCH($C333&amp;AV$5,INDIRECT($B$3&amp;"."&amp;$B$311&amp;".energy[Tech description]")&amp;INDIRECT($B$3&amp;"."&amp;$B$311&amp;".energy[Energy description]"),0)),0)</f>
        <v>0</v>
      </c>
      <c r="AW333" s="21">
        <f t="array" aca="1" ref="AW333" ca="1">IFERROR(INDEX(INDIRECT($B$3&amp;"."&amp;$B$311&amp;".energy["&amp;This.year&amp;"]"),MATCH($C333&amp;AW$5,INDIRECT($B$3&amp;"."&amp;$B$311&amp;".energy[Tech description]")&amp;INDIRECT($B$3&amp;"."&amp;$B$311&amp;".energy[Energy description]"),0)),0)</f>
        <v>0</v>
      </c>
      <c r="AX333" s="21">
        <f t="array" aca="1" ref="AX333" ca="1">IFERROR(INDEX(INDIRECT($B$3&amp;"."&amp;$B$311&amp;".energy["&amp;This.year&amp;"]"),MATCH($C333&amp;AX$5,INDIRECT($B$3&amp;"."&amp;$B$311&amp;".energy[Tech description]")&amp;INDIRECT($B$3&amp;"."&amp;$B$311&amp;".energy[Energy description]"),0)),0)</f>
        <v>0</v>
      </c>
      <c r="AY333" s="21">
        <f t="array" aca="1" ref="AY333" ca="1">IFERROR(INDEX(INDIRECT($B$3&amp;"."&amp;$B$311&amp;".energy["&amp;This.year&amp;"]"),MATCH($C333&amp;AY$5,INDIRECT($B$3&amp;"."&amp;$B$311&amp;".energy[Tech description]")&amp;INDIRECT($B$3&amp;"."&amp;$B$311&amp;".energy[Energy description]"),0)),0)</f>
        <v>0</v>
      </c>
      <c r="AZ333" s="21">
        <f t="array" aca="1" ref="AZ333" ca="1">IFERROR(INDEX(INDIRECT($B$3&amp;"."&amp;$B$311&amp;".energy["&amp;This.year&amp;"]"),MATCH($C333&amp;AZ$5,INDIRECT($B$3&amp;"."&amp;$B$311&amp;".energy[Tech description]")&amp;INDIRECT($B$3&amp;"."&amp;$B$311&amp;".energy[Energy description]"),0)),0)</f>
        <v>0</v>
      </c>
      <c r="BA333" s="21">
        <f t="array" aca="1" ref="BA333" ca="1">IFERROR(INDEX(INDIRECT($B$3&amp;"."&amp;$B$311&amp;".energy["&amp;This.year&amp;"]"),MATCH($C333&amp;BA$5,INDIRECT($B$3&amp;"."&amp;$B$311&amp;".energy[Tech description]")&amp;INDIRECT($B$3&amp;"."&amp;$B$311&amp;".energy[Energy description]"),0)),0)</f>
        <v>0</v>
      </c>
      <c r="BB333" s="21">
        <f t="array" aca="1" ref="BB333" ca="1">IFERROR(INDEX(INDIRECT($B$3&amp;"."&amp;$B$311&amp;".energy["&amp;This.year&amp;"]"),MATCH($C333&amp;BB$5,INDIRECT($B$3&amp;"."&amp;$B$311&amp;".energy[Tech description]")&amp;INDIRECT($B$3&amp;"."&amp;$B$311&amp;".energy[Energy description]"),0)),0)</f>
        <v>0</v>
      </c>
      <c r="BC333" s="21">
        <f t="array" aca="1" ref="BC333" ca="1">IFERROR(INDEX(INDIRECT($B$3&amp;"."&amp;$B$311&amp;".energy["&amp;This.year&amp;"]"),MATCH($C333&amp;BC$5,INDIRECT($B$3&amp;"."&amp;$B$311&amp;".energy[Tech description]")&amp;INDIRECT($B$3&amp;"."&amp;$B$311&amp;".energy[Energy description]"),0)),0)</f>
        <v>0</v>
      </c>
      <c r="BD333" s="21">
        <f t="shared" ca="1" si="130"/>
        <v>0</v>
      </c>
      <c r="BF333" s="49">
        <f t="array" aca="1" ref="BF333" ca="1">IFERROR(INDEX(INDIRECT($B$3&amp;"."&amp;$B$311&amp;".energy["&amp;This.year&amp;"]"),MATCH($C333&amp;BF$5,INDIRECT($B$3&amp;"."&amp;$B$311&amp;".energy[Tech description]")&amp;INDIRECT($B$3&amp;"."&amp;$B$311&amp;".energy[Energy description]"),0)),0)</f>
        <v>0</v>
      </c>
      <c r="BG333" s="49">
        <f t="array" aca="1" ref="BG333" ca="1">IFERROR(INDEX(INDIRECT($B$3&amp;"."&amp;$B$311&amp;".energy["&amp;This.year&amp;"]"),MATCH($C333&amp;BG$5,INDIRECT($B$3&amp;"."&amp;$B$311&amp;".energy[Tech description]")&amp;INDIRECT($B$3&amp;"."&amp;$B$311&amp;".energy[Energy description]"),0)),0)</f>
        <v>0</v>
      </c>
      <c r="BH333" s="49">
        <f t="shared" ca="1" si="131"/>
        <v>0</v>
      </c>
      <c r="BI333" s="219">
        <f t="shared" ca="1" si="128"/>
        <v>0</v>
      </c>
      <c r="BJ333" s="60"/>
    </row>
    <row r="334" spans="2:62">
      <c r="B334" s="176" t="s">
        <v>2353</v>
      </c>
      <c r="C334" s="114" t="str">
        <f>INDEX(Regional.Technologies[Description],MATCH($B$3&amp;"."&amp;B334,Regional.Technologies[Code],0))</f>
        <v>Global Conversion plant (wet biomass to gas)</v>
      </c>
      <c r="D334" s="54"/>
      <c r="E334" s="121">
        <f t="array" aca="1" ref="E334" ca="1">IFERROR(INDEX(INDIRECT($B$3&amp;"."&amp;$B$311&amp;".energy["&amp;This.year&amp;"]"),MATCH($C334&amp;E$5,INDIRECT($B$3&amp;"."&amp;$B$311&amp;".energy[Tech description]")&amp;INDIRECT($B$3&amp;"."&amp;$B$311&amp;".energy[Energy description]"),0)),0)</f>
        <v>0</v>
      </c>
      <c r="F334" s="121">
        <f t="array" aca="1" ref="F334" ca="1">IFERROR(INDEX(INDIRECT($B$3&amp;"."&amp;$B$311&amp;".energy["&amp;This.year&amp;"]"),MATCH($C334&amp;F$5,INDIRECT($B$3&amp;"."&amp;$B$311&amp;".energy[Tech description]")&amp;INDIRECT($B$3&amp;"."&amp;$B$311&amp;".energy[Energy description]"),0)),0)</f>
        <v>0</v>
      </c>
      <c r="G334" s="121">
        <f t="array" aca="1" ref="G334" ca="1">IFERROR(INDEX(INDIRECT($B$3&amp;"."&amp;$B$311&amp;".energy["&amp;This.year&amp;"]"),MATCH($C334&amp;G$5,INDIRECT($B$3&amp;"."&amp;$B$311&amp;".energy[Tech description]")&amp;INDIRECT($B$3&amp;"."&amp;$B$311&amp;".energy[Energy description]"),0)),0)</f>
        <v>0</v>
      </c>
      <c r="H334" s="121">
        <f t="array" aca="1" ref="H334" ca="1">IFERROR(INDEX(INDIRECT($B$3&amp;"."&amp;$B$311&amp;".energy["&amp;This.year&amp;"]"),MATCH($C334&amp;H$5,INDIRECT($B$3&amp;"."&amp;$B$311&amp;".energy[Tech description]")&amp;INDIRECT($B$3&amp;"."&amp;$B$311&amp;".energy[Energy description]"),0)),0)</f>
        <v>0</v>
      </c>
      <c r="I334" s="121">
        <f t="array" aca="1" ref="I334" ca="1">IFERROR(INDEX(INDIRECT($B$3&amp;"."&amp;$B$311&amp;".energy["&amp;This.year&amp;"]"),MATCH($C334&amp;I$5,INDIRECT($B$3&amp;"."&amp;$B$311&amp;".energy[Tech description]")&amp;INDIRECT($B$3&amp;"."&amp;$B$311&amp;".energy[Energy description]"),0)),0)</f>
        <v>0</v>
      </c>
      <c r="J334" s="121">
        <f t="array" aca="1" ref="J334" ca="1">IFERROR(INDEX(INDIRECT($B$3&amp;"."&amp;$B$311&amp;".energy["&amp;This.year&amp;"]"),MATCH($C334&amp;J$5,INDIRECT($B$3&amp;"."&amp;$B$311&amp;".energy[Tech description]")&amp;INDIRECT($B$3&amp;"."&amp;$B$311&amp;".energy[Energy description]"),0)),0)</f>
        <v>0</v>
      </c>
      <c r="K334" s="121">
        <f t="array" aca="1" ref="K334" ca="1">IFERROR(INDEX(INDIRECT($B$3&amp;"."&amp;$B$311&amp;".energy["&amp;This.year&amp;"]"),MATCH($C334&amp;K$5,INDIRECT($B$3&amp;"."&amp;$B$311&amp;".energy[Tech description]")&amp;INDIRECT($B$3&amp;"."&amp;$B$311&amp;".energy[Energy description]"),0)),0)</f>
        <v>0</v>
      </c>
      <c r="L334" s="121">
        <f t="array" aca="1" ref="L334" ca="1">IFERROR(INDEX(INDIRECT($B$3&amp;"."&amp;$B$311&amp;".energy["&amp;This.year&amp;"]"),MATCH($C334&amp;L$5,INDIRECT($B$3&amp;"."&amp;$B$311&amp;".energy[Tech description]")&amp;INDIRECT($B$3&amp;"."&amp;$B$311&amp;".energy[Energy description]"),0)),0)</f>
        <v>0</v>
      </c>
      <c r="M334" s="121">
        <f t="array" aca="1" ref="M334" ca="1">IFERROR(INDEX(INDIRECT($B$3&amp;"."&amp;$B$311&amp;".energy["&amp;This.year&amp;"]"),MATCH($C334&amp;M$5,INDIRECT($B$3&amp;"."&amp;$B$311&amp;".energy[Tech description]")&amp;INDIRECT($B$3&amp;"."&amp;$B$311&amp;".energy[Energy description]"),0)),0)</f>
        <v>0</v>
      </c>
      <c r="N334" s="121">
        <f t="array" aca="1" ref="N334" ca="1">IFERROR(INDEX(INDIRECT($B$3&amp;"."&amp;$B$311&amp;".energy["&amp;This.year&amp;"]"),MATCH($C334&amp;N$5,INDIRECT($B$3&amp;"."&amp;$B$311&amp;".energy[Tech description]")&amp;INDIRECT($B$3&amp;"."&amp;$B$311&amp;".energy[Energy description]"),0)),0)</f>
        <v>0</v>
      </c>
      <c r="O334" s="121">
        <f t="array" aca="1" ref="O334" ca="1">IFERROR(INDEX(INDIRECT($B$3&amp;"."&amp;$B$311&amp;".energy["&amp;This.year&amp;"]"),MATCH($C334&amp;O$5,INDIRECT($B$3&amp;"."&amp;$B$311&amp;".energy[Tech description]")&amp;INDIRECT($B$3&amp;"."&amp;$B$311&amp;".energy[Energy description]"),0)),0)</f>
        <v>0</v>
      </c>
      <c r="P334" s="121">
        <f t="array" aca="1" ref="P334" ca="1">IFERROR(INDEX(INDIRECT($B$3&amp;"."&amp;$B$311&amp;".energy["&amp;This.year&amp;"]"),MATCH($C334&amp;P$5,INDIRECT($B$3&amp;"."&amp;$B$311&amp;".energy[Tech description]")&amp;INDIRECT($B$3&amp;"."&amp;$B$311&amp;".energy[Energy description]"),0)),0)</f>
        <v>0</v>
      </c>
      <c r="Q334" s="121">
        <f t="array" aca="1" ref="Q334" ca="1">IFERROR(INDEX(INDIRECT($B$3&amp;"."&amp;$B$311&amp;".energy["&amp;This.year&amp;"]"),MATCH($C334&amp;Q$5,INDIRECT($B$3&amp;"."&amp;$B$311&amp;".energy[Tech description]")&amp;INDIRECT($B$3&amp;"."&amp;$B$311&amp;".energy[Energy description]"),0)),0)</f>
        <v>0</v>
      </c>
      <c r="R334" s="121">
        <f t="array" aca="1" ref="R334" ca="1">IFERROR(INDEX(INDIRECT($B$3&amp;"."&amp;$B$311&amp;".energy["&amp;This.year&amp;"]"),MATCH($C334&amp;R$5,INDIRECT($B$3&amp;"."&amp;$B$311&amp;".energy[Tech description]")&amp;INDIRECT($B$3&amp;"."&amp;$B$311&amp;".energy[Energy description]"),0)),0)</f>
        <v>0</v>
      </c>
      <c r="S334" s="121">
        <f t="array" aca="1" ref="S334" ca="1">IFERROR(INDEX(INDIRECT($B$3&amp;"."&amp;$B$311&amp;".energy["&amp;This.year&amp;"]"),MATCH($C334&amp;S$5,INDIRECT($B$3&amp;"."&amp;$B$311&amp;".energy[Tech description]")&amp;INDIRECT($B$3&amp;"."&amp;$B$311&amp;".energy[Energy description]"),0)),0)</f>
        <v>0</v>
      </c>
      <c r="T334" s="121">
        <f t="shared" ca="1" si="129"/>
        <v>0</v>
      </c>
      <c r="V334" s="152">
        <f t="array" aca="1" ref="V334" ca="1">IFERROR(INDEX(INDIRECT($B$3&amp;"."&amp;$B$311&amp;".energy["&amp;This.year&amp;"]"),MATCH($C334&amp;V$5,INDIRECT($B$3&amp;"."&amp;$B$311&amp;".energy[Tech description]")&amp;INDIRECT($B$3&amp;"."&amp;$B$311&amp;".energy[Energy description]"),0)),0)</f>
        <v>0</v>
      </c>
      <c r="W334" s="152">
        <f t="array" aca="1" ref="W334" ca="1">IFERROR(INDEX(INDIRECT($B$3&amp;"."&amp;$B$311&amp;".energy["&amp;This.year&amp;"]"),MATCH($C334&amp;W$5,INDIRECT($B$3&amp;"."&amp;$B$311&amp;".energy[Tech description]")&amp;INDIRECT($B$3&amp;"."&amp;$B$311&amp;".energy[Energy description]"),0)),0)</f>
        <v>0</v>
      </c>
      <c r="X334" s="152">
        <f t="array" aca="1" ref="X334" ca="1">IFERROR(INDEX(INDIRECT($B$3&amp;"."&amp;$B$311&amp;".energy["&amp;This.year&amp;"]"),MATCH($C334&amp;X$5,INDIRECT($B$3&amp;"."&amp;$B$311&amp;".energy[Tech description]")&amp;INDIRECT($B$3&amp;"."&amp;$B$311&amp;".energy[Energy description]"),0)),0)</f>
        <v>0</v>
      </c>
      <c r="Y334" s="152">
        <f t="array" aca="1" ref="Y334" ca="1">IFERROR(INDEX(INDIRECT($B$3&amp;"."&amp;$B$311&amp;".energy["&amp;This.year&amp;"]"),MATCH($C334&amp;Y$5,INDIRECT($B$3&amp;"."&amp;$B$311&amp;".energy[Tech description]")&amp;INDIRECT($B$3&amp;"."&amp;$B$311&amp;".energy[Energy description]"),0)),0)</f>
        <v>0</v>
      </c>
      <c r="Z334" s="152">
        <f t="array" aca="1" ref="Z334" ca="1">IFERROR(INDEX(INDIRECT($B$3&amp;"."&amp;$B$311&amp;".energy["&amp;This.year&amp;"]"),MATCH($C334&amp;Z$5,INDIRECT($B$3&amp;"."&amp;$B$311&amp;".energy[Tech description]")&amp;INDIRECT($B$3&amp;"."&amp;$B$311&amp;".energy[Energy description]"),0)),0)</f>
        <v>0</v>
      </c>
      <c r="AA334" s="152">
        <f t="array" aca="1" ref="AA334" ca="1">IFERROR(INDEX(INDIRECT($B$3&amp;"."&amp;$B$311&amp;".energy["&amp;This.year&amp;"]"),MATCH($C334&amp;AA$5,INDIRECT($B$3&amp;"."&amp;$B$311&amp;".energy[Tech description]")&amp;INDIRECT($B$3&amp;"."&amp;$B$311&amp;".energy[Energy description]"),0)),0)</f>
        <v>0</v>
      </c>
      <c r="AB334" s="152">
        <f t="array" aca="1" ref="AB334" ca="1">IFERROR(INDEX(INDIRECT($B$3&amp;"."&amp;$B$311&amp;".energy["&amp;This.year&amp;"]"),MATCH($C334&amp;AB$5,INDIRECT($B$3&amp;"."&amp;$B$311&amp;".energy[Tech description]")&amp;INDIRECT($B$3&amp;"."&amp;$B$311&amp;".energy[Energy description]"),0)),0)</f>
        <v>0</v>
      </c>
      <c r="AC334" s="152">
        <f t="array" aca="1" ref="AC334" ca="1">IFERROR(INDEX(INDIRECT($B$3&amp;"."&amp;$B$311&amp;".energy["&amp;This.year&amp;"]"),MATCH($C334&amp;AC$5,INDIRECT($B$3&amp;"."&amp;$B$311&amp;".energy[Tech description]")&amp;INDIRECT($B$3&amp;"."&amp;$B$311&amp;".energy[Energy description]"),0)),0)</f>
        <v>0</v>
      </c>
      <c r="AD334" s="152">
        <f t="array" aca="1" ref="AD334" ca="1">IFERROR(INDEX(INDIRECT($B$3&amp;"."&amp;$B$311&amp;".energy["&amp;This.year&amp;"]"),MATCH($C334&amp;AD$5,INDIRECT($B$3&amp;"."&amp;$B$311&amp;".energy[Tech description]")&amp;INDIRECT($B$3&amp;"."&amp;$B$311&amp;".energy[Energy description]"),0)),0)</f>
        <v>0</v>
      </c>
      <c r="AE334" s="152">
        <f t="array" aca="1" ref="AE334" ca="1">IFERROR(INDEX(INDIRECT($B$3&amp;"."&amp;$B$311&amp;".energy["&amp;This.year&amp;"]"),MATCH($C334&amp;AE$5,INDIRECT($B$3&amp;"."&amp;$B$311&amp;".energy[Tech description]")&amp;INDIRECT($B$3&amp;"."&amp;$B$311&amp;".energy[Energy description]"),0)),0)</f>
        <v>0</v>
      </c>
      <c r="AF334" s="152">
        <f t="array" aca="1" ref="AF334" ca="1">IFERROR(INDEX(INDIRECT($B$3&amp;"."&amp;$B$311&amp;".energy["&amp;This.year&amp;"]"),MATCH($C334&amp;AF$5,INDIRECT($B$3&amp;"."&amp;$B$311&amp;".energy[Tech description]")&amp;INDIRECT($B$3&amp;"."&amp;$B$311&amp;".energy[Energy description]"),0)),0)</f>
        <v>0</v>
      </c>
      <c r="AG334" s="152">
        <f t="array" aca="1" ref="AG334" ca="1">IFERROR(INDEX(INDIRECT($B$3&amp;"."&amp;$B$311&amp;".energy["&amp;This.year&amp;"]"),MATCH($C334&amp;AG$5,INDIRECT($B$3&amp;"."&amp;$B$311&amp;".energy[Tech description]")&amp;INDIRECT($B$3&amp;"."&amp;$B$311&amp;".energy[Energy description]"),0)),0)</f>
        <v>0</v>
      </c>
      <c r="AH334" s="152">
        <f t="array" aca="1" ref="AH334" ca="1">IFERROR(INDEX(INDIRECT($B$3&amp;"."&amp;$B$311&amp;".energy["&amp;This.year&amp;"]"),MATCH($C334&amp;AH$5,INDIRECT($B$3&amp;"."&amp;$B$311&amp;".energy[Tech description]")&amp;INDIRECT($B$3&amp;"."&amp;$B$311&amp;".energy[Energy description]"),0)),0)</f>
        <v>0</v>
      </c>
      <c r="AI334" s="152">
        <f t="array" aca="1" ref="AI334" ca="1">IFERROR(INDEX(INDIRECT($B$3&amp;"."&amp;$B$311&amp;".energy["&amp;This.year&amp;"]"),MATCH($C334&amp;AI$5,INDIRECT($B$3&amp;"."&amp;$B$311&amp;".energy[Tech description]")&amp;INDIRECT($B$3&amp;"."&amp;$B$311&amp;".energy[Energy description]"),0)),0)</f>
        <v>0</v>
      </c>
      <c r="AJ334" s="152">
        <f t="array" aca="1" ref="AJ334" ca="1">IFERROR(INDEX(INDIRECT($B$3&amp;"."&amp;$B$311&amp;".energy["&amp;This.year&amp;"]"),MATCH($C334&amp;AJ$5,INDIRECT($B$3&amp;"."&amp;$B$311&amp;".energy[Tech description]")&amp;INDIRECT($B$3&amp;"."&amp;$B$311&amp;".energy[Energy description]"),0)),0)</f>
        <v>0</v>
      </c>
      <c r="AK334" s="152">
        <f t="array" aca="1" ref="AK334" ca="1">IFERROR(INDEX(INDIRECT($B$3&amp;"."&amp;$B$311&amp;".energy["&amp;This.year&amp;"]"),MATCH($C334&amp;AK$5,INDIRECT($B$3&amp;"."&amp;$B$311&amp;".energy[Tech description]")&amp;INDIRECT($B$3&amp;"."&amp;$B$311&amp;".energy[Energy description]"),0)),0)</f>
        <v>0</v>
      </c>
      <c r="AL334" s="152">
        <f t="array" aca="1" ref="AL334" ca="1">IFERROR(INDEX(INDIRECT($B$3&amp;"."&amp;$B$311&amp;".energy["&amp;This.year&amp;"]"),MATCH($C334&amp;AL$5,INDIRECT($B$3&amp;"."&amp;$B$311&amp;".energy[Tech description]")&amp;INDIRECT($B$3&amp;"."&amp;$B$311&amp;".energy[Energy description]"),0)),0)</f>
        <v>0</v>
      </c>
      <c r="AM334" s="152">
        <f t="array" aca="1" ref="AM334" ca="1">IFERROR(INDEX(INDIRECT($B$3&amp;"."&amp;$B$311&amp;".energy["&amp;This.year&amp;"]"),MATCH($C334&amp;AM$5,INDIRECT($B$3&amp;"."&amp;$B$311&amp;".energy[Tech description]")&amp;INDIRECT($B$3&amp;"."&amp;$B$311&amp;".energy[Energy description]"),0)),0)</f>
        <v>0</v>
      </c>
      <c r="AN334" s="152">
        <f t="array" aca="1" ref="AN334" ca="1">IFERROR(INDEX(INDIRECT($B$3&amp;"."&amp;$B$311&amp;".energy["&amp;This.year&amp;"]"),MATCH($C334&amp;AN$5,INDIRECT($B$3&amp;"."&amp;$B$311&amp;".energy[Tech description]")&amp;INDIRECT($B$3&amp;"."&amp;$B$311&amp;".energy[Energy description]"),0)),0)</f>
        <v>0</v>
      </c>
      <c r="AO334" s="152">
        <f t="shared" ref="AO334" ca="1" si="133">SUM(V334:AN334)</f>
        <v>0</v>
      </c>
      <c r="AQ334" s="21">
        <f t="array" aca="1" ref="AQ334" ca="1">IFERROR(INDEX(INDIRECT($B$3&amp;"."&amp;$B$311&amp;".energy["&amp;This.year&amp;"]"),MATCH($C334&amp;AQ$5,INDIRECT($B$3&amp;"."&amp;$B$311&amp;".energy[Tech description]")&amp;INDIRECT($B$3&amp;"."&amp;$B$311&amp;".energy[Energy description]"),0)),0)</f>
        <v>0</v>
      </c>
      <c r="AR334" s="21">
        <f t="array" aca="1" ref="AR334" ca="1">IFERROR(INDEX(INDIRECT($B$3&amp;"."&amp;$B$311&amp;".energy["&amp;This.year&amp;"]"),MATCH($C334&amp;AR$5,INDIRECT($B$3&amp;"."&amp;$B$311&amp;".energy[Tech description]")&amp;INDIRECT($B$3&amp;"."&amp;$B$311&amp;".energy[Energy description]"),0)),0)</f>
        <v>0</v>
      </c>
      <c r="AS334" s="21">
        <f t="array" aca="1" ref="AS334" ca="1">IFERROR(INDEX(INDIRECT($B$3&amp;"."&amp;$B$311&amp;".energy["&amp;This.year&amp;"]"),MATCH($C334&amp;AS$5,INDIRECT($B$3&amp;"."&amp;$B$311&amp;".energy[Tech description]")&amp;INDIRECT($B$3&amp;"."&amp;$B$311&amp;".energy[Energy description]"),0)),0)</f>
        <v>0</v>
      </c>
      <c r="AT334" s="21">
        <f t="array" aca="1" ref="AT334" ca="1">IFERROR(INDEX(INDIRECT($B$3&amp;"."&amp;$B$311&amp;".energy["&amp;This.year&amp;"]"),MATCH($C334&amp;AT$5,INDIRECT($B$3&amp;"."&amp;$B$311&amp;".energy[Tech description]")&amp;INDIRECT($B$3&amp;"."&amp;$B$311&amp;".energy[Energy description]"),0)),0)</f>
        <v>0</v>
      </c>
      <c r="AU334" s="21">
        <f t="array" aca="1" ref="AU334" ca="1">IFERROR(INDEX(INDIRECT($B$3&amp;"."&amp;$B$311&amp;".energy["&amp;This.year&amp;"]"),MATCH($C334&amp;AU$5,INDIRECT($B$3&amp;"."&amp;$B$311&amp;".energy[Tech description]")&amp;INDIRECT($B$3&amp;"."&amp;$B$311&amp;".energy[Energy description]"),0)),0)</f>
        <v>0</v>
      </c>
      <c r="AV334" s="21">
        <f t="array" aca="1" ref="AV334" ca="1">IFERROR(INDEX(INDIRECT($B$3&amp;"."&amp;$B$311&amp;".energy["&amp;This.year&amp;"]"),MATCH($C334&amp;AV$5,INDIRECT($B$3&amp;"."&amp;$B$311&amp;".energy[Tech description]")&amp;INDIRECT($B$3&amp;"."&amp;$B$311&amp;".energy[Energy description]"),0)),0)</f>
        <v>0</v>
      </c>
      <c r="AW334" s="21">
        <f t="array" aca="1" ref="AW334" ca="1">IFERROR(INDEX(INDIRECT($B$3&amp;"."&amp;$B$311&amp;".energy["&amp;This.year&amp;"]"),MATCH($C334&amp;AW$5,INDIRECT($B$3&amp;"."&amp;$B$311&amp;".energy[Tech description]")&amp;INDIRECT($B$3&amp;"."&amp;$B$311&amp;".energy[Energy description]"),0)),0)</f>
        <v>0</v>
      </c>
      <c r="AX334" s="21">
        <f t="array" aca="1" ref="AX334" ca="1">IFERROR(INDEX(INDIRECT($B$3&amp;"."&amp;$B$311&amp;".energy["&amp;This.year&amp;"]"),MATCH($C334&amp;AX$5,INDIRECT($B$3&amp;"."&amp;$B$311&amp;".energy[Tech description]")&amp;INDIRECT($B$3&amp;"."&amp;$B$311&amp;".energy[Energy description]"),0)),0)</f>
        <v>0</v>
      </c>
      <c r="AY334" s="21">
        <f t="array" aca="1" ref="AY334" ca="1">IFERROR(INDEX(INDIRECT($B$3&amp;"."&amp;$B$311&amp;".energy["&amp;This.year&amp;"]"),MATCH($C334&amp;AY$5,INDIRECT($B$3&amp;"."&amp;$B$311&amp;".energy[Tech description]")&amp;INDIRECT($B$3&amp;"."&amp;$B$311&amp;".energy[Energy description]"),0)),0)</f>
        <v>0</v>
      </c>
      <c r="AZ334" s="21">
        <f t="array" aca="1" ref="AZ334" ca="1">IFERROR(INDEX(INDIRECT($B$3&amp;"."&amp;$B$311&amp;".energy["&amp;This.year&amp;"]"),MATCH($C334&amp;AZ$5,INDIRECT($B$3&amp;"."&amp;$B$311&amp;".energy[Tech description]")&amp;INDIRECT($B$3&amp;"."&amp;$B$311&amp;".energy[Energy description]"),0)),0)</f>
        <v>0</v>
      </c>
      <c r="BA334" s="21">
        <f t="array" aca="1" ref="BA334" ca="1">IFERROR(INDEX(INDIRECT($B$3&amp;"."&amp;$B$311&amp;".energy["&amp;This.year&amp;"]"),MATCH($C334&amp;BA$5,INDIRECT($B$3&amp;"."&amp;$B$311&amp;".energy[Tech description]")&amp;INDIRECT($B$3&amp;"."&amp;$B$311&amp;".energy[Energy description]"),0)),0)</f>
        <v>0</v>
      </c>
      <c r="BB334" s="21">
        <f t="array" aca="1" ref="BB334" ca="1">IFERROR(INDEX(INDIRECT($B$3&amp;"."&amp;$B$311&amp;".energy["&amp;This.year&amp;"]"),MATCH($C334&amp;BB$5,INDIRECT($B$3&amp;"."&amp;$B$311&amp;".energy[Tech description]")&amp;INDIRECT($B$3&amp;"."&amp;$B$311&amp;".energy[Energy description]"),0)),0)</f>
        <v>0</v>
      </c>
      <c r="BC334" s="21">
        <f t="array" aca="1" ref="BC334" ca="1">IFERROR(INDEX(INDIRECT($B$3&amp;"."&amp;$B$311&amp;".energy["&amp;This.year&amp;"]"),MATCH($C334&amp;BC$5,INDIRECT($B$3&amp;"."&amp;$B$311&amp;".energy[Tech description]")&amp;INDIRECT($B$3&amp;"."&amp;$B$311&amp;".energy[Energy description]"),0)),0)</f>
        <v>0</v>
      </c>
      <c r="BD334" s="21">
        <f t="shared" ca="1" si="130"/>
        <v>0</v>
      </c>
      <c r="BF334" s="49">
        <f t="array" aca="1" ref="BF334" ca="1">IFERROR(INDEX(INDIRECT($B$3&amp;"."&amp;$B$311&amp;".energy["&amp;This.year&amp;"]"),MATCH($C334&amp;BF$5,INDIRECT($B$3&amp;"."&amp;$B$311&amp;".energy[Tech description]")&amp;INDIRECT($B$3&amp;"."&amp;$B$311&amp;".energy[Energy description]"),0)),0)</f>
        <v>0</v>
      </c>
      <c r="BG334" s="49">
        <f t="array" aca="1" ref="BG334" ca="1">IFERROR(INDEX(INDIRECT($B$3&amp;"."&amp;$B$311&amp;".energy["&amp;This.year&amp;"]"),MATCH($C334&amp;BG$5,INDIRECT($B$3&amp;"."&amp;$B$311&amp;".energy[Tech description]")&amp;INDIRECT($B$3&amp;"."&amp;$B$311&amp;".energy[Energy description]"),0)),0)</f>
        <v>0</v>
      </c>
      <c r="BH334" s="49">
        <f t="shared" ca="1" si="131"/>
        <v>0</v>
      </c>
      <c r="BI334" s="219">
        <f t="shared" ca="1" si="128"/>
        <v>0</v>
      </c>
      <c r="BJ334" s="60"/>
    </row>
    <row r="335" spans="2:62">
      <c r="B335" s="176" t="s">
        <v>2408</v>
      </c>
      <c r="C335" s="114" t="str">
        <f>INDEX(Regional.Technologies[Description],MATCH($B$3&amp;"."&amp;B335,Regional.Technologies[Code],0))</f>
        <v>Global Collection of gaseous waste e.g. from landfill</v>
      </c>
      <c r="D335" s="54"/>
      <c r="E335" s="121">
        <f t="array" aca="1" ref="E335" ca="1">IFERROR(INDEX(INDIRECT($B$3&amp;"."&amp;$B$311&amp;".energy["&amp;This.year&amp;"]"),MATCH($C335&amp;E$5,INDIRECT($B$3&amp;"."&amp;$B$311&amp;".energy[Tech description]")&amp;INDIRECT($B$3&amp;"."&amp;$B$311&amp;".energy[Energy description]"),0)),0)</f>
        <v>0</v>
      </c>
      <c r="F335" s="121">
        <f t="array" aca="1" ref="F335" ca="1">IFERROR(INDEX(INDIRECT($B$3&amp;"."&amp;$B$311&amp;".energy["&amp;This.year&amp;"]"),MATCH($C335&amp;F$5,INDIRECT($B$3&amp;"."&amp;$B$311&amp;".energy[Tech description]")&amp;INDIRECT($B$3&amp;"."&amp;$B$311&amp;".energy[Energy description]"),0)),0)</f>
        <v>0</v>
      </c>
      <c r="G335" s="121">
        <f t="array" aca="1" ref="G335" ca="1">IFERROR(INDEX(INDIRECT($B$3&amp;"."&amp;$B$311&amp;".energy["&amp;This.year&amp;"]"),MATCH($C335&amp;G$5,INDIRECT($B$3&amp;"."&amp;$B$311&amp;".energy[Tech description]")&amp;INDIRECT($B$3&amp;"."&amp;$B$311&amp;".energy[Energy description]"),0)),0)</f>
        <v>0</v>
      </c>
      <c r="H335" s="121">
        <f t="array" aca="1" ref="H335" ca="1">IFERROR(INDEX(INDIRECT($B$3&amp;"."&amp;$B$311&amp;".energy["&amp;This.year&amp;"]"),MATCH($C335&amp;H$5,INDIRECT($B$3&amp;"."&amp;$B$311&amp;".energy[Tech description]")&amp;INDIRECT($B$3&amp;"."&amp;$B$311&amp;".energy[Energy description]"),0)),0)</f>
        <v>0</v>
      </c>
      <c r="I335" s="121">
        <f t="array" aca="1" ref="I335" ca="1">IFERROR(INDEX(INDIRECT($B$3&amp;"."&amp;$B$311&amp;".energy["&amp;This.year&amp;"]"),MATCH($C335&amp;I$5,INDIRECT($B$3&amp;"."&amp;$B$311&amp;".energy[Tech description]")&amp;INDIRECT($B$3&amp;"."&amp;$B$311&amp;".energy[Energy description]"),0)),0)</f>
        <v>0</v>
      </c>
      <c r="J335" s="121">
        <f t="array" aca="1" ref="J335" ca="1">IFERROR(INDEX(INDIRECT($B$3&amp;"."&amp;$B$311&amp;".energy["&amp;This.year&amp;"]"),MATCH($C335&amp;J$5,INDIRECT($B$3&amp;"."&amp;$B$311&amp;".energy[Tech description]")&amp;INDIRECT($B$3&amp;"."&amp;$B$311&amp;".energy[Energy description]"),0)),0)</f>
        <v>0</v>
      </c>
      <c r="K335" s="121">
        <f t="array" aca="1" ref="K335" ca="1">IFERROR(INDEX(INDIRECT($B$3&amp;"."&amp;$B$311&amp;".energy["&amp;This.year&amp;"]"),MATCH($C335&amp;K$5,INDIRECT($B$3&amp;"."&amp;$B$311&amp;".energy[Tech description]")&amp;INDIRECT($B$3&amp;"."&amp;$B$311&amp;".energy[Energy description]"),0)),0)</f>
        <v>0</v>
      </c>
      <c r="L335" s="121">
        <f t="array" aca="1" ref="L335" ca="1">IFERROR(INDEX(INDIRECT($B$3&amp;"."&amp;$B$311&amp;".energy["&amp;This.year&amp;"]"),MATCH($C335&amp;L$5,INDIRECT($B$3&amp;"."&amp;$B$311&amp;".energy[Tech description]")&amp;INDIRECT($B$3&amp;"."&amp;$B$311&amp;".energy[Energy description]"),0)),0)</f>
        <v>0</v>
      </c>
      <c r="M335" s="121">
        <f t="array" aca="1" ref="M335" ca="1">IFERROR(INDEX(INDIRECT($B$3&amp;"."&amp;$B$311&amp;".energy["&amp;This.year&amp;"]"),MATCH($C335&amp;M$5,INDIRECT($B$3&amp;"."&amp;$B$311&amp;".energy[Tech description]")&amp;INDIRECT($B$3&amp;"."&amp;$B$311&amp;".energy[Energy description]"),0)),0)</f>
        <v>0</v>
      </c>
      <c r="N335" s="121">
        <f t="array" aca="1" ref="N335" ca="1">IFERROR(INDEX(INDIRECT($B$3&amp;"."&amp;$B$311&amp;".energy["&amp;This.year&amp;"]"),MATCH($C335&amp;N$5,INDIRECT($B$3&amp;"."&amp;$B$311&amp;".energy[Tech description]")&amp;INDIRECT($B$3&amp;"."&amp;$B$311&amp;".energy[Energy description]"),0)),0)</f>
        <v>0</v>
      </c>
      <c r="O335" s="121">
        <f t="array" aca="1" ref="O335" ca="1">IFERROR(INDEX(INDIRECT($B$3&amp;"."&amp;$B$311&amp;".energy["&amp;This.year&amp;"]"),MATCH($C335&amp;O$5,INDIRECT($B$3&amp;"."&amp;$B$311&amp;".energy[Tech description]")&amp;INDIRECT($B$3&amp;"."&amp;$B$311&amp;".energy[Energy description]"),0)),0)</f>
        <v>0</v>
      </c>
      <c r="P335" s="121">
        <f t="array" aca="1" ref="P335" ca="1">IFERROR(INDEX(INDIRECT($B$3&amp;"."&amp;$B$311&amp;".energy["&amp;This.year&amp;"]"),MATCH($C335&amp;P$5,INDIRECT($B$3&amp;"."&amp;$B$311&amp;".energy[Tech description]")&amp;INDIRECT($B$3&amp;"."&amp;$B$311&amp;".energy[Energy description]"),0)),0)</f>
        <v>0</v>
      </c>
      <c r="Q335" s="121">
        <f t="array" aca="1" ref="Q335" ca="1">IFERROR(INDEX(INDIRECT($B$3&amp;"."&amp;$B$311&amp;".energy["&amp;This.year&amp;"]"),MATCH($C335&amp;Q$5,INDIRECT($B$3&amp;"."&amp;$B$311&amp;".energy[Tech description]")&amp;INDIRECT($B$3&amp;"."&amp;$B$311&amp;".energy[Energy description]"),0)),0)</f>
        <v>0</v>
      </c>
      <c r="R335" s="121">
        <f t="array" aca="1" ref="R335" ca="1">IFERROR(INDEX(INDIRECT($B$3&amp;"."&amp;$B$311&amp;".energy["&amp;This.year&amp;"]"),MATCH($C335&amp;R$5,INDIRECT($B$3&amp;"."&amp;$B$311&amp;".energy[Tech description]")&amp;INDIRECT($B$3&amp;"."&amp;$B$311&amp;".energy[Energy description]"),0)),0)</f>
        <v>0</v>
      </c>
      <c r="S335" s="121">
        <f t="array" aca="1" ref="S335" ca="1">IFERROR(INDEX(INDIRECT($B$3&amp;"."&amp;$B$311&amp;".energy["&amp;This.year&amp;"]"),MATCH($C335&amp;S$5,INDIRECT($B$3&amp;"."&amp;$B$311&amp;".energy[Tech description]")&amp;INDIRECT($B$3&amp;"."&amp;$B$311&amp;".energy[Energy description]"),0)),0)</f>
        <v>0</v>
      </c>
      <c r="T335" s="121">
        <f t="shared" ca="1" si="129"/>
        <v>0</v>
      </c>
      <c r="V335" s="152">
        <f t="array" aca="1" ref="V335" ca="1">IFERROR(INDEX(INDIRECT($B$3&amp;"."&amp;$B$311&amp;".energy["&amp;This.year&amp;"]"),MATCH($C335&amp;V$5,INDIRECT($B$3&amp;"."&amp;$B$311&amp;".energy[Tech description]")&amp;INDIRECT($B$3&amp;"."&amp;$B$311&amp;".energy[Energy description]"),0)),0)</f>
        <v>0</v>
      </c>
      <c r="W335" s="152">
        <f t="array" aca="1" ref="W335" ca="1">IFERROR(INDEX(INDIRECT($B$3&amp;"."&amp;$B$311&amp;".energy["&amp;This.year&amp;"]"),MATCH($C335&amp;W$5,INDIRECT($B$3&amp;"."&amp;$B$311&amp;".energy[Tech description]")&amp;INDIRECT($B$3&amp;"."&amp;$B$311&amp;".energy[Energy description]"),0)),0)</f>
        <v>0</v>
      </c>
      <c r="X335" s="152">
        <f t="array" aca="1" ref="X335" ca="1">IFERROR(INDEX(INDIRECT($B$3&amp;"."&amp;$B$311&amp;".energy["&amp;This.year&amp;"]"),MATCH($C335&amp;X$5,INDIRECT($B$3&amp;"."&amp;$B$311&amp;".energy[Tech description]")&amp;INDIRECT($B$3&amp;"."&amp;$B$311&amp;".energy[Energy description]"),0)),0)</f>
        <v>0</v>
      </c>
      <c r="Y335" s="152">
        <f t="array" aca="1" ref="Y335" ca="1">IFERROR(INDEX(INDIRECT($B$3&amp;"."&amp;$B$311&amp;".energy["&amp;This.year&amp;"]"),MATCH($C335&amp;Y$5,INDIRECT($B$3&amp;"."&amp;$B$311&amp;".energy[Tech description]")&amp;INDIRECT($B$3&amp;"."&amp;$B$311&amp;".energy[Energy description]"),0)),0)</f>
        <v>0</v>
      </c>
      <c r="Z335" s="152">
        <f t="array" aca="1" ref="Z335" ca="1">IFERROR(INDEX(INDIRECT($B$3&amp;"."&amp;$B$311&amp;".energy["&amp;This.year&amp;"]"),MATCH($C335&amp;Z$5,INDIRECT($B$3&amp;"."&amp;$B$311&amp;".energy[Tech description]")&amp;INDIRECT($B$3&amp;"."&amp;$B$311&amp;".energy[Energy description]"),0)),0)</f>
        <v>0</v>
      </c>
      <c r="AA335" s="152">
        <f t="array" aca="1" ref="AA335" ca="1">IFERROR(INDEX(INDIRECT($B$3&amp;"."&amp;$B$311&amp;".energy["&amp;This.year&amp;"]"),MATCH($C335&amp;AA$5,INDIRECT($B$3&amp;"."&amp;$B$311&amp;".energy[Tech description]")&amp;INDIRECT($B$3&amp;"."&amp;$B$311&amp;".energy[Energy description]"),0)),0)</f>
        <v>0</v>
      </c>
      <c r="AB335" s="152">
        <f t="array" aca="1" ref="AB335" ca="1">IFERROR(INDEX(INDIRECT($B$3&amp;"."&amp;$B$311&amp;".energy["&amp;This.year&amp;"]"),MATCH($C335&amp;AB$5,INDIRECT($B$3&amp;"."&amp;$B$311&amp;".energy[Tech description]")&amp;INDIRECT($B$3&amp;"."&amp;$B$311&amp;".energy[Energy description]"),0)),0)</f>
        <v>0</v>
      </c>
      <c r="AC335" s="152">
        <f t="array" aca="1" ref="AC335" ca="1">IFERROR(INDEX(INDIRECT($B$3&amp;"."&amp;$B$311&amp;".energy["&amp;This.year&amp;"]"),MATCH($C335&amp;AC$5,INDIRECT($B$3&amp;"."&amp;$B$311&amp;".energy[Tech description]")&amp;INDIRECT($B$3&amp;"."&amp;$B$311&amp;".energy[Energy description]"),0)),0)</f>
        <v>0</v>
      </c>
      <c r="AD335" s="152">
        <f t="array" aca="1" ref="AD335" ca="1">IFERROR(INDEX(INDIRECT($B$3&amp;"."&amp;$B$311&amp;".energy["&amp;This.year&amp;"]"),MATCH($C335&amp;AD$5,INDIRECT($B$3&amp;"."&amp;$B$311&amp;".energy[Tech description]")&amp;INDIRECT($B$3&amp;"."&amp;$B$311&amp;".energy[Energy description]"),0)),0)</f>
        <v>0</v>
      </c>
      <c r="AE335" s="152">
        <f t="array" aca="1" ref="AE335" ca="1">IFERROR(INDEX(INDIRECT($B$3&amp;"."&amp;$B$311&amp;".energy["&amp;This.year&amp;"]"),MATCH($C335&amp;AE$5,INDIRECT($B$3&amp;"."&amp;$B$311&amp;".energy[Tech description]")&amp;INDIRECT($B$3&amp;"."&amp;$B$311&amp;".energy[Energy description]"),0)),0)</f>
        <v>0</v>
      </c>
      <c r="AF335" s="152">
        <f t="array" aca="1" ref="AF335" ca="1">IFERROR(INDEX(INDIRECT($B$3&amp;"."&amp;$B$311&amp;".energy["&amp;This.year&amp;"]"),MATCH($C335&amp;AF$5,INDIRECT($B$3&amp;"."&amp;$B$311&amp;".energy[Tech description]")&amp;INDIRECT($B$3&amp;"."&amp;$B$311&amp;".energy[Energy description]"),0)),0)</f>
        <v>0</v>
      </c>
      <c r="AG335" s="152">
        <f t="array" aca="1" ref="AG335" ca="1">IFERROR(INDEX(INDIRECT($B$3&amp;"."&amp;$B$311&amp;".energy["&amp;This.year&amp;"]"),MATCH($C335&amp;AG$5,INDIRECT($B$3&amp;"."&amp;$B$311&amp;".energy[Tech description]")&amp;INDIRECT($B$3&amp;"."&amp;$B$311&amp;".energy[Energy description]"),0)),0)</f>
        <v>0</v>
      </c>
      <c r="AH335" s="152">
        <f t="array" aca="1" ref="AH335" ca="1">IFERROR(INDEX(INDIRECT($B$3&amp;"."&amp;$B$311&amp;".energy["&amp;This.year&amp;"]"),MATCH($C335&amp;AH$5,INDIRECT($B$3&amp;"."&amp;$B$311&amp;".energy[Tech description]")&amp;INDIRECT($B$3&amp;"."&amp;$B$311&amp;".energy[Energy description]"),0)),0)</f>
        <v>0</v>
      </c>
      <c r="AI335" s="152">
        <f t="array" aca="1" ref="AI335" ca="1">IFERROR(INDEX(INDIRECT($B$3&amp;"."&amp;$B$311&amp;".energy["&amp;This.year&amp;"]"),MATCH($C335&amp;AI$5,INDIRECT($B$3&amp;"."&amp;$B$311&amp;".energy[Tech description]")&amp;INDIRECT($B$3&amp;"."&amp;$B$311&amp;".energy[Energy description]"),0)),0)</f>
        <v>0</v>
      </c>
      <c r="AJ335" s="152">
        <f t="array" aca="1" ref="AJ335" ca="1">IFERROR(INDEX(INDIRECT($B$3&amp;"."&amp;$B$311&amp;".energy["&amp;This.year&amp;"]"),MATCH($C335&amp;AJ$5,INDIRECT($B$3&amp;"."&amp;$B$311&amp;".energy[Tech description]")&amp;INDIRECT($B$3&amp;"."&amp;$B$311&amp;".energy[Energy description]"),0)),0)</f>
        <v>0</v>
      </c>
      <c r="AK335" s="152">
        <f t="array" aca="1" ref="AK335" ca="1">IFERROR(INDEX(INDIRECT($B$3&amp;"."&amp;$B$311&amp;".energy["&amp;This.year&amp;"]"),MATCH($C335&amp;AK$5,INDIRECT($B$3&amp;"."&amp;$B$311&amp;".energy[Tech description]")&amp;INDIRECT($B$3&amp;"."&amp;$B$311&amp;".energy[Energy description]"),0)),0)</f>
        <v>0</v>
      </c>
      <c r="AL335" s="152">
        <f t="array" aca="1" ref="AL335" ca="1">IFERROR(INDEX(INDIRECT($B$3&amp;"."&amp;$B$311&amp;".energy["&amp;This.year&amp;"]"),MATCH($C335&amp;AL$5,INDIRECT($B$3&amp;"."&amp;$B$311&amp;".energy[Tech description]")&amp;INDIRECT($B$3&amp;"."&amp;$B$311&amp;".energy[Energy description]"),0)),0)</f>
        <v>0</v>
      </c>
      <c r="AM335" s="152">
        <f t="array" aca="1" ref="AM335" ca="1">IFERROR(INDEX(INDIRECT($B$3&amp;"."&amp;$B$311&amp;".energy["&amp;This.year&amp;"]"),MATCH($C335&amp;AM$5,INDIRECT($B$3&amp;"."&amp;$B$311&amp;".energy[Tech description]")&amp;INDIRECT($B$3&amp;"."&amp;$B$311&amp;".energy[Energy description]"),0)),0)</f>
        <v>0</v>
      </c>
      <c r="AN335" s="152">
        <f t="array" aca="1" ref="AN335" ca="1">IFERROR(INDEX(INDIRECT($B$3&amp;"."&amp;$B$311&amp;".energy["&amp;This.year&amp;"]"),MATCH($C335&amp;AN$5,INDIRECT($B$3&amp;"."&amp;$B$311&amp;".energy[Tech description]")&amp;INDIRECT($B$3&amp;"."&amp;$B$311&amp;".energy[Energy description]"),0)),0)</f>
        <v>0</v>
      </c>
      <c r="AO335" s="152">
        <f ca="1">SUM(V335:AN335)</f>
        <v>0</v>
      </c>
      <c r="AQ335" s="21">
        <f t="array" aca="1" ref="AQ335" ca="1">IFERROR(INDEX(INDIRECT($B$3&amp;"."&amp;$B$311&amp;".energy["&amp;This.year&amp;"]"),MATCH($C335&amp;AQ$5,INDIRECT($B$3&amp;"."&amp;$B$311&amp;".energy[Tech description]")&amp;INDIRECT($B$3&amp;"."&amp;$B$311&amp;".energy[Energy description]"),0)),0)</f>
        <v>0</v>
      </c>
      <c r="AR335" s="21">
        <f t="array" aca="1" ref="AR335" ca="1">IFERROR(INDEX(INDIRECT($B$3&amp;"."&amp;$B$311&amp;".energy["&amp;This.year&amp;"]"),MATCH($C335&amp;AR$5,INDIRECT($B$3&amp;"."&amp;$B$311&amp;".energy[Tech description]")&amp;INDIRECT($B$3&amp;"."&amp;$B$311&amp;".energy[Energy description]"),0)),0)</f>
        <v>0</v>
      </c>
      <c r="AS335" s="21">
        <f t="array" aca="1" ref="AS335" ca="1">IFERROR(INDEX(INDIRECT($B$3&amp;"."&amp;$B$311&amp;".energy["&amp;This.year&amp;"]"),MATCH($C335&amp;AS$5,INDIRECT($B$3&amp;"."&amp;$B$311&amp;".energy[Tech description]")&amp;INDIRECT($B$3&amp;"."&amp;$B$311&amp;".energy[Energy description]"),0)),0)</f>
        <v>0</v>
      </c>
      <c r="AT335" s="21">
        <f t="array" aca="1" ref="AT335" ca="1">IFERROR(INDEX(INDIRECT($B$3&amp;"."&amp;$B$311&amp;".energy["&amp;This.year&amp;"]"),MATCH($C335&amp;AT$5,INDIRECT($B$3&amp;"."&amp;$B$311&amp;".energy[Tech description]")&amp;INDIRECT($B$3&amp;"."&amp;$B$311&amp;".energy[Energy description]"),0)),0)</f>
        <v>0</v>
      </c>
      <c r="AU335" s="21">
        <f t="array" aca="1" ref="AU335" ca="1">IFERROR(INDEX(INDIRECT($B$3&amp;"."&amp;$B$311&amp;".energy["&amp;This.year&amp;"]"),MATCH($C335&amp;AU$5,INDIRECT($B$3&amp;"."&amp;$B$311&amp;".energy[Tech description]")&amp;INDIRECT($B$3&amp;"."&amp;$B$311&amp;".energy[Energy description]"),0)),0)</f>
        <v>0</v>
      </c>
      <c r="AV335" s="21">
        <f t="array" aca="1" ref="AV335" ca="1">IFERROR(INDEX(INDIRECT($B$3&amp;"."&amp;$B$311&amp;".energy["&amp;This.year&amp;"]"),MATCH($C335&amp;AV$5,INDIRECT($B$3&amp;"."&amp;$B$311&amp;".energy[Tech description]")&amp;INDIRECT($B$3&amp;"."&amp;$B$311&amp;".energy[Energy description]"),0)),0)</f>
        <v>0</v>
      </c>
      <c r="AW335" s="21">
        <f t="array" aca="1" ref="AW335" ca="1">IFERROR(INDEX(INDIRECT($B$3&amp;"."&amp;$B$311&amp;".energy["&amp;This.year&amp;"]"),MATCH($C335&amp;AW$5,INDIRECT($B$3&amp;"."&amp;$B$311&amp;".energy[Tech description]")&amp;INDIRECT($B$3&amp;"."&amp;$B$311&amp;".energy[Energy description]"),0)),0)</f>
        <v>0</v>
      </c>
      <c r="AX335" s="21">
        <f t="array" aca="1" ref="AX335" ca="1">IFERROR(INDEX(INDIRECT($B$3&amp;"."&amp;$B$311&amp;".energy["&amp;This.year&amp;"]"),MATCH($C335&amp;AX$5,INDIRECT($B$3&amp;"."&amp;$B$311&amp;".energy[Tech description]")&amp;INDIRECT($B$3&amp;"."&amp;$B$311&amp;".energy[Energy description]"),0)),0)</f>
        <v>0</v>
      </c>
      <c r="AY335" s="21">
        <f t="array" aca="1" ref="AY335" ca="1">IFERROR(INDEX(INDIRECT($B$3&amp;"."&amp;$B$311&amp;".energy["&amp;This.year&amp;"]"),MATCH($C335&amp;AY$5,INDIRECT($B$3&amp;"."&amp;$B$311&amp;".energy[Tech description]")&amp;INDIRECT($B$3&amp;"."&amp;$B$311&amp;".energy[Energy description]"),0)),0)</f>
        <v>0</v>
      </c>
      <c r="AZ335" s="21">
        <f t="array" aca="1" ref="AZ335" ca="1">IFERROR(INDEX(INDIRECT($B$3&amp;"."&amp;$B$311&amp;".energy["&amp;This.year&amp;"]"),MATCH($C335&amp;AZ$5,INDIRECT($B$3&amp;"."&amp;$B$311&amp;".energy[Tech description]")&amp;INDIRECT($B$3&amp;"."&amp;$B$311&amp;".energy[Energy description]"),0)),0)</f>
        <v>0</v>
      </c>
      <c r="BA335" s="21">
        <f t="array" aca="1" ref="BA335" ca="1">IFERROR(INDEX(INDIRECT($B$3&amp;"."&amp;$B$311&amp;".energy["&amp;This.year&amp;"]"),MATCH($C335&amp;BA$5,INDIRECT($B$3&amp;"."&amp;$B$311&amp;".energy[Tech description]")&amp;INDIRECT($B$3&amp;"."&amp;$B$311&amp;".energy[Energy description]"),0)),0)</f>
        <v>0</v>
      </c>
      <c r="BB335" s="21">
        <f t="array" aca="1" ref="BB335" ca="1">IFERROR(INDEX(INDIRECT($B$3&amp;"."&amp;$B$311&amp;".energy["&amp;This.year&amp;"]"),MATCH($C335&amp;BB$5,INDIRECT($B$3&amp;"."&amp;$B$311&amp;".energy[Tech description]")&amp;INDIRECT($B$3&amp;"."&amp;$B$311&amp;".energy[Energy description]"),0)),0)</f>
        <v>0</v>
      </c>
      <c r="BC335" s="21">
        <f t="array" aca="1" ref="BC335" ca="1">IFERROR(INDEX(INDIRECT($B$3&amp;"."&amp;$B$311&amp;".energy["&amp;This.year&amp;"]"),MATCH($C335&amp;BC$5,INDIRECT($B$3&amp;"."&amp;$B$311&amp;".energy[Tech description]")&amp;INDIRECT($B$3&amp;"."&amp;$B$311&amp;".energy[Energy description]"),0)),0)</f>
        <v>0</v>
      </c>
      <c r="BD335" s="21">
        <f t="shared" ca="1" si="130"/>
        <v>0</v>
      </c>
      <c r="BF335" s="49">
        <f t="array" aca="1" ref="BF335" ca="1">IFERROR(INDEX(INDIRECT($B$3&amp;"."&amp;$B$311&amp;".energy["&amp;This.year&amp;"]"),MATCH($C335&amp;BF$5,INDIRECT($B$3&amp;"."&amp;$B$311&amp;".energy[Tech description]")&amp;INDIRECT($B$3&amp;"."&amp;$B$311&amp;".energy[Energy description]"),0)),0)</f>
        <v>0</v>
      </c>
      <c r="BG335" s="49">
        <f t="array" aca="1" ref="BG335" ca="1">IFERROR(INDEX(INDIRECT($B$3&amp;"."&amp;$B$311&amp;".energy["&amp;This.year&amp;"]"),MATCH($C335&amp;BG$5,INDIRECT($B$3&amp;"."&amp;$B$311&amp;".energy[Tech description]")&amp;INDIRECT($B$3&amp;"."&amp;$B$311&amp;".energy[Energy description]"),0)),0)</f>
        <v>0</v>
      </c>
      <c r="BH335" s="49">
        <f t="shared" ca="1" si="131"/>
        <v>0</v>
      </c>
      <c r="BI335" s="219">
        <f t="shared" ca="1" si="128"/>
        <v>0</v>
      </c>
      <c r="BJ335" s="60"/>
    </row>
    <row r="336" spans="2:62">
      <c r="B336" s="176"/>
      <c r="C336" s="176"/>
      <c r="D336" s="54"/>
      <c r="E336" s="230"/>
      <c r="F336" s="230"/>
      <c r="G336" s="230"/>
      <c r="H336" s="230"/>
      <c r="I336" s="230"/>
      <c r="J336" s="230"/>
      <c r="K336" s="230"/>
      <c r="L336" s="230"/>
      <c r="M336" s="230"/>
      <c r="N336" s="230"/>
      <c r="O336" s="230"/>
      <c r="P336" s="230"/>
      <c r="Q336" s="230"/>
      <c r="R336" s="230"/>
      <c r="S336" s="230"/>
      <c r="T336" s="230"/>
      <c r="U336" s="376"/>
      <c r="V336" s="152"/>
      <c r="W336" s="152"/>
      <c r="X336" s="152"/>
      <c r="Y336" s="152"/>
      <c r="Z336" s="152"/>
      <c r="AA336" s="152"/>
      <c r="AB336" s="152"/>
      <c r="AC336" s="152"/>
      <c r="AD336" s="152"/>
      <c r="AE336" s="152"/>
      <c r="AF336" s="152"/>
      <c r="AG336" s="152"/>
      <c r="AH336" s="152"/>
      <c r="AI336" s="152"/>
      <c r="AJ336" s="152"/>
      <c r="AK336" s="152"/>
      <c r="AL336" s="152"/>
      <c r="AM336" s="152"/>
      <c r="AN336" s="152"/>
      <c r="AO336" s="152"/>
      <c r="AP336" s="376"/>
      <c r="AQ336" s="21"/>
      <c r="AR336" s="21"/>
      <c r="AS336" s="21"/>
      <c r="AT336" s="21"/>
      <c r="AU336" s="21"/>
      <c r="AV336" s="21"/>
      <c r="AW336" s="21"/>
      <c r="AX336" s="21"/>
      <c r="AY336" s="21"/>
      <c r="AZ336" s="21"/>
      <c r="BA336" s="21"/>
      <c r="BB336" s="21"/>
      <c r="BC336" s="21"/>
      <c r="BD336" s="21"/>
      <c r="BE336" s="376"/>
      <c r="BF336" s="49"/>
      <c r="BG336" s="49"/>
      <c r="BH336" s="49"/>
      <c r="BJ336" s="60"/>
    </row>
    <row r="337" spans="1:62" ht="15">
      <c r="B337" s="105">
        <v>60</v>
      </c>
      <c r="C337" s="15" t="str">
        <f>INDEX(Regional.sectors[Description],MATCH($B$3&amp;"."&amp;B337,Regional.sectors[Code],0))</f>
        <v>Global Land / Food / Bioenergy / Sequestration</v>
      </c>
      <c r="D337" s="219" t="s">
        <v>414</v>
      </c>
      <c r="E337" s="121">
        <f t="shared" ref="E337:T337" ca="1" si="134">SUM(E339:E349)</f>
        <v>0</v>
      </c>
      <c r="F337" s="121">
        <f t="shared" ca="1" si="134"/>
        <v>0</v>
      </c>
      <c r="G337" s="121">
        <f t="shared" ca="1" si="134"/>
        <v>0</v>
      </c>
      <c r="H337" s="121">
        <f t="shared" ca="1" si="134"/>
        <v>0</v>
      </c>
      <c r="I337" s="121">
        <f t="shared" ca="1" si="134"/>
        <v>0</v>
      </c>
      <c r="J337" s="121">
        <f t="shared" ca="1" si="134"/>
        <v>0</v>
      </c>
      <c r="K337" s="121">
        <f t="shared" ca="1" si="134"/>
        <v>0</v>
      </c>
      <c r="L337" s="121">
        <f t="shared" ca="1" si="134"/>
        <v>0</v>
      </c>
      <c r="M337" s="121">
        <f t="shared" ca="1" si="134"/>
        <v>0</v>
      </c>
      <c r="N337" s="121">
        <f t="shared" ca="1" si="134"/>
        <v>0</v>
      </c>
      <c r="O337" s="121">
        <f t="shared" ref="O337" ca="1" si="135">SUM(O339:O349)</f>
        <v>0</v>
      </c>
      <c r="P337" s="121">
        <f t="shared" ca="1" si="134"/>
        <v>0</v>
      </c>
      <c r="Q337" s="121">
        <f t="shared" ca="1" si="134"/>
        <v>0</v>
      </c>
      <c r="R337" s="121">
        <f t="shared" ca="1" si="134"/>
        <v>0</v>
      </c>
      <c r="S337" s="121">
        <f t="shared" ca="1" si="134"/>
        <v>0</v>
      </c>
      <c r="T337" s="121">
        <f t="shared" ca="1" si="134"/>
        <v>0</v>
      </c>
      <c r="U337" s="60"/>
      <c r="V337" s="152">
        <f t="shared" ref="V337:AO337" ca="1" si="136">SUM(V339:V349)</f>
        <v>0</v>
      </c>
      <c r="W337" s="152">
        <f t="shared" ca="1" si="136"/>
        <v>0</v>
      </c>
      <c r="X337" s="152">
        <f t="shared" ca="1" si="136"/>
        <v>0</v>
      </c>
      <c r="Y337" s="152">
        <f t="shared" ca="1" si="136"/>
        <v>0</v>
      </c>
      <c r="Z337" s="152">
        <f t="shared" ca="1" si="136"/>
        <v>0</v>
      </c>
      <c r="AA337" s="152">
        <f t="shared" ca="1" si="136"/>
        <v>0</v>
      </c>
      <c r="AB337" s="152">
        <f t="shared" ca="1" si="136"/>
        <v>0</v>
      </c>
      <c r="AC337" s="152">
        <f t="shared" ca="1" si="136"/>
        <v>0</v>
      </c>
      <c r="AD337" s="152">
        <f t="shared" ca="1" si="136"/>
        <v>0</v>
      </c>
      <c r="AE337" s="152">
        <f t="shared" ca="1" si="136"/>
        <v>0</v>
      </c>
      <c r="AF337" s="152">
        <f t="shared" ca="1" si="136"/>
        <v>0</v>
      </c>
      <c r="AG337" s="152">
        <f t="shared" ca="1" si="136"/>
        <v>0</v>
      </c>
      <c r="AH337" s="152">
        <f t="shared" ca="1" si="136"/>
        <v>0</v>
      </c>
      <c r="AI337" s="152">
        <f t="shared" ca="1" si="136"/>
        <v>0</v>
      </c>
      <c r="AJ337" s="152">
        <f t="shared" ca="1" si="136"/>
        <v>0</v>
      </c>
      <c r="AK337" s="152">
        <f t="shared" ca="1" si="136"/>
        <v>0</v>
      </c>
      <c r="AL337" s="152">
        <f t="shared" ca="1" si="136"/>
        <v>0</v>
      </c>
      <c r="AM337" s="152">
        <f t="shared" ca="1" si="136"/>
        <v>0</v>
      </c>
      <c r="AN337" s="152">
        <f t="shared" ca="1" si="136"/>
        <v>0</v>
      </c>
      <c r="AO337" s="152">
        <f t="shared" ca="1" si="136"/>
        <v>0</v>
      </c>
      <c r="AP337" s="60"/>
      <c r="AQ337" s="21">
        <f t="shared" ref="AQ337:BD337" ca="1" si="137">SUM(AQ339:AQ350)</f>
        <v>0</v>
      </c>
      <c r="AR337" s="21">
        <f t="shared" ca="1" si="137"/>
        <v>0</v>
      </c>
      <c r="AS337" s="21">
        <f t="shared" ca="1" si="137"/>
        <v>0</v>
      </c>
      <c r="AT337" s="21">
        <f t="shared" ca="1" si="137"/>
        <v>0</v>
      </c>
      <c r="AU337" s="21">
        <f t="shared" ca="1" si="137"/>
        <v>0</v>
      </c>
      <c r="AV337" s="21">
        <f t="shared" ca="1" si="137"/>
        <v>0</v>
      </c>
      <c r="AW337" s="21">
        <f t="shared" ca="1" si="137"/>
        <v>0</v>
      </c>
      <c r="AX337" s="21">
        <f t="shared" ca="1" si="137"/>
        <v>0</v>
      </c>
      <c r="AY337" s="21">
        <f t="shared" ca="1" si="137"/>
        <v>0</v>
      </c>
      <c r="AZ337" s="21">
        <f t="shared" ca="1" si="137"/>
        <v>0</v>
      </c>
      <c r="BA337" s="21">
        <f t="shared" ca="1" si="137"/>
        <v>0</v>
      </c>
      <c r="BB337" s="21">
        <f t="shared" ca="1" si="137"/>
        <v>0</v>
      </c>
      <c r="BC337" s="21">
        <f t="shared" ca="1" si="137"/>
        <v>0</v>
      </c>
      <c r="BD337" s="21">
        <f t="shared" ca="1" si="137"/>
        <v>0</v>
      </c>
      <c r="BE337" s="60"/>
      <c r="BF337" s="49">
        <f ca="1">SUM(BF339:BF349)</f>
        <v>0</v>
      </c>
      <c r="BG337" s="49">
        <f ca="1">SUM(BG339:BG349)</f>
        <v>0</v>
      </c>
      <c r="BH337" s="49">
        <f ca="1">SUM(BH339:BH349)</f>
        <v>0</v>
      </c>
      <c r="BI337" s="219">
        <f ca="1">SUM(T337,AO337,BD337,BH337)</f>
        <v>0</v>
      </c>
      <c r="BJ337" s="58"/>
    </row>
    <row r="338" spans="1:62" s="54" customFormat="1">
      <c r="A338" s="133"/>
      <c r="B338" s="105"/>
      <c r="E338" s="121"/>
      <c r="F338" s="121"/>
      <c r="G338" s="121"/>
      <c r="H338" s="121"/>
      <c r="I338" s="121"/>
      <c r="J338" s="121"/>
      <c r="K338" s="121"/>
      <c r="L338" s="121"/>
      <c r="M338" s="121"/>
      <c r="N338" s="121"/>
      <c r="O338" s="121"/>
      <c r="P338" s="121"/>
      <c r="Q338" s="121"/>
      <c r="R338" s="121"/>
      <c r="S338" s="121"/>
      <c r="T338" s="121"/>
      <c r="U338" s="108"/>
      <c r="V338" s="152"/>
      <c r="W338" s="152"/>
      <c r="X338" s="152"/>
      <c r="Y338" s="152"/>
      <c r="Z338" s="152"/>
      <c r="AA338" s="152"/>
      <c r="AB338" s="152"/>
      <c r="AC338" s="152"/>
      <c r="AD338" s="152"/>
      <c r="AE338" s="152"/>
      <c r="AF338" s="152"/>
      <c r="AG338" s="152"/>
      <c r="AH338" s="152"/>
      <c r="AI338" s="152"/>
      <c r="AJ338" s="152"/>
      <c r="AK338" s="152"/>
      <c r="AL338" s="152"/>
      <c r="AM338" s="152"/>
      <c r="AN338" s="152"/>
      <c r="AO338" s="152"/>
      <c r="AP338" s="108"/>
      <c r="AQ338" s="21"/>
      <c r="AR338" s="21"/>
      <c r="AS338" s="21"/>
      <c r="AT338" s="21"/>
      <c r="AU338" s="21"/>
      <c r="AV338" s="21"/>
      <c r="AW338" s="21"/>
      <c r="AX338" s="21"/>
      <c r="AY338" s="21"/>
      <c r="AZ338" s="21"/>
      <c r="BA338" s="21"/>
      <c r="BB338" s="21"/>
      <c r="BC338" s="21"/>
      <c r="BD338" s="21"/>
      <c r="BE338" s="108"/>
      <c r="BF338" s="49"/>
      <c r="BG338" s="49"/>
      <c r="BH338" s="49"/>
      <c r="BI338" s="219"/>
      <c r="BJ338" s="108"/>
    </row>
    <row r="339" spans="1:62">
      <c r="B339" s="176" t="s">
        <v>1206</v>
      </c>
      <c r="C339" s="114" t="str">
        <f>INDEX(Regional.Technologies[Description],MATCH($B$3&amp;"."&amp;B339,Regional.Technologies[Code],0))</f>
        <v>Global Forest</v>
      </c>
      <c r="E339" s="121">
        <f t="array" aca="1" ref="E339" ca="1">IFERROR(INDEX(INDIRECT($B$3&amp;"."&amp;$B$337&amp;".energy["&amp;This.year&amp;"]"),MATCH($C339&amp;E$5,INDIRECT($B$3&amp;"."&amp;$B$337&amp;".energy[Tech description]")&amp;INDIRECT($B$3&amp;"."&amp;$B$337&amp;".energy[Energy description]"),0)),0)</f>
        <v>0</v>
      </c>
      <c r="F339" s="121">
        <f t="array" aca="1" ref="F339" ca="1">IFERROR(INDEX(INDIRECT($B$3&amp;"."&amp;$B$337&amp;".energy["&amp;This.year&amp;"]"),MATCH($C339&amp;F$5,INDIRECT($B$3&amp;"."&amp;$B$337&amp;".energy[Tech description]")&amp;INDIRECT($B$3&amp;"."&amp;$B$337&amp;".energy[Energy description]"),0)),0)</f>
        <v>0</v>
      </c>
      <c r="G339" s="121">
        <f t="array" aca="1" ref="G339" ca="1">IFERROR(INDEX(INDIRECT($B$3&amp;"."&amp;$B$337&amp;".energy["&amp;This.year&amp;"]"),MATCH($C339&amp;G$5,INDIRECT($B$3&amp;"."&amp;$B$337&amp;".energy[Tech description]")&amp;INDIRECT($B$3&amp;"."&amp;$B$337&amp;".energy[Energy description]"),0)),0)</f>
        <v>0</v>
      </c>
      <c r="H339" s="121">
        <f t="array" aca="1" ref="H339" ca="1">IFERROR(INDEX(INDIRECT($B$3&amp;"."&amp;$B$337&amp;".energy["&amp;This.year&amp;"]"),MATCH($C339&amp;H$5,INDIRECT($B$3&amp;"."&amp;$B$337&amp;".energy[Tech description]")&amp;INDIRECT($B$3&amp;"."&amp;$B$337&amp;".energy[Energy description]"),0)),0)</f>
        <v>0</v>
      </c>
      <c r="I339" s="121">
        <f t="array" aca="1" ref="I339" ca="1">IFERROR(INDEX(INDIRECT($B$3&amp;"."&amp;$B$337&amp;".energy["&amp;This.year&amp;"]"),MATCH($C339&amp;I$5,INDIRECT($B$3&amp;"."&amp;$B$337&amp;".energy[Tech description]")&amp;INDIRECT($B$3&amp;"."&amp;$B$337&amp;".energy[Energy description]"),0)),0)</f>
        <v>0</v>
      </c>
      <c r="J339" s="121">
        <f t="array" aca="1" ref="J339" ca="1">IFERROR(INDEX(INDIRECT($B$3&amp;"."&amp;$B$337&amp;".energy["&amp;This.year&amp;"]"),MATCH($C339&amp;J$5,INDIRECT($B$3&amp;"."&amp;$B$337&amp;".energy[Tech description]")&amp;INDIRECT($B$3&amp;"."&amp;$B$337&amp;".energy[Energy description]"),0)),0)</f>
        <v>0</v>
      </c>
      <c r="K339" s="121">
        <f t="array" aca="1" ref="K339" ca="1">IFERROR(INDEX(INDIRECT($B$3&amp;"."&amp;$B$337&amp;".energy["&amp;This.year&amp;"]"),MATCH($C339&amp;K$5,INDIRECT($B$3&amp;"."&amp;$B$337&amp;".energy[Tech description]")&amp;INDIRECT($B$3&amp;"."&amp;$B$337&amp;".energy[Energy description]"),0)),0)</f>
        <v>0</v>
      </c>
      <c r="L339" s="121">
        <f t="array" aca="1" ref="L339" ca="1">IFERROR(INDEX(INDIRECT($B$3&amp;"."&amp;$B$337&amp;".energy["&amp;This.year&amp;"]"),MATCH($C339&amp;L$5,INDIRECT($B$3&amp;"."&amp;$B$337&amp;".energy[Tech description]")&amp;INDIRECT($B$3&amp;"."&amp;$B$337&amp;".energy[Energy description]"),0)),0)</f>
        <v>0</v>
      </c>
      <c r="M339" s="121">
        <f t="array" aca="1" ref="M339" ca="1">IFERROR(INDEX(INDIRECT($B$3&amp;"."&amp;$B$337&amp;".energy["&amp;This.year&amp;"]"),MATCH($C339&amp;M$5,INDIRECT($B$3&amp;"."&amp;$B$337&amp;".energy[Tech description]")&amp;INDIRECT($B$3&amp;"."&amp;$B$337&amp;".energy[Energy description]"),0)),0)</f>
        <v>0</v>
      </c>
      <c r="N339" s="121">
        <f t="array" aca="1" ref="N339" ca="1">IFERROR(INDEX(INDIRECT($B$3&amp;"."&amp;$B$337&amp;".energy["&amp;This.year&amp;"]"),MATCH($C339&amp;N$5,INDIRECT($B$3&amp;"."&amp;$B$337&amp;".energy[Tech description]")&amp;INDIRECT($B$3&amp;"."&amp;$B$337&amp;".energy[Energy description]"),0)),0)</f>
        <v>0</v>
      </c>
      <c r="O339" s="121">
        <f t="array" aca="1" ref="O339" ca="1">IFERROR(INDEX(INDIRECT($B$3&amp;"."&amp;$B$337&amp;".energy["&amp;This.year&amp;"]"),MATCH($C339&amp;O$5,INDIRECT($B$3&amp;"."&amp;$B$337&amp;".energy[Tech description]")&amp;INDIRECT($B$3&amp;"."&amp;$B$337&amp;".energy[Energy description]"),0)),0)</f>
        <v>0</v>
      </c>
      <c r="P339" s="121">
        <f t="array" aca="1" ref="P339" ca="1">IFERROR(INDEX(INDIRECT($B$3&amp;"."&amp;$B$337&amp;".energy["&amp;This.year&amp;"]"),MATCH($C339&amp;P$5,INDIRECT($B$3&amp;"."&amp;$B$337&amp;".energy[Tech description]")&amp;INDIRECT($B$3&amp;"."&amp;$B$337&amp;".energy[Energy description]"),0)),0)</f>
        <v>0</v>
      </c>
      <c r="Q339" s="121">
        <f t="array" aca="1" ref="Q339" ca="1">IFERROR(INDEX(INDIRECT($B$3&amp;"."&amp;$B$337&amp;".energy["&amp;This.year&amp;"]"),MATCH($C339&amp;Q$5,INDIRECT($B$3&amp;"."&amp;$B$337&amp;".energy[Tech description]")&amp;INDIRECT($B$3&amp;"."&amp;$B$337&amp;".energy[Energy description]"),0)),0)</f>
        <v>0</v>
      </c>
      <c r="R339" s="121">
        <f t="array" aca="1" ref="R339" ca="1">IFERROR(INDEX(INDIRECT($B$3&amp;"."&amp;$B$337&amp;".energy["&amp;This.year&amp;"]"),MATCH($C339&amp;R$5,INDIRECT($B$3&amp;"."&amp;$B$337&amp;".energy[Tech description]")&amp;INDIRECT($B$3&amp;"."&amp;$B$337&amp;".energy[Energy description]"),0)),0)</f>
        <v>0</v>
      </c>
      <c r="S339" s="121">
        <f t="array" aca="1" ref="S339" ca="1">IFERROR(INDEX(INDIRECT($B$3&amp;"."&amp;$B$337&amp;".energy["&amp;This.year&amp;"]"),MATCH($C339&amp;S$5,INDIRECT($B$3&amp;"."&amp;$B$337&amp;".energy[Tech description]")&amp;INDIRECT($B$3&amp;"."&amp;$B$337&amp;".energy[Energy description]"),0)),0)</f>
        <v>0</v>
      </c>
      <c r="T339" s="121">
        <f t="shared" ref="T339:T345" ca="1" si="138">SUM(E339:S339)</f>
        <v>0</v>
      </c>
      <c r="V339" s="152">
        <f t="array" aca="1" ref="V339" ca="1">IFERROR(INDEX(INDIRECT($B$3&amp;"."&amp;$B$337&amp;".energy["&amp;This.year&amp;"]"),MATCH($C339&amp;V$5,INDIRECT($B$3&amp;"."&amp;$B$337&amp;".energy[Tech description]")&amp;INDIRECT($B$3&amp;"."&amp;$B$337&amp;".energy[Energy description]"),0)),0)</f>
        <v>0</v>
      </c>
      <c r="W339" s="152">
        <f t="array" aca="1" ref="W339" ca="1">IFERROR(INDEX(INDIRECT($B$3&amp;"."&amp;$B$337&amp;".energy["&amp;This.year&amp;"]"),MATCH($C339&amp;W$5,INDIRECT($B$3&amp;"."&amp;$B$337&amp;".energy[Tech description]")&amp;INDIRECT($B$3&amp;"."&amp;$B$337&amp;".energy[Energy description]"),0)),0)</f>
        <v>0</v>
      </c>
      <c r="X339" s="152">
        <f t="array" aca="1" ref="X339" ca="1">IFERROR(INDEX(INDIRECT($B$3&amp;"."&amp;$B$337&amp;".energy["&amp;This.year&amp;"]"),MATCH($C339&amp;X$5,INDIRECT($B$3&amp;"."&amp;$B$337&amp;".energy[Tech description]")&amp;INDIRECT($B$3&amp;"."&amp;$B$337&amp;".energy[Energy description]"),0)),0)</f>
        <v>0</v>
      </c>
      <c r="Y339" s="152">
        <f t="array" aca="1" ref="Y339" ca="1">IFERROR(INDEX(INDIRECT($B$3&amp;"."&amp;$B$337&amp;".energy["&amp;This.year&amp;"]"),MATCH($C339&amp;Y$5,INDIRECT($B$3&amp;"."&amp;$B$337&amp;".energy[Tech description]")&amp;INDIRECT($B$3&amp;"."&amp;$B$337&amp;".energy[Energy description]"),0)),0)</f>
        <v>0</v>
      </c>
      <c r="Z339" s="152">
        <f t="array" aca="1" ref="Z339" ca="1">IFERROR(INDEX(INDIRECT($B$3&amp;"."&amp;$B$337&amp;".energy["&amp;This.year&amp;"]"),MATCH($C339&amp;Z$5,INDIRECT($B$3&amp;"."&amp;$B$337&amp;".energy[Tech description]")&amp;INDIRECT($B$3&amp;"."&amp;$B$337&amp;".energy[Energy description]"),0)),0)</f>
        <v>0</v>
      </c>
      <c r="AA339" s="152">
        <f t="array" aca="1" ref="AA339" ca="1">IFERROR(INDEX(INDIRECT($B$3&amp;"."&amp;$B$337&amp;".energy["&amp;This.year&amp;"]"),MATCH($C339&amp;AA$5,INDIRECT($B$3&amp;"."&amp;$B$337&amp;".energy[Tech description]")&amp;INDIRECT($B$3&amp;"."&amp;$B$337&amp;".energy[Energy description]"),0)),0)</f>
        <v>0</v>
      </c>
      <c r="AB339" s="152">
        <f t="array" aca="1" ref="AB339" ca="1">IFERROR(INDEX(INDIRECT($B$3&amp;"."&amp;$B$337&amp;".energy["&amp;This.year&amp;"]"),MATCH($C339&amp;AB$5,INDIRECT($B$3&amp;"."&amp;$B$337&amp;".energy[Tech description]")&amp;INDIRECT($B$3&amp;"."&amp;$B$337&amp;".energy[Energy description]"),0)),0)</f>
        <v>0</v>
      </c>
      <c r="AC339" s="152">
        <f t="array" aca="1" ref="AC339" ca="1">IFERROR(INDEX(INDIRECT($B$3&amp;"."&amp;$B$337&amp;".energy["&amp;This.year&amp;"]"),MATCH($C339&amp;AC$5,INDIRECT($B$3&amp;"."&amp;$B$337&amp;".energy[Tech description]")&amp;INDIRECT($B$3&amp;"."&amp;$B$337&amp;".energy[Energy description]"),0)),0)</f>
        <v>0</v>
      </c>
      <c r="AD339" s="152">
        <f t="array" aca="1" ref="AD339" ca="1">IFERROR(INDEX(INDIRECT($B$3&amp;"."&amp;$B$337&amp;".energy["&amp;This.year&amp;"]"),MATCH($C339&amp;AD$5,INDIRECT($B$3&amp;"."&amp;$B$337&amp;".energy[Tech description]")&amp;INDIRECT($B$3&amp;"."&amp;$B$337&amp;".energy[Energy description]"),0)),0)</f>
        <v>0</v>
      </c>
      <c r="AE339" s="152">
        <f t="array" aca="1" ref="AE339" ca="1">IFERROR(INDEX(INDIRECT($B$3&amp;"."&amp;$B$337&amp;".energy["&amp;This.year&amp;"]"),MATCH($C339&amp;AE$5,INDIRECT($B$3&amp;"."&amp;$B$337&amp;".energy[Tech description]")&amp;INDIRECT($B$3&amp;"."&amp;$B$337&amp;".energy[Energy description]"),0)),0)</f>
        <v>0</v>
      </c>
      <c r="AF339" s="152">
        <f t="array" aca="1" ref="AF339" ca="1">IFERROR(INDEX(INDIRECT($B$3&amp;"."&amp;$B$337&amp;".energy["&amp;This.year&amp;"]"),MATCH($C339&amp;AF$5,INDIRECT($B$3&amp;"."&amp;$B$337&amp;".energy[Tech description]")&amp;INDIRECT($B$3&amp;"."&amp;$B$337&amp;".energy[Energy description]"),0)),0)</f>
        <v>0</v>
      </c>
      <c r="AG339" s="152">
        <f t="array" aca="1" ref="AG339" ca="1">IFERROR(INDEX(INDIRECT($B$3&amp;"."&amp;$B$337&amp;".energy["&amp;This.year&amp;"]"),MATCH($C339&amp;AG$5,INDIRECT($B$3&amp;"."&amp;$B$337&amp;".energy[Tech description]")&amp;INDIRECT($B$3&amp;"."&amp;$B$337&amp;".energy[Energy description]"),0)),0)</f>
        <v>0</v>
      </c>
      <c r="AH339" s="152">
        <f t="array" aca="1" ref="AH339" ca="1">IFERROR(INDEX(INDIRECT($B$3&amp;"."&amp;$B$337&amp;".energy["&amp;This.year&amp;"]"),MATCH($C339&amp;AH$5,INDIRECT($B$3&amp;"."&amp;$B$337&amp;".energy[Tech description]")&amp;INDIRECT($B$3&amp;"."&amp;$B$337&amp;".energy[Energy description]"),0)),0)</f>
        <v>0</v>
      </c>
      <c r="AI339" s="152">
        <f t="array" aca="1" ref="AI339" ca="1">IFERROR(INDEX(INDIRECT($B$3&amp;"."&amp;$B$337&amp;".energy["&amp;This.year&amp;"]"),MATCH($C339&amp;AI$5,INDIRECT($B$3&amp;"."&amp;$B$337&amp;".energy[Tech description]")&amp;INDIRECT($B$3&amp;"."&amp;$B$337&amp;".energy[Energy description]"),0)),0)</f>
        <v>0</v>
      </c>
      <c r="AJ339" s="152">
        <f t="array" aca="1" ref="AJ339" ca="1">IFERROR(INDEX(INDIRECT($B$3&amp;"."&amp;$B$337&amp;".energy["&amp;This.year&amp;"]"),MATCH($C339&amp;AJ$5,INDIRECT($B$3&amp;"."&amp;$B$337&amp;".energy[Tech description]")&amp;INDIRECT($B$3&amp;"."&amp;$B$337&amp;".energy[Energy description]"),0)),0)</f>
        <v>0</v>
      </c>
      <c r="AK339" s="152">
        <f t="array" aca="1" ref="AK339" ca="1">IFERROR(INDEX(INDIRECT($B$3&amp;"."&amp;$B$337&amp;".energy["&amp;This.year&amp;"]"),MATCH($C339&amp;AK$5,INDIRECT($B$3&amp;"."&amp;$B$337&amp;".energy[Tech description]")&amp;INDIRECT($B$3&amp;"."&amp;$B$337&amp;".energy[Energy description]"),0)),0)</f>
        <v>0</v>
      </c>
      <c r="AL339" s="152">
        <f t="array" aca="1" ref="AL339" ca="1">IFERROR(INDEX(INDIRECT($B$3&amp;"."&amp;$B$337&amp;".energy["&amp;This.year&amp;"]"),MATCH($C339&amp;AL$5,INDIRECT($B$3&amp;"."&amp;$B$337&amp;".energy[Tech description]")&amp;INDIRECT($B$3&amp;"."&amp;$B$337&amp;".energy[Energy description]"),0)),0)</f>
        <v>0</v>
      </c>
      <c r="AM339" s="152">
        <f t="array" aca="1" ref="AM339" ca="1">IFERROR(INDEX(INDIRECT($B$3&amp;"."&amp;$B$337&amp;".energy["&amp;This.year&amp;"]"),MATCH($C339&amp;AM$5,INDIRECT($B$3&amp;"."&amp;$B$337&amp;".energy[Tech description]")&amp;INDIRECT($B$3&amp;"."&amp;$B$337&amp;".energy[Energy description]"),0)),0)</f>
        <v>0</v>
      </c>
      <c r="AN339" s="152">
        <f t="array" aca="1" ref="AN339" ca="1">IFERROR(INDEX(INDIRECT($B$3&amp;"."&amp;$B$337&amp;".energy["&amp;This.year&amp;"]"),MATCH($C339&amp;AN$5,INDIRECT($B$3&amp;"."&amp;$B$337&amp;".energy[Tech description]")&amp;INDIRECT($B$3&amp;"."&amp;$B$337&amp;".energy[Energy description]"),0)),0)</f>
        <v>0</v>
      </c>
      <c r="AO339" s="171">
        <f t="shared" ref="AO339:AO342" ca="1" si="139">SUM(V339:AN339)</f>
        <v>0</v>
      </c>
      <c r="AQ339" s="21">
        <f t="array" aca="1" ref="AQ339" ca="1">IFERROR(INDEX(INDIRECT($B$3&amp;"."&amp;$B$337&amp;".energy["&amp;This.year&amp;"]"),MATCH($C339&amp;AQ$5,INDIRECT($B$3&amp;"."&amp;$B$337&amp;".energy[Tech description]")&amp;INDIRECT($B$3&amp;"."&amp;$B$337&amp;".energy[Energy description]"),0)),0)</f>
        <v>0</v>
      </c>
      <c r="AR339" s="21">
        <f t="array" aca="1" ref="AR339" ca="1">IFERROR(INDEX(INDIRECT($B$3&amp;"."&amp;$B$337&amp;".energy["&amp;This.year&amp;"]"),MATCH($C339&amp;AR$5,INDIRECT($B$3&amp;"."&amp;$B$337&amp;".energy[Tech description]")&amp;INDIRECT($B$3&amp;"."&amp;$B$337&amp;".energy[Energy description]"),0)),0)</f>
        <v>0</v>
      </c>
      <c r="AS339" s="21">
        <f t="array" aca="1" ref="AS339" ca="1">IFERROR(INDEX(INDIRECT($B$3&amp;"."&amp;$B$337&amp;".energy["&amp;This.year&amp;"]"),MATCH($C339&amp;AS$5,INDIRECT($B$3&amp;"."&amp;$B$337&amp;".energy[Tech description]")&amp;INDIRECT($B$3&amp;"."&amp;$B$337&amp;".energy[Energy description]"),0)),0)</f>
        <v>0</v>
      </c>
      <c r="AT339" s="21">
        <f t="array" aca="1" ref="AT339" ca="1">IFERROR(INDEX(INDIRECT($B$3&amp;"."&amp;$B$337&amp;".energy["&amp;This.year&amp;"]"),MATCH($C339&amp;AT$5,INDIRECT($B$3&amp;"."&amp;$B$337&amp;".energy[Tech description]")&amp;INDIRECT($B$3&amp;"."&amp;$B$337&amp;".energy[Energy description]"),0)),0)</f>
        <v>0</v>
      </c>
      <c r="AU339" s="21">
        <f t="array" aca="1" ref="AU339" ca="1">IFERROR(INDEX(INDIRECT($B$3&amp;"."&amp;$B$337&amp;".energy["&amp;This.year&amp;"]"),MATCH($C339&amp;AU$5,INDIRECT($B$3&amp;"."&amp;$B$337&amp;".energy[Tech description]")&amp;INDIRECT($B$3&amp;"."&amp;$B$337&amp;".energy[Energy description]"),0)),0)</f>
        <v>0</v>
      </c>
      <c r="AV339" s="21">
        <f t="array" aca="1" ref="AV339" ca="1">IFERROR(INDEX(INDIRECT($B$3&amp;"."&amp;$B$337&amp;".energy["&amp;This.year&amp;"]"),MATCH($C339&amp;AV$5,INDIRECT($B$3&amp;"."&amp;$B$337&amp;".energy[Tech description]")&amp;INDIRECT($B$3&amp;"."&amp;$B$337&amp;".energy[Energy description]"),0)),0)</f>
        <v>0</v>
      </c>
      <c r="AW339" s="21">
        <f t="array" aca="1" ref="AW339" ca="1">IFERROR(INDEX(INDIRECT($B$3&amp;"."&amp;$B$337&amp;".energy["&amp;This.year&amp;"]"),MATCH($C339&amp;AW$5,INDIRECT($B$3&amp;"."&amp;$B$337&amp;".energy[Tech description]")&amp;INDIRECT($B$3&amp;"."&amp;$B$337&amp;".energy[Energy description]"),0)),0)</f>
        <v>0</v>
      </c>
      <c r="AX339" s="21">
        <f t="array" aca="1" ref="AX339" ca="1">IFERROR(INDEX(INDIRECT($B$3&amp;"."&amp;$B$337&amp;".energy["&amp;This.year&amp;"]"),MATCH($C339&amp;AX$5,INDIRECT($B$3&amp;"."&amp;$B$337&amp;".energy[Tech description]")&amp;INDIRECT($B$3&amp;"."&amp;$B$337&amp;".energy[Energy description]"),0)),0)</f>
        <v>0</v>
      </c>
      <c r="AY339" s="21">
        <f t="array" aca="1" ref="AY339" ca="1">IFERROR(INDEX(INDIRECT($B$3&amp;"."&amp;$B$337&amp;".energy["&amp;This.year&amp;"]"),MATCH($C339&amp;AY$5,INDIRECT($B$3&amp;"."&amp;$B$337&amp;".energy[Tech description]")&amp;INDIRECT($B$3&amp;"."&amp;$B$337&amp;".energy[Energy description]"),0)),0)</f>
        <v>0</v>
      </c>
      <c r="AZ339" s="21">
        <f t="array" aca="1" ref="AZ339" ca="1">IFERROR(INDEX(INDIRECT($B$3&amp;"."&amp;$B$337&amp;".energy["&amp;This.year&amp;"]"),MATCH($C339&amp;AZ$5,INDIRECT($B$3&amp;"."&amp;$B$337&amp;".energy[Tech description]")&amp;INDIRECT($B$3&amp;"."&amp;$B$337&amp;".energy[Energy description]"),0)),0)</f>
        <v>0</v>
      </c>
      <c r="BA339" s="21">
        <f t="array" aca="1" ref="BA339" ca="1">IFERROR(INDEX(INDIRECT($B$3&amp;"."&amp;$B$337&amp;".energy["&amp;This.year&amp;"]"),MATCH($C339&amp;BA$5,INDIRECT($B$3&amp;"."&amp;$B$337&amp;".energy[Tech description]")&amp;INDIRECT($B$3&amp;"."&amp;$B$337&amp;".energy[Energy description]"),0)),0)</f>
        <v>0</v>
      </c>
      <c r="BB339" s="21">
        <f t="array" aca="1" ref="BB339" ca="1">IFERROR(INDEX(INDIRECT($B$3&amp;"."&amp;$B$337&amp;".energy["&amp;This.year&amp;"]"),MATCH($C339&amp;BB$5,INDIRECT($B$3&amp;"."&amp;$B$337&amp;".energy[Tech description]")&amp;INDIRECT($B$3&amp;"."&amp;$B$337&amp;".energy[Energy description]"),0)),0)</f>
        <v>0</v>
      </c>
      <c r="BC339" s="21">
        <f t="array" aca="1" ref="BC339" ca="1">IFERROR(INDEX(INDIRECT($B$3&amp;"."&amp;$B$337&amp;".energy["&amp;This.year&amp;"]"),MATCH($C339&amp;BC$5,INDIRECT($B$3&amp;"."&amp;$B$337&amp;".energy[Tech description]")&amp;INDIRECT($B$3&amp;"."&amp;$B$337&amp;".energy[Energy description]"),0)),0)</f>
        <v>0</v>
      </c>
      <c r="BD339" s="173">
        <f ca="1">SUM(AQ339:BC339)</f>
        <v>0</v>
      </c>
      <c r="BF339" s="49">
        <f t="array" aca="1" ref="BF339" ca="1">IFERROR(INDEX(INDIRECT($B$3&amp;"."&amp;$B$337&amp;".energy["&amp;This.year&amp;"]"),MATCH($C339&amp;BF$5,INDIRECT($B$3&amp;"."&amp;$B$337&amp;".energy[Tech description]")&amp;INDIRECT($B$3&amp;"."&amp;$B$337&amp;".energy[Energy description]"),0)),0)</f>
        <v>0</v>
      </c>
      <c r="BG339" s="49">
        <f t="array" aca="1" ref="BG339" ca="1">IFERROR(INDEX(INDIRECT($B$3&amp;"."&amp;$B$337&amp;".energy["&amp;This.year&amp;"]"),MATCH($C339&amp;BG$5,INDIRECT($B$3&amp;"."&amp;$B$337&amp;".energy[Tech description]")&amp;INDIRECT($B$3&amp;"."&amp;$B$337&amp;".energy[Energy description]"),0)),0)</f>
        <v>0</v>
      </c>
      <c r="BH339" s="175">
        <f t="shared" ref="BH339:BH347" ca="1" si="140">SUM(BF339:BG339)</f>
        <v>0</v>
      </c>
      <c r="BI339" s="219">
        <f ca="1">SUM(T339,AO339,BD339,BH339)</f>
        <v>0</v>
      </c>
      <c r="BJ339" s="58"/>
    </row>
    <row r="340" spans="1:62">
      <c r="B340" s="176" t="s">
        <v>1223</v>
      </c>
      <c r="C340" s="114" t="str">
        <f>INDEX(Regional.Technologies[Description],MATCH($B$3&amp;"."&amp;B340,Regional.Technologies[Code],0))</f>
        <v>Global Arable land for food crops</v>
      </c>
      <c r="E340" s="121">
        <f t="array" aca="1" ref="E340" ca="1">IFERROR(INDEX(INDIRECT($B$3&amp;"."&amp;$B$337&amp;".energy["&amp;This.year&amp;"]"),MATCH($C340&amp;E$5,INDIRECT($B$3&amp;"."&amp;$B$337&amp;".energy[Tech description]")&amp;INDIRECT($B$3&amp;"."&amp;$B$337&amp;".energy[Energy description]"),0)),0)</f>
        <v>0</v>
      </c>
      <c r="F340" s="121">
        <f t="array" aca="1" ref="F340" ca="1">IFERROR(INDEX(INDIRECT($B$3&amp;"."&amp;$B$337&amp;".energy["&amp;This.year&amp;"]"),MATCH($C340&amp;F$5,INDIRECT($B$3&amp;"."&amp;$B$337&amp;".energy[Tech description]")&amp;INDIRECT($B$3&amp;"."&amp;$B$337&amp;".energy[Energy description]"),0)),0)</f>
        <v>0</v>
      </c>
      <c r="G340" s="121">
        <f t="array" aca="1" ref="G340" ca="1">IFERROR(INDEX(INDIRECT($B$3&amp;"."&amp;$B$337&amp;".energy["&amp;This.year&amp;"]"),MATCH($C340&amp;G$5,INDIRECT($B$3&amp;"."&amp;$B$337&amp;".energy[Tech description]")&amp;INDIRECT($B$3&amp;"."&amp;$B$337&amp;".energy[Energy description]"),0)),0)</f>
        <v>0</v>
      </c>
      <c r="H340" s="121">
        <f t="array" aca="1" ref="H340" ca="1">IFERROR(INDEX(INDIRECT($B$3&amp;"."&amp;$B$337&amp;".energy["&amp;This.year&amp;"]"),MATCH($C340&amp;H$5,INDIRECT($B$3&amp;"."&amp;$B$337&amp;".energy[Tech description]")&amp;INDIRECT($B$3&amp;"."&amp;$B$337&amp;".energy[Energy description]"),0)),0)</f>
        <v>0</v>
      </c>
      <c r="I340" s="121">
        <f t="array" aca="1" ref="I340" ca="1">IFERROR(INDEX(INDIRECT($B$3&amp;"."&amp;$B$337&amp;".energy["&amp;This.year&amp;"]"),MATCH($C340&amp;I$5,INDIRECT($B$3&amp;"."&amp;$B$337&amp;".energy[Tech description]")&amp;INDIRECT($B$3&amp;"."&amp;$B$337&amp;".energy[Energy description]"),0)),0)</f>
        <v>0</v>
      </c>
      <c r="J340" s="121">
        <f t="array" aca="1" ref="J340" ca="1">IFERROR(INDEX(INDIRECT($B$3&amp;"."&amp;$B$337&amp;".energy["&amp;This.year&amp;"]"),MATCH($C340&amp;J$5,INDIRECT($B$3&amp;"."&amp;$B$337&amp;".energy[Tech description]")&amp;INDIRECT($B$3&amp;"."&amp;$B$337&amp;".energy[Energy description]"),0)),0)</f>
        <v>0</v>
      </c>
      <c r="K340" s="121">
        <f t="array" aca="1" ref="K340" ca="1">IFERROR(INDEX(INDIRECT($B$3&amp;"."&amp;$B$337&amp;".energy["&amp;This.year&amp;"]"),MATCH($C340&amp;K$5,INDIRECT($B$3&amp;"."&amp;$B$337&amp;".energy[Tech description]")&amp;INDIRECT($B$3&amp;"."&amp;$B$337&amp;".energy[Energy description]"),0)),0)</f>
        <v>0</v>
      </c>
      <c r="L340" s="121">
        <f t="array" aca="1" ref="L340" ca="1">IFERROR(INDEX(INDIRECT($B$3&amp;"."&amp;$B$337&amp;".energy["&amp;This.year&amp;"]"),MATCH($C340&amp;L$5,INDIRECT($B$3&amp;"."&amp;$B$337&amp;".energy[Tech description]")&amp;INDIRECT($B$3&amp;"."&amp;$B$337&amp;".energy[Energy description]"),0)),0)</f>
        <v>0</v>
      </c>
      <c r="M340" s="121">
        <f t="array" aca="1" ref="M340" ca="1">IFERROR(INDEX(INDIRECT($B$3&amp;"."&amp;$B$337&amp;".energy["&amp;This.year&amp;"]"),MATCH($C340&amp;M$5,INDIRECT($B$3&amp;"."&amp;$B$337&amp;".energy[Tech description]")&amp;INDIRECT($B$3&amp;"."&amp;$B$337&amp;".energy[Energy description]"),0)),0)</f>
        <v>0</v>
      </c>
      <c r="N340" s="121">
        <f t="array" aca="1" ref="N340" ca="1">IFERROR(INDEX(INDIRECT($B$3&amp;"."&amp;$B$337&amp;".energy["&amp;This.year&amp;"]"),MATCH($C340&amp;N$5,INDIRECT($B$3&amp;"."&amp;$B$337&amp;".energy[Tech description]")&amp;INDIRECT($B$3&amp;"."&amp;$B$337&amp;".energy[Energy description]"),0)),0)</f>
        <v>0</v>
      </c>
      <c r="O340" s="121">
        <f t="array" aca="1" ref="O340" ca="1">IFERROR(INDEX(INDIRECT($B$3&amp;"."&amp;$B$337&amp;".energy["&amp;This.year&amp;"]"),MATCH($C340&amp;O$5,INDIRECT($B$3&amp;"."&amp;$B$337&amp;".energy[Tech description]")&amp;INDIRECT($B$3&amp;"."&amp;$B$337&amp;".energy[Energy description]"),0)),0)</f>
        <v>0</v>
      </c>
      <c r="P340" s="121">
        <f t="array" aca="1" ref="P340" ca="1">IFERROR(INDEX(INDIRECT($B$3&amp;"."&amp;$B$337&amp;".energy["&amp;This.year&amp;"]"),MATCH($C340&amp;P$5,INDIRECT($B$3&amp;"."&amp;$B$337&amp;".energy[Tech description]")&amp;INDIRECT($B$3&amp;"."&amp;$B$337&amp;".energy[Energy description]"),0)),0)</f>
        <v>0</v>
      </c>
      <c r="Q340" s="121">
        <f t="array" aca="1" ref="Q340" ca="1">IFERROR(INDEX(INDIRECT($B$3&amp;"."&amp;$B$337&amp;".energy["&amp;This.year&amp;"]"),MATCH($C340&amp;Q$5,INDIRECT($B$3&amp;"."&amp;$B$337&amp;".energy[Tech description]")&amp;INDIRECT($B$3&amp;"."&amp;$B$337&amp;".energy[Energy description]"),0)),0)</f>
        <v>0</v>
      </c>
      <c r="R340" s="121">
        <f t="array" aca="1" ref="R340" ca="1">IFERROR(INDEX(INDIRECT($B$3&amp;"."&amp;$B$337&amp;".energy["&amp;This.year&amp;"]"),MATCH($C340&amp;R$5,INDIRECT($B$3&amp;"."&amp;$B$337&amp;".energy[Tech description]")&amp;INDIRECT($B$3&amp;"."&amp;$B$337&amp;".energy[Energy description]"),0)),0)</f>
        <v>0</v>
      </c>
      <c r="S340" s="121">
        <f t="array" aca="1" ref="S340" ca="1">IFERROR(INDEX(INDIRECT($B$3&amp;"."&amp;$B$337&amp;".energy["&amp;This.year&amp;"]"),MATCH($C340&amp;S$5,INDIRECT($B$3&amp;"."&amp;$B$337&amp;".energy[Tech description]")&amp;INDIRECT($B$3&amp;"."&amp;$B$337&amp;".energy[Energy description]"),0)),0)</f>
        <v>0</v>
      </c>
      <c r="T340" s="121">
        <f t="shared" ca="1" si="138"/>
        <v>0</v>
      </c>
      <c r="V340" s="152">
        <f t="array" aca="1" ref="V340" ca="1">IFERROR(INDEX(INDIRECT($B$3&amp;"."&amp;$B$337&amp;".energy["&amp;This.year&amp;"]"),MATCH($C340&amp;V$5,INDIRECT($B$3&amp;"."&amp;$B$337&amp;".energy[Tech description]")&amp;INDIRECT($B$3&amp;"."&amp;$B$337&amp;".energy[Energy description]"),0)),0)</f>
        <v>0</v>
      </c>
      <c r="W340" s="152">
        <f t="array" aca="1" ref="W340" ca="1">IFERROR(INDEX(INDIRECT($B$3&amp;"."&amp;$B$337&amp;".energy["&amp;This.year&amp;"]"),MATCH($C340&amp;W$5,INDIRECT($B$3&amp;"."&amp;$B$337&amp;".energy[Tech description]")&amp;INDIRECT($B$3&amp;"."&amp;$B$337&amp;".energy[Energy description]"),0)),0)</f>
        <v>0</v>
      </c>
      <c r="X340" s="152">
        <f t="array" aca="1" ref="X340" ca="1">IFERROR(INDEX(INDIRECT($B$3&amp;"."&amp;$B$337&amp;".energy["&amp;This.year&amp;"]"),MATCH($C340&amp;X$5,INDIRECT($B$3&amp;"."&amp;$B$337&amp;".energy[Tech description]")&amp;INDIRECT($B$3&amp;"."&amp;$B$337&amp;".energy[Energy description]"),0)),0)</f>
        <v>0</v>
      </c>
      <c r="Y340" s="152">
        <f t="array" aca="1" ref="Y340" ca="1">IFERROR(INDEX(INDIRECT($B$3&amp;"."&amp;$B$337&amp;".energy["&amp;This.year&amp;"]"),MATCH($C340&amp;Y$5,INDIRECT($B$3&amp;"."&amp;$B$337&amp;".energy[Tech description]")&amp;INDIRECT($B$3&amp;"."&amp;$B$337&amp;".energy[Energy description]"),0)),0)</f>
        <v>0</v>
      </c>
      <c r="Z340" s="152">
        <f t="array" aca="1" ref="Z340" ca="1">IFERROR(INDEX(INDIRECT($B$3&amp;"."&amp;$B$337&amp;".energy["&amp;This.year&amp;"]"),MATCH($C340&amp;Z$5,INDIRECT($B$3&amp;"."&amp;$B$337&amp;".energy[Tech description]")&amp;INDIRECT($B$3&amp;"."&amp;$B$337&amp;".energy[Energy description]"),0)),0)</f>
        <v>0</v>
      </c>
      <c r="AA340" s="152">
        <f t="array" aca="1" ref="AA340" ca="1">IFERROR(INDEX(INDIRECT($B$3&amp;"."&amp;$B$337&amp;".energy["&amp;This.year&amp;"]"),MATCH($C340&amp;AA$5,INDIRECT($B$3&amp;"."&amp;$B$337&amp;".energy[Tech description]")&amp;INDIRECT($B$3&amp;"."&amp;$B$337&amp;".energy[Energy description]"),0)),0)</f>
        <v>0</v>
      </c>
      <c r="AB340" s="152">
        <f t="array" aca="1" ref="AB340" ca="1">IFERROR(INDEX(INDIRECT($B$3&amp;"."&amp;$B$337&amp;".energy["&amp;This.year&amp;"]"),MATCH($C340&amp;AB$5,INDIRECT($B$3&amp;"."&amp;$B$337&amp;".energy[Tech description]")&amp;INDIRECT($B$3&amp;"."&amp;$B$337&amp;".energy[Energy description]"),0)),0)</f>
        <v>0</v>
      </c>
      <c r="AC340" s="152">
        <f t="array" aca="1" ref="AC340" ca="1">IFERROR(INDEX(INDIRECT($B$3&amp;"."&amp;$B$337&amp;".energy["&amp;This.year&amp;"]"),MATCH($C340&amp;AC$5,INDIRECT($B$3&amp;"."&amp;$B$337&amp;".energy[Tech description]")&amp;INDIRECT($B$3&amp;"."&amp;$B$337&amp;".energy[Energy description]"),0)),0)</f>
        <v>0</v>
      </c>
      <c r="AD340" s="152">
        <f t="array" aca="1" ref="AD340" ca="1">IFERROR(INDEX(INDIRECT($B$3&amp;"."&amp;$B$337&amp;".energy["&amp;This.year&amp;"]"),MATCH($C340&amp;AD$5,INDIRECT($B$3&amp;"."&amp;$B$337&amp;".energy[Tech description]")&amp;INDIRECT($B$3&amp;"."&amp;$B$337&amp;".energy[Energy description]"),0)),0)</f>
        <v>0</v>
      </c>
      <c r="AE340" s="152">
        <f t="array" aca="1" ref="AE340" ca="1">IFERROR(INDEX(INDIRECT($B$3&amp;"."&amp;$B$337&amp;".energy["&amp;This.year&amp;"]"),MATCH($C340&amp;AE$5,INDIRECT($B$3&amp;"."&amp;$B$337&amp;".energy[Tech description]")&amp;INDIRECT($B$3&amp;"."&amp;$B$337&amp;".energy[Energy description]"),0)),0)</f>
        <v>0</v>
      </c>
      <c r="AF340" s="152">
        <f t="array" aca="1" ref="AF340" ca="1">IFERROR(INDEX(INDIRECT($B$3&amp;"."&amp;$B$337&amp;".energy["&amp;This.year&amp;"]"),MATCH($C340&amp;AF$5,INDIRECT($B$3&amp;"."&amp;$B$337&amp;".energy[Tech description]")&amp;INDIRECT($B$3&amp;"."&amp;$B$337&amp;".energy[Energy description]"),0)),0)</f>
        <v>0</v>
      </c>
      <c r="AG340" s="152">
        <f t="array" aca="1" ref="AG340" ca="1">IFERROR(INDEX(INDIRECT($B$3&amp;"."&amp;$B$337&amp;".energy["&amp;This.year&amp;"]"),MATCH($C340&amp;AG$5,INDIRECT($B$3&amp;"."&amp;$B$337&amp;".energy[Tech description]")&amp;INDIRECT($B$3&amp;"."&amp;$B$337&amp;".energy[Energy description]"),0)),0)</f>
        <v>0</v>
      </c>
      <c r="AH340" s="152">
        <f t="array" aca="1" ref="AH340" ca="1">IFERROR(INDEX(INDIRECT($B$3&amp;"."&amp;$B$337&amp;".energy["&amp;This.year&amp;"]"),MATCH($C340&amp;AH$5,INDIRECT($B$3&amp;"."&amp;$B$337&amp;".energy[Tech description]")&amp;INDIRECT($B$3&amp;"."&amp;$B$337&amp;".energy[Energy description]"),0)),0)</f>
        <v>0</v>
      </c>
      <c r="AI340" s="152">
        <f t="array" aca="1" ref="AI340" ca="1">IFERROR(INDEX(INDIRECT($B$3&amp;"."&amp;$B$337&amp;".energy["&amp;This.year&amp;"]"),MATCH($C340&amp;AI$5,INDIRECT($B$3&amp;"."&amp;$B$337&amp;".energy[Tech description]")&amp;INDIRECT($B$3&amp;"."&amp;$B$337&amp;".energy[Energy description]"),0)),0)</f>
        <v>0</v>
      </c>
      <c r="AJ340" s="152">
        <f t="array" aca="1" ref="AJ340" ca="1">IFERROR(INDEX(INDIRECT($B$3&amp;"."&amp;$B$337&amp;".energy["&amp;This.year&amp;"]"),MATCH($C340&amp;AJ$5,INDIRECT($B$3&amp;"."&amp;$B$337&amp;".energy[Tech description]")&amp;INDIRECT($B$3&amp;"."&amp;$B$337&amp;".energy[Energy description]"),0)),0)</f>
        <v>0</v>
      </c>
      <c r="AK340" s="152">
        <f t="array" aca="1" ref="AK340" ca="1">IFERROR(INDEX(INDIRECT($B$3&amp;"."&amp;$B$337&amp;".energy["&amp;This.year&amp;"]"),MATCH($C340&amp;AK$5,INDIRECT($B$3&amp;"."&amp;$B$337&amp;".energy[Tech description]")&amp;INDIRECT($B$3&amp;"."&amp;$B$337&amp;".energy[Energy description]"),0)),0)</f>
        <v>0</v>
      </c>
      <c r="AL340" s="152">
        <f t="array" aca="1" ref="AL340" ca="1">IFERROR(INDEX(INDIRECT($B$3&amp;"."&amp;$B$337&amp;".energy["&amp;This.year&amp;"]"),MATCH($C340&amp;AL$5,INDIRECT($B$3&amp;"."&amp;$B$337&amp;".energy[Tech description]")&amp;INDIRECT($B$3&amp;"."&amp;$B$337&amp;".energy[Energy description]"),0)),0)</f>
        <v>0</v>
      </c>
      <c r="AM340" s="152">
        <f t="array" aca="1" ref="AM340" ca="1">IFERROR(INDEX(INDIRECT($B$3&amp;"."&amp;$B$337&amp;".energy["&amp;This.year&amp;"]"),MATCH($C340&amp;AM$5,INDIRECT($B$3&amp;"."&amp;$B$337&amp;".energy[Tech description]")&amp;INDIRECT($B$3&amp;"."&amp;$B$337&amp;".energy[Energy description]"),0)),0)</f>
        <v>0</v>
      </c>
      <c r="AN340" s="152">
        <f t="array" aca="1" ref="AN340" ca="1">IFERROR(INDEX(INDIRECT($B$3&amp;"."&amp;$B$337&amp;".energy["&amp;This.year&amp;"]"),MATCH($C340&amp;AN$5,INDIRECT($B$3&amp;"."&amp;$B$337&amp;".energy[Tech description]")&amp;INDIRECT($B$3&amp;"."&amp;$B$337&amp;".energy[Energy description]"),0)),0)</f>
        <v>0</v>
      </c>
      <c r="AO340" s="171">
        <f t="shared" ca="1" si="139"/>
        <v>0</v>
      </c>
      <c r="AQ340" s="21">
        <f t="array" aca="1" ref="AQ340" ca="1">IFERROR(INDEX(INDIRECT($B$3&amp;"."&amp;$B$337&amp;".energy["&amp;This.year&amp;"]"),MATCH($C340&amp;AQ$5,INDIRECT($B$3&amp;"."&amp;$B$337&amp;".energy[Tech description]")&amp;INDIRECT($B$3&amp;"."&amp;$B$337&amp;".energy[Energy description]"),0)),0)</f>
        <v>0</v>
      </c>
      <c r="AR340" s="21">
        <f t="array" aca="1" ref="AR340" ca="1">IFERROR(INDEX(INDIRECT($B$3&amp;"."&amp;$B$337&amp;".energy["&amp;This.year&amp;"]"),MATCH($C340&amp;AR$5,INDIRECT($B$3&amp;"."&amp;$B$337&amp;".energy[Tech description]")&amp;INDIRECT($B$3&amp;"."&amp;$B$337&amp;".energy[Energy description]"),0)),0)</f>
        <v>0</v>
      </c>
      <c r="AS340" s="21">
        <f t="array" aca="1" ref="AS340" ca="1">IFERROR(INDEX(INDIRECT($B$3&amp;"."&amp;$B$337&amp;".energy["&amp;This.year&amp;"]"),MATCH($C340&amp;AS$5,INDIRECT($B$3&amp;"."&amp;$B$337&amp;".energy[Tech description]")&amp;INDIRECT($B$3&amp;"."&amp;$B$337&amp;".energy[Energy description]"),0)),0)</f>
        <v>0</v>
      </c>
      <c r="AT340" s="21">
        <f t="array" aca="1" ref="AT340" ca="1">IFERROR(INDEX(INDIRECT($B$3&amp;"."&amp;$B$337&amp;".energy["&amp;This.year&amp;"]"),MATCH($C340&amp;AT$5,INDIRECT($B$3&amp;"."&amp;$B$337&amp;".energy[Tech description]")&amp;INDIRECT($B$3&amp;"."&amp;$B$337&amp;".energy[Energy description]"),0)),0)</f>
        <v>0</v>
      </c>
      <c r="AU340" s="21">
        <f t="array" aca="1" ref="AU340" ca="1">IFERROR(INDEX(INDIRECT($B$3&amp;"."&amp;$B$337&amp;".energy["&amp;This.year&amp;"]"),MATCH($C340&amp;AU$5,INDIRECT($B$3&amp;"."&amp;$B$337&amp;".energy[Tech description]")&amp;INDIRECT($B$3&amp;"."&amp;$B$337&amp;".energy[Energy description]"),0)),0)</f>
        <v>0</v>
      </c>
      <c r="AV340" s="21">
        <f t="array" aca="1" ref="AV340" ca="1">IFERROR(INDEX(INDIRECT($B$3&amp;"."&amp;$B$337&amp;".energy["&amp;This.year&amp;"]"),MATCH($C340&amp;AV$5,INDIRECT($B$3&amp;"."&amp;$B$337&amp;".energy[Tech description]")&amp;INDIRECT($B$3&amp;"."&amp;$B$337&amp;".energy[Energy description]"),0)),0)</f>
        <v>0</v>
      </c>
      <c r="AW340" s="21">
        <f t="array" aca="1" ref="AW340" ca="1">IFERROR(INDEX(INDIRECT($B$3&amp;"."&amp;$B$337&amp;".energy["&amp;This.year&amp;"]"),MATCH($C340&amp;AW$5,INDIRECT($B$3&amp;"."&amp;$B$337&amp;".energy[Tech description]")&amp;INDIRECT($B$3&amp;"."&amp;$B$337&amp;".energy[Energy description]"),0)),0)</f>
        <v>0</v>
      </c>
      <c r="AX340" s="21">
        <f t="array" aca="1" ref="AX340" ca="1">IFERROR(INDEX(INDIRECT($B$3&amp;"."&amp;$B$337&amp;".energy["&amp;This.year&amp;"]"),MATCH($C340&amp;AX$5,INDIRECT($B$3&amp;"."&amp;$B$337&amp;".energy[Tech description]")&amp;INDIRECT($B$3&amp;"."&amp;$B$337&amp;".energy[Energy description]"),0)),0)</f>
        <v>0</v>
      </c>
      <c r="AY340" s="21">
        <f t="array" aca="1" ref="AY340" ca="1">IFERROR(INDEX(INDIRECT($B$3&amp;"."&amp;$B$337&amp;".energy["&amp;This.year&amp;"]"),MATCH($C340&amp;AY$5,INDIRECT($B$3&amp;"."&amp;$B$337&amp;".energy[Tech description]")&amp;INDIRECT($B$3&amp;"."&amp;$B$337&amp;".energy[Energy description]"),0)),0)</f>
        <v>0</v>
      </c>
      <c r="AZ340" s="21">
        <f t="array" aca="1" ref="AZ340" ca="1">IFERROR(INDEX(INDIRECT($B$3&amp;"."&amp;$B$337&amp;".energy["&amp;This.year&amp;"]"),MATCH($C340&amp;AZ$5,INDIRECT($B$3&amp;"."&amp;$B$337&amp;".energy[Tech description]")&amp;INDIRECT($B$3&amp;"."&amp;$B$337&amp;".energy[Energy description]"),0)),0)</f>
        <v>0</v>
      </c>
      <c r="BA340" s="21">
        <f t="array" aca="1" ref="BA340" ca="1">IFERROR(INDEX(INDIRECT($B$3&amp;"."&amp;$B$337&amp;".energy["&amp;This.year&amp;"]"),MATCH($C340&amp;BA$5,INDIRECT($B$3&amp;"."&amp;$B$337&amp;".energy[Tech description]")&amp;INDIRECT($B$3&amp;"."&amp;$B$337&amp;".energy[Energy description]"),0)),0)</f>
        <v>0</v>
      </c>
      <c r="BB340" s="21">
        <f t="array" aca="1" ref="BB340" ca="1">IFERROR(INDEX(INDIRECT($B$3&amp;"."&amp;$B$337&amp;".energy["&amp;This.year&amp;"]"),MATCH($C340&amp;BB$5,INDIRECT($B$3&amp;"."&amp;$B$337&amp;".energy[Tech description]")&amp;INDIRECT($B$3&amp;"."&amp;$B$337&amp;".energy[Energy description]"),0)),0)</f>
        <v>0</v>
      </c>
      <c r="BC340" s="21">
        <f t="array" aca="1" ref="BC340" ca="1">IFERROR(INDEX(INDIRECT($B$3&amp;"."&amp;$B$337&amp;".energy["&amp;This.year&amp;"]"),MATCH($C340&amp;BC$5,INDIRECT($B$3&amp;"."&amp;$B$337&amp;".energy[Tech description]")&amp;INDIRECT($B$3&amp;"."&amp;$B$337&amp;".energy[Energy description]"),0)),0)</f>
        <v>0</v>
      </c>
      <c r="BD340" s="173">
        <f t="shared" ref="BD340:BD347" ca="1" si="141">SUM(AQ340:BC340)</f>
        <v>0</v>
      </c>
      <c r="BF340" s="49">
        <f t="array" aca="1" ref="BF340" ca="1">IFERROR(INDEX(INDIRECT($B$3&amp;"."&amp;$B$337&amp;".energy["&amp;This.year&amp;"]"),MATCH($C340&amp;BF$5,INDIRECT($B$3&amp;"."&amp;$B$337&amp;".energy[Tech description]")&amp;INDIRECT($B$3&amp;"."&amp;$B$337&amp;".energy[Energy description]"),0)),0)</f>
        <v>0</v>
      </c>
      <c r="BG340" s="49">
        <f t="array" aca="1" ref="BG340" ca="1">IFERROR(INDEX(INDIRECT($B$3&amp;"."&amp;$B$337&amp;".energy["&amp;This.year&amp;"]"),MATCH($C340&amp;BG$5,INDIRECT($B$3&amp;"."&amp;$B$337&amp;".energy[Tech description]")&amp;INDIRECT($B$3&amp;"."&amp;$B$337&amp;".energy[Energy description]"),0)),0)</f>
        <v>0</v>
      </c>
      <c r="BH340" s="175">
        <f t="shared" ca="1" si="140"/>
        <v>0</v>
      </c>
      <c r="BI340" s="219">
        <f t="shared" ref="BI340:BI342" ca="1" si="142">SUM(T340,AO340,BD340,BH340)</f>
        <v>0</v>
      </c>
      <c r="BJ340" s="58"/>
    </row>
    <row r="341" spans="1:62">
      <c r="B341" s="176" t="s">
        <v>1224</v>
      </c>
      <c r="C341" s="114" t="str">
        <f>INDEX(Regional.Technologies[Description],MATCH($B$3&amp;"."&amp;B341,Regional.Technologies[Code],0))</f>
        <v>Global Arable land for bioenergy</v>
      </c>
      <c r="E341" s="121">
        <f t="array" aca="1" ref="E341" ca="1">IFERROR(INDEX(INDIRECT($B$3&amp;"."&amp;$B$337&amp;".energy["&amp;This.year&amp;"]"),MATCH($C341&amp;E$5,INDIRECT($B$3&amp;"."&amp;$B$337&amp;".energy[Tech description]")&amp;INDIRECT($B$3&amp;"."&amp;$B$337&amp;".energy[Energy description]"),0)),0)</f>
        <v>0</v>
      </c>
      <c r="F341" s="121">
        <f t="array" aca="1" ref="F341" ca="1">IFERROR(INDEX(INDIRECT($B$3&amp;"."&amp;$B$337&amp;".energy["&amp;This.year&amp;"]"),MATCH($C341&amp;F$5,INDIRECT($B$3&amp;"."&amp;$B$337&amp;".energy[Tech description]")&amp;INDIRECT($B$3&amp;"."&amp;$B$337&amp;".energy[Energy description]"),0)),0)</f>
        <v>0</v>
      </c>
      <c r="G341" s="121">
        <f t="array" aca="1" ref="G341" ca="1">IFERROR(INDEX(INDIRECT($B$3&amp;"."&amp;$B$337&amp;".energy["&amp;This.year&amp;"]"),MATCH($C341&amp;G$5,INDIRECT($B$3&amp;"."&amp;$B$337&amp;".energy[Tech description]")&amp;INDIRECT($B$3&amp;"."&amp;$B$337&amp;".energy[Energy description]"),0)),0)</f>
        <v>0</v>
      </c>
      <c r="H341" s="121">
        <f t="array" aca="1" ref="H341" ca="1">IFERROR(INDEX(INDIRECT($B$3&amp;"."&amp;$B$337&amp;".energy["&amp;This.year&amp;"]"),MATCH($C341&amp;H$5,INDIRECT($B$3&amp;"."&amp;$B$337&amp;".energy[Tech description]")&amp;INDIRECT($B$3&amp;"."&amp;$B$337&amp;".energy[Energy description]"),0)),0)</f>
        <v>0</v>
      </c>
      <c r="I341" s="121">
        <f t="array" aca="1" ref="I341" ca="1">IFERROR(INDEX(INDIRECT($B$3&amp;"."&amp;$B$337&amp;".energy["&amp;This.year&amp;"]"),MATCH($C341&amp;I$5,INDIRECT($B$3&amp;"."&amp;$B$337&amp;".energy[Tech description]")&amp;INDIRECT($B$3&amp;"."&amp;$B$337&amp;".energy[Energy description]"),0)),0)</f>
        <v>0</v>
      </c>
      <c r="J341" s="121">
        <f t="array" aca="1" ref="J341" ca="1">IFERROR(INDEX(INDIRECT($B$3&amp;"."&amp;$B$337&amp;".energy["&amp;This.year&amp;"]"),MATCH($C341&amp;J$5,INDIRECT($B$3&amp;"."&amp;$B$337&amp;".energy[Tech description]")&amp;INDIRECT($B$3&amp;"."&amp;$B$337&amp;".energy[Energy description]"),0)),0)</f>
        <v>0</v>
      </c>
      <c r="K341" s="121">
        <f t="array" aca="1" ref="K341" ca="1">IFERROR(INDEX(INDIRECT($B$3&amp;"."&amp;$B$337&amp;".energy["&amp;This.year&amp;"]"),MATCH($C341&amp;K$5,INDIRECT($B$3&amp;"."&amp;$B$337&amp;".energy[Tech description]")&amp;INDIRECT($B$3&amp;"."&amp;$B$337&amp;".energy[Energy description]"),0)),0)</f>
        <v>0</v>
      </c>
      <c r="L341" s="121">
        <f t="array" aca="1" ref="L341" ca="1">IFERROR(INDEX(INDIRECT($B$3&amp;"."&amp;$B$337&amp;".energy["&amp;This.year&amp;"]"),MATCH($C341&amp;L$5,INDIRECT($B$3&amp;"."&amp;$B$337&amp;".energy[Tech description]")&amp;INDIRECT($B$3&amp;"."&amp;$B$337&amp;".energy[Energy description]"),0)),0)</f>
        <v>0</v>
      </c>
      <c r="M341" s="121">
        <f t="array" aca="1" ref="M341" ca="1">IFERROR(INDEX(INDIRECT($B$3&amp;"."&amp;$B$337&amp;".energy["&amp;This.year&amp;"]"),MATCH($C341&amp;M$5,INDIRECT($B$3&amp;"."&amp;$B$337&amp;".energy[Tech description]")&amp;INDIRECT($B$3&amp;"."&amp;$B$337&amp;".energy[Energy description]"),0)),0)</f>
        <v>0</v>
      </c>
      <c r="N341" s="121">
        <f t="array" aca="1" ref="N341" ca="1">IFERROR(INDEX(INDIRECT($B$3&amp;"."&amp;$B$337&amp;".energy["&amp;This.year&amp;"]"),MATCH($C341&amp;N$5,INDIRECT($B$3&amp;"."&amp;$B$337&amp;".energy[Tech description]")&amp;INDIRECT($B$3&amp;"."&amp;$B$337&amp;".energy[Energy description]"),0)),0)</f>
        <v>0</v>
      </c>
      <c r="O341" s="121">
        <f t="array" aca="1" ref="O341" ca="1">IFERROR(INDEX(INDIRECT($B$3&amp;"."&amp;$B$337&amp;".energy["&amp;This.year&amp;"]"),MATCH($C341&amp;O$5,INDIRECT($B$3&amp;"."&amp;$B$337&amp;".energy[Tech description]")&amp;INDIRECT($B$3&amp;"."&amp;$B$337&amp;".energy[Energy description]"),0)),0)</f>
        <v>0</v>
      </c>
      <c r="P341" s="121">
        <f t="array" aca="1" ref="P341" ca="1">IFERROR(INDEX(INDIRECT($B$3&amp;"."&amp;$B$337&amp;".energy["&amp;This.year&amp;"]"),MATCH($C341&amp;P$5,INDIRECT($B$3&amp;"."&amp;$B$337&amp;".energy[Tech description]")&amp;INDIRECT($B$3&amp;"."&amp;$B$337&amp;".energy[Energy description]"),0)),0)</f>
        <v>0</v>
      </c>
      <c r="Q341" s="121">
        <f t="array" aca="1" ref="Q341" ca="1">IFERROR(INDEX(INDIRECT($B$3&amp;"."&amp;$B$337&amp;".energy["&amp;This.year&amp;"]"),MATCH($C341&amp;Q$5,INDIRECT($B$3&amp;"."&amp;$B$337&amp;".energy[Tech description]")&amp;INDIRECT($B$3&amp;"."&amp;$B$337&amp;".energy[Energy description]"),0)),0)</f>
        <v>0</v>
      </c>
      <c r="R341" s="121">
        <f t="array" aca="1" ref="R341" ca="1">IFERROR(INDEX(INDIRECT($B$3&amp;"."&amp;$B$337&amp;".energy["&amp;This.year&amp;"]"),MATCH($C341&amp;R$5,INDIRECT($B$3&amp;"."&amp;$B$337&amp;".energy[Tech description]")&amp;INDIRECT($B$3&amp;"."&amp;$B$337&amp;".energy[Energy description]"),0)),0)</f>
        <v>0</v>
      </c>
      <c r="S341" s="121">
        <f t="array" aca="1" ref="S341" ca="1">IFERROR(INDEX(INDIRECT($B$3&amp;"."&amp;$B$337&amp;".energy["&amp;This.year&amp;"]"),MATCH($C341&amp;S$5,INDIRECT($B$3&amp;"."&amp;$B$337&amp;".energy[Tech description]")&amp;INDIRECT($B$3&amp;"."&amp;$B$337&amp;".energy[Energy description]"),0)),0)</f>
        <v>0</v>
      </c>
      <c r="T341" s="121">
        <f t="shared" ca="1" si="138"/>
        <v>0</v>
      </c>
      <c r="U341" s="58"/>
      <c r="V341" s="152">
        <f t="array" aca="1" ref="V341" ca="1">IFERROR(INDEX(INDIRECT($B$3&amp;"."&amp;$B$337&amp;".energy["&amp;This.year&amp;"]"),MATCH($C341&amp;V$5,INDIRECT($B$3&amp;"."&amp;$B$337&amp;".energy[Tech description]")&amp;INDIRECT($B$3&amp;"."&amp;$B$337&amp;".energy[Energy description]"),0)),0)</f>
        <v>0</v>
      </c>
      <c r="W341" s="152">
        <f t="array" aca="1" ref="W341" ca="1">IFERROR(INDEX(INDIRECT($B$3&amp;"."&amp;$B$337&amp;".energy["&amp;This.year&amp;"]"),MATCH($C341&amp;W$5,INDIRECT($B$3&amp;"."&amp;$B$337&amp;".energy[Tech description]")&amp;INDIRECT($B$3&amp;"."&amp;$B$337&amp;".energy[Energy description]"),0)),0)</f>
        <v>0</v>
      </c>
      <c r="X341" s="152">
        <f t="array" aca="1" ref="X341" ca="1">IFERROR(INDEX(INDIRECT($B$3&amp;"."&amp;$B$337&amp;".energy["&amp;This.year&amp;"]"),MATCH($C341&amp;X$5,INDIRECT($B$3&amp;"."&amp;$B$337&amp;".energy[Tech description]")&amp;INDIRECT($B$3&amp;"."&amp;$B$337&amp;".energy[Energy description]"),0)),0)</f>
        <v>0</v>
      </c>
      <c r="Y341" s="152">
        <f t="array" aca="1" ref="Y341" ca="1">IFERROR(INDEX(INDIRECT($B$3&amp;"."&amp;$B$337&amp;".energy["&amp;This.year&amp;"]"),MATCH($C341&amp;Y$5,INDIRECT($B$3&amp;"."&amp;$B$337&amp;".energy[Tech description]")&amp;INDIRECT($B$3&amp;"."&amp;$B$337&amp;".energy[Energy description]"),0)),0)</f>
        <v>0</v>
      </c>
      <c r="Z341" s="152">
        <f t="array" aca="1" ref="Z341" ca="1">IFERROR(INDEX(INDIRECT($B$3&amp;"."&amp;$B$337&amp;".energy["&amp;This.year&amp;"]"),MATCH($C341&amp;Z$5,INDIRECT($B$3&amp;"."&amp;$B$337&amp;".energy[Tech description]")&amp;INDIRECT($B$3&amp;"."&amp;$B$337&amp;".energy[Energy description]"),0)),0)</f>
        <v>0</v>
      </c>
      <c r="AA341" s="152">
        <f t="array" aca="1" ref="AA341" ca="1">IFERROR(INDEX(INDIRECT($B$3&amp;"."&amp;$B$337&amp;".energy["&amp;This.year&amp;"]"),MATCH($C341&amp;AA$5,INDIRECT($B$3&amp;"."&amp;$B$337&amp;".energy[Tech description]")&amp;INDIRECT($B$3&amp;"."&amp;$B$337&amp;".energy[Energy description]"),0)),0)</f>
        <v>0</v>
      </c>
      <c r="AB341" s="152">
        <f t="array" aca="1" ref="AB341" ca="1">IFERROR(INDEX(INDIRECT($B$3&amp;"."&amp;$B$337&amp;".energy["&amp;This.year&amp;"]"),MATCH($C341&amp;AB$5,INDIRECT($B$3&amp;"."&amp;$B$337&amp;".energy[Tech description]")&amp;INDIRECT($B$3&amp;"."&amp;$B$337&amp;".energy[Energy description]"),0)),0)</f>
        <v>0</v>
      </c>
      <c r="AC341" s="152">
        <f t="array" aca="1" ref="AC341" ca="1">IFERROR(INDEX(INDIRECT($B$3&amp;"."&amp;$B$337&amp;".energy["&amp;This.year&amp;"]"),MATCH($C341&amp;AC$5,INDIRECT($B$3&amp;"."&amp;$B$337&amp;".energy[Tech description]")&amp;INDIRECT($B$3&amp;"."&amp;$B$337&amp;".energy[Energy description]"),0)),0)</f>
        <v>0</v>
      </c>
      <c r="AD341" s="152">
        <f t="array" aca="1" ref="AD341" ca="1">IFERROR(INDEX(INDIRECT($B$3&amp;"."&amp;$B$337&amp;".energy["&amp;This.year&amp;"]"),MATCH($C341&amp;AD$5,INDIRECT($B$3&amp;"."&amp;$B$337&amp;".energy[Tech description]")&amp;INDIRECT($B$3&amp;"."&amp;$B$337&amp;".energy[Energy description]"),0)),0)</f>
        <v>0</v>
      </c>
      <c r="AE341" s="152">
        <f t="array" aca="1" ref="AE341" ca="1">IFERROR(INDEX(INDIRECT($B$3&amp;"."&amp;$B$337&amp;".energy["&amp;This.year&amp;"]"),MATCH($C341&amp;AE$5,INDIRECT($B$3&amp;"."&amp;$B$337&amp;".energy[Tech description]")&amp;INDIRECT($B$3&amp;"."&amp;$B$337&amp;".energy[Energy description]"),0)),0)</f>
        <v>0</v>
      </c>
      <c r="AF341" s="152">
        <f t="array" aca="1" ref="AF341" ca="1">IFERROR(INDEX(INDIRECT($B$3&amp;"."&amp;$B$337&amp;".energy["&amp;This.year&amp;"]"),MATCH($C341&amp;AF$5,INDIRECT($B$3&amp;"."&amp;$B$337&amp;".energy[Tech description]")&amp;INDIRECT($B$3&amp;"."&amp;$B$337&amp;".energy[Energy description]"),0)),0)</f>
        <v>0</v>
      </c>
      <c r="AG341" s="152">
        <f t="array" aca="1" ref="AG341" ca="1">IFERROR(INDEX(INDIRECT($B$3&amp;"."&amp;$B$337&amp;".energy["&amp;This.year&amp;"]"),MATCH($C341&amp;AG$5,INDIRECT($B$3&amp;"."&amp;$B$337&amp;".energy[Tech description]")&amp;INDIRECT($B$3&amp;"."&amp;$B$337&amp;".energy[Energy description]"),0)),0)</f>
        <v>0</v>
      </c>
      <c r="AH341" s="152">
        <f t="array" aca="1" ref="AH341" ca="1">IFERROR(INDEX(INDIRECT($B$3&amp;"."&amp;$B$337&amp;".energy["&amp;This.year&amp;"]"),MATCH($C341&amp;AH$5,INDIRECT($B$3&amp;"."&amp;$B$337&amp;".energy[Tech description]")&amp;INDIRECT($B$3&amp;"."&amp;$B$337&amp;".energy[Energy description]"),0)),0)</f>
        <v>0</v>
      </c>
      <c r="AI341" s="152">
        <f t="array" aca="1" ref="AI341" ca="1">IFERROR(INDEX(INDIRECT($B$3&amp;"."&amp;$B$337&amp;".energy["&amp;This.year&amp;"]"),MATCH($C341&amp;AI$5,INDIRECT($B$3&amp;"."&amp;$B$337&amp;".energy[Tech description]")&amp;INDIRECT($B$3&amp;"."&amp;$B$337&amp;".energy[Energy description]"),0)),0)</f>
        <v>0</v>
      </c>
      <c r="AJ341" s="152">
        <f t="array" aca="1" ref="AJ341" ca="1">IFERROR(INDEX(INDIRECT($B$3&amp;"."&amp;$B$337&amp;".energy["&amp;This.year&amp;"]"),MATCH($C341&amp;AJ$5,INDIRECT($B$3&amp;"."&amp;$B$337&amp;".energy[Tech description]")&amp;INDIRECT($B$3&amp;"."&amp;$B$337&amp;".energy[Energy description]"),0)),0)</f>
        <v>0</v>
      </c>
      <c r="AK341" s="152">
        <f t="array" aca="1" ref="AK341" ca="1">IFERROR(INDEX(INDIRECT($B$3&amp;"."&amp;$B$337&amp;".energy["&amp;This.year&amp;"]"),MATCH($C341&amp;AK$5,INDIRECT($B$3&amp;"."&amp;$B$337&amp;".energy[Tech description]")&amp;INDIRECT($B$3&amp;"."&amp;$B$337&amp;".energy[Energy description]"),0)),0)</f>
        <v>0</v>
      </c>
      <c r="AL341" s="152">
        <f t="array" aca="1" ref="AL341" ca="1">IFERROR(INDEX(INDIRECT($B$3&amp;"."&amp;$B$337&amp;".energy["&amp;This.year&amp;"]"),MATCH($C341&amp;AL$5,INDIRECT($B$3&amp;"."&amp;$B$337&amp;".energy[Tech description]")&amp;INDIRECT($B$3&amp;"."&amp;$B$337&amp;".energy[Energy description]"),0)),0)</f>
        <v>0</v>
      </c>
      <c r="AM341" s="152">
        <f t="array" aca="1" ref="AM341" ca="1">IFERROR(INDEX(INDIRECT($B$3&amp;"."&amp;$B$337&amp;".energy["&amp;This.year&amp;"]"),MATCH($C341&amp;AM$5,INDIRECT($B$3&amp;"."&amp;$B$337&amp;".energy[Tech description]")&amp;INDIRECT($B$3&amp;"."&amp;$B$337&amp;".energy[Energy description]"),0)),0)</f>
        <v>0</v>
      </c>
      <c r="AN341" s="152">
        <f t="array" aca="1" ref="AN341" ca="1">IFERROR(INDEX(INDIRECT($B$3&amp;"."&amp;$B$337&amp;".energy["&amp;This.year&amp;"]"),MATCH($C341&amp;AN$5,INDIRECT($B$3&amp;"."&amp;$B$337&amp;".energy[Tech description]")&amp;INDIRECT($B$3&amp;"."&amp;$B$337&amp;".energy[Energy description]"),0)),0)</f>
        <v>0</v>
      </c>
      <c r="AO341" s="171">
        <f t="shared" ca="1" si="139"/>
        <v>0</v>
      </c>
      <c r="AP341" s="58"/>
      <c r="AQ341" s="21">
        <f t="array" aca="1" ref="AQ341" ca="1">IFERROR(INDEX(INDIRECT($B$3&amp;"."&amp;$B$337&amp;".energy["&amp;This.year&amp;"]"),MATCH($C341&amp;AQ$5,INDIRECT($B$3&amp;"."&amp;$B$337&amp;".energy[Tech description]")&amp;INDIRECT($B$3&amp;"."&amp;$B$337&amp;".energy[Energy description]"),0)),0)</f>
        <v>0</v>
      </c>
      <c r="AR341" s="21">
        <f t="array" aca="1" ref="AR341" ca="1">IFERROR(INDEX(INDIRECT($B$3&amp;"."&amp;$B$337&amp;".energy["&amp;This.year&amp;"]"),MATCH($C341&amp;AR$5,INDIRECT($B$3&amp;"."&amp;$B$337&amp;".energy[Tech description]")&amp;INDIRECT($B$3&amp;"."&amp;$B$337&amp;".energy[Energy description]"),0)),0)</f>
        <v>0</v>
      </c>
      <c r="AS341" s="21">
        <f t="array" aca="1" ref="AS341" ca="1">IFERROR(INDEX(INDIRECT($B$3&amp;"."&amp;$B$337&amp;".energy["&amp;This.year&amp;"]"),MATCH($C341&amp;AS$5,INDIRECT($B$3&amp;"."&amp;$B$337&amp;".energy[Tech description]")&amp;INDIRECT($B$3&amp;"."&amp;$B$337&amp;".energy[Energy description]"),0)),0)</f>
        <v>0</v>
      </c>
      <c r="AT341" s="21">
        <f t="array" aca="1" ref="AT341" ca="1">IFERROR(INDEX(INDIRECT($B$3&amp;"."&amp;$B$337&amp;".energy["&amp;This.year&amp;"]"),MATCH($C341&amp;AT$5,INDIRECT($B$3&amp;"."&amp;$B$337&amp;".energy[Tech description]")&amp;INDIRECT($B$3&amp;"."&amp;$B$337&amp;".energy[Energy description]"),0)),0)</f>
        <v>0</v>
      </c>
      <c r="AU341" s="21">
        <f t="array" aca="1" ref="AU341" ca="1">IFERROR(INDEX(INDIRECT($B$3&amp;"."&amp;$B$337&amp;".energy["&amp;This.year&amp;"]"),MATCH($C341&amp;AU$5,INDIRECT($B$3&amp;"."&amp;$B$337&amp;".energy[Tech description]")&amp;INDIRECT($B$3&amp;"."&amp;$B$337&amp;".energy[Energy description]"),0)),0)</f>
        <v>0</v>
      </c>
      <c r="AV341" s="21">
        <f t="array" aca="1" ref="AV341" ca="1">IFERROR(INDEX(INDIRECT($B$3&amp;"."&amp;$B$337&amp;".energy["&amp;This.year&amp;"]"),MATCH($C341&amp;AV$5,INDIRECT($B$3&amp;"."&amp;$B$337&amp;".energy[Tech description]")&amp;INDIRECT($B$3&amp;"."&amp;$B$337&amp;".energy[Energy description]"),0)),0)</f>
        <v>0</v>
      </c>
      <c r="AW341" s="21">
        <f t="array" aca="1" ref="AW341" ca="1">IFERROR(INDEX(INDIRECT($B$3&amp;"."&amp;$B$337&amp;".energy["&amp;This.year&amp;"]"),MATCH($C341&amp;AW$5,INDIRECT($B$3&amp;"."&amp;$B$337&amp;".energy[Tech description]")&amp;INDIRECT($B$3&amp;"."&amp;$B$337&amp;".energy[Energy description]"),0)),0)</f>
        <v>0</v>
      </c>
      <c r="AX341" s="21">
        <f t="array" aca="1" ref="AX341" ca="1">IFERROR(INDEX(INDIRECT($B$3&amp;"."&amp;$B$337&amp;".energy["&amp;This.year&amp;"]"),MATCH($C341&amp;AX$5,INDIRECT($B$3&amp;"."&amp;$B$337&amp;".energy[Tech description]")&amp;INDIRECT($B$3&amp;"."&amp;$B$337&amp;".energy[Energy description]"),0)),0)</f>
        <v>0</v>
      </c>
      <c r="AY341" s="21">
        <f t="array" aca="1" ref="AY341" ca="1">IFERROR(INDEX(INDIRECT($B$3&amp;"."&amp;$B$337&amp;".energy["&amp;This.year&amp;"]"),MATCH($C341&amp;AY$5,INDIRECT($B$3&amp;"."&amp;$B$337&amp;".energy[Tech description]")&amp;INDIRECT($B$3&amp;"."&amp;$B$337&amp;".energy[Energy description]"),0)),0)</f>
        <v>0</v>
      </c>
      <c r="AZ341" s="21">
        <f t="array" aca="1" ref="AZ341" ca="1">IFERROR(INDEX(INDIRECT($B$3&amp;"."&amp;$B$337&amp;".energy["&amp;This.year&amp;"]"),MATCH($C341&amp;AZ$5,INDIRECT($B$3&amp;"."&amp;$B$337&amp;".energy[Tech description]")&amp;INDIRECT($B$3&amp;"."&amp;$B$337&amp;".energy[Energy description]"),0)),0)</f>
        <v>0</v>
      </c>
      <c r="BA341" s="21">
        <f t="array" aca="1" ref="BA341" ca="1">IFERROR(INDEX(INDIRECT($B$3&amp;"."&amp;$B$337&amp;".energy["&amp;This.year&amp;"]"),MATCH($C341&amp;BA$5,INDIRECT($B$3&amp;"."&amp;$B$337&amp;".energy[Tech description]")&amp;INDIRECT($B$3&amp;"."&amp;$B$337&amp;".energy[Energy description]"),0)),0)</f>
        <v>0</v>
      </c>
      <c r="BB341" s="21">
        <f t="array" aca="1" ref="BB341" ca="1">IFERROR(INDEX(INDIRECT($B$3&amp;"."&amp;$B$337&amp;".energy["&amp;This.year&amp;"]"),MATCH($C341&amp;BB$5,INDIRECT($B$3&amp;"."&amp;$B$337&amp;".energy[Tech description]")&amp;INDIRECT($B$3&amp;"."&amp;$B$337&amp;".energy[Energy description]"),0)),0)</f>
        <v>0</v>
      </c>
      <c r="BC341" s="21">
        <f t="array" aca="1" ref="BC341" ca="1">IFERROR(INDEX(INDIRECT($B$3&amp;"."&amp;$B$337&amp;".energy["&amp;This.year&amp;"]"),MATCH($C341&amp;BC$5,INDIRECT($B$3&amp;"."&amp;$B$337&amp;".energy[Tech description]")&amp;INDIRECT($B$3&amp;"."&amp;$B$337&amp;".energy[Energy description]"),0)),0)</f>
        <v>0</v>
      </c>
      <c r="BD341" s="173">
        <f t="shared" ca="1" si="141"/>
        <v>0</v>
      </c>
      <c r="BE341" s="58"/>
      <c r="BF341" s="49">
        <f t="array" aca="1" ref="BF341" ca="1">IFERROR(INDEX(INDIRECT($B$3&amp;"."&amp;$B$337&amp;".energy["&amp;This.year&amp;"]"),MATCH($C341&amp;BF$5,INDIRECT($B$3&amp;"."&amp;$B$337&amp;".energy[Tech description]")&amp;INDIRECT($B$3&amp;"."&amp;$B$337&amp;".energy[Energy description]"),0)),0)</f>
        <v>0</v>
      </c>
      <c r="BG341" s="49">
        <f t="array" aca="1" ref="BG341" ca="1">IFERROR(INDEX(INDIRECT($B$3&amp;"."&amp;$B$337&amp;".energy["&amp;This.year&amp;"]"),MATCH($C341&amp;BG$5,INDIRECT($B$3&amp;"."&amp;$B$337&amp;".energy[Tech description]")&amp;INDIRECT($B$3&amp;"."&amp;$B$337&amp;".energy[Energy description]"),0)),0)</f>
        <v>0</v>
      </c>
      <c r="BH341" s="175">
        <f t="shared" ca="1" si="140"/>
        <v>0</v>
      </c>
      <c r="BI341" s="219">
        <f t="shared" ca="1" si="142"/>
        <v>0</v>
      </c>
      <c r="BJ341" s="58"/>
    </row>
    <row r="342" spans="1:62">
      <c r="B342" s="176" t="s">
        <v>1222</v>
      </c>
      <c r="C342" s="114" t="str">
        <f>INDEX(Regional.Technologies[Description],MATCH($B$3&amp;"."&amp;B342,Regional.Technologies[Code],0))</f>
        <v xml:space="preserve">Global Arable land for other </v>
      </c>
      <c r="E342" s="121">
        <f t="array" aca="1" ref="E342" ca="1">IFERROR(INDEX(INDIRECT($B$3&amp;"."&amp;$B$337&amp;".energy["&amp;This.year&amp;"]"),MATCH($C342&amp;E$5,INDIRECT($B$3&amp;"."&amp;$B$337&amp;".energy[Tech description]")&amp;INDIRECT($B$3&amp;"."&amp;$B$337&amp;".energy[Energy description]"),0)),0)</f>
        <v>0</v>
      </c>
      <c r="F342" s="121">
        <f t="array" aca="1" ref="F342" ca="1">IFERROR(INDEX(INDIRECT($B$3&amp;"."&amp;$B$337&amp;".energy["&amp;This.year&amp;"]"),MATCH($C342&amp;F$5,INDIRECT($B$3&amp;"."&amp;$B$337&amp;".energy[Tech description]")&amp;INDIRECT($B$3&amp;"."&amp;$B$337&amp;".energy[Energy description]"),0)),0)</f>
        <v>0</v>
      </c>
      <c r="G342" s="121">
        <f t="array" aca="1" ref="G342" ca="1">IFERROR(INDEX(INDIRECT($B$3&amp;"."&amp;$B$337&amp;".energy["&amp;This.year&amp;"]"),MATCH($C342&amp;G$5,INDIRECT($B$3&amp;"."&amp;$B$337&amp;".energy[Tech description]")&amp;INDIRECT($B$3&amp;"."&amp;$B$337&amp;".energy[Energy description]"),0)),0)</f>
        <v>0</v>
      </c>
      <c r="H342" s="121">
        <f t="array" aca="1" ref="H342" ca="1">IFERROR(INDEX(INDIRECT($B$3&amp;"."&amp;$B$337&amp;".energy["&amp;This.year&amp;"]"),MATCH($C342&amp;H$5,INDIRECT($B$3&amp;"."&amp;$B$337&amp;".energy[Tech description]")&amp;INDIRECT($B$3&amp;"."&amp;$B$337&amp;".energy[Energy description]"),0)),0)</f>
        <v>0</v>
      </c>
      <c r="I342" s="121">
        <f t="array" aca="1" ref="I342" ca="1">IFERROR(INDEX(INDIRECT($B$3&amp;"."&amp;$B$337&amp;".energy["&amp;This.year&amp;"]"),MATCH($C342&amp;I$5,INDIRECT($B$3&amp;"."&amp;$B$337&amp;".energy[Tech description]")&amp;INDIRECT($B$3&amp;"."&amp;$B$337&amp;".energy[Energy description]"),0)),0)</f>
        <v>0</v>
      </c>
      <c r="J342" s="121">
        <f t="array" aca="1" ref="J342" ca="1">IFERROR(INDEX(INDIRECT($B$3&amp;"."&amp;$B$337&amp;".energy["&amp;This.year&amp;"]"),MATCH($C342&amp;J$5,INDIRECT($B$3&amp;"."&amp;$B$337&amp;".energy[Tech description]")&amp;INDIRECT($B$3&amp;"."&amp;$B$337&amp;".energy[Energy description]"),0)),0)</f>
        <v>0</v>
      </c>
      <c r="K342" s="121">
        <f t="array" aca="1" ref="K342" ca="1">IFERROR(INDEX(INDIRECT($B$3&amp;"."&amp;$B$337&amp;".energy["&amp;This.year&amp;"]"),MATCH($C342&amp;K$5,INDIRECT($B$3&amp;"."&amp;$B$337&amp;".energy[Tech description]")&amp;INDIRECT($B$3&amp;"."&amp;$B$337&amp;".energy[Energy description]"),0)),0)</f>
        <v>0</v>
      </c>
      <c r="L342" s="121">
        <f t="array" aca="1" ref="L342" ca="1">IFERROR(INDEX(INDIRECT($B$3&amp;"."&amp;$B$337&amp;".energy["&amp;This.year&amp;"]"),MATCH($C342&amp;L$5,INDIRECT($B$3&amp;"."&amp;$B$337&amp;".energy[Tech description]")&amp;INDIRECT($B$3&amp;"."&amp;$B$337&amp;".energy[Energy description]"),0)),0)</f>
        <v>0</v>
      </c>
      <c r="M342" s="121">
        <f t="array" aca="1" ref="M342" ca="1">IFERROR(INDEX(INDIRECT($B$3&amp;"."&amp;$B$337&amp;".energy["&amp;This.year&amp;"]"),MATCH($C342&amp;M$5,INDIRECT($B$3&amp;"."&amp;$B$337&amp;".energy[Tech description]")&amp;INDIRECT($B$3&amp;"."&amp;$B$337&amp;".energy[Energy description]"),0)),0)</f>
        <v>0</v>
      </c>
      <c r="N342" s="121">
        <f t="array" aca="1" ref="N342" ca="1">IFERROR(INDEX(INDIRECT($B$3&amp;"."&amp;$B$337&amp;".energy["&amp;This.year&amp;"]"),MATCH($C342&amp;N$5,INDIRECT($B$3&amp;"."&amp;$B$337&amp;".energy[Tech description]")&amp;INDIRECT($B$3&amp;"."&amp;$B$337&amp;".energy[Energy description]"),0)),0)</f>
        <v>0</v>
      </c>
      <c r="O342" s="121">
        <f t="array" aca="1" ref="O342" ca="1">IFERROR(INDEX(INDIRECT($B$3&amp;"."&amp;$B$337&amp;".energy["&amp;This.year&amp;"]"),MATCH($C342&amp;O$5,INDIRECT($B$3&amp;"."&amp;$B$337&amp;".energy[Tech description]")&amp;INDIRECT($B$3&amp;"."&amp;$B$337&amp;".energy[Energy description]"),0)),0)</f>
        <v>0</v>
      </c>
      <c r="P342" s="121">
        <f t="array" aca="1" ref="P342" ca="1">IFERROR(INDEX(INDIRECT($B$3&amp;"."&amp;$B$337&amp;".energy["&amp;This.year&amp;"]"),MATCH($C342&amp;P$5,INDIRECT($B$3&amp;"."&amp;$B$337&amp;".energy[Tech description]")&amp;INDIRECT($B$3&amp;"."&amp;$B$337&amp;".energy[Energy description]"),0)),0)</f>
        <v>0</v>
      </c>
      <c r="Q342" s="121">
        <f t="array" aca="1" ref="Q342" ca="1">IFERROR(INDEX(INDIRECT($B$3&amp;"."&amp;$B$337&amp;".energy["&amp;This.year&amp;"]"),MATCH($C342&amp;Q$5,INDIRECT($B$3&amp;"."&amp;$B$337&amp;".energy[Tech description]")&amp;INDIRECT($B$3&amp;"."&amp;$B$337&amp;".energy[Energy description]"),0)),0)</f>
        <v>0</v>
      </c>
      <c r="R342" s="121">
        <f t="array" aca="1" ref="R342" ca="1">IFERROR(INDEX(INDIRECT($B$3&amp;"."&amp;$B$337&amp;".energy["&amp;This.year&amp;"]"),MATCH($C342&amp;R$5,INDIRECT($B$3&amp;"."&amp;$B$337&amp;".energy[Tech description]")&amp;INDIRECT($B$3&amp;"."&amp;$B$337&amp;".energy[Energy description]"),0)),0)</f>
        <v>0</v>
      </c>
      <c r="S342" s="121">
        <f t="array" aca="1" ref="S342" ca="1">IFERROR(INDEX(INDIRECT($B$3&amp;"."&amp;$B$337&amp;".energy["&amp;This.year&amp;"]"),MATCH($C342&amp;S$5,INDIRECT($B$3&amp;"."&amp;$B$337&amp;".energy[Tech description]")&amp;INDIRECT($B$3&amp;"."&amp;$B$337&amp;".energy[Energy description]"),0)),0)</f>
        <v>0</v>
      </c>
      <c r="T342" s="121">
        <f t="shared" ca="1" si="138"/>
        <v>0</v>
      </c>
      <c r="U342" s="60"/>
      <c r="V342" s="152">
        <f t="array" aca="1" ref="V342" ca="1">IFERROR(INDEX(INDIRECT($B$3&amp;"."&amp;$B$337&amp;".energy["&amp;This.year&amp;"]"),MATCH($C342&amp;V$5,INDIRECT($B$3&amp;"."&amp;$B$337&amp;".energy[Tech description]")&amp;INDIRECT($B$3&amp;"."&amp;$B$337&amp;".energy[Energy description]"),0)),0)</f>
        <v>0</v>
      </c>
      <c r="W342" s="152">
        <f t="array" aca="1" ref="W342" ca="1">IFERROR(INDEX(INDIRECT($B$3&amp;"."&amp;$B$337&amp;".energy["&amp;This.year&amp;"]"),MATCH($C342&amp;W$5,INDIRECT($B$3&amp;"."&amp;$B$337&amp;".energy[Tech description]")&amp;INDIRECT($B$3&amp;"."&amp;$B$337&amp;".energy[Energy description]"),0)),0)</f>
        <v>0</v>
      </c>
      <c r="X342" s="152">
        <f t="array" aca="1" ref="X342" ca="1">IFERROR(INDEX(INDIRECT($B$3&amp;"."&amp;$B$337&amp;".energy["&amp;This.year&amp;"]"),MATCH($C342&amp;X$5,INDIRECT($B$3&amp;"."&amp;$B$337&amp;".energy[Tech description]")&amp;INDIRECT($B$3&amp;"."&amp;$B$337&amp;".energy[Energy description]"),0)),0)</f>
        <v>0</v>
      </c>
      <c r="Y342" s="152">
        <f t="array" aca="1" ref="Y342" ca="1">IFERROR(INDEX(INDIRECT($B$3&amp;"."&amp;$B$337&amp;".energy["&amp;This.year&amp;"]"),MATCH($C342&amp;Y$5,INDIRECT($B$3&amp;"."&amp;$B$337&amp;".energy[Tech description]")&amp;INDIRECT($B$3&amp;"."&amp;$B$337&amp;".energy[Energy description]"),0)),0)</f>
        <v>0</v>
      </c>
      <c r="Z342" s="152">
        <f t="array" aca="1" ref="Z342" ca="1">IFERROR(INDEX(INDIRECT($B$3&amp;"."&amp;$B$337&amp;".energy["&amp;This.year&amp;"]"),MATCH($C342&amp;Z$5,INDIRECT($B$3&amp;"."&amp;$B$337&amp;".energy[Tech description]")&amp;INDIRECT($B$3&amp;"."&amp;$B$337&amp;".energy[Energy description]"),0)),0)</f>
        <v>0</v>
      </c>
      <c r="AA342" s="152">
        <f t="array" aca="1" ref="AA342" ca="1">IFERROR(INDEX(INDIRECT($B$3&amp;"."&amp;$B$337&amp;".energy["&amp;This.year&amp;"]"),MATCH($C342&amp;AA$5,INDIRECT($B$3&amp;"."&amp;$B$337&amp;".energy[Tech description]")&amp;INDIRECT($B$3&amp;"."&amp;$B$337&amp;".energy[Energy description]"),0)),0)</f>
        <v>0</v>
      </c>
      <c r="AB342" s="152">
        <f t="array" aca="1" ref="AB342" ca="1">IFERROR(INDEX(INDIRECT($B$3&amp;"."&amp;$B$337&amp;".energy["&amp;This.year&amp;"]"),MATCH($C342&amp;AB$5,INDIRECT($B$3&amp;"."&amp;$B$337&amp;".energy[Tech description]")&amp;INDIRECT($B$3&amp;"."&amp;$B$337&amp;".energy[Energy description]"),0)),0)</f>
        <v>0</v>
      </c>
      <c r="AC342" s="152">
        <f t="array" aca="1" ref="AC342" ca="1">IFERROR(INDEX(INDIRECT($B$3&amp;"."&amp;$B$337&amp;".energy["&amp;This.year&amp;"]"),MATCH($C342&amp;AC$5,INDIRECT($B$3&amp;"."&amp;$B$337&amp;".energy[Tech description]")&amp;INDIRECT($B$3&amp;"."&amp;$B$337&amp;".energy[Energy description]"),0)),0)</f>
        <v>0</v>
      </c>
      <c r="AD342" s="152">
        <f t="array" aca="1" ref="AD342" ca="1">IFERROR(INDEX(INDIRECT($B$3&amp;"."&amp;$B$337&amp;".energy["&amp;This.year&amp;"]"),MATCH($C342&amp;AD$5,INDIRECT($B$3&amp;"."&amp;$B$337&amp;".energy[Tech description]")&amp;INDIRECT($B$3&amp;"."&amp;$B$337&amp;".energy[Energy description]"),0)),0)</f>
        <v>0</v>
      </c>
      <c r="AE342" s="152">
        <f t="array" aca="1" ref="AE342" ca="1">IFERROR(INDEX(INDIRECT($B$3&amp;"."&amp;$B$337&amp;".energy["&amp;This.year&amp;"]"),MATCH($C342&amp;AE$5,INDIRECT($B$3&amp;"."&amp;$B$337&amp;".energy[Tech description]")&amp;INDIRECT($B$3&amp;"."&amp;$B$337&amp;".energy[Energy description]"),0)),0)</f>
        <v>0</v>
      </c>
      <c r="AF342" s="152">
        <f t="array" aca="1" ref="AF342" ca="1">IFERROR(INDEX(INDIRECT($B$3&amp;"."&amp;$B$337&amp;".energy["&amp;This.year&amp;"]"),MATCH($C342&amp;AF$5,INDIRECT($B$3&amp;"."&amp;$B$337&amp;".energy[Tech description]")&amp;INDIRECT($B$3&amp;"."&amp;$B$337&amp;".energy[Energy description]"),0)),0)</f>
        <v>0</v>
      </c>
      <c r="AG342" s="152">
        <f t="array" aca="1" ref="AG342" ca="1">IFERROR(INDEX(INDIRECT($B$3&amp;"."&amp;$B$337&amp;".energy["&amp;This.year&amp;"]"),MATCH($C342&amp;AG$5,INDIRECT($B$3&amp;"."&amp;$B$337&amp;".energy[Tech description]")&amp;INDIRECT($B$3&amp;"."&amp;$B$337&amp;".energy[Energy description]"),0)),0)</f>
        <v>0</v>
      </c>
      <c r="AH342" s="152">
        <f t="array" aca="1" ref="AH342" ca="1">IFERROR(INDEX(INDIRECT($B$3&amp;"."&amp;$B$337&amp;".energy["&amp;This.year&amp;"]"),MATCH($C342&amp;AH$5,INDIRECT($B$3&amp;"."&amp;$B$337&amp;".energy[Tech description]")&amp;INDIRECT($B$3&amp;"."&amp;$B$337&amp;".energy[Energy description]"),0)),0)</f>
        <v>0</v>
      </c>
      <c r="AI342" s="152">
        <f t="array" aca="1" ref="AI342" ca="1">IFERROR(INDEX(INDIRECT($B$3&amp;"."&amp;$B$337&amp;".energy["&amp;This.year&amp;"]"),MATCH($C342&amp;AI$5,INDIRECT($B$3&amp;"."&amp;$B$337&amp;".energy[Tech description]")&amp;INDIRECT($B$3&amp;"."&amp;$B$337&amp;".energy[Energy description]"),0)),0)</f>
        <v>0</v>
      </c>
      <c r="AJ342" s="152">
        <f t="array" aca="1" ref="AJ342" ca="1">IFERROR(INDEX(INDIRECT($B$3&amp;"."&amp;$B$337&amp;".energy["&amp;This.year&amp;"]"),MATCH($C342&amp;AJ$5,INDIRECT($B$3&amp;"."&amp;$B$337&amp;".energy[Tech description]")&amp;INDIRECT($B$3&amp;"."&amp;$B$337&amp;".energy[Energy description]"),0)),0)</f>
        <v>0</v>
      </c>
      <c r="AK342" s="152">
        <f t="array" aca="1" ref="AK342" ca="1">IFERROR(INDEX(INDIRECT($B$3&amp;"."&amp;$B$337&amp;".energy["&amp;This.year&amp;"]"),MATCH($C342&amp;AK$5,INDIRECT($B$3&amp;"."&amp;$B$337&amp;".energy[Tech description]")&amp;INDIRECT($B$3&amp;"."&amp;$B$337&amp;".energy[Energy description]"),0)),0)</f>
        <v>0</v>
      </c>
      <c r="AL342" s="152">
        <f t="array" aca="1" ref="AL342" ca="1">IFERROR(INDEX(INDIRECT($B$3&amp;"."&amp;$B$337&amp;".energy["&amp;This.year&amp;"]"),MATCH($C342&amp;AL$5,INDIRECT($B$3&amp;"."&amp;$B$337&amp;".energy[Tech description]")&amp;INDIRECT($B$3&amp;"."&amp;$B$337&amp;".energy[Energy description]"),0)),0)</f>
        <v>0</v>
      </c>
      <c r="AM342" s="152">
        <f t="array" aca="1" ref="AM342" ca="1">IFERROR(INDEX(INDIRECT($B$3&amp;"."&amp;$B$337&amp;".energy["&amp;This.year&amp;"]"),MATCH($C342&amp;AM$5,INDIRECT($B$3&amp;"."&amp;$B$337&amp;".energy[Tech description]")&amp;INDIRECT($B$3&amp;"."&amp;$B$337&amp;".energy[Energy description]"),0)),0)</f>
        <v>0</v>
      </c>
      <c r="AN342" s="152">
        <f t="array" aca="1" ref="AN342" ca="1">IFERROR(INDEX(INDIRECT($B$3&amp;"."&amp;$B$337&amp;".energy["&amp;This.year&amp;"]"),MATCH($C342&amp;AN$5,INDIRECT($B$3&amp;"."&amp;$B$337&amp;".energy[Tech description]")&amp;INDIRECT($B$3&amp;"."&amp;$B$337&amp;".energy[Energy description]"),0)),0)</f>
        <v>0</v>
      </c>
      <c r="AO342" s="171">
        <f t="shared" ca="1" si="139"/>
        <v>0</v>
      </c>
      <c r="AP342" s="60"/>
      <c r="AQ342" s="21">
        <f t="array" aca="1" ref="AQ342" ca="1">IFERROR(INDEX(INDIRECT($B$3&amp;"."&amp;$B$337&amp;".energy["&amp;This.year&amp;"]"),MATCH($C342&amp;AQ$5,INDIRECT($B$3&amp;"."&amp;$B$337&amp;".energy[Tech description]")&amp;INDIRECT($B$3&amp;"."&amp;$B$337&amp;".energy[Energy description]"),0)),0)</f>
        <v>0</v>
      </c>
      <c r="AR342" s="21">
        <f t="array" aca="1" ref="AR342" ca="1">IFERROR(INDEX(INDIRECT($B$3&amp;"."&amp;$B$337&amp;".energy["&amp;This.year&amp;"]"),MATCH($C342&amp;AR$5,INDIRECT($B$3&amp;"."&amp;$B$337&amp;".energy[Tech description]")&amp;INDIRECT($B$3&amp;"."&amp;$B$337&amp;".energy[Energy description]"),0)),0)</f>
        <v>0</v>
      </c>
      <c r="AS342" s="21">
        <f t="array" aca="1" ref="AS342" ca="1">IFERROR(INDEX(INDIRECT($B$3&amp;"."&amp;$B$337&amp;".energy["&amp;This.year&amp;"]"),MATCH($C342&amp;AS$5,INDIRECT($B$3&amp;"."&amp;$B$337&amp;".energy[Tech description]")&amp;INDIRECT($B$3&amp;"."&amp;$B$337&amp;".energy[Energy description]"),0)),0)</f>
        <v>0</v>
      </c>
      <c r="AT342" s="21">
        <f t="array" aca="1" ref="AT342" ca="1">IFERROR(INDEX(INDIRECT($B$3&amp;"."&amp;$B$337&amp;".energy["&amp;This.year&amp;"]"),MATCH($C342&amp;AT$5,INDIRECT($B$3&amp;"."&amp;$B$337&amp;".energy[Tech description]")&amp;INDIRECT($B$3&amp;"."&amp;$B$337&amp;".energy[Energy description]"),0)),0)</f>
        <v>0</v>
      </c>
      <c r="AU342" s="21">
        <f t="array" aca="1" ref="AU342" ca="1">IFERROR(INDEX(INDIRECT($B$3&amp;"."&amp;$B$337&amp;".energy["&amp;This.year&amp;"]"),MATCH($C342&amp;AU$5,INDIRECT($B$3&amp;"."&amp;$B$337&amp;".energy[Tech description]")&amp;INDIRECT($B$3&amp;"."&amp;$B$337&amp;".energy[Energy description]"),0)),0)</f>
        <v>0</v>
      </c>
      <c r="AV342" s="21">
        <f t="array" aca="1" ref="AV342" ca="1">IFERROR(INDEX(INDIRECT($B$3&amp;"."&amp;$B$337&amp;".energy["&amp;This.year&amp;"]"),MATCH($C342&amp;AV$5,INDIRECT($B$3&amp;"."&amp;$B$337&amp;".energy[Tech description]")&amp;INDIRECT($B$3&amp;"."&amp;$B$337&amp;".energy[Energy description]"),0)),0)</f>
        <v>0</v>
      </c>
      <c r="AW342" s="21">
        <f t="array" aca="1" ref="AW342" ca="1">IFERROR(INDEX(INDIRECT($B$3&amp;"."&amp;$B$337&amp;".energy["&amp;This.year&amp;"]"),MATCH($C342&amp;AW$5,INDIRECT($B$3&amp;"."&amp;$B$337&amp;".energy[Tech description]")&amp;INDIRECT($B$3&amp;"."&amp;$B$337&amp;".energy[Energy description]"),0)),0)</f>
        <v>0</v>
      </c>
      <c r="AX342" s="21">
        <f t="array" aca="1" ref="AX342" ca="1">IFERROR(INDEX(INDIRECT($B$3&amp;"."&amp;$B$337&amp;".energy["&amp;This.year&amp;"]"),MATCH($C342&amp;AX$5,INDIRECT($B$3&amp;"."&amp;$B$337&amp;".energy[Tech description]")&amp;INDIRECT($B$3&amp;"."&amp;$B$337&amp;".energy[Energy description]"),0)),0)</f>
        <v>0</v>
      </c>
      <c r="AY342" s="21">
        <f t="array" aca="1" ref="AY342" ca="1">IFERROR(INDEX(INDIRECT($B$3&amp;"."&amp;$B$337&amp;".energy["&amp;This.year&amp;"]"),MATCH($C342&amp;AY$5,INDIRECT($B$3&amp;"."&amp;$B$337&amp;".energy[Tech description]")&amp;INDIRECT($B$3&amp;"."&amp;$B$337&amp;".energy[Energy description]"),0)),0)</f>
        <v>0</v>
      </c>
      <c r="AZ342" s="21">
        <f t="array" aca="1" ref="AZ342" ca="1">IFERROR(INDEX(INDIRECT($B$3&amp;"."&amp;$B$337&amp;".energy["&amp;This.year&amp;"]"),MATCH($C342&amp;AZ$5,INDIRECT($B$3&amp;"."&amp;$B$337&amp;".energy[Tech description]")&amp;INDIRECT($B$3&amp;"."&amp;$B$337&amp;".energy[Energy description]"),0)),0)</f>
        <v>0</v>
      </c>
      <c r="BA342" s="21">
        <f t="array" aca="1" ref="BA342" ca="1">IFERROR(INDEX(INDIRECT($B$3&amp;"."&amp;$B$337&amp;".energy["&amp;This.year&amp;"]"),MATCH($C342&amp;BA$5,INDIRECT($B$3&amp;"."&amp;$B$337&amp;".energy[Tech description]")&amp;INDIRECT($B$3&amp;"."&amp;$B$337&amp;".energy[Energy description]"),0)),0)</f>
        <v>0</v>
      </c>
      <c r="BB342" s="21">
        <f t="array" aca="1" ref="BB342" ca="1">IFERROR(INDEX(INDIRECT($B$3&amp;"."&amp;$B$337&amp;".energy["&amp;This.year&amp;"]"),MATCH($C342&amp;BB$5,INDIRECT($B$3&amp;"."&amp;$B$337&amp;".energy[Tech description]")&amp;INDIRECT($B$3&amp;"."&amp;$B$337&amp;".energy[Energy description]"),0)),0)</f>
        <v>0</v>
      </c>
      <c r="BC342" s="21">
        <f t="array" aca="1" ref="BC342" ca="1">IFERROR(INDEX(INDIRECT($B$3&amp;"."&amp;$B$337&amp;".energy["&amp;This.year&amp;"]"),MATCH($C342&amp;BC$5,INDIRECT($B$3&amp;"."&amp;$B$337&amp;".energy[Tech description]")&amp;INDIRECT($B$3&amp;"."&amp;$B$337&amp;".energy[Energy description]"),0)),0)</f>
        <v>0</v>
      </c>
      <c r="BD342" s="173">
        <f t="shared" ca="1" si="141"/>
        <v>0</v>
      </c>
      <c r="BE342" s="60"/>
      <c r="BF342" s="49">
        <f t="array" aca="1" ref="BF342" ca="1">IFERROR(INDEX(INDIRECT($B$3&amp;"."&amp;$B$337&amp;".energy["&amp;This.year&amp;"]"),MATCH($C342&amp;BF$5,INDIRECT($B$3&amp;"."&amp;$B$337&amp;".energy[Tech description]")&amp;INDIRECT($B$3&amp;"."&amp;$B$337&amp;".energy[Energy description]"),0)),0)</f>
        <v>0</v>
      </c>
      <c r="BG342" s="49">
        <f t="array" aca="1" ref="BG342" ca="1">IFERROR(INDEX(INDIRECT($B$3&amp;"."&amp;$B$337&amp;".energy["&amp;This.year&amp;"]"),MATCH($C342&amp;BG$5,INDIRECT($B$3&amp;"."&amp;$B$337&amp;".energy[Tech description]")&amp;INDIRECT($B$3&amp;"."&amp;$B$337&amp;".energy[Energy description]"),0)),0)</f>
        <v>0</v>
      </c>
      <c r="BH342" s="175">
        <f t="shared" ca="1" si="140"/>
        <v>0</v>
      </c>
      <c r="BI342" s="219">
        <f t="shared" ca="1" si="142"/>
        <v>0</v>
      </c>
      <c r="BJ342" s="58"/>
    </row>
    <row r="343" spans="1:62">
      <c r="B343" s="176" t="s">
        <v>1225</v>
      </c>
      <c r="C343" s="114" t="str">
        <f>INDEX(Regional.Technologies[Description],MATCH($B$3&amp;"."&amp;B343,Regional.Technologies[Code],0))</f>
        <v>Global Pasture for livestock</v>
      </c>
      <c r="E343" s="121">
        <f t="array" aca="1" ref="E343" ca="1">IFERROR(INDEX(INDIRECT($B$3&amp;"."&amp;$B$337&amp;".energy["&amp;This.year&amp;"]"),MATCH($C343&amp;E$5,INDIRECT($B$3&amp;"."&amp;$B$337&amp;".energy[Tech description]")&amp;INDIRECT($B$3&amp;"."&amp;$B$337&amp;".energy[Energy description]"),0)),0)</f>
        <v>0</v>
      </c>
      <c r="F343" s="121">
        <f t="array" aca="1" ref="F343" ca="1">IFERROR(INDEX(INDIRECT($B$3&amp;"."&amp;$B$337&amp;".energy["&amp;This.year&amp;"]"),MATCH($C343&amp;F$5,INDIRECT($B$3&amp;"."&amp;$B$337&amp;".energy[Tech description]")&amp;INDIRECT($B$3&amp;"."&amp;$B$337&amp;".energy[Energy description]"),0)),0)</f>
        <v>0</v>
      </c>
      <c r="G343" s="121">
        <f t="array" aca="1" ref="G343" ca="1">IFERROR(INDEX(INDIRECT($B$3&amp;"."&amp;$B$337&amp;".energy["&amp;This.year&amp;"]"),MATCH($C343&amp;G$5,INDIRECT($B$3&amp;"."&amp;$B$337&amp;".energy[Tech description]")&amp;INDIRECT($B$3&amp;"."&amp;$B$337&amp;".energy[Energy description]"),0)),0)</f>
        <v>0</v>
      </c>
      <c r="H343" s="121">
        <f t="array" aca="1" ref="H343" ca="1">IFERROR(INDEX(INDIRECT($B$3&amp;"."&amp;$B$337&amp;".energy["&amp;This.year&amp;"]"),MATCH($C343&amp;H$5,INDIRECT($B$3&amp;"."&amp;$B$337&amp;".energy[Tech description]")&amp;INDIRECT($B$3&amp;"."&amp;$B$337&amp;".energy[Energy description]"),0)),0)</f>
        <v>0</v>
      </c>
      <c r="I343" s="121">
        <f t="array" aca="1" ref="I343" ca="1">IFERROR(INDEX(INDIRECT($B$3&amp;"."&amp;$B$337&amp;".energy["&amp;This.year&amp;"]"),MATCH($C343&amp;I$5,INDIRECT($B$3&amp;"."&amp;$B$337&amp;".energy[Tech description]")&amp;INDIRECT($B$3&amp;"."&amp;$B$337&amp;".energy[Energy description]"),0)),0)</f>
        <v>0</v>
      </c>
      <c r="J343" s="121">
        <f t="array" aca="1" ref="J343" ca="1">IFERROR(INDEX(INDIRECT($B$3&amp;"."&amp;$B$337&amp;".energy["&amp;This.year&amp;"]"),MATCH($C343&amp;J$5,INDIRECT($B$3&amp;"."&amp;$B$337&amp;".energy[Tech description]")&amp;INDIRECT($B$3&amp;"."&amp;$B$337&amp;".energy[Energy description]"),0)),0)</f>
        <v>0</v>
      </c>
      <c r="K343" s="121">
        <f t="array" aca="1" ref="K343" ca="1">IFERROR(INDEX(INDIRECT($B$3&amp;"."&amp;$B$337&amp;".energy["&amp;This.year&amp;"]"),MATCH($C343&amp;K$5,INDIRECT($B$3&amp;"."&amp;$B$337&amp;".energy[Tech description]")&amp;INDIRECT($B$3&amp;"."&amp;$B$337&amp;".energy[Energy description]"),0)),0)</f>
        <v>0</v>
      </c>
      <c r="L343" s="121">
        <f t="array" aca="1" ref="L343" ca="1">IFERROR(INDEX(INDIRECT($B$3&amp;"."&amp;$B$337&amp;".energy["&amp;This.year&amp;"]"),MATCH($C343&amp;L$5,INDIRECT($B$3&amp;"."&amp;$B$337&amp;".energy[Tech description]")&amp;INDIRECT($B$3&amp;"."&amp;$B$337&amp;".energy[Energy description]"),0)),0)</f>
        <v>0</v>
      </c>
      <c r="M343" s="121">
        <f t="array" aca="1" ref="M343" ca="1">IFERROR(INDEX(INDIRECT($B$3&amp;"."&amp;$B$337&amp;".energy["&amp;This.year&amp;"]"),MATCH($C343&amp;M$5,INDIRECT($B$3&amp;"."&amp;$B$337&amp;".energy[Tech description]")&amp;INDIRECT($B$3&amp;"."&amp;$B$337&amp;".energy[Energy description]"),0)),0)</f>
        <v>0</v>
      </c>
      <c r="N343" s="121">
        <f t="array" aca="1" ref="N343" ca="1">IFERROR(INDEX(INDIRECT($B$3&amp;"."&amp;$B$337&amp;".energy["&amp;This.year&amp;"]"),MATCH($C343&amp;N$5,INDIRECT($B$3&amp;"."&amp;$B$337&amp;".energy[Tech description]")&amp;INDIRECT($B$3&amp;"."&amp;$B$337&amp;".energy[Energy description]"),0)),0)</f>
        <v>0</v>
      </c>
      <c r="O343" s="121">
        <f t="array" aca="1" ref="O343" ca="1">IFERROR(INDEX(INDIRECT($B$3&amp;"."&amp;$B$337&amp;".energy["&amp;This.year&amp;"]"),MATCH($C343&amp;O$5,INDIRECT($B$3&amp;"."&amp;$B$337&amp;".energy[Tech description]")&amp;INDIRECT($B$3&amp;"."&amp;$B$337&amp;".energy[Energy description]"),0)),0)</f>
        <v>0</v>
      </c>
      <c r="P343" s="121">
        <f t="array" aca="1" ref="P343" ca="1">IFERROR(INDEX(INDIRECT($B$3&amp;"."&amp;$B$337&amp;".energy["&amp;This.year&amp;"]"),MATCH($C343&amp;P$5,INDIRECT($B$3&amp;"."&amp;$B$337&amp;".energy[Tech description]")&amp;INDIRECT($B$3&amp;"."&amp;$B$337&amp;".energy[Energy description]"),0)),0)</f>
        <v>0</v>
      </c>
      <c r="Q343" s="121">
        <f t="array" aca="1" ref="Q343" ca="1">IFERROR(INDEX(INDIRECT($B$3&amp;"."&amp;$B$337&amp;".energy["&amp;This.year&amp;"]"),MATCH($C343&amp;Q$5,INDIRECT($B$3&amp;"."&amp;$B$337&amp;".energy[Tech description]")&amp;INDIRECT($B$3&amp;"."&amp;$B$337&amp;".energy[Energy description]"),0)),0)</f>
        <v>0</v>
      </c>
      <c r="R343" s="121">
        <f t="array" aca="1" ref="R343" ca="1">IFERROR(INDEX(INDIRECT($B$3&amp;"."&amp;$B$337&amp;".energy["&amp;This.year&amp;"]"),MATCH($C343&amp;R$5,INDIRECT($B$3&amp;"."&amp;$B$337&amp;".energy[Tech description]")&amp;INDIRECT($B$3&amp;"."&amp;$B$337&amp;".energy[Energy description]"),0)),0)</f>
        <v>0</v>
      </c>
      <c r="S343" s="121">
        <f t="array" aca="1" ref="S343" ca="1">IFERROR(INDEX(INDIRECT($B$3&amp;"."&amp;$B$337&amp;".energy["&amp;This.year&amp;"]"),MATCH($C343&amp;S$5,INDIRECT($B$3&amp;"."&amp;$B$337&amp;".energy[Tech description]")&amp;INDIRECT($B$3&amp;"."&amp;$B$337&amp;".energy[Energy description]"),0)),0)</f>
        <v>0</v>
      </c>
      <c r="T343" s="121">
        <f t="shared" ca="1" si="138"/>
        <v>0</v>
      </c>
      <c r="U343" s="108"/>
      <c r="V343" s="152">
        <f t="array" aca="1" ref="V343" ca="1">IFERROR(INDEX(INDIRECT($B$3&amp;"."&amp;$B$337&amp;".energy["&amp;This.year&amp;"]"),MATCH($C343&amp;V$5,INDIRECT($B$3&amp;"."&amp;$B$337&amp;".energy[Tech description]")&amp;INDIRECT($B$3&amp;"."&amp;$B$337&amp;".energy[Energy description]"),0)),0)</f>
        <v>0</v>
      </c>
      <c r="W343" s="152">
        <f t="array" aca="1" ref="W343" ca="1">IFERROR(INDEX(INDIRECT($B$3&amp;"."&amp;$B$337&amp;".energy["&amp;This.year&amp;"]"),MATCH($C343&amp;W$5,INDIRECT($B$3&amp;"."&amp;$B$337&amp;".energy[Tech description]")&amp;INDIRECT($B$3&amp;"."&amp;$B$337&amp;".energy[Energy description]"),0)),0)</f>
        <v>0</v>
      </c>
      <c r="X343" s="152">
        <f t="array" aca="1" ref="X343" ca="1">IFERROR(INDEX(INDIRECT($B$3&amp;"."&amp;$B$337&amp;".energy["&amp;This.year&amp;"]"),MATCH($C343&amp;X$5,INDIRECT($B$3&amp;"."&amp;$B$337&amp;".energy[Tech description]")&amp;INDIRECT($B$3&amp;"."&amp;$B$337&amp;".energy[Energy description]"),0)),0)</f>
        <v>0</v>
      </c>
      <c r="Y343" s="152">
        <f t="array" aca="1" ref="Y343" ca="1">IFERROR(INDEX(INDIRECT($B$3&amp;"."&amp;$B$337&amp;".energy["&amp;This.year&amp;"]"),MATCH($C343&amp;Y$5,INDIRECT($B$3&amp;"."&amp;$B$337&amp;".energy[Tech description]")&amp;INDIRECT($B$3&amp;"."&amp;$B$337&amp;".energy[Energy description]"),0)),0)</f>
        <v>0</v>
      </c>
      <c r="Z343" s="152">
        <f t="array" aca="1" ref="Z343" ca="1">IFERROR(INDEX(INDIRECT($B$3&amp;"."&amp;$B$337&amp;".energy["&amp;This.year&amp;"]"),MATCH($C343&amp;Z$5,INDIRECT($B$3&amp;"."&amp;$B$337&amp;".energy[Tech description]")&amp;INDIRECT($B$3&amp;"."&amp;$B$337&amp;".energy[Energy description]"),0)),0)</f>
        <v>0</v>
      </c>
      <c r="AA343" s="152">
        <f t="array" aca="1" ref="AA343" ca="1">IFERROR(INDEX(INDIRECT($B$3&amp;"."&amp;$B$337&amp;".energy["&amp;This.year&amp;"]"),MATCH($C343&amp;AA$5,INDIRECT($B$3&amp;"."&amp;$B$337&amp;".energy[Tech description]")&amp;INDIRECT($B$3&amp;"."&amp;$B$337&amp;".energy[Energy description]"),0)),0)</f>
        <v>0</v>
      </c>
      <c r="AB343" s="152">
        <f t="array" aca="1" ref="AB343" ca="1">IFERROR(INDEX(INDIRECT($B$3&amp;"."&amp;$B$337&amp;".energy["&amp;This.year&amp;"]"),MATCH($C343&amp;AB$5,INDIRECT($B$3&amp;"."&amp;$B$337&amp;".energy[Tech description]")&amp;INDIRECT($B$3&amp;"."&amp;$B$337&amp;".energy[Energy description]"),0)),0)</f>
        <v>0</v>
      </c>
      <c r="AC343" s="152">
        <f t="array" aca="1" ref="AC343" ca="1">IFERROR(INDEX(INDIRECT($B$3&amp;"."&amp;$B$337&amp;".energy["&amp;This.year&amp;"]"),MATCH($C343&amp;AC$5,INDIRECT($B$3&amp;"."&amp;$B$337&amp;".energy[Tech description]")&amp;INDIRECT($B$3&amp;"."&amp;$B$337&amp;".energy[Energy description]"),0)),0)</f>
        <v>0</v>
      </c>
      <c r="AD343" s="152">
        <f t="array" aca="1" ref="AD343" ca="1">IFERROR(INDEX(INDIRECT($B$3&amp;"."&amp;$B$337&amp;".energy["&amp;This.year&amp;"]"),MATCH($C343&amp;AD$5,INDIRECT($B$3&amp;"."&amp;$B$337&amp;".energy[Tech description]")&amp;INDIRECT($B$3&amp;"."&amp;$B$337&amp;".energy[Energy description]"),0)),0)</f>
        <v>0</v>
      </c>
      <c r="AE343" s="152">
        <f t="array" aca="1" ref="AE343" ca="1">IFERROR(INDEX(INDIRECT($B$3&amp;"."&amp;$B$337&amp;".energy["&amp;This.year&amp;"]"),MATCH($C343&amp;AE$5,INDIRECT($B$3&amp;"."&amp;$B$337&amp;".energy[Tech description]")&amp;INDIRECT($B$3&amp;"."&amp;$B$337&amp;".energy[Energy description]"),0)),0)</f>
        <v>0</v>
      </c>
      <c r="AF343" s="152">
        <f t="array" aca="1" ref="AF343" ca="1">IFERROR(INDEX(INDIRECT($B$3&amp;"."&amp;$B$337&amp;".energy["&amp;This.year&amp;"]"),MATCH($C343&amp;AF$5,INDIRECT($B$3&amp;"."&amp;$B$337&amp;".energy[Tech description]")&amp;INDIRECT($B$3&amp;"."&amp;$B$337&amp;".energy[Energy description]"),0)),0)</f>
        <v>0</v>
      </c>
      <c r="AG343" s="152">
        <f t="array" aca="1" ref="AG343" ca="1">IFERROR(INDEX(INDIRECT($B$3&amp;"."&amp;$B$337&amp;".energy["&amp;This.year&amp;"]"),MATCH($C343&amp;AG$5,INDIRECT($B$3&amp;"."&amp;$B$337&amp;".energy[Tech description]")&amp;INDIRECT($B$3&amp;"."&amp;$B$337&amp;".energy[Energy description]"),0)),0)</f>
        <v>0</v>
      </c>
      <c r="AH343" s="152">
        <f t="array" aca="1" ref="AH343" ca="1">IFERROR(INDEX(INDIRECT($B$3&amp;"."&amp;$B$337&amp;".energy["&amp;This.year&amp;"]"),MATCH($C343&amp;AH$5,INDIRECT($B$3&amp;"."&amp;$B$337&amp;".energy[Tech description]")&amp;INDIRECT($B$3&amp;"."&amp;$B$337&amp;".energy[Energy description]"),0)),0)</f>
        <v>0</v>
      </c>
      <c r="AI343" s="152">
        <f t="array" aca="1" ref="AI343" ca="1">IFERROR(INDEX(INDIRECT($B$3&amp;"."&amp;$B$337&amp;".energy["&amp;This.year&amp;"]"),MATCH($C343&amp;AI$5,INDIRECT($B$3&amp;"."&amp;$B$337&amp;".energy[Tech description]")&amp;INDIRECT($B$3&amp;"."&amp;$B$337&amp;".energy[Energy description]"),0)),0)</f>
        <v>0</v>
      </c>
      <c r="AJ343" s="152">
        <f t="array" aca="1" ref="AJ343" ca="1">IFERROR(INDEX(INDIRECT($B$3&amp;"."&amp;$B$337&amp;".energy["&amp;This.year&amp;"]"),MATCH($C343&amp;AJ$5,INDIRECT($B$3&amp;"."&amp;$B$337&amp;".energy[Tech description]")&amp;INDIRECT($B$3&amp;"."&amp;$B$337&amp;".energy[Energy description]"),0)),0)</f>
        <v>0</v>
      </c>
      <c r="AK343" s="152">
        <f t="array" aca="1" ref="AK343" ca="1">IFERROR(INDEX(INDIRECT($B$3&amp;"."&amp;$B$337&amp;".energy["&amp;This.year&amp;"]"),MATCH($C343&amp;AK$5,INDIRECT($B$3&amp;"."&amp;$B$337&amp;".energy[Tech description]")&amp;INDIRECT($B$3&amp;"."&amp;$B$337&amp;".energy[Energy description]"),0)),0)</f>
        <v>0</v>
      </c>
      <c r="AL343" s="152">
        <f t="array" aca="1" ref="AL343" ca="1">IFERROR(INDEX(INDIRECT($B$3&amp;"."&amp;$B$337&amp;".energy["&amp;This.year&amp;"]"),MATCH($C343&amp;AL$5,INDIRECT($B$3&amp;"."&amp;$B$337&amp;".energy[Tech description]")&amp;INDIRECT($B$3&amp;"."&amp;$B$337&amp;".energy[Energy description]"),0)),0)</f>
        <v>0</v>
      </c>
      <c r="AM343" s="152">
        <f t="array" aca="1" ref="AM343" ca="1">IFERROR(INDEX(INDIRECT($B$3&amp;"."&amp;$B$337&amp;".energy["&amp;This.year&amp;"]"),MATCH($C343&amp;AM$5,INDIRECT($B$3&amp;"."&amp;$B$337&amp;".energy[Tech description]")&amp;INDIRECT($B$3&amp;"."&amp;$B$337&amp;".energy[Energy description]"),0)),0)</f>
        <v>0</v>
      </c>
      <c r="AN343" s="152">
        <f t="array" aca="1" ref="AN343" ca="1">IFERROR(INDEX(INDIRECT($B$3&amp;"."&amp;$B$337&amp;".energy["&amp;This.year&amp;"]"),MATCH($C343&amp;AN$5,INDIRECT($B$3&amp;"."&amp;$B$337&amp;".energy[Tech description]")&amp;INDIRECT($B$3&amp;"."&amp;$B$337&amp;".energy[Energy description]"),0)),0)</f>
        <v>0</v>
      </c>
      <c r="AO343" s="171">
        <f ca="1">SUM(V343:AN343)</f>
        <v>0</v>
      </c>
      <c r="AP343" s="108"/>
      <c r="AQ343" s="21">
        <f t="array" aca="1" ref="AQ343" ca="1">IFERROR(INDEX(INDIRECT($B$3&amp;"."&amp;$B$337&amp;".energy["&amp;This.year&amp;"]"),MATCH($C343&amp;AQ$5,INDIRECT($B$3&amp;"."&amp;$B$337&amp;".energy[Tech description]")&amp;INDIRECT($B$3&amp;"."&amp;$B$337&amp;".energy[Energy description]"),0)),0)</f>
        <v>0</v>
      </c>
      <c r="AR343" s="21">
        <f t="array" aca="1" ref="AR343" ca="1">IFERROR(INDEX(INDIRECT($B$3&amp;"."&amp;$B$337&amp;".energy["&amp;This.year&amp;"]"),MATCH($C343&amp;AR$5,INDIRECT($B$3&amp;"."&amp;$B$337&amp;".energy[Tech description]")&amp;INDIRECT($B$3&amp;"."&amp;$B$337&amp;".energy[Energy description]"),0)),0)</f>
        <v>0</v>
      </c>
      <c r="AS343" s="21">
        <f t="array" aca="1" ref="AS343" ca="1">IFERROR(INDEX(INDIRECT($B$3&amp;"."&amp;$B$337&amp;".energy["&amp;This.year&amp;"]"),MATCH($C343&amp;AS$5,INDIRECT($B$3&amp;"."&amp;$B$337&amp;".energy[Tech description]")&amp;INDIRECT($B$3&amp;"."&amp;$B$337&amp;".energy[Energy description]"),0)),0)</f>
        <v>0</v>
      </c>
      <c r="AT343" s="21">
        <f t="array" aca="1" ref="AT343" ca="1">IFERROR(INDEX(INDIRECT($B$3&amp;"."&amp;$B$337&amp;".energy["&amp;This.year&amp;"]"),MATCH($C343&amp;AT$5,INDIRECT($B$3&amp;"."&amp;$B$337&amp;".energy[Tech description]")&amp;INDIRECT($B$3&amp;"."&amp;$B$337&amp;".energy[Energy description]"),0)),0)</f>
        <v>0</v>
      </c>
      <c r="AU343" s="21">
        <f t="array" aca="1" ref="AU343" ca="1">IFERROR(INDEX(INDIRECT($B$3&amp;"."&amp;$B$337&amp;".energy["&amp;This.year&amp;"]"),MATCH($C343&amp;AU$5,INDIRECT($B$3&amp;"."&amp;$B$337&amp;".energy[Tech description]")&amp;INDIRECT($B$3&amp;"."&amp;$B$337&amp;".energy[Energy description]"),0)),0)</f>
        <v>0</v>
      </c>
      <c r="AV343" s="21">
        <f t="array" aca="1" ref="AV343" ca="1">IFERROR(INDEX(INDIRECT($B$3&amp;"."&amp;$B$337&amp;".energy["&amp;This.year&amp;"]"),MATCH($C343&amp;AV$5,INDIRECT($B$3&amp;"."&amp;$B$337&amp;".energy[Tech description]")&amp;INDIRECT($B$3&amp;"."&amp;$B$337&amp;".energy[Energy description]"),0)),0)</f>
        <v>0</v>
      </c>
      <c r="AW343" s="21">
        <f t="array" aca="1" ref="AW343" ca="1">IFERROR(INDEX(INDIRECT($B$3&amp;"."&amp;$B$337&amp;".energy["&amp;This.year&amp;"]"),MATCH($C343&amp;AW$5,INDIRECT($B$3&amp;"."&amp;$B$337&amp;".energy[Tech description]")&amp;INDIRECT($B$3&amp;"."&amp;$B$337&amp;".energy[Energy description]"),0)),0)</f>
        <v>0</v>
      </c>
      <c r="AX343" s="21">
        <f t="array" aca="1" ref="AX343" ca="1">IFERROR(INDEX(INDIRECT($B$3&amp;"."&amp;$B$337&amp;".energy["&amp;This.year&amp;"]"),MATCH($C343&amp;AX$5,INDIRECT($B$3&amp;"."&amp;$B$337&amp;".energy[Tech description]")&amp;INDIRECT($B$3&amp;"."&amp;$B$337&amp;".energy[Energy description]"),0)),0)</f>
        <v>0</v>
      </c>
      <c r="AY343" s="21">
        <f t="array" aca="1" ref="AY343" ca="1">IFERROR(INDEX(INDIRECT($B$3&amp;"."&amp;$B$337&amp;".energy["&amp;This.year&amp;"]"),MATCH($C343&amp;AY$5,INDIRECT($B$3&amp;"."&amp;$B$337&amp;".energy[Tech description]")&amp;INDIRECT($B$3&amp;"."&amp;$B$337&amp;".energy[Energy description]"),0)),0)</f>
        <v>0</v>
      </c>
      <c r="AZ343" s="21">
        <f t="array" aca="1" ref="AZ343" ca="1">IFERROR(INDEX(INDIRECT($B$3&amp;"."&amp;$B$337&amp;".energy["&amp;This.year&amp;"]"),MATCH($C343&amp;AZ$5,INDIRECT($B$3&amp;"."&amp;$B$337&amp;".energy[Tech description]")&amp;INDIRECT($B$3&amp;"."&amp;$B$337&amp;".energy[Energy description]"),0)),0)</f>
        <v>0</v>
      </c>
      <c r="BA343" s="21">
        <f t="array" aca="1" ref="BA343" ca="1">IFERROR(INDEX(INDIRECT($B$3&amp;"."&amp;$B$337&amp;".energy["&amp;This.year&amp;"]"),MATCH($C343&amp;BA$5,INDIRECT($B$3&amp;"."&amp;$B$337&amp;".energy[Tech description]")&amp;INDIRECT($B$3&amp;"."&amp;$B$337&amp;".energy[Energy description]"),0)),0)</f>
        <v>0</v>
      </c>
      <c r="BB343" s="21">
        <f t="array" aca="1" ref="BB343" ca="1">IFERROR(INDEX(INDIRECT($B$3&amp;"."&amp;$B$337&amp;".energy["&amp;This.year&amp;"]"),MATCH($C343&amp;BB$5,INDIRECT($B$3&amp;"."&amp;$B$337&amp;".energy[Tech description]")&amp;INDIRECT($B$3&amp;"."&amp;$B$337&amp;".energy[Energy description]"),0)),0)</f>
        <v>0</v>
      </c>
      <c r="BC343" s="21">
        <f t="array" aca="1" ref="BC343" ca="1">IFERROR(INDEX(INDIRECT($B$3&amp;"."&amp;$B$337&amp;".energy["&amp;This.year&amp;"]"),MATCH($C343&amp;BC$5,INDIRECT($B$3&amp;"."&amp;$B$337&amp;".energy[Tech description]")&amp;INDIRECT($B$3&amp;"."&amp;$B$337&amp;".energy[Energy description]"),0)),0)</f>
        <v>0</v>
      </c>
      <c r="BD343" s="173">
        <f t="shared" ca="1" si="141"/>
        <v>0</v>
      </c>
      <c r="BE343" s="108"/>
      <c r="BF343" s="49">
        <f t="array" aca="1" ref="BF343" ca="1">IFERROR(INDEX(INDIRECT($B$3&amp;"."&amp;$B$337&amp;".energy["&amp;This.year&amp;"]"),MATCH($C343&amp;BF$5,INDIRECT($B$3&amp;"."&amp;$B$337&amp;".energy[Tech description]")&amp;INDIRECT($B$3&amp;"."&amp;$B$337&amp;".energy[Energy description]"),0)),0)</f>
        <v>0</v>
      </c>
      <c r="BG343" s="49">
        <f t="array" aca="1" ref="BG343" ca="1">IFERROR(INDEX(INDIRECT($B$3&amp;"."&amp;$B$337&amp;".energy["&amp;This.year&amp;"]"),MATCH($C343&amp;BG$5,INDIRECT($B$3&amp;"."&amp;$B$337&amp;".energy[Tech description]")&amp;INDIRECT($B$3&amp;"."&amp;$B$337&amp;".energy[Energy description]"),0)),0)</f>
        <v>0</v>
      </c>
      <c r="BH343" s="175">
        <f t="shared" ca="1" si="140"/>
        <v>0</v>
      </c>
      <c r="BI343" s="219">
        <f ca="1">SUM(T343,AO343,BD343,BH343)</f>
        <v>0</v>
      </c>
      <c r="BJ343" s="58"/>
    </row>
    <row r="344" spans="1:62">
      <c r="B344" s="176" t="s">
        <v>1227</v>
      </c>
      <c r="C344" s="114" t="str">
        <f>INDEX(Regional.Technologies[Description],MATCH($B$3&amp;"."&amp;B344,Regional.Technologies[Code],0))</f>
        <v>Global Other land (desert, settlements)</v>
      </c>
      <c r="E344" s="121">
        <f t="array" aca="1" ref="E344" ca="1">IFERROR(INDEX(INDIRECT($B$3&amp;"."&amp;$B$337&amp;".energy["&amp;This.year&amp;"]"),MATCH($C344&amp;E$5,INDIRECT($B$3&amp;"."&amp;$B$337&amp;".energy[Tech description]")&amp;INDIRECT($B$3&amp;"."&amp;$B$337&amp;".energy[Energy description]"),0)),0)</f>
        <v>0</v>
      </c>
      <c r="F344" s="121">
        <f t="array" aca="1" ref="F344" ca="1">IFERROR(INDEX(INDIRECT($B$3&amp;"."&amp;$B$337&amp;".energy["&amp;This.year&amp;"]"),MATCH($C344&amp;F$5,INDIRECT($B$3&amp;"."&amp;$B$337&amp;".energy[Tech description]")&amp;INDIRECT($B$3&amp;"."&amp;$B$337&amp;".energy[Energy description]"),0)),0)</f>
        <v>0</v>
      </c>
      <c r="G344" s="121">
        <f t="array" aca="1" ref="G344" ca="1">IFERROR(INDEX(INDIRECT($B$3&amp;"."&amp;$B$337&amp;".energy["&amp;This.year&amp;"]"),MATCH($C344&amp;G$5,INDIRECT($B$3&amp;"."&amp;$B$337&amp;".energy[Tech description]")&amp;INDIRECT($B$3&amp;"."&amp;$B$337&amp;".energy[Energy description]"),0)),0)</f>
        <v>0</v>
      </c>
      <c r="H344" s="121">
        <f t="array" aca="1" ref="H344" ca="1">IFERROR(INDEX(INDIRECT($B$3&amp;"."&amp;$B$337&amp;".energy["&amp;This.year&amp;"]"),MATCH($C344&amp;H$5,INDIRECT($B$3&amp;"."&amp;$B$337&amp;".energy[Tech description]")&amp;INDIRECT($B$3&amp;"."&amp;$B$337&amp;".energy[Energy description]"),0)),0)</f>
        <v>0</v>
      </c>
      <c r="I344" s="121">
        <f t="array" aca="1" ref="I344" ca="1">IFERROR(INDEX(INDIRECT($B$3&amp;"."&amp;$B$337&amp;".energy["&amp;This.year&amp;"]"),MATCH($C344&amp;I$5,INDIRECT($B$3&amp;"."&amp;$B$337&amp;".energy[Tech description]")&amp;INDIRECT($B$3&amp;"."&amp;$B$337&amp;".energy[Energy description]"),0)),0)</f>
        <v>0</v>
      </c>
      <c r="J344" s="121">
        <f t="array" aca="1" ref="J344" ca="1">IFERROR(INDEX(INDIRECT($B$3&amp;"."&amp;$B$337&amp;".energy["&amp;This.year&amp;"]"),MATCH($C344&amp;J$5,INDIRECT($B$3&amp;"."&amp;$B$337&amp;".energy[Tech description]")&amp;INDIRECT($B$3&amp;"."&amp;$B$337&amp;".energy[Energy description]"),0)),0)</f>
        <v>0</v>
      </c>
      <c r="K344" s="121">
        <f t="array" aca="1" ref="K344" ca="1">IFERROR(INDEX(INDIRECT($B$3&amp;"."&amp;$B$337&amp;".energy["&amp;This.year&amp;"]"),MATCH($C344&amp;K$5,INDIRECT($B$3&amp;"."&amp;$B$337&amp;".energy[Tech description]")&amp;INDIRECT($B$3&amp;"."&amp;$B$337&amp;".energy[Energy description]"),0)),0)</f>
        <v>0</v>
      </c>
      <c r="L344" s="121">
        <f t="array" aca="1" ref="L344" ca="1">IFERROR(INDEX(INDIRECT($B$3&amp;"."&amp;$B$337&amp;".energy["&amp;This.year&amp;"]"),MATCH($C344&amp;L$5,INDIRECT($B$3&amp;"."&amp;$B$337&amp;".energy[Tech description]")&amp;INDIRECT($B$3&amp;"."&amp;$B$337&amp;".energy[Energy description]"),0)),0)</f>
        <v>0</v>
      </c>
      <c r="M344" s="121">
        <f t="array" aca="1" ref="M344" ca="1">IFERROR(INDEX(INDIRECT($B$3&amp;"."&amp;$B$337&amp;".energy["&amp;This.year&amp;"]"),MATCH($C344&amp;M$5,INDIRECT($B$3&amp;"."&amp;$B$337&amp;".energy[Tech description]")&amp;INDIRECT($B$3&amp;"."&amp;$B$337&amp;".energy[Energy description]"),0)),0)</f>
        <v>0</v>
      </c>
      <c r="N344" s="121">
        <f t="array" aca="1" ref="N344" ca="1">IFERROR(INDEX(INDIRECT($B$3&amp;"."&amp;$B$337&amp;".energy["&amp;This.year&amp;"]"),MATCH($C344&amp;N$5,INDIRECT($B$3&amp;"."&amp;$B$337&amp;".energy[Tech description]")&amp;INDIRECT($B$3&amp;"."&amp;$B$337&amp;".energy[Energy description]"),0)),0)</f>
        <v>0</v>
      </c>
      <c r="O344" s="121">
        <f t="array" aca="1" ref="O344" ca="1">IFERROR(INDEX(INDIRECT($B$3&amp;"."&amp;$B$337&amp;".energy["&amp;This.year&amp;"]"),MATCH($C344&amp;O$5,INDIRECT($B$3&amp;"."&amp;$B$337&amp;".energy[Tech description]")&amp;INDIRECT($B$3&amp;"."&amp;$B$337&amp;".energy[Energy description]"),0)),0)</f>
        <v>0</v>
      </c>
      <c r="P344" s="121">
        <f t="array" aca="1" ref="P344" ca="1">IFERROR(INDEX(INDIRECT($B$3&amp;"."&amp;$B$337&amp;".energy["&amp;This.year&amp;"]"),MATCH($C344&amp;P$5,INDIRECT($B$3&amp;"."&amp;$B$337&amp;".energy[Tech description]")&amp;INDIRECT($B$3&amp;"."&amp;$B$337&amp;".energy[Energy description]"),0)),0)</f>
        <v>0</v>
      </c>
      <c r="Q344" s="121">
        <f t="array" aca="1" ref="Q344" ca="1">IFERROR(INDEX(INDIRECT($B$3&amp;"."&amp;$B$337&amp;".energy["&amp;This.year&amp;"]"),MATCH($C344&amp;Q$5,INDIRECT($B$3&amp;"."&amp;$B$337&amp;".energy[Tech description]")&amp;INDIRECT($B$3&amp;"."&amp;$B$337&amp;".energy[Energy description]"),0)),0)</f>
        <v>0</v>
      </c>
      <c r="R344" s="121">
        <f t="array" aca="1" ref="R344" ca="1">IFERROR(INDEX(INDIRECT($B$3&amp;"."&amp;$B$337&amp;".energy["&amp;This.year&amp;"]"),MATCH($C344&amp;R$5,INDIRECT($B$3&amp;"."&amp;$B$337&amp;".energy[Tech description]")&amp;INDIRECT($B$3&amp;"."&amp;$B$337&amp;".energy[Energy description]"),0)),0)</f>
        <v>0</v>
      </c>
      <c r="S344" s="121">
        <f t="array" aca="1" ref="S344" ca="1">IFERROR(INDEX(INDIRECT($B$3&amp;"."&amp;$B$337&amp;".energy["&amp;This.year&amp;"]"),MATCH($C344&amp;S$5,INDIRECT($B$3&amp;"."&amp;$B$337&amp;".energy[Tech description]")&amp;INDIRECT($B$3&amp;"."&amp;$B$337&amp;".energy[Energy description]"),0)),0)</f>
        <v>0</v>
      </c>
      <c r="T344" s="121">
        <f t="shared" ca="1" si="138"/>
        <v>0</v>
      </c>
      <c r="U344" s="58"/>
      <c r="V344" s="152">
        <f t="array" aca="1" ref="V344" ca="1">IFERROR(INDEX(INDIRECT($B$3&amp;"."&amp;$B$337&amp;".energy["&amp;This.year&amp;"]"),MATCH($C344&amp;V$5,INDIRECT($B$3&amp;"."&amp;$B$337&amp;".energy[Tech description]")&amp;INDIRECT($B$3&amp;"."&amp;$B$337&amp;".energy[Energy description]"),0)),0)</f>
        <v>0</v>
      </c>
      <c r="W344" s="152">
        <f t="array" aca="1" ref="W344" ca="1">IFERROR(INDEX(INDIRECT($B$3&amp;"."&amp;$B$337&amp;".energy["&amp;This.year&amp;"]"),MATCH($C344&amp;W$5,INDIRECT($B$3&amp;"."&amp;$B$337&amp;".energy[Tech description]")&amp;INDIRECT($B$3&amp;"."&amp;$B$337&amp;".energy[Energy description]"),0)),0)</f>
        <v>0</v>
      </c>
      <c r="X344" s="152">
        <f t="array" aca="1" ref="X344" ca="1">IFERROR(INDEX(INDIRECT($B$3&amp;"."&amp;$B$337&amp;".energy["&amp;This.year&amp;"]"),MATCH($C344&amp;X$5,INDIRECT($B$3&amp;"."&amp;$B$337&amp;".energy[Tech description]")&amp;INDIRECT($B$3&amp;"."&amp;$B$337&amp;".energy[Energy description]"),0)),0)</f>
        <v>0</v>
      </c>
      <c r="Y344" s="152">
        <f t="array" aca="1" ref="Y344" ca="1">IFERROR(INDEX(INDIRECT($B$3&amp;"."&amp;$B$337&amp;".energy["&amp;This.year&amp;"]"),MATCH($C344&amp;Y$5,INDIRECT($B$3&amp;"."&amp;$B$337&amp;".energy[Tech description]")&amp;INDIRECT($B$3&amp;"."&amp;$B$337&amp;".energy[Energy description]"),0)),0)</f>
        <v>0</v>
      </c>
      <c r="Z344" s="152">
        <f t="array" aca="1" ref="Z344" ca="1">IFERROR(INDEX(INDIRECT($B$3&amp;"."&amp;$B$337&amp;".energy["&amp;This.year&amp;"]"),MATCH($C344&amp;Z$5,INDIRECT($B$3&amp;"."&amp;$B$337&amp;".energy[Tech description]")&amp;INDIRECT($B$3&amp;"."&amp;$B$337&amp;".energy[Energy description]"),0)),0)</f>
        <v>0</v>
      </c>
      <c r="AA344" s="152">
        <f t="array" aca="1" ref="AA344" ca="1">IFERROR(INDEX(INDIRECT($B$3&amp;"."&amp;$B$337&amp;".energy["&amp;This.year&amp;"]"),MATCH($C344&amp;AA$5,INDIRECT($B$3&amp;"."&amp;$B$337&amp;".energy[Tech description]")&amp;INDIRECT($B$3&amp;"."&amp;$B$337&amp;".energy[Energy description]"),0)),0)</f>
        <v>0</v>
      </c>
      <c r="AB344" s="152">
        <f t="array" aca="1" ref="AB344" ca="1">IFERROR(INDEX(INDIRECT($B$3&amp;"."&amp;$B$337&amp;".energy["&amp;This.year&amp;"]"),MATCH($C344&amp;AB$5,INDIRECT($B$3&amp;"."&amp;$B$337&amp;".energy[Tech description]")&amp;INDIRECT($B$3&amp;"."&amp;$B$337&amp;".energy[Energy description]"),0)),0)</f>
        <v>0</v>
      </c>
      <c r="AC344" s="152">
        <f t="array" aca="1" ref="AC344" ca="1">IFERROR(INDEX(INDIRECT($B$3&amp;"."&amp;$B$337&amp;".energy["&amp;This.year&amp;"]"),MATCH($C344&amp;AC$5,INDIRECT($B$3&amp;"."&amp;$B$337&amp;".energy[Tech description]")&amp;INDIRECT($B$3&amp;"."&amp;$B$337&amp;".energy[Energy description]"),0)),0)</f>
        <v>0</v>
      </c>
      <c r="AD344" s="152">
        <f t="array" aca="1" ref="AD344" ca="1">IFERROR(INDEX(INDIRECT($B$3&amp;"."&amp;$B$337&amp;".energy["&amp;This.year&amp;"]"),MATCH($C344&amp;AD$5,INDIRECT($B$3&amp;"."&amp;$B$337&amp;".energy[Tech description]")&amp;INDIRECT($B$3&amp;"."&amp;$B$337&amp;".energy[Energy description]"),0)),0)</f>
        <v>0</v>
      </c>
      <c r="AE344" s="152">
        <f t="array" aca="1" ref="AE344" ca="1">IFERROR(INDEX(INDIRECT($B$3&amp;"."&amp;$B$337&amp;".energy["&amp;This.year&amp;"]"),MATCH($C344&amp;AE$5,INDIRECT($B$3&amp;"."&amp;$B$337&amp;".energy[Tech description]")&amp;INDIRECT($B$3&amp;"."&amp;$B$337&amp;".energy[Energy description]"),0)),0)</f>
        <v>0</v>
      </c>
      <c r="AF344" s="152">
        <f t="array" aca="1" ref="AF344" ca="1">IFERROR(INDEX(INDIRECT($B$3&amp;"."&amp;$B$337&amp;".energy["&amp;This.year&amp;"]"),MATCH($C344&amp;AF$5,INDIRECT($B$3&amp;"."&amp;$B$337&amp;".energy[Tech description]")&amp;INDIRECT($B$3&amp;"."&amp;$B$337&amp;".energy[Energy description]"),0)),0)</f>
        <v>0</v>
      </c>
      <c r="AG344" s="152">
        <f t="array" aca="1" ref="AG344" ca="1">IFERROR(INDEX(INDIRECT($B$3&amp;"."&amp;$B$337&amp;".energy["&amp;This.year&amp;"]"),MATCH($C344&amp;AG$5,INDIRECT($B$3&amp;"."&amp;$B$337&amp;".energy[Tech description]")&amp;INDIRECT($B$3&amp;"."&amp;$B$337&amp;".energy[Energy description]"),0)),0)</f>
        <v>0</v>
      </c>
      <c r="AH344" s="152">
        <f t="array" aca="1" ref="AH344" ca="1">IFERROR(INDEX(INDIRECT($B$3&amp;"."&amp;$B$337&amp;".energy["&amp;This.year&amp;"]"),MATCH($C344&amp;AH$5,INDIRECT($B$3&amp;"."&amp;$B$337&amp;".energy[Tech description]")&amp;INDIRECT($B$3&amp;"."&amp;$B$337&amp;".energy[Energy description]"),0)),0)</f>
        <v>0</v>
      </c>
      <c r="AI344" s="152">
        <f t="array" aca="1" ref="AI344" ca="1">IFERROR(INDEX(INDIRECT($B$3&amp;"."&amp;$B$337&amp;".energy["&amp;This.year&amp;"]"),MATCH($C344&amp;AI$5,INDIRECT($B$3&amp;"."&amp;$B$337&amp;".energy[Tech description]")&amp;INDIRECT($B$3&amp;"."&amp;$B$337&amp;".energy[Energy description]"),0)),0)</f>
        <v>0</v>
      </c>
      <c r="AJ344" s="152">
        <f t="array" aca="1" ref="AJ344" ca="1">IFERROR(INDEX(INDIRECT($B$3&amp;"."&amp;$B$337&amp;".energy["&amp;This.year&amp;"]"),MATCH($C344&amp;AJ$5,INDIRECT($B$3&amp;"."&amp;$B$337&amp;".energy[Tech description]")&amp;INDIRECT($B$3&amp;"."&amp;$B$337&amp;".energy[Energy description]"),0)),0)</f>
        <v>0</v>
      </c>
      <c r="AK344" s="152">
        <f t="array" aca="1" ref="AK344" ca="1">IFERROR(INDEX(INDIRECT($B$3&amp;"."&amp;$B$337&amp;".energy["&amp;This.year&amp;"]"),MATCH($C344&amp;AK$5,INDIRECT($B$3&amp;"."&amp;$B$337&amp;".energy[Tech description]")&amp;INDIRECT($B$3&amp;"."&amp;$B$337&amp;".energy[Energy description]"),0)),0)</f>
        <v>0</v>
      </c>
      <c r="AL344" s="152">
        <f t="array" aca="1" ref="AL344" ca="1">IFERROR(INDEX(INDIRECT($B$3&amp;"."&amp;$B$337&amp;".energy["&amp;This.year&amp;"]"),MATCH($C344&amp;AL$5,INDIRECT($B$3&amp;"."&amp;$B$337&amp;".energy[Tech description]")&amp;INDIRECT($B$3&amp;"."&amp;$B$337&amp;".energy[Energy description]"),0)),0)</f>
        <v>0</v>
      </c>
      <c r="AM344" s="152">
        <f t="array" aca="1" ref="AM344" ca="1">IFERROR(INDEX(INDIRECT($B$3&amp;"."&amp;$B$337&amp;".energy["&amp;This.year&amp;"]"),MATCH($C344&amp;AM$5,INDIRECT($B$3&amp;"."&amp;$B$337&amp;".energy[Tech description]")&amp;INDIRECT($B$3&amp;"."&amp;$B$337&amp;".energy[Energy description]"),0)),0)</f>
        <v>0</v>
      </c>
      <c r="AN344" s="152">
        <f t="array" aca="1" ref="AN344" ca="1">IFERROR(INDEX(INDIRECT($B$3&amp;"."&amp;$B$337&amp;".energy["&amp;This.year&amp;"]"),MATCH($C344&amp;AN$5,INDIRECT($B$3&amp;"."&amp;$B$337&amp;".energy[Tech description]")&amp;INDIRECT($B$3&amp;"."&amp;$B$337&amp;".energy[Energy description]"),0)),0)</f>
        <v>0</v>
      </c>
      <c r="AO344" s="171">
        <f t="shared" ref="AO344:AO349" ca="1" si="143">SUM(V344:AN344)</f>
        <v>0</v>
      </c>
      <c r="AP344" s="58"/>
      <c r="AQ344" s="21">
        <f t="array" aca="1" ref="AQ344" ca="1">IFERROR(INDEX(INDIRECT($B$3&amp;"."&amp;$B$337&amp;".energy["&amp;This.year&amp;"]"),MATCH($C344&amp;AQ$5,INDIRECT($B$3&amp;"."&amp;$B$337&amp;".energy[Tech description]")&amp;INDIRECT($B$3&amp;"."&amp;$B$337&amp;".energy[Energy description]"),0)),0)</f>
        <v>0</v>
      </c>
      <c r="AR344" s="21">
        <f t="array" aca="1" ref="AR344" ca="1">IFERROR(INDEX(INDIRECT($B$3&amp;"."&amp;$B$337&amp;".energy["&amp;This.year&amp;"]"),MATCH($C344&amp;AR$5,INDIRECT($B$3&amp;"."&amp;$B$337&amp;".energy[Tech description]")&amp;INDIRECT($B$3&amp;"."&amp;$B$337&amp;".energy[Energy description]"),0)),0)</f>
        <v>0</v>
      </c>
      <c r="AS344" s="21">
        <f t="array" aca="1" ref="AS344" ca="1">IFERROR(INDEX(INDIRECT($B$3&amp;"."&amp;$B$337&amp;".energy["&amp;This.year&amp;"]"),MATCH($C344&amp;AS$5,INDIRECT($B$3&amp;"."&amp;$B$337&amp;".energy[Tech description]")&amp;INDIRECT($B$3&amp;"."&amp;$B$337&amp;".energy[Energy description]"),0)),0)</f>
        <v>0</v>
      </c>
      <c r="AT344" s="21">
        <f t="array" aca="1" ref="AT344" ca="1">IFERROR(INDEX(INDIRECT($B$3&amp;"."&amp;$B$337&amp;".energy["&amp;This.year&amp;"]"),MATCH($C344&amp;AT$5,INDIRECT($B$3&amp;"."&amp;$B$337&amp;".energy[Tech description]")&amp;INDIRECT($B$3&amp;"."&amp;$B$337&amp;".energy[Energy description]"),0)),0)</f>
        <v>0</v>
      </c>
      <c r="AU344" s="21">
        <f t="array" aca="1" ref="AU344" ca="1">IFERROR(INDEX(INDIRECT($B$3&amp;"."&amp;$B$337&amp;".energy["&amp;This.year&amp;"]"),MATCH($C344&amp;AU$5,INDIRECT($B$3&amp;"."&amp;$B$337&amp;".energy[Tech description]")&amp;INDIRECT($B$3&amp;"."&amp;$B$337&amp;".energy[Energy description]"),0)),0)</f>
        <v>0</v>
      </c>
      <c r="AV344" s="21">
        <f t="array" aca="1" ref="AV344" ca="1">IFERROR(INDEX(INDIRECT($B$3&amp;"."&amp;$B$337&amp;".energy["&amp;This.year&amp;"]"),MATCH($C344&amp;AV$5,INDIRECT($B$3&amp;"."&amp;$B$337&amp;".energy[Tech description]")&amp;INDIRECT($B$3&amp;"."&amp;$B$337&amp;".energy[Energy description]"),0)),0)</f>
        <v>0</v>
      </c>
      <c r="AW344" s="21">
        <f t="array" aca="1" ref="AW344" ca="1">IFERROR(INDEX(INDIRECT($B$3&amp;"."&amp;$B$337&amp;".energy["&amp;This.year&amp;"]"),MATCH($C344&amp;AW$5,INDIRECT($B$3&amp;"."&amp;$B$337&amp;".energy[Tech description]")&amp;INDIRECT($B$3&amp;"."&amp;$B$337&amp;".energy[Energy description]"),0)),0)</f>
        <v>0</v>
      </c>
      <c r="AX344" s="21">
        <f t="array" aca="1" ref="AX344" ca="1">IFERROR(INDEX(INDIRECT($B$3&amp;"."&amp;$B$337&amp;".energy["&amp;This.year&amp;"]"),MATCH($C344&amp;AX$5,INDIRECT($B$3&amp;"."&amp;$B$337&amp;".energy[Tech description]")&amp;INDIRECT($B$3&amp;"."&amp;$B$337&amp;".energy[Energy description]"),0)),0)</f>
        <v>0</v>
      </c>
      <c r="AY344" s="21">
        <f t="array" aca="1" ref="AY344" ca="1">IFERROR(INDEX(INDIRECT($B$3&amp;"."&amp;$B$337&amp;".energy["&amp;This.year&amp;"]"),MATCH($C344&amp;AY$5,INDIRECT($B$3&amp;"."&amp;$B$337&amp;".energy[Tech description]")&amp;INDIRECT($B$3&amp;"."&amp;$B$337&amp;".energy[Energy description]"),0)),0)</f>
        <v>0</v>
      </c>
      <c r="AZ344" s="21">
        <f t="array" aca="1" ref="AZ344" ca="1">IFERROR(INDEX(INDIRECT($B$3&amp;"."&amp;$B$337&amp;".energy["&amp;This.year&amp;"]"),MATCH($C344&amp;AZ$5,INDIRECT($B$3&amp;"."&amp;$B$337&amp;".energy[Tech description]")&amp;INDIRECT($B$3&amp;"."&amp;$B$337&amp;".energy[Energy description]"),0)),0)</f>
        <v>0</v>
      </c>
      <c r="BA344" s="21">
        <f t="array" aca="1" ref="BA344" ca="1">IFERROR(INDEX(INDIRECT($B$3&amp;"."&amp;$B$337&amp;".energy["&amp;This.year&amp;"]"),MATCH($C344&amp;BA$5,INDIRECT($B$3&amp;"."&amp;$B$337&amp;".energy[Tech description]")&amp;INDIRECT($B$3&amp;"."&amp;$B$337&amp;".energy[Energy description]"),0)),0)</f>
        <v>0</v>
      </c>
      <c r="BB344" s="21">
        <f t="array" aca="1" ref="BB344" ca="1">IFERROR(INDEX(INDIRECT($B$3&amp;"."&amp;$B$337&amp;".energy["&amp;This.year&amp;"]"),MATCH($C344&amp;BB$5,INDIRECT($B$3&amp;"."&amp;$B$337&amp;".energy[Tech description]")&amp;INDIRECT($B$3&amp;"."&amp;$B$337&amp;".energy[Energy description]"),0)),0)</f>
        <v>0</v>
      </c>
      <c r="BC344" s="21">
        <f t="array" aca="1" ref="BC344" ca="1">IFERROR(INDEX(INDIRECT($B$3&amp;"."&amp;$B$337&amp;".energy["&amp;This.year&amp;"]"),MATCH($C344&amp;BC$5,INDIRECT($B$3&amp;"."&amp;$B$337&amp;".energy[Tech description]")&amp;INDIRECT($B$3&amp;"."&amp;$B$337&amp;".energy[Energy description]"),0)),0)</f>
        <v>0</v>
      </c>
      <c r="BD344" s="173">
        <f t="shared" ca="1" si="141"/>
        <v>0</v>
      </c>
      <c r="BE344" s="58"/>
      <c r="BF344" s="49">
        <f t="array" aca="1" ref="BF344" ca="1">IFERROR(INDEX(INDIRECT($B$3&amp;"."&amp;$B$337&amp;".energy["&amp;This.year&amp;"]"),MATCH($C344&amp;BF$5,INDIRECT($B$3&amp;"."&amp;$B$337&amp;".energy[Tech description]")&amp;INDIRECT($B$3&amp;"."&amp;$B$337&amp;".energy[Energy description]"),0)),0)</f>
        <v>0</v>
      </c>
      <c r="BG344" s="49">
        <f t="array" aca="1" ref="BG344" ca="1">IFERROR(INDEX(INDIRECT($B$3&amp;"."&amp;$B$337&amp;".energy["&amp;This.year&amp;"]"),MATCH($C344&amp;BG$5,INDIRECT($B$3&amp;"."&amp;$B$337&amp;".energy[Tech description]")&amp;INDIRECT($B$3&amp;"."&amp;$B$337&amp;".energy[Energy description]"),0)),0)</f>
        <v>0</v>
      </c>
      <c r="BH344" s="175">
        <f t="shared" ca="1" si="140"/>
        <v>0</v>
      </c>
      <c r="BI344" s="219">
        <f t="shared" ref="BI344:BI346" ca="1" si="144">SUM(T344,AO344,BD344,BH344)</f>
        <v>0</v>
      </c>
      <c r="BJ344" s="58"/>
    </row>
    <row r="345" spans="1:62">
      <c r="B345" s="176" t="s">
        <v>1228</v>
      </c>
      <c r="C345" s="114" t="str">
        <f>INDEX(Regional.Technologies[Description],MATCH($B$3&amp;"."&amp;B345,Regional.Technologies[Code],0))</f>
        <v>Global Remainder of productive terestial land after bioenergy and food</v>
      </c>
      <c r="E345" s="121">
        <f t="array" aca="1" ref="E345" ca="1">IFERROR(INDEX(INDIRECT($B$3&amp;"."&amp;$B$337&amp;".energy["&amp;This.year&amp;"]"),MATCH($C345&amp;E$5,INDIRECT($B$3&amp;"."&amp;$B$337&amp;".energy[Tech description]")&amp;INDIRECT($B$3&amp;"."&amp;$B$337&amp;".energy[Energy description]"),0)),0)</f>
        <v>0</v>
      </c>
      <c r="F345" s="121">
        <f t="array" aca="1" ref="F345" ca="1">IFERROR(INDEX(INDIRECT($B$3&amp;"."&amp;$B$337&amp;".energy["&amp;This.year&amp;"]"),MATCH($C345&amp;F$5,INDIRECT($B$3&amp;"."&amp;$B$337&amp;".energy[Tech description]")&amp;INDIRECT($B$3&amp;"."&amp;$B$337&amp;".energy[Energy description]"),0)),0)</f>
        <v>0</v>
      </c>
      <c r="G345" s="121">
        <f t="array" aca="1" ref="G345" ca="1">IFERROR(INDEX(INDIRECT($B$3&amp;"."&amp;$B$337&amp;".energy["&amp;This.year&amp;"]"),MATCH($C345&amp;G$5,INDIRECT($B$3&amp;"."&amp;$B$337&amp;".energy[Tech description]")&amp;INDIRECT($B$3&amp;"."&amp;$B$337&amp;".energy[Energy description]"),0)),0)</f>
        <v>0</v>
      </c>
      <c r="H345" s="121">
        <f t="array" aca="1" ref="H345" ca="1">IFERROR(INDEX(INDIRECT($B$3&amp;"."&amp;$B$337&amp;".energy["&amp;This.year&amp;"]"),MATCH($C345&amp;H$5,INDIRECT($B$3&amp;"."&amp;$B$337&amp;".energy[Tech description]")&amp;INDIRECT($B$3&amp;"."&amp;$B$337&amp;".energy[Energy description]"),0)),0)</f>
        <v>0</v>
      </c>
      <c r="I345" s="121">
        <f t="array" aca="1" ref="I345" ca="1">IFERROR(INDEX(INDIRECT($B$3&amp;"."&amp;$B$337&amp;".energy["&amp;This.year&amp;"]"),MATCH($C345&amp;I$5,INDIRECT($B$3&amp;"."&amp;$B$337&amp;".energy[Tech description]")&amp;INDIRECT($B$3&amp;"."&amp;$B$337&amp;".energy[Energy description]"),0)),0)</f>
        <v>0</v>
      </c>
      <c r="J345" s="121">
        <f t="array" aca="1" ref="J345" ca="1">IFERROR(INDEX(INDIRECT($B$3&amp;"."&amp;$B$337&amp;".energy["&amp;This.year&amp;"]"),MATCH($C345&amp;J$5,INDIRECT($B$3&amp;"."&amp;$B$337&amp;".energy[Tech description]")&amp;INDIRECT($B$3&amp;"."&amp;$B$337&amp;".energy[Energy description]"),0)),0)</f>
        <v>0</v>
      </c>
      <c r="K345" s="121">
        <f t="array" aca="1" ref="K345" ca="1">IFERROR(INDEX(INDIRECT($B$3&amp;"."&amp;$B$337&amp;".energy["&amp;This.year&amp;"]"),MATCH($C345&amp;K$5,INDIRECT($B$3&amp;"."&amp;$B$337&amp;".energy[Tech description]")&amp;INDIRECT($B$3&amp;"."&amp;$B$337&amp;".energy[Energy description]"),0)),0)</f>
        <v>0</v>
      </c>
      <c r="L345" s="121">
        <f t="array" aca="1" ref="L345" ca="1">IFERROR(INDEX(INDIRECT($B$3&amp;"."&amp;$B$337&amp;".energy["&amp;This.year&amp;"]"),MATCH($C345&amp;L$5,INDIRECT($B$3&amp;"."&amp;$B$337&amp;".energy[Tech description]")&amp;INDIRECT($B$3&amp;"."&amp;$B$337&amp;".energy[Energy description]"),0)),0)</f>
        <v>0</v>
      </c>
      <c r="M345" s="121">
        <f t="array" aca="1" ref="M345" ca="1">IFERROR(INDEX(INDIRECT($B$3&amp;"."&amp;$B$337&amp;".energy["&amp;This.year&amp;"]"),MATCH($C345&amp;M$5,INDIRECT($B$3&amp;"."&amp;$B$337&amp;".energy[Tech description]")&amp;INDIRECT($B$3&amp;"."&amp;$B$337&amp;".energy[Energy description]"),0)),0)</f>
        <v>0</v>
      </c>
      <c r="N345" s="121">
        <f t="array" aca="1" ref="N345" ca="1">IFERROR(INDEX(INDIRECT($B$3&amp;"."&amp;$B$337&amp;".energy["&amp;This.year&amp;"]"),MATCH($C345&amp;N$5,INDIRECT($B$3&amp;"."&amp;$B$337&amp;".energy[Tech description]")&amp;INDIRECT($B$3&amp;"."&amp;$B$337&amp;".energy[Energy description]"),0)),0)</f>
        <v>0</v>
      </c>
      <c r="O345" s="121">
        <f t="array" aca="1" ref="O345" ca="1">IFERROR(INDEX(INDIRECT($B$3&amp;"."&amp;$B$337&amp;".energy["&amp;This.year&amp;"]"),MATCH($C345&amp;O$5,INDIRECT($B$3&amp;"."&amp;$B$337&amp;".energy[Tech description]")&amp;INDIRECT($B$3&amp;"."&amp;$B$337&amp;".energy[Energy description]"),0)),0)</f>
        <v>0</v>
      </c>
      <c r="P345" s="121">
        <f t="array" aca="1" ref="P345" ca="1">IFERROR(INDEX(INDIRECT($B$3&amp;"."&amp;$B$337&amp;".energy["&amp;This.year&amp;"]"),MATCH($C345&amp;P$5,INDIRECT($B$3&amp;"."&amp;$B$337&amp;".energy[Tech description]")&amp;INDIRECT($B$3&amp;"."&amp;$B$337&amp;".energy[Energy description]"),0)),0)</f>
        <v>0</v>
      </c>
      <c r="Q345" s="121">
        <f t="array" aca="1" ref="Q345" ca="1">IFERROR(INDEX(INDIRECT($B$3&amp;"."&amp;$B$337&amp;".energy["&amp;This.year&amp;"]"),MATCH($C345&amp;Q$5,INDIRECT($B$3&amp;"."&amp;$B$337&amp;".energy[Tech description]")&amp;INDIRECT($B$3&amp;"."&amp;$B$337&amp;".energy[Energy description]"),0)),0)</f>
        <v>0</v>
      </c>
      <c r="R345" s="121">
        <f t="array" aca="1" ref="R345" ca="1">IFERROR(INDEX(INDIRECT($B$3&amp;"."&amp;$B$337&amp;".energy["&amp;This.year&amp;"]"),MATCH($C345&amp;R$5,INDIRECT($B$3&amp;"."&amp;$B$337&amp;".energy[Tech description]")&amp;INDIRECT($B$3&amp;"."&amp;$B$337&amp;".energy[Energy description]"),0)),0)</f>
        <v>0</v>
      </c>
      <c r="S345" s="121">
        <f t="array" aca="1" ref="S345" ca="1">IFERROR(INDEX(INDIRECT($B$3&amp;"."&amp;$B$337&amp;".energy["&amp;This.year&amp;"]"),MATCH($C345&amp;S$5,INDIRECT($B$3&amp;"."&amp;$B$337&amp;".energy[Tech description]")&amp;INDIRECT($B$3&amp;"."&amp;$B$337&amp;".energy[Energy description]"),0)),0)</f>
        <v>0</v>
      </c>
      <c r="T345" s="121">
        <f t="shared" ca="1" si="138"/>
        <v>0</v>
      </c>
      <c r="U345" s="58"/>
      <c r="V345" s="152">
        <f t="array" aca="1" ref="V345" ca="1">IFERROR(INDEX(INDIRECT($B$3&amp;"."&amp;$B$337&amp;".energy["&amp;This.year&amp;"]"),MATCH($C345&amp;V$5,INDIRECT($B$3&amp;"."&amp;$B$337&amp;".energy[Tech description]")&amp;INDIRECT($B$3&amp;"."&amp;$B$337&amp;".energy[Energy description]"),0)),0)</f>
        <v>0</v>
      </c>
      <c r="W345" s="152">
        <f t="array" aca="1" ref="W345" ca="1">IFERROR(INDEX(INDIRECT($B$3&amp;"."&amp;$B$337&amp;".energy["&amp;This.year&amp;"]"),MATCH($C345&amp;W$5,INDIRECT($B$3&amp;"."&amp;$B$337&amp;".energy[Tech description]")&amp;INDIRECT($B$3&amp;"."&amp;$B$337&amp;".energy[Energy description]"),0)),0)</f>
        <v>0</v>
      </c>
      <c r="X345" s="152">
        <f t="array" aca="1" ref="X345" ca="1">IFERROR(INDEX(INDIRECT($B$3&amp;"."&amp;$B$337&amp;".energy["&amp;This.year&amp;"]"),MATCH($C345&amp;X$5,INDIRECT($B$3&amp;"."&amp;$B$337&amp;".energy[Tech description]")&amp;INDIRECT($B$3&amp;"."&amp;$B$337&amp;".energy[Energy description]"),0)),0)</f>
        <v>0</v>
      </c>
      <c r="Y345" s="152">
        <f t="array" aca="1" ref="Y345" ca="1">IFERROR(INDEX(INDIRECT($B$3&amp;"."&amp;$B$337&amp;".energy["&amp;This.year&amp;"]"),MATCH($C345&amp;Y$5,INDIRECT($B$3&amp;"."&amp;$B$337&amp;".energy[Tech description]")&amp;INDIRECT($B$3&amp;"."&amp;$B$337&amp;".energy[Energy description]"),0)),0)</f>
        <v>0</v>
      </c>
      <c r="Z345" s="152">
        <f t="array" aca="1" ref="Z345" ca="1">IFERROR(INDEX(INDIRECT($B$3&amp;"."&amp;$B$337&amp;".energy["&amp;This.year&amp;"]"),MATCH($C345&amp;Z$5,INDIRECT($B$3&amp;"."&amp;$B$337&amp;".energy[Tech description]")&amp;INDIRECT($B$3&amp;"."&amp;$B$337&amp;".energy[Energy description]"),0)),0)</f>
        <v>0</v>
      </c>
      <c r="AA345" s="152">
        <f t="array" aca="1" ref="AA345" ca="1">IFERROR(INDEX(INDIRECT($B$3&amp;"."&amp;$B$337&amp;".energy["&amp;This.year&amp;"]"),MATCH($C345&amp;AA$5,INDIRECT($B$3&amp;"."&amp;$B$337&amp;".energy[Tech description]")&amp;INDIRECT($B$3&amp;"."&amp;$B$337&amp;".energy[Energy description]"),0)),0)</f>
        <v>0</v>
      </c>
      <c r="AB345" s="152">
        <f t="array" aca="1" ref="AB345" ca="1">IFERROR(INDEX(INDIRECT($B$3&amp;"."&amp;$B$337&amp;".energy["&amp;This.year&amp;"]"),MATCH($C345&amp;AB$5,INDIRECT($B$3&amp;"."&amp;$B$337&amp;".energy[Tech description]")&amp;INDIRECT($B$3&amp;"."&amp;$B$337&amp;".energy[Energy description]"),0)),0)</f>
        <v>0</v>
      </c>
      <c r="AC345" s="152">
        <f t="array" aca="1" ref="AC345" ca="1">IFERROR(INDEX(INDIRECT($B$3&amp;"."&amp;$B$337&amp;".energy["&amp;This.year&amp;"]"),MATCH($C345&amp;AC$5,INDIRECT($B$3&amp;"."&amp;$B$337&amp;".energy[Tech description]")&amp;INDIRECT($B$3&amp;"."&amp;$B$337&amp;".energy[Energy description]"),0)),0)</f>
        <v>0</v>
      </c>
      <c r="AD345" s="152">
        <f t="array" aca="1" ref="AD345" ca="1">IFERROR(INDEX(INDIRECT($B$3&amp;"."&amp;$B$337&amp;".energy["&amp;This.year&amp;"]"),MATCH($C345&amp;AD$5,INDIRECT($B$3&amp;"."&amp;$B$337&amp;".energy[Tech description]")&amp;INDIRECT($B$3&amp;"."&amp;$B$337&amp;".energy[Energy description]"),0)),0)</f>
        <v>0</v>
      </c>
      <c r="AE345" s="152">
        <f t="array" aca="1" ref="AE345" ca="1">IFERROR(INDEX(INDIRECT($B$3&amp;"."&amp;$B$337&amp;".energy["&amp;This.year&amp;"]"),MATCH($C345&amp;AE$5,INDIRECT($B$3&amp;"."&amp;$B$337&amp;".energy[Tech description]")&amp;INDIRECT($B$3&amp;"."&amp;$B$337&amp;".energy[Energy description]"),0)),0)</f>
        <v>0</v>
      </c>
      <c r="AF345" s="152">
        <f t="array" aca="1" ref="AF345" ca="1">IFERROR(INDEX(INDIRECT($B$3&amp;"."&amp;$B$337&amp;".energy["&amp;This.year&amp;"]"),MATCH($C345&amp;AF$5,INDIRECT($B$3&amp;"."&amp;$B$337&amp;".energy[Tech description]")&amp;INDIRECT($B$3&amp;"."&amp;$B$337&amp;".energy[Energy description]"),0)),0)</f>
        <v>0</v>
      </c>
      <c r="AG345" s="152">
        <f t="array" aca="1" ref="AG345" ca="1">IFERROR(INDEX(INDIRECT($B$3&amp;"."&amp;$B$337&amp;".energy["&amp;This.year&amp;"]"),MATCH($C345&amp;AG$5,INDIRECT($B$3&amp;"."&amp;$B$337&amp;".energy[Tech description]")&amp;INDIRECT($B$3&amp;"."&amp;$B$337&amp;".energy[Energy description]"),0)),0)</f>
        <v>0</v>
      </c>
      <c r="AH345" s="152">
        <f t="array" aca="1" ref="AH345" ca="1">IFERROR(INDEX(INDIRECT($B$3&amp;"."&amp;$B$337&amp;".energy["&amp;This.year&amp;"]"),MATCH($C345&amp;AH$5,INDIRECT($B$3&amp;"."&amp;$B$337&amp;".energy[Tech description]")&amp;INDIRECT($B$3&amp;"."&amp;$B$337&amp;".energy[Energy description]"),0)),0)</f>
        <v>0</v>
      </c>
      <c r="AI345" s="152">
        <f t="array" aca="1" ref="AI345" ca="1">IFERROR(INDEX(INDIRECT($B$3&amp;"."&amp;$B$337&amp;".energy["&amp;This.year&amp;"]"),MATCH($C345&amp;AI$5,INDIRECT($B$3&amp;"."&amp;$B$337&amp;".energy[Tech description]")&amp;INDIRECT($B$3&amp;"."&amp;$B$337&amp;".energy[Energy description]"),0)),0)</f>
        <v>0</v>
      </c>
      <c r="AJ345" s="152">
        <f t="array" aca="1" ref="AJ345" ca="1">IFERROR(INDEX(INDIRECT($B$3&amp;"."&amp;$B$337&amp;".energy["&amp;This.year&amp;"]"),MATCH($C345&amp;AJ$5,INDIRECT($B$3&amp;"."&amp;$B$337&amp;".energy[Tech description]")&amp;INDIRECT($B$3&amp;"."&amp;$B$337&amp;".energy[Energy description]"),0)),0)</f>
        <v>0</v>
      </c>
      <c r="AK345" s="152">
        <f t="array" aca="1" ref="AK345" ca="1">IFERROR(INDEX(INDIRECT($B$3&amp;"."&amp;$B$337&amp;".energy["&amp;This.year&amp;"]"),MATCH($C345&amp;AK$5,INDIRECT($B$3&amp;"."&amp;$B$337&amp;".energy[Tech description]")&amp;INDIRECT($B$3&amp;"."&amp;$B$337&amp;".energy[Energy description]"),0)),0)</f>
        <v>0</v>
      </c>
      <c r="AL345" s="152">
        <f t="array" aca="1" ref="AL345" ca="1">IFERROR(INDEX(INDIRECT($B$3&amp;"."&amp;$B$337&amp;".energy["&amp;This.year&amp;"]"),MATCH($C345&amp;AL$5,INDIRECT($B$3&amp;"."&amp;$B$337&amp;".energy[Tech description]")&amp;INDIRECT($B$3&amp;"."&amp;$B$337&amp;".energy[Energy description]"),0)),0)</f>
        <v>0</v>
      </c>
      <c r="AM345" s="152">
        <f t="array" aca="1" ref="AM345" ca="1">IFERROR(INDEX(INDIRECT($B$3&amp;"."&amp;$B$337&amp;".energy["&amp;This.year&amp;"]"),MATCH($C345&amp;AM$5,INDIRECT($B$3&amp;"."&amp;$B$337&amp;".energy[Tech description]")&amp;INDIRECT($B$3&amp;"."&amp;$B$337&amp;".energy[Energy description]"),0)),0)</f>
        <v>0</v>
      </c>
      <c r="AN345" s="152">
        <f t="array" aca="1" ref="AN345" ca="1">IFERROR(INDEX(INDIRECT($B$3&amp;"."&amp;$B$337&amp;".energy["&amp;This.year&amp;"]"),MATCH($C345&amp;AN$5,INDIRECT($B$3&amp;"."&amp;$B$337&amp;".energy[Tech description]")&amp;INDIRECT($B$3&amp;"."&amp;$B$337&amp;".energy[Energy description]"),0)),0)</f>
        <v>0</v>
      </c>
      <c r="AO345" s="171">
        <f t="shared" ca="1" si="143"/>
        <v>0</v>
      </c>
      <c r="AP345" s="58"/>
      <c r="AQ345" s="21">
        <f t="array" aca="1" ref="AQ345" ca="1">IFERROR(INDEX(INDIRECT($B$3&amp;"."&amp;$B$337&amp;".energy["&amp;This.year&amp;"]"),MATCH($C345&amp;AQ$5,INDIRECT($B$3&amp;"."&amp;$B$337&amp;".energy[Tech description]")&amp;INDIRECT($B$3&amp;"."&amp;$B$337&amp;".energy[Energy description]"),0)),0)</f>
        <v>0</v>
      </c>
      <c r="AR345" s="21">
        <f t="array" aca="1" ref="AR345" ca="1">IFERROR(INDEX(INDIRECT($B$3&amp;"."&amp;$B$337&amp;".energy["&amp;This.year&amp;"]"),MATCH($C345&amp;AR$5,INDIRECT($B$3&amp;"."&amp;$B$337&amp;".energy[Tech description]")&amp;INDIRECT($B$3&amp;"."&amp;$B$337&amp;".energy[Energy description]"),0)),0)</f>
        <v>0</v>
      </c>
      <c r="AS345" s="21">
        <f t="array" aca="1" ref="AS345" ca="1">IFERROR(INDEX(INDIRECT($B$3&amp;"."&amp;$B$337&amp;".energy["&amp;This.year&amp;"]"),MATCH($C345&amp;AS$5,INDIRECT($B$3&amp;"."&amp;$B$337&amp;".energy[Tech description]")&amp;INDIRECT($B$3&amp;"."&amp;$B$337&amp;".energy[Energy description]"),0)),0)</f>
        <v>0</v>
      </c>
      <c r="AT345" s="21">
        <f t="array" aca="1" ref="AT345" ca="1">IFERROR(INDEX(INDIRECT($B$3&amp;"."&amp;$B$337&amp;".energy["&amp;This.year&amp;"]"),MATCH($C345&amp;AT$5,INDIRECT($B$3&amp;"."&amp;$B$337&amp;".energy[Tech description]")&amp;INDIRECT($B$3&amp;"."&amp;$B$337&amp;".energy[Energy description]"),0)),0)</f>
        <v>0</v>
      </c>
      <c r="AU345" s="21">
        <f t="array" aca="1" ref="AU345" ca="1">IFERROR(INDEX(INDIRECT($B$3&amp;"."&amp;$B$337&amp;".energy["&amp;This.year&amp;"]"),MATCH($C345&amp;AU$5,INDIRECT($B$3&amp;"."&amp;$B$337&amp;".energy[Tech description]")&amp;INDIRECT($B$3&amp;"."&amp;$B$337&amp;".energy[Energy description]"),0)),0)</f>
        <v>0</v>
      </c>
      <c r="AV345" s="21">
        <f t="array" aca="1" ref="AV345" ca="1">IFERROR(INDEX(INDIRECT($B$3&amp;"."&amp;$B$337&amp;".energy["&amp;This.year&amp;"]"),MATCH($C345&amp;AV$5,INDIRECT($B$3&amp;"."&amp;$B$337&amp;".energy[Tech description]")&amp;INDIRECT($B$3&amp;"."&amp;$B$337&amp;".energy[Energy description]"),0)),0)</f>
        <v>0</v>
      </c>
      <c r="AW345" s="21">
        <f t="array" aca="1" ref="AW345" ca="1">IFERROR(INDEX(INDIRECT($B$3&amp;"."&amp;$B$337&amp;".energy["&amp;This.year&amp;"]"),MATCH($C345&amp;AW$5,INDIRECT($B$3&amp;"."&amp;$B$337&amp;".energy[Tech description]")&amp;INDIRECT($B$3&amp;"."&amp;$B$337&amp;".energy[Energy description]"),0)),0)</f>
        <v>0</v>
      </c>
      <c r="AX345" s="21">
        <f t="array" aca="1" ref="AX345" ca="1">IFERROR(INDEX(INDIRECT($B$3&amp;"."&amp;$B$337&amp;".energy["&amp;This.year&amp;"]"),MATCH($C345&amp;AX$5,INDIRECT($B$3&amp;"."&amp;$B$337&amp;".energy[Tech description]")&amp;INDIRECT($B$3&amp;"."&amp;$B$337&amp;".energy[Energy description]"),0)),0)</f>
        <v>0</v>
      </c>
      <c r="AY345" s="21">
        <f t="array" aca="1" ref="AY345" ca="1">IFERROR(INDEX(INDIRECT($B$3&amp;"."&amp;$B$337&amp;".energy["&amp;This.year&amp;"]"),MATCH($C345&amp;AY$5,INDIRECT($B$3&amp;"."&amp;$B$337&amp;".energy[Tech description]")&amp;INDIRECT($B$3&amp;"."&amp;$B$337&amp;".energy[Energy description]"),0)),0)</f>
        <v>0</v>
      </c>
      <c r="AZ345" s="21">
        <f t="array" aca="1" ref="AZ345" ca="1">IFERROR(INDEX(INDIRECT($B$3&amp;"."&amp;$B$337&amp;".energy["&amp;This.year&amp;"]"),MATCH($C345&amp;AZ$5,INDIRECT($B$3&amp;"."&amp;$B$337&amp;".energy[Tech description]")&amp;INDIRECT($B$3&amp;"."&amp;$B$337&amp;".energy[Energy description]"),0)),0)</f>
        <v>0</v>
      </c>
      <c r="BA345" s="21">
        <f t="array" aca="1" ref="BA345" ca="1">IFERROR(INDEX(INDIRECT($B$3&amp;"."&amp;$B$337&amp;".energy["&amp;This.year&amp;"]"),MATCH($C345&amp;BA$5,INDIRECT($B$3&amp;"."&amp;$B$337&amp;".energy[Tech description]")&amp;INDIRECT($B$3&amp;"."&amp;$B$337&amp;".energy[Energy description]"),0)),0)</f>
        <v>0</v>
      </c>
      <c r="BB345" s="21">
        <f t="array" aca="1" ref="BB345" ca="1">IFERROR(INDEX(INDIRECT($B$3&amp;"."&amp;$B$337&amp;".energy["&amp;This.year&amp;"]"),MATCH($C345&amp;BB$5,INDIRECT($B$3&amp;"."&amp;$B$337&amp;".energy[Tech description]")&amp;INDIRECT($B$3&amp;"."&amp;$B$337&amp;".energy[Energy description]"),0)),0)</f>
        <v>0</v>
      </c>
      <c r="BC345" s="21">
        <f t="array" aca="1" ref="BC345" ca="1">IFERROR(INDEX(INDIRECT($B$3&amp;"."&amp;$B$337&amp;".energy["&amp;This.year&amp;"]"),MATCH($C345&amp;BC$5,INDIRECT($B$3&amp;"."&amp;$B$337&amp;".energy[Tech description]")&amp;INDIRECT($B$3&amp;"."&amp;$B$337&amp;".energy[Energy description]"),0)),0)</f>
        <v>0</v>
      </c>
      <c r="BD345" s="173">
        <f t="shared" ca="1" si="141"/>
        <v>0</v>
      </c>
      <c r="BE345" s="58"/>
      <c r="BF345" s="49">
        <f t="array" aca="1" ref="BF345" ca="1">IFERROR(INDEX(INDIRECT($B$3&amp;"."&amp;$B$337&amp;".energy["&amp;This.year&amp;"]"),MATCH($C345&amp;BF$5,INDIRECT($B$3&amp;"."&amp;$B$337&amp;".energy[Tech description]")&amp;INDIRECT($B$3&amp;"."&amp;$B$337&amp;".energy[Energy description]"),0)),0)</f>
        <v>0</v>
      </c>
      <c r="BG345" s="49">
        <f t="array" aca="1" ref="BG345" ca="1">IFERROR(INDEX(INDIRECT($B$3&amp;"."&amp;$B$337&amp;".energy["&amp;This.year&amp;"]"),MATCH($C345&amp;BG$5,INDIRECT($B$3&amp;"."&amp;$B$337&amp;".energy[Tech description]")&amp;INDIRECT($B$3&amp;"."&amp;$B$337&amp;".energy[Energy description]"),0)),0)</f>
        <v>0</v>
      </c>
      <c r="BH345" s="175">
        <f t="shared" ca="1" si="140"/>
        <v>0</v>
      </c>
      <c r="BI345" s="219">
        <f t="shared" ca="1" si="144"/>
        <v>0</v>
      </c>
      <c r="BJ345" s="58"/>
    </row>
    <row r="346" spans="1:62">
      <c r="B346" s="176" t="s">
        <v>1233</v>
      </c>
      <c r="C346" s="114" t="str">
        <f>INDEX(Regional.Technologies[Description],MATCH($B$3&amp;"."&amp;B346,Regional.Technologies[Code],0))</f>
        <v>Global Humans</v>
      </c>
      <c r="E346" s="121">
        <f t="array" aca="1" ref="E346" ca="1">IFERROR(INDEX(INDIRECT($B$3&amp;"."&amp;$B$337&amp;".energy["&amp;This.year&amp;"]"),MATCH($C346&amp;E$5,INDIRECT($B$3&amp;"."&amp;$B$337&amp;".energy[Tech description]")&amp;INDIRECT($B$3&amp;"."&amp;$B$337&amp;".energy[Energy description]"),0)),0)</f>
        <v>0</v>
      </c>
      <c r="F346" s="121">
        <f t="array" aca="1" ref="F346" ca="1">IFERROR(INDEX(INDIRECT($B$3&amp;"."&amp;$B$337&amp;".energy["&amp;This.year&amp;"]"),MATCH($C346&amp;F$5,INDIRECT($B$3&amp;"."&amp;$B$337&amp;".energy[Tech description]")&amp;INDIRECT($B$3&amp;"."&amp;$B$337&amp;".energy[Energy description]"),0)),0)</f>
        <v>0</v>
      </c>
      <c r="G346" s="121">
        <f t="array" aca="1" ref="G346" ca="1">IFERROR(INDEX(INDIRECT($B$3&amp;"."&amp;$B$337&amp;".energy["&amp;This.year&amp;"]"),MATCH($C346&amp;G$5,INDIRECT($B$3&amp;"."&amp;$B$337&amp;".energy[Tech description]")&amp;INDIRECT($B$3&amp;"."&amp;$B$337&amp;".energy[Energy description]"),0)),0)</f>
        <v>0</v>
      </c>
      <c r="H346" s="121">
        <f t="array" aca="1" ref="H346" ca="1">IFERROR(INDEX(INDIRECT($B$3&amp;"."&amp;$B$337&amp;".energy["&amp;This.year&amp;"]"),MATCH($C346&amp;H$5,INDIRECT($B$3&amp;"."&amp;$B$337&amp;".energy[Tech description]")&amp;INDIRECT($B$3&amp;"."&amp;$B$337&amp;".energy[Energy description]"),0)),0)</f>
        <v>0</v>
      </c>
      <c r="I346" s="121">
        <f t="array" aca="1" ref="I346" ca="1">IFERROR(INDEX(INDIRECT($B$3&amp;"."&amp;$B$337&amp;".energy["&amp;This.year&amp;"]"),MATCH($C346&amp;I$5,INDIRECT($B$3&amp;"."&amp;$B$337&amp;".energy[Tech description]")&amp;INDIRECT($B$3&amp;"."&amp;$B$337&amp;".energy[Energy description]"),0)),0)</f>
        <v>0</v>
      </c>
      <c r="J346" s="121">
        <f t="array" aca="1" ref="J346" ca="1">IFERROR(INDEX(INDIRECT($B$3&amp;"."&amp;$B$337&amp;".energy["&amp;This.year&amp;"]"),MATCH($C346&amp;J$5,INDIRECT($B$3&amp;"."&amp;$B$337&amp;".energy[Tech description]")&amp;INDIRECT($B$3&amp;"."&amp;$B$337&amp;".energy[Energy description]"),0)),0)</f>
        <v>0</v>
      </c>
      <c r="K346" s="121">
        <f t="array" aca="1" ref="K346" ca="1">IFERROR(INDEX(INDIRECT($B$3&amp;"."&amp;$B$337&amp;".energy["&amp;This.year&amp;"]"),MATCH($C346&amp;K$5,INDIRECT($B$3&amp;"."&amp;$B$337&amp;".energy[Tech description]")&amp;INDIRECT($B$3&amp;"."&amp;$B$337&amp;".energy[Energy description]"),0)),0)</f>
        <v>0</v>
      </c>
      <c r="L346" s="121">
        <f t="array" aca="1" ref="L346" ca="1">IFERROR(INDEX(INDIRECT($B$3&amp;"."&amp;$B$337&amp;".energy["&amp;This.year&amp;"]"),MATCH($C346&amp;L$5,INDIRECT($B$3&amp;"."&amp;$B$337&amp;".energy[Tech description]")&amp;INDIRECT($B$3&amp;"."&amp;$B$337&amp;".energy[Energy description]"),0)),0)</f>
        <v>0</v>
      </c>
      <c r="M346" s="121">
        <f t="array" aca="1" ref="M346" ca="1">IFERROR(INDEX(INDIRECT($B$3&amp;"."&amp;$B$337&amp;".energy["&amp;This.year&amp;"]"),MATCH($C346&amp;M$5,INDIRECT($B$3&amp;"."&amp;$B$337&amp;".energy[Tech description]")&amp;INDIRECT($B$3&amp;"."&amp;$B$337&amp;".energy[Energy description]"),0)),0)</f>
        <v>0</v>
      </c>
      <c r="N346" s="121">
        <f t="array" aca="1" ref="N346" ca="1">IFERROR(INDEX(INDIRECT($B$3&amp;"."&amp;$B$337&amp;".energy["&amp;This.year&amp;"]"),MATCH($C346&amp;N$5,INDIRECT($B$3&amp;"."&amp;$B$337&amp;".energy[Tech description]")&amp;INDIRECT($B$3&amp;"."&amp;$B$337&amp;".energy[Energy description]"),0)),0)</f>
        <v>0</v>
      </c>
      <c r="O346" s="121">
        <f t="array" aca="1" ref="O346" ca="1">IFERROR(INDEX(INDIRECT($B$3&amp;"."&amp;$B$337&amp;".energy["&amp;This.year&amp;"]"),MATCH($C346&amp;O$5,INDIRECT($B$3&amp;"."&amp;$B$337&amp;".energy[Tech description]")&amp;INDIRECT($B$3&amp;"."&amp;$B$337&amp;".energy[Energy description]"),0)),0)</f>
        <v>0</v>
      </c>
      <c r="P346" s="121">
        <f t="array" aca="1" ref="P346" ca="1">IFERROR(INDEX(INDIRECT($B$3&amp;"."&amp;$B$337&amp;".energy["&amp;This.year&amp;"]"),MATCH($C346&amp;P$5,INDIRECT($B$3&amp;"."&amp;$B$337&amp;".energy[Tech description]")&amp;INDIRECT($B$3&amp;"."&amp;$B$337&amp;".energy[Energy description]"),0)),0)</f>
        <v>0</v>
      </c>
      <c r="Q346" s="121">
        <f t="array" aca="1" ref="Q346" ca="1">IFERROR(INDEX(INDIRECT($B$3&amp;"."&amp;$B$337&amp;".energy["&amp;This.year&amp;"]"),MATCH($C346&amp;Q$5,INDIRECT($B$3&amp;"."&amp;$B$337&amp;".energy[Tech description]")&amp;INDIRECT($B$3&amp;"."&amp;$B$337&amp;".energy[Energy description]"),0)),0)</f>
        <v>0</v>
      </c>
      <c r="R346" s="121">
        <f t="array" aca="1" ref="R346" ca="1">IFERROR(INDEX(INDIRECT($B$3&amp;"."&amp;$B$337&amp;".energy["&amp;This.year&amp;"]"),MATCH($C346&amp;R$5,INDIRECT($B$3&amp;"."&amp;$B$337&amp;".energy[Tech description]")&amp;INDIRECT($B$3&amp;"."&amp;$B$337&amp;".energy[Energy description]"),0)),0)</f>
        <v>0</v>
      </c>
      <c r="S346" s="121">
        <f t="array" aca="1" ref="S346" ca="1">IFERROR(INDEX(INDIRECT($B$3&amp;"."&amp;$B$337&amp;".energy["&amp;This.year&amp;"]"),MATCH($C346&amp;S$5,INDIRECT($B$3&amp;"."&amp;$B$337&amp;".energy[Tech description]")&amp;INDIRECT($B$3&amp;"."&amp;$B$337&amp;".energy[Energy description]"),0)),0)</f>
        <v>0</v>
      </c>
      <c r="T346" s="121">
        <f ca="1">SUM(E346:S346)</f>
        <v>0</v>
      </c>
      <c r="U346" s="60"/>
      <c r="V346" s="152">
        <f t="array" aca="1" ref="V346" ca="1">IFERROR(INDEX(INDIRECT($B$3&amp;"."&amp;$B$337&amp;".energy["&amp;This.year&amp;"]"),MATCH($C346&amp;V$5,INDIRECT($B$3&amp;"."&amp;$B$337&amp;".energy[Tech description]")&amp;INDIRECT($B$3&amp;"."&amp;$B$337&amp;".energy[Energy description]"),0)),0)</f>
        <v>0</v>
      </c>
      <c r="W346" s="152">
        <f t="array" aca="1" ref="W346" ca="1">IFERROR(INDEX(INDIRECT($B$3&amp;"."&amp;$B$337&amp;".energy["&amp;This.year&amp;"]"),MATCH($C346&amp;W$5,INDIRECT($B$3&amp;"."&amp;$B$337&amp;".energy[Tech description]")&amp;INDIRECT($B$3&amp;"."&amp;$B$337&amp;".energy[Energy description]"),0)),0)</f>
        <v>0</v>
      </c>
      <c r="X346" s="152">
        <f t="array" aca="1" ref="X346" ca="1">IFERROR(INDEX(INDIRECT($B$3&amp;"."&amp;$B$337&amp;".energy["&amp;This.year&amp;"]"),MATCH($C346&amp;X$5,INDIRECT($B$3&amp;"."&amp;$B$337&amp;".energy[Tech description]")&amp;INDIRECT($B$3&amp;"."&amp;$B$337&amp;".energy[Energy description]"),0)),0)</f>
        <v>0</v>
      </c>
      <c r="Y346" s="152">
        <f t="array" aca="1" ref="Y346" ca="1">IFERROR(INDEX(INDIRECT($B$3&amp;"."&amp;$B$337&amp;".energy["&amp;This.year&amp;"]"),MATCH($C346&amp;Y$5,INDIRECT($B$3&amp;"."&amp;$B$337&amp;".energy[Tech description]")&amp;INDIRECT($B$3&amp;"."&amp;$B$337&amp;".energy[Energy description]"),0)),0)</f>
        <v>0</v>
      </c>
      <c r="Z346" s="152">
        <f t="array" aca="1" ref="Z346" ca="1">IFERROR(INDEX(INDIRECT($B$3&amp;"."&amp;$B$337&amp;".energy["&amp;This.year&amp;"]"),MATCH($C346&amp;Z$5,INDIRECT($B$3&amp;"."&amp;$B$337&amp;".energy[Tech description]")&amp;INDIRECT($B$3&amp;"."&amp;$B$337&amp;".energy[Energy description]"),0)),0)</f>
        <v>0</v>
      </c>
      <c r="AA346" s="152">
        <f t="array" aca="1" ref="AA346" ca="1">IFERROR(INDEX(INDIRECT($B$3&amp;"."&amp;$B$337&amp;".energy["&amp;This.year&amp;"]"),MATCH($C346&amp;AA$5,INDIRECT($B$3&amp;"."&amp;$B$337&amp;".energy[Tech description]")&amp;INDIRECT($B$3&amp;"."&amp;$B$337&amp;".energy[Energy description]"),0)),0)</f>
        <v>0</v>
      </c>
      <c r="AB346" s="152">
        <f t="array" aca="1" ref="AB346" ca="1">IFERROR(INDEX(INDIRECT($B$3&amp;"."&amp;$B$337&amp;".energy["&amp;This.year&amp;"]"),MATCH($C346&amp;AB$5,INDIRECT($B$3&amp;"."&amp;$B$337&amp;".energy[Tech description]")&amp;INDIRECT($B$3&amp;"."&amp;$B$337&amp;".energy[Energy description]"),0)),0)</f>
        <v>0</v>
      </c>
      <c r="AC346" s="152">
        <f t="array" aca="1" ref="AC346" ca="1">IFERROR(INDEX(INDIRECT($B$3&amp;"."&amp;$B$337&amp;".energy["&amp;This.year&amp;"]"),MATCH($C346&amp;AC$5,INDIRECT($B$3&amp;"."&amp;$B$337&amp;".energy[Tech description]")&amp;INDIRECT($B$3&amp;"."&amp;$B$337&amp;".energy[Energy description]"),0)),0)</f>
        <v>0</v>
      </c>
      <c r="AD346" s="152">
        <f t="array" aca="1" ref="AD346" ca="1">IFERROR(INDEX(INDIRECT($B$3&amp;"."&amp;$B$337&amp;".energy["&amp;This.year&amp;"]"),MATCH($C346&amp;AD$5,INDIRECT($B$3&amp;"."&amp;$B$337&amp;".energy[Tech description]")&amp;INDIRECT($B$3&amp;"."&amp;$B$337&amp;".energy[Energy description]"),0)),0)</f>
        <v>0</v>
      </c>
      <c r="AE346" s="152">
        <f t="array" aca="1" ref="AE346" ca="1">IFERROR(INDEX(INDIRECT($B$3&amp;"."&amp;$B$337&amp;".energy["&amp;This.year&amp;"]"),MATCH($C346&amp;AE$5,INDIRECT($B$3&amp;"."&amp;$B$337&amp;".energy[Tech description]")&amp;INDIRECT($B$3&amp;"."&amp;$B$337&amp;".energy[Energy description]"),0)),0)</f>
        <v>0</v>
      </c>
      <c r="AF346" s="152">
        <f t="array" aca="1" ref="AF346" ca="1">IFERROR(INDEX(INDIRECT($B$3&amp;"."&amp;$B$337&amp;".energy["&amp;This.year&amp;"]"),MATCH($C346&amp;AF$5,INDIRECT($B$3&amp;"."&amp;$B$337&amp;".energy[Tech description]")&amp;INDIRECT($B$3&amp;"."&amp;$B$337&amp;".energy[Energy description]"),0)),0)</f>
        <v>0</v>
      </c>
      <c r="AG346" s="152">
        <f t="array" aca="1" ref="AG346" ca="1">IFERROR(INDEX(INDIRECT($B$3&amp;"."&amp;$B$337&amp;".energy["&amp;This.year&amp;"]"),MATCH($C346&amp;AG$5,INDIRECT($B$3&amp;"."&amp;$B$337&amp;".energy[Tech description]")&amp;INDIRECT($B$3&amp;"."&amp;$B$337&amp;".energy[Energy description]"),0)),0)</f>
        <v>0</v>
      </c>
      <c r="AH346" s="152">
        <f t="array" aca="1" ref="AH346" ca="1">IFERROR(INDEX(INDIRECT($B$3&amp;"."&amp;$B$337&amp;".energy["&amp;This.year&amp;"]"),MATCH($C346&amp;AH$5,INDIRECT($B$3&amp;"."&amp;$B$337&amp;".energy[Tech description]")&amp;INDIRECT($B$3&amp;"."&amp;$B$337&amp;".energy[Energy description]"),0)),0)</f>
        <v>0</v>
      </c>
      <c r="AI346" s="152">
        <f t="array" aca="1" ref="AI346" ca="1">IFERROR(INDEX(INDIRECT($B$3&amp;"."&amp;$B$337&amp;".energy["&amp;This.year&amp;"]"),MATCH($C346&amp;AI$5,INDIRECT($B$3&amp;"."&amp;$B$337&amp;".energy[Tech description]")&amp;INDIRECT($B$3&amp;"."&amp;$B$337&amp;".energy[Energy description]"),0)),0)</f>
        <v>0</v>
      </c>
      <c r="AJ346" s="152">
        <f t="array" aca="1" ref="AJ346" ca="1">IFERROR(INDEX(INDIRECT($B$3&amp;"."&amp;$B$337&amp;".energy["&amp;This.year&amp;"]"),MATCH($C346&amp;AJ$5,INDIRECT($B$3&amp;"."&amp;$B$337&amp;".energy[Tech description]")&amp;INDIRECT($B$3&amp;"."&amp;$B$337&amp;".energy[Energy description]"),0)),0)</f>
        <v>0</v>
      </c>
      <c r="AK346" s="152">
        <f t="array" aca="1" ref="AK346" ca="1">IFERROR(INDEX(INDIRECT($B$3&amp;"."&amp;$B$337&amp;".energy["&amp;This.year&amp;"]"),MATCH($C346&amp;AK$5,INDIRECT($B$3&amp;"."&amp;$B$337&amp;".energy[Tech description]")&amp;INDIRECT($B$3&amp;"."&amp;$B$337&amp;".energy[Energy description]"),0)),0)</f>
        <v>0</v>
      </c>
      <c r="AL346" s="152">
        <f t="array" aca="1" ref="AL346" ca="1">IFERROR(INDEX(INDIRECT($B$3&amp;"."&amp;$B$337&amp;".energy["&amp;This.year&amp;"]"),MATCH($C346&amp;AL$5,INDIRECT($B$3&amp;"."&amp;$B$337&amp;".energy[Tech description]")&amp;INDIRECT($B$3&amp;"."&amp;$B$337&amp;".energy[Energy description]"),0)),0)</f>
        <v>0</v>
      </c>
      <c r="AM346" s="152">
        <f t="array" aca="1" ref="AM346" ca="1">IFERROR(INDEX(INDIRECT($B$3&amp;"."&amp;$B$337&amp;".energy["&amp;This.year&amp;"]"),MATCH($C346&amp;AM$5,INDIRECT($B$3&amp;"."&amp;$B$337&amp;".energy[Tech description]")&amp;INDIRECT($B$3&amp;"."&amp;$B$337&amp;".energy[Energy description]"),0)),0)</f>
        <v>0</v>
      </c>
      <c r="AN346" s="152">
        <f t="array" aca="1" ref="AN346" ca="1">IFERROR(INDEX(INDIRECT($B$3&amp;"."&amp;$B$337&amp;".energy["&amp;This.year&amp;"]"),MATCH($C346&amp;AN$5,INDIRECT($B$3&amp;"."&amp;$B$337&amp;".energy[Tech description]")&amp;INDIRECT($B$3&amp;"."&amp;$B$337&amp;".energy[Energy description]"),0)),0)</f>
        <v>0</v>
      </c>
      <c r="AO346" s="171">
        <f t="shared" ca="1" si="143"/>
        <v>0</v>
      </c>
      <c r="AP346" s="60"/>
      <c r="AQ346" s="21">
        <f t="array" aca="1" ref="AQ346" ca="1">IFERROR(INDEX(INDIRECT($B$3&amp;"."&amp;$B$337&amp;".energy["&amp;This.year&amp;"]"),MATCH($C346&amp;AQ$5,INDIRECT($B$3&amp;"."&amp;$B$337&amp;".energy[Tech description]")&amp;INDIRECT($B$3&amp;"."&amp;$B$337&amp;".energy[Energy description]"),0)),0)</f>
        <v>0</v>
      </c>
      <c r="AR346" s="21">
        <f t="array" aca="1" ref="AR346" ca="1">IFERROR(INDEX(INDIRECT($B$3&amp;"."&amp;$B$337&amp;".energy["&amp;This.year&amp;"]"),MATCH($C346&amp;AR$5,INDIRECT($B$3&amp;"."&amp;$B$337&amp;".energy[Tech description]")&amp;INDIRECT($B$3&amp;"."&amp;$B$337&amp;".energy[Energy description]"),0)),0)</f>
        <v>0</v>
      </c>
      <c r="AS346" s="21">
        <f t="array" aca="1" ref="AS346" ca="1">IFERROR(INDEX(INDIRECT($B$3&amp;"."&amp;$B$337&amp;".energy["&amp;This.year&amp;"]"),MATCH($C346&amp;AS$5,INDIRECT($B$3&amp;"."&amp;$B$337&amp;".energy[Tech description]")&amp;INDIRECT($B$3&amp;"."&amp;$B$337&amp;".energy[Energy description]"),0)),0)</f>
        <v>0</v>
      </c>
      <c r="AT346" s="21">
        <f t="array" aca="1" ref="AT346" ca="1">IFERROR(INDEX(INDIRECT($B$3&amp;"."&amp;$B$337&amp;".energy["&amp;This.year&amp;"]"),MATCH($C346&amp;AT$5,INDIRECT($B$3&amp;"."&amp;$B$337&amp;".energy[Tech description]")&amp;INDIRECT($B$3&amp;"."&amp;$B$337&amp;".energy[Energy description]"),0)),0)</f>
        <v>0</v>
      </c>
      <c r="AU346" s="21">
        <f t="array" aca="1" ref="AU346" ca="1">IFERROR(INDEX(INDIRECT($B$3&amp;"."&amp;$B$337&amp;".energy["&amp;This.year&amp;"]"),MATCH($C346&amp;AU$5,INDIRECT($B$3&amp;"."&amp;$B$337&amp;".energy[Tech description]")&amp;INDIRECT($B$3&amp;"."&amp;$B$337&amp;".energy[Energy description]"),0)),0)</f>
        <v>0</v>
      </c>
      <c r="AV346" s="21">
        <f t="array" aca="1" ref="AV346" ca="1">IFERROR(INDEX(INDIRECT($B$3&amp;"."&amp;$B$337&amp;".energy["&amp;This.year&amp;"]"),MATCH($C346&amp;AV$5,INDIRECT($B$3&amp;"."&amp;$B$337&amp;".energy[Tech description]")&amp;INDIRECT($B$3&amp;"."&amp;$B$337&amp;".energy[Energy description]"),0)),0)</f>
        <v>0</v>
      </c>
      <c r="AW346" s="21">
        <f t="array" aca="1" ref="AW346" ca="1">IFERROR(INDEX(INDIRECT($B$3&amp;"."&amp;$B$337&amp;".energy["&amp;This.year&amp;"]"),MATCH($C346&amp;AW$5,INDIRECT($B$3&amp;"."&amp;$B$337&amp;".energy[Tech description]")&amp;INDIRECT($B$3&amp;"."&amp;$B$337&amp;".energy[Energy description]"),0)),0)</f>
        <v>0</v>
      </c>
      <c r="AX346" s="21">
        <f t="array" aca="1" ref="AX346" ca="1">IFERROR(INDEX(INDIRECT($B$3&amp;"."&amp;$B$337&amp;".energy["&amp;This.year&amp;"]"),MATCH($C346&amp;AX$5,INDIRECT($B$3&amp;"."&amp;$B$337&amp;".energy[Tech description]")&amp;INDIRECT($B$3&amp;"."&amp;$B$337&amp;".energy[Energy description]"),0)),0)</f>
        <v>0</v>
      </c>
      <c r="AY346" s="21">
        <f t="array" aca="1" ref="AY346" ca="1">IFERROR(INDEX(INDIRECT($B$3&amp;"."&amp;$B$337&amp;".energy["&amp;This.year&amp;"]"),MATCH($C346&amp;AY$5,INDIRECT($B$3&amp;"."&amp;$B$337&amp;".energy[Tech description]")&amp;INDIRECT($B$3&amp;"."&amp;$B$337&amp;".energy[Energy description]"),0)),0)</f>
        <v>0</v>
      </c>
      <c r="AZ346" s="21">
        <f t="array" aca="1" ref="AZ346" ca="1">IFERROR(INDEX(INDIRECT($B$3&amp;"."&amp;$B$337&amp;".energy["&amp;This.year&amp;"]"),MATCH($C346&amp;AZ$5,INDIRECT($B$3&amp;"."&amp;$B$337&amp;".energy[Tech description]")&amp;INDIRECT($B$3&amp;"."&amp;$B$337&amp;".energy[Energy description]"),0)),0)</f>
        <v>0</v>
      </c>
      <c r="BA346" s="21">
        <f t="array" aca="1" ref="BA346" ca="1">IFERROR(INDEX(INDIRECT($B$3&amp;"."&amp;$B$337&amp;".energy["&amp;This.year&amp;"]"),MATCH($C346&amp;BA$5,INDIRECT($B$3&amp;"."&amp;$B$337&amp;".energy[Tech description]")&amp;INDIRECT($B$3&amp;"."&amp;$B$337&amp;".energy[Energy description]"),0)),0)</f>
        <v>0</v>
      </c>
      <c r="BB346" s="21">
        <f t="array" aca="1" ref="BB346" ca="1">IFERROR(INDEX(INDIRECT($B$3&amp;"."&amp;$B$337&amp;".energy["&amp;This.year&amp;"]"),MATCH($C346&amp;BB$5,INDIRECT($B$3&amp;"."&amp;$B$337&amp;".energy[Tech description]")&amp;INDIRECT($B$3&amp;"."&amp;$B$337&amp;".energy[Energy description]"),0)),0)</f>
        <v>0</v>
      </c>
      <c r="BC346" s="21">
        <f t="array" aca="1" ref="BC346" ca="1">IFERROR(INDEX(INDIRECT($B$3&amp;"."&amp;$B$337&amp;".energy["&amp;This.year&amp;"]"),MATCH($C346&amp;BC$5,INDIRECT($B$3&amp;"."&amp;$B$337&amp;".energy[Tech description]")&amp;INDIRECT($B$3&amp;"."&amp;$B$337&amp;".energy[Energy description]"),0)),0)</f>
        <v>0</v>
      </c>
      <c r="BD346" s="173">
        <f t="shared" ca="1" si="141"/>
        <v>0</v>
      </c>
      <c r="BE346" s="60"/>
      <c r="BF346" s="49">
        <f t="array" aca="1" ref="BF346" ca="1">IFERROR(INDEX(INDIRECT($B$3&amp;"."&amp;$B$337&amp;".energy["&amp;This.year&amp;"]"),MATCH($C346&amp;BF$5,INDIRECT($B$3&amp;"."&amp;$B$337&amp;".energy[Tech description]")&amp;INDIRECT($B$3&amp;"."&amp;$B$337&amp;".energy[Energy description]"),0)),0)</f>
        <v>0</v>
      </c>
      <c r="BG346" s="49">
        <f t="array" aca="1" ref="BG346" ca="1">IFERROR(INDEX(INDIRECT($B$3&amp;"."&amp;$B$337&amp;".energy["&amp;This.year&amp;"]"),MATCH($C346&amp;BG$5,INDIRECT($B$3&amp;"."&amp;$B$337&amp;".energy[Tech description]")&amp;INDIRECT($B$3&amp;"."&amp;$B$337&amp;".energy[Energy description]"),0)),0)</f>
        <v>0</v>
      </c>
      <c r="BH346" s="175">
        <f t="shared" ca="1" si="140"/>
        <v>0</v>
      </c>
      <c r="BI346" s="219">
        <f t="shared" ca="1" si="144"/>
        <v>0</v>
      </c>
      <c r="BJ346" s="58"/>
    </row>
    <row r="347" spans="1:62">
      <c r="B347" s="176" t="s">
        <v>1241</v>
      </c>
      <c r="C347" s="114" t="str">
        <f>INDEX(Regional.Technologies[Description],MATCH($B$3&amp;"."&amp;B347,Regional.Technologies[Code],0))</f>
        <v>Global Land used for waste (buried or on surface)</v>
      </c>
      <c r="E347" s="121">
        <f t="array" aca="1" ref="E347" ca="1">IFERROR(INDEX(INDIRECT($B$3&amp;"."&amp;$B$337&amp;".energy["&amp;This.year&amp;"]"),MATCH($C347&amp;E$5,INDIRECT($B$3&amp;"."&amp;$B$337&amp;".energy[Tech description]")&amp;INDIRECT($B$3&amp;"."&amp;$B$337&amp;".energy[Energy description]"),0)),0)</f>
        <v>0</v>
      </c>
      <c r="F347" s="121">
        <f t="array" aca="1" ref="F347" ca="1">IFERROR(INDEX(INDIRECT($B$3&amp;"."&amp;$B$337&amp;".energy["&amp;This.year&amp;"]"),MATCH($C347&amp;F$5,INDIRECT($B$3&amp;"."&amp;$B$337&amp;".energy[Tech description]")&amp;INDIRECT($B$3&amp;"."&amp;$B$337&amp;".energy[Energy description]"),0)),0)</f>
        <v>0</v>
      </c>
      <c r="G347" s="121">
        <f t="array" aca="1" ref="G347" ca="1">IFERROR(INDEX(INDIRECT($B$3&amp;"."&amp;$B$337&amp;".energy["&amp;This.year&amp;"]"),MATCH($C347&amp;G$5,INDIRECT($B$3&amp;"."&amp;$B$337&amp;".energy[Tech description]")&amp;INDIRECT($B$3&amp;"."&amp;$B$337&amp;".energy[Energy description]"),0)),0)</f>
        <v>0</v>
      </c>
      <c r="H347" s="121">
        <f t="array" aca="1" ref="H347" ca="1">IFERROR(INDEX(INDIRECT($B$3&amp;"."&amp;$B$337&amp;".energy["&amp;This.year&amp;"]"),MATCH($C347&amp;H$5,INDIRECT($B$3&amp;"."&amp;$B$337&amp;".energy[Tech description]")&amp;INDIRECT($B$3&amp;"."&amp;$B$337&amp;".energy[Energy description]"),0)),0)</f>
        <v>0</v>
      </c>
      <c r="I347" s="121">
        <f t="array" aca="1" ref="I347" ca="1">IFERROR(INDEX(INDIRECT($B$3&amp;"."&amp;$B$337&amp;".energy["&amp;This.year&amp;"]"),MATCH($C347&amp;I$5,INDIRECT($B$3&amp;"."&amp;$B$337&amp;".energy[Tech description]")&amp;INDIRECT($B$3&amp;"."&amp;$B$337&amp;".energy[Energy description]"),0)),0)</f>
        <v>0</v>
      </c>
      <c r="J347" s="121">
        <f t="array" aca="1" ref="J347" ca="1">IFERROR(INDEX(INDIRECT($B$3&amp;"."&amp;$B$337&amp;".energy["&amp;This.year&amp;"]"),MATCH($C347&amp;J$5,INDIRECT($B$3&amp;"."&amp;$B$337&amp;".energy[Tech description]")&amp;INDIRECT($B$3&amp;"."&amp;$B$337&amp;".energy[Energy description]"),0)),0)</f>
        <v>0</v>
      </c>
      <c r="K347" s="121">
        <f t="array" aca="1" ref="K347" ca="1">IFERROR(INDEX(INDIRECT($B$3&amp;"."&amp;$B$337&amp;".energy["&amp;This.year&amp;"]"),MATCH($C347&amp;K$5,INDIRECT($B$3&amp;"."&amp;$B$337&amp;".energy[Tech description]")&amp;INDIRECT($B$3&amp;"."&amp;$B$337&amp;".energy[Energy description]"),0)),0)</f>
        <v>0</v>
      </c>
      <c r="L347" s="121">
        <f t="array" aca="1" ref="L347" ca="1">IFERROR(INDEX(INDIRECT($B$3&amp;"."&amp;$B$337&amp;".energy["&amp;This.year&amp;"]"),MATCH($C347&amp;L$5,INDIRECT($B$3&amp;"."&amp;$B$337&amp;".energy[Tech description]")&amp;INDIRECT($B$3&amp;"."&amp;$B$337&amp;".energy[Energy description]"),0)),0)</f>
        <v>0</v>
      </c>
      <c r="M347" s="121">
        <f t="array" aca="1" ref="M347" ca="1">IFERROR(INDEX(INDIRECT($B$3&amp;"."&amp;$B$337&amp;".energy["&amp;This.year&amp;"]"),MATCH($C347&amp;M$5,INDIRECT($B$3&amp;"."&amp;$B$337&amp;".energy[Tech description]")&amp;INDIRECT($B$3&amp;"."&amp;$B$337&amp;".energy[Energy description]"),0)),0)</f>
        <v>0</v>
      </c>
      <c r="N347" s="121">
        <f t="array" aca="1" ref="N347" ca="1">IFERROR(INDEX(INDIRECT($B$3&amp;"."&amp;$B$337&amp;".energy["&amp;This.year&amp;"]"),MATCH($C347&amp;N$5,INDIRECT($B$3&amp;"."&amp;$B$337&amp;".energy[Tech description]")&amp;INDIRECT($B$3&amp;"."&amp;$B$337&amp;".energy[Energy description]"),0)),0)</f>
        <v>0</v>
      </c>
      <c r="O347" s="121">
        <f t="array" aca="1" ref="O347" ca="1">IFERROR(INDEX(INDIRECT($B$3&amp;"."&amp;$B$337&amp;".energy["&amp;This.year&amp;"]"),MATCH($C347&amp;O$5,INDIRECT($B$3&amp;"."&amp;$B$337&amp;".energy[Tech description]")&amp;INDIRECT($B$3&amp;"."&amp;$B$337&amp;".energy[Energy description]"),0)),0)</f>
        <v>0</v>
      </c>
      <c r="P347" s="121">
        <f t="array" aca="1" ref="P347" ca="1">IFERROR(INDEX(INDIRECT($B$3&amp;"."&amp;$B$337&amp;".energy["&amp;This.year&amp;"]"),MATCH($C347&amp;P$5,INDIRECT($B$3&amp;"."&amp;$B$337&amp;".energy[Tech description]")&amp;INDIRECT($B$3&amp;"."&amp;$B$337&amp;".energy[Energy description]"),0)),0)</f>
        <v>0</v>
      </c>
      <c r="Q347" s="121">
        <f t="array" aca="1" ref="Q347" ca="1">IFERROR(INDEX(INDIRECT($B$3&amp;"."&amp;$B$337&amp;".energy["&amp;This.year&amp;"]"),MATCH($C347&amp;Q$5,INDIRECT($B$3&amp;"."&amp;$B$337&amp;".energy[Tech description]")&amp;INDIRECT($B$3&amp;"."&amp;$B$337&amp;".energy[Energy description]"),0)),0)</f>
        <v>0</v>
      </c>
      <c r="R347" s="121">
        <f t="array" aca="1" ref="R347" ca="1">IFERROR(INDEX(INDIRECT($B$3&amp;"."&amp;$B$337&amp;".energy["&amp;This.year&amp;"]"),MATCH($C347&amp;R$5,INDIRECT($B$3&amp;"."&amp;$B$337&amp;".energy[Tech description]")&amp;INDIRECT($B$3&amp;"."&amp;$B$337&amp;".energy[Energy description]"),0)),0)</f>
        <v>0</v>
      </c>
      <c r="S347" s="121">
        <f t="array" aca="1" ref="S347" ca="1">IFERROR(INDEX(INDIRECT($B$3&amp;"."&amp;$B$337&amp;".energy["&amp;This.year&amp;"]"),MATCH($C347&amp;S$5,INDIRECT($B$3&amp;"."&amp;$B$337&amp;".energy[Tech description]")&amp;INDIRECT($B$3&amp;"."&amp;$B$337&amp;".energy[Energy description]"),0)),0)</f>
        <v>0</v>
      </c>
      <c r="T347" s="121">
        <f ca="1">SUM(E347:S347)</f>
        <v>0</v>
      </c>
      <c r="U347" s="60"/>
      <c r="V347" s="152">
        <f t="array" aca="1" ref="V347" ca="1">IFERROR(INDEX(INDIRECT($B$3&amp;"."&amp;$B$337&amp;".energy["&amp;This.year&amp;"]"),MATCH($C347&amp;V$5,INDIRECT($B$3&amp;"."&amp;$B$337&amp;".energy[Tech description]")&amp;INDIRECT($B$3&amp;"."&amp;$B$337&amp;".energy[Energy description]"),0)),0)</f>
        <v>0</v>
      </c>
      <c r="W347" s="152">
        <f t="array" aca="1" ref="W347" ca="1">IFERROR(INDEX(INDIRECT($B$3&amp;"."&amp;$B$337&amp;".energy["&amp;This.year&amp;"]"),MATCH($C347&amp;W$5,INDIRECT($B$3&amp;"."&amp;$B$337&amp;".energy[Tech description]")&amp;INDIRECT($B$3&amp;"."&amp;$B$337&amp;".energy[Energy description]"),0)),0)</f>
        <v>0</v>
      </c>
      <c r="X347" s="152">
        <f t="array" aca="1" ref="X347" ca="1">IFERROR(INDEX(INDIRECT($B$3&amp;"."&amp;$B$337&amp;".energy["&amp;This.year&amp;"]"),MATCH($C347&amp;X$5,INDIRECT($B$3&amp;"."&amp;$B$337&amp;".energy[Tech description]")&amp;INDIRECT($B$3&amp;"."&amp;$B$337&amp;".energy[Energy description]"),0)),0)</f>
        <v>0</v>
      </c>
      <c r="Y347" s="152">
        <f t="array" aca="1" ref="Y347" ca="1">IFERROR(INDEX(INDIRECT($B$3&amp;"."&amp;$B$337&amp;".energy["&amp;This.year&amp;"]"),MATCH($C347&amp;Y$5,INDIRECT($B$3&amp;"."&amp;$B$337&amp;".energy[Tech description]")&amp;INDIRECT($B$3&amp;"."&amp;$B$337&amp;".energy[Energy description]"),0)),0)</f>
        <v>0</v>
      </c>
      <c r="Z347" s="152">
        <f t="array" aca="1" ref="Z347" ca="1">IFERROR(INDEX(INDIRECT($B$3&amp;"."&amp;$B$337&amp;".energy["&amp;This.year&amp;"]"),MATCH($C347&amp;Z$5,INDIRECT($B$3&amp;"."&amp;$B$337&amp;".energy[Tech description]")&amp;INDIRECT($B$3&amp;"."&amp;$B$337&amp;".energy[Energy description]"),0)),0)</f>
        <v>0</v>
      </c>
      <c r="AA347" s="152">
        <f t="array" aca="1" ref="AA347" ca="1">IFERROR(INDEX(INDIRECT($B$3&amp;"."&amp;$B$337&amp;".energy["&amp;This.year&amp;"]"),MATCH($C347&amp;AA$5,INDIRECT($B$3&amp;"."&amp;$B$337&amp;".energy[Tech description]")&amp;INDIRECT($B$3&amp;"."&amp;$B$337&amp;".energy[Energy description]"),0)),0)</f>
        <v>0</v>
      </c>
      <c r="AB347" s="152">
        <f t="array" aca="1" ref="AB347" ca="1">IFERROR(INDEX(INDIRECT($B$3&amp;"."&amp;$B$337&amp;".energy["&amp;This.year&amp;"]"),MATCH($C347&amp;AB$5,INDIRECT($B$3&amp;"."&amp;$B$337&amp;".energy[Tech description]")&amp;INDIRECT($B$3&amp;"."&amp;$B$337&amp;".energy[Energy description]"),0)),0)</f>
        <v>0</v>
      </c>
      <c r="AC347" s="152">
        <f t="array" aca="1" ref="AC347" ca="1">IFERROR(INDEX(INDIRECT($B$3&amp;"."&amp;$B$337&amp;".energy["&amp;This.year&amp;"]"),MATCH($C347&amp;AC$5,INDIRECT($B$3&amp;"."&amp;$B$337&amp;".energy[Tech description]")&amp;INDIRECT($B$3&amp;"."&amp;$B$337&amp;".energy[Energy description]"),0)),0)</f>
        <v>0</v>
      </c>
      <c r="AD347" s="152">
        <f t="array" aca="1" ref="AD347" ca="1">IFERROR(INDEX(INDIRECT($B$3&amp;"."&amp;$B$337&amp;".energy["&amp;This.year&amp;"]"),MATCH($C347&amp;AD$5,INDIRECT($B$3&amp;"."&amp;$B$337&amp;".energy[Tech description]")&amp;INDIRECT($B$3&amp;"."&amp;$B$337&amp;".energy[Energy description]"),0)),0)</f>
        <v>0</v>
      </c>
      <c r="AE347" s="152">
        <f t="array" aca="1" ref="AE347" ca="1">IFERROR(INDEX(INDIRECT($B$3&amp;"."&amp;$B$337&amp;".energy["&amp;This.year&amp;"]"),MATCH($C347&amp;AE$5,INDIRECT($B$3&amp;"."&amp;$B$337&amp;".energy[Tech description]")&amp;INDIRECT($B$3&amp;"."&amp;$B$337&amp;".energy[Energy description]"),0)),0)</f>
        <v>0</v>
      </c>
      <c r="AF347" s="152">
        <f t="array" aca="1" ref="AF347" ca="1">IFERROR(INDEX(INDIRECT($B$3&amp;"."&amp;$B$337&amp;".energy["&amp;This.year&amp;"]"),MATCH($C347&amp;AF$5,INDIRECT($B$3&amp;"."&amp;$B$337&amp;".energy[Tech description]")&amp;INDIRECT($B$3&amp;"."&amp;$B$337&amp;".energy[Energy description]"),0)),0)</f>
        <v>0</v>
      </c>
      <c r="AG347" s="152">
        <f t="array" aca="1" ref="AG347" ca="1">IFERROR(INDEX(INDIRECT($B$3&amp;"."&amp;$B$337&amp;".energy["&amp;This.year&amp;"]"),MATCH($C347&amp;AG$5,INDIRECT($B$3&amp;"."&amp;$B$337&amp;".energy[Tech description]")&amp;INDIRECT($B$3&amp;"."&amp;$B$337&amp;".energy[Energy description]"),0)),0)</f>
        <v>0</v>
      </c>
      <c r="AH347" s="152">
        <f t="array" aca="1" ref="AH347" ca="1">IFERROR(INDEX(INDIRECT($B$3&amp;"."&amp;$B$337&amp;".energy["&amp;This.year&amp;"]"),MATCH($C347&amp;AH$5,INDIRECT($B$3&amp;"."&amp;$B$337&amp;".energy[Tech description]")&amp;INDIRECT($B$3&amp;"."&amp;$B$337&amp;".energy[Energy description]"),0)),0)</f>
        <v>0</v>
      </c>
      <c r="AI347" s="152">
        <f t="array" aca="1" ref="AI347" ca="1">IFERROR(INDEX(INDIRECT($B$3&amp;"."&amp;$B$337&amp;".energy["&amp;This.year&amp;"]"),MATCH($C347&amp;AI$5,INDIRECT($B$3&amp;"."&amp;$B$337&amp;".energy[Tech description]")&amp;INDIRECT($B$3&amp;"."&amp;$B$337&amp;".energy[Energy description]"),0)),0)</f>
        <v>0</v>
      </c>
      <c r="AJ347" s="152">
        <f t="array" aca="1" ref="AJ347" ca="1">IFERROR(INDEX(INDIRECT($B$3&amp;"."&amp;$B$337&amp;".energy["&amp;This.year&amp;"]"),MATCH($C347&amp;AJ$5,INDIRECT($B$3&amp;"."&amp;$B$337&amp;".energy[Tech description]")&amp;INDIRECT($B$3&amp;"."&amp;$B$337&amp;".energy[Energy description]"),0)),0)</f>
        <v>0</v>
      </c>
      <c r="AK347" s="152">
        <f t="array" aca="1" ref="AK347" ca="1">IFERROR(INDEX(INDIRECT($B$3&amp;"."&amp;$B$337&amp;".energy["&amp;This.year&amp;"]"),MATCH($C347&amp;AK$5,INDIRECT($B$3&amp;"."&amp;$B$337&amp;".energy[Tech description]")&amp;INDIRECT($B$3&amp;"."&amp;$B$337&amp;".energy[Energy description]"),0)),0)</f>
        <v>0</v>
      </c>
      <c r="AL347" s="152">
        <f t="array" aca="1" ref="AL347" ca="1">IFERROR(INDEX(INDIRECT($B$3&amp;"."&amp;$B$337&amp;".energy["&amp;This.year&amp;"]"),MATCH($C347&amp;AL$5,INDIRECT($B$3&amp;"."&amp;$B$337&amp;".energy[Tech description]")&amp;INDIRECT($B$3&amp;"."&amp;$B$337&amp;".energy[Energy description]"),0)),0)</f>
        <v>0</v>
      </c>
      <c r="AM347" s="152">
        <f t="array" aca="1" ref="AM347" ca="1">IFERROR(INDEX(INDIRECT($B$3&amp;"."&amp;$B$337&amp;".energy["&amp;This.year&amp;"]"),MATCH($C347&amp;AM$5,INDIRECT($B$3&amp;"."&amp;$B$337&amp;".energy[Tech description]")&amp;INDIRECT($B$3&amp;"."&amp;$B$337&amp;".energy[Energy description]"),0)),0)</f>
        <v>0</v>
      </c>
      <c r="AN347" s="152">
        <f t="array" aca="1" ref="AN347" ca="1">IFERROR(INDEX(INDIRECT($B$3&amp;"."&amp;$B$337&amp;".energy["&amp;This.year&amp;"]"),MATCH($C347&amp;AN$5,INDIRECT($B$3&amp;"."&amp;$B$337&amp;".energy[Tech description]")&amp;INDIRECT($B$3&amp;"."&amp;$B$337&amp;".energy[Energy description]"),0)),0)</f>
        <v>0</v>
      </c>
      <c r="AO347" s="171">
        <f t="shared" ca="1" si="143"/>
        <v>0</v>
      </c>
      <c r="AP347" s="60"/>
      <c r="AQ347" s="21">
        <f t="array" aca="1" ref="AQ347" ca="1">IFERROR(INDEX(INDIRECT($B$3&amp;"."&amp;$B$337&amp;".energy["&amp;This.year&amp;"]"),MATCH($C347&amp;AQ$5,INDIRECT($B$3&amp;"."&amp;$B$337&amp;".energy[Tech description]")&amp;INDIRECT($B$3&amp;"."&amp;$B$337&amp;".energy[Energy description]"),0)),0)</f>
        <v>0</v>
      </c>
      <c r="AR347" s="21">
        <f t="array" aca="1" ref="AR347" ca="1">IFERROR(INDEX(INDIRECT($B$3&amp;"."&amp;$B$337&amp;".energy["&amp;This.year&amp;"]"),MATCH($C347&amp;AR$5,INDIRECT($B$3&amp;"."&amp;$B$337&amp;".energy[Tech description]")&amp;INDIRECT($B$3&amp;"."&amp;$B$337&amp;".energy[Energy description]"),0)),0)</f>
        <v>0</v>
      </c>
      <c r="AS347" s="21">
        <f t="array" aca="1" ref="AS347" ca="1">IFERROR(INDEX(INDIRECT($B$3&amp;"."&amp;$B$337&amp;".energy["&amp;This.year&amp;"]"),MATCH($C347&amp;AS$5,INDIRECT($B$3&amp;"."&amp;$B$337&amp;".energy[Tech description]")&amp;INDIRECT($B$3&amp;"."&amp;$B$337&amp;".energy[Energy description]"),0)),0)</f>
        <v>0</v>
      </c>
      <c r="AT347" s="21">
        <f t="array" aca="1" ref="AT347" ca="1">IFERROR(INDEX(INDIRECT($B$3&amp;"."&amp;$B$337&amp;".energy["&amp;This.year&amp;"]"),MATCH($C347&amp;AT$5,INDIRECT($B$3&amp;"."&amp;$B$337&amp;".energy[Tech description]")&amp;INDIRECT($B$3&amp;"."&amp;$B$337&amp;".energy[Energy description]"),0)),0)</f>
        <v>0</v>
      </c>
      <c r="AU347" s="21">
        <f t="array" aca="1" ref="AU347" ca="1">IFERROR(INDEX(INDIRECT($B$3&amp;"."&amp;$B$337&amp;".energy["&amp;This.year&amp;"]"),MATCH($C347&amp;AU$5,INDIRECT($B$3&amp;"."&amp;$B$337&amp;".energy[Tech description]")&amp;INDIRECT($B$3&amp;"."&amp;$B$337&amp;".energy[Energy description]"),0)),0)</f>
        <v>0</v>
      </c>
      <c r="AV347" s="21">
        <f t="array" aca="1" ref="AV347" ca="1">IFERROR(INDEX(INDIRECT($B$3&amp;"."&amp;$B$337&amp;".energy["&amp;This.year&amp;"]"),MATCH($C347&amp;AV$5,INDIRECT($B$3&amp;"."&amp;$B$337&amp;".energy[Tech description]")&amp;INDIRECT($B$3&amp;"."&amp;$B$337&amp;".energy[Energy description]"),0)),0)</f>
        <v>0</v>
      </c>
      <c r="AW347" s="21">
        <f t="array" aca="1" ref="AW347" ca="1">IFERROR(INDEX(INDIRECT($B$3&amp;"."&amp;$B$337&amp;".energy["&amp;This.year&amp;"]"),MATCH($C347&amp;AW$5,INDIRECT($B$3&amp;"."&amp;$B$337&amp;".energy[Tech description]")&amp;INDIRECT($B$3&amp;"."&amp;$B$337&amp;".energy[Energy description]"),0)),0)</f>
        <v>0</v>
      </c>
      <c r="AX347" s="21">
        <f t="array" aca="1" ref="AX347" ca="1">IFERROR(INDEX(INDIRECT($B$3&amp;"."&amp;$B$337&amp;".energy["&amp;This.year&amp;"]"),MATCH($C347&amp;AX$5,INDIRECT($B$3&amp;"."&amp;$B$337&amp;".energy[Tech description]")&amp;INDIRECT($B$3&amp;"."&amp;$B$337&amp;".energy[Energy description]"),0)),0)</f>
        <v>0</v>
      </c>
      <c r="AY347" s="21">
        <f t="array" aca="1" ref="AY347" ca="1">IFERROR(INDEX(INDIRECT($B$3&amp;"."&amp;$B$337&amp;".energy["&amp;This.year&amp;"]"),MATCH($C347&amp;AY$5,INDIRECT($B$3&amp;"."&amp;$B$337&amp;".energy[Tech description]")&amp;INDIRECT($B$3&amp;"."&amp;$B$337&amp;".energy[Energy description]"),0)),0)</f>
        <v>0</v>
      </c>
      <c r="AZ347" s="21">
        <f t="array" aca="1" ref="AZ347" ca="1">IFERROR(INDEX(INDIRECT($B$3&amp;"."&amp;$B$337&amp;".energy["&amp;This.year&amp;"]"),MATCH($C347&amp;AZ$5,INDIRECT($B$3&amp;"."&amp;$B$337&amp;".energy[Tech description]")&amp;INDIRECT($B$3&amp;"."&amp;$B$337&amp;".energy[Energy description]"),0)),0)</f>
        <v>0</v>
      </c>
      <c r="BA347" s="21">
        <f t="array" aca="1" ref="BA347" ca="1">IFERROR(INDEX(INDIRECT($B$3&amp;"."&amp;$B$337&amp;".energy["&amp;This.year&amp;"]"),MATCH($C347&amp;BA$5,INDIRECT($B$3&amp;"."&amp;$B$337&amp;".energy[Tech description]")&amp;INDIRECT($B$3&amp;"."&amp;$B$337&amp;".energy[Energy description]"),0)),0)</f>
        <v>0</v>
      </c>
      <c r="BB347" s="21">
        <f t="array" aca="1" ref="BB347" ca="1">IFERROR(INDEX(INDIRECT($B$3&amp;"."&amp;$B$337&amp;".energy["&amp;This.year&amp;"]"),MATCH($C347&amp;BB$5,INDIRECT($B$3&amp;"."&amp;$B$337&amp;".energy[Tech description]")&amp;INDIRECT($B$3&amp;"."&amp;$B$337&amp;".energy[Energy description]"),0)),0)</f>
        <v>0</v>
      </c>
      <c r="BC347" s="21">
        <f t="array" aca="1" ref="BC347" ca="1">IFERROR(INDEX(INDIRECT($B$3&amp;"."&amp;$B$337&amp;".energy["&amp;This.year&amp;"]"),MATCH($C347&amp;BC$5,INDIRECT($B$3&amp;"."&amp;$B$337&amp;".energy[Tech description]")&amp;INDIRECT($B$3&amp;"."&amp;$B$337&amp;".energy[Energy description]"),0)),0)</f>
        <v>0</v>
      </c>
      <c r="BD347" s="173">
        <f t="shared" ca="1" si="141"/>
        <v>0</v>
      </c>
      <c r="BE347" s="60"/>
      <c r="BF347" s="49">
        <f t="array" aca="1" ref="BF347" ca="1">IFERROR(INDEX(INDIRECT($B$3&amp;"."&amp;$B$337&amp;".energy["&amp;This.year&amp;"]"),MATCH($C347&amp;BF$5,INDIRECT($B$3&amp;"."&amp;$B$337&amp;".energy[Tech description]")&amp;INDIRECT($B$3&amp;"."&amp;$B$337&amp;".energy[Energy description]"),0)),0)</f>
        <v>0</v>
      </c>
      <c r="BG347" s="49">
        <f t="array" aca="1" ref="BG347" ca="1">IFERROR(INDEX(INDIRECT($B$3&amp;"."&amp;$B$337&amp;".energy["&amp;This.year&amp;"]"),MATCH($C347&amp;BG$5,INDIRECT($B$3&amp;"."&amp;$B$337&amp;".energy[Tech description]")&amp;INDIRECT($B$3&amp;"."&amp;$B$337&amp;".energy[Energy description]"),0)),0)</f>
        <v>0</v>
      </c>
      <c r="BH347" s="175">
        <f t="shared" ca="1" si="140"/>
        <v>0</v>
      </c>
      <c r="BJ347" s="58"/>
    </row>
    <row r="348" spans="1:62">
      <c r="B348" s="176"/>
      <c r="E348" s="121"/>
      <c r="F348" s="121"/>
      <c r="G348" s="121"/>
      <c r="H348" s="121"/>
      <c r="I348" s="121"/>
      <c r="J348" s="121"/>
      <c r="K348" s="121"/>
      <c r="L348" s="121"/>
      <c r="M348" s="121"/>
      <c r="N348" s="121"/>
      <c r="O348" s="121"/>
      <c r="P348" s="121"/>
      <c r="Q348" s="121"/>
      <c r="R348" s="121"/>
      <c r="S348" s="121"/>
      <c r="T348" s="121"/>
      <c r="U348" s="108"/>
      <c r="V348" s="152"/>
      <c r="W348" s="152"/>
      <c r="X348" s="152"/>
      <c r="Y348" s="152"/>
      <c r="Z348" s="152"/>
      <c r="AA348" s="152"/>
      <c r="AB348" s="152"/>
      <c r="AC348" s="152"/>
      <c r="AD348" s="152"/>
      <c r="AE348" s="152"/>
      <c r="AF348" s="152"/>
      <c r="AG348" s="152"/>
      <c r="AH348" s="152"/>
      <c r="AI348" s="152"/>
      <c r="AJ348" s="152"/>
      <c r="AK348" s="152"/>
      <c r="AL348" s="152"/>
      <c r="AM348" s="152"/>
      <c r="AN348" s="152"/>
      <c r="AO348" s="171"/>
      <c r="AP348" s="108"/>
      <c r="AQ348" s="21"/>
      <c r="AR348" s="21"/>
      <c r="AS348" s="21"/>
      <c r="AT348" s="21"/>
      <c r="AU348" s="21"/>
      <c r="AV348" s="21"/>
      <c r="AW348" s="21"/>
      <c r="AX348" s="21"/>
      <c r="AY348" s="21"/>
      <c r="AZ348" s="21"/>
      <c r="BA348" s="21"/>
      <c r="BB348" s="21"/>
      <c r="BC348" s="21"/>
      <c r="BD348" s="173"/>
      <c r="BE348" s="108"/>
      <c r="BF348" s="49"/>
      <c r="BG348" s="49"/>
      <c r="BH348" s="49"/>
      <c r="BJ348" s="58"/>
    </row>
    <row r="349" spans="1:62">
      <c r="B349" s="167"/>
      <c r="C349" s="114" t="s">
        <v>1238</v>
      </c>
      <c r="D349" s="219" t="s">
        <v>414</v>
      </c>
      <c r="E349" s="121">
        <f t="array" aca="1" ref="E349" ca="1">IFERROR(INDEX(INDIRECT($B$3&amp;"."&amp;$B$337&amp;".energy["&amp;This.year&amp;"]"),MATCH($C349&amp;E$5,INDIRECT($B$3&amp;"."&amp;$B$337&amp;".energy[Tech description]")&amp;INDIRECT($B$3&amp;"."&amp;$B$337&amp;".energy[Energy description]"),0)),0)</f>
        <v>0</v>
      </c>
      <c r="F349" s="121">
        <f t="array" aca="1" ref="F349" ca="1">IFERROR(INDEX(INDIRECT($B$3&amp;"."&amp;$B$337&amp;".energy["&amp;This.year&amp;"]"),MATCH($C349&amp;F$5,INDIRECT($B$3&amp;"."&amp;$B$337&amp;".energy[Tech description]")&amp;INDIRECT($B$3&amp;"."&amp;$B$337&amp;".energy[Energy description]"),0)),0)</f>
        <v>0</v>
      </c>
      <c r="G349" s="121">
        <f t="array" aca="1" ref="G349" ca="1">IFERROR(INDEX(INDIRECT($B$3&amp;"."&amp;$B$337&amp;".energy["&amp;This.year&amp;"]"),MATCH($C349&amp;G$5,INDIRECT($B$3&amp;"."&amp;$B$337&amp;".energy[Tech description]")&amp;INDIRECT($B$3&amp;"."&amp;$B$337&amp;".energy[Energy description]"),0)),0)</f>
        <v>0</v>
      </c>
      <c r="H349" s="121">
        <f t="array" aca="1" ref="H349" ca="1">IFERROR(INDEX(INDIRECT($B$3&amp;"."&amp;$B$337&amp;".energy["&amp;This.year&amp;"]"),MATCH($C349&amp;H$5,INDIRECT($B$3&amp;"."&amp;$B$337&amp;".energy[Tech description]")&amp;INDIRECT($B$3&amp;"."&amp;$B$337&amp;".energy[Energy description]"),0)),0)</f>
        <v>0</v>
      </c>
      <c r="I349" s="121">
        <f t="array" aca="1" ref="I349" ca="1">IFERROR(INDEX(INDIRECT($B$3&amp;"."&amp;$B$337&amp;".energy["&amp;This.year&amp;"]"),MATCH($C349&amp;I$5,INDIRECT($B$3&amp;"."&amp;$B$337&amp;".energy[Tech description]")&amp;INDIRECT($B$3&amp;"."&amp;$B$337&amp;".energy[Energy description]"),0)),0)</f>
        <v>0</v>
      </c>
      <c r="J349" s="121">
        <f t="array" aca="1" ref="J349" ca="1">IFERROR(INDEX(INDIRECT($B$3&amp;"."&amp;$B$337&amp;".energy["&amp;This.year&amp;"]"),MATCH($C349&amp;J$5,INDIRECT($B$3&amp;"."&amp;$B$337&amp;".energy[Tech description]")&amp;INDIRECT($B$3&amp;"."&amp;$B$337&amp;".energy[Energy description]"),0)),0)</f>
        <v>0</v>
      </c>
      <c r="K349" s="121">
        <f t="array" aca="1" ref="K349" ca="1">IFERROR(INDEX(INDIRECT($B$3&amp;"."&amp;$B$337&amp;".energy["&amp;This.year&amp;"]"),MATCH($C349&amp;K$5,INDIRECT($B$3&amp;"."&amp;$B$337&amp;".energy[Tech description]")&amp;INDIRECT($B$3&amp;"."&amp;$B$337&amp;".energy[Energy description]"),0)),0)</f>
        <v>0</v>
      </c>
      <c r="L349" s="121">
        <f t="array" aca="1" ref="L349" ca="1">IFERROR(INDEX(INDIRECT($B$3&amp;"."&amp;$B$337&amp;".energy["&amp;This.year&amp;"]"),MATCH($C349&amp;L$5,INDIRECT($B$3&amp;"."&amp;$B$337&amp;".energy[Tech description]")&amp;INDIRECT($B$3&amp;"."&amp;$B$337&amp;".energy[Energy description]"),0)),0)</f>
        <v>0</v>
      </c>
      <c r="M349" s="121">
        <f t="array" aca="1" ref="M349" ca="1">IFERROR(INDEX(INDIRECT($B$3&amp;"."&amp;$B$337&amp;".energy["&amp;This.year&amp;"]"),MATCH($C349&amp;M$5,INDIRECT($B$3&amp;"."&amp;$B$337&amp;".energy[Tech description]")&amp;INDIRECT($B$3&amp;"."&amp;$B$337&amp;".energy[Energy description]"),0)),0)</f>
        <v>0</v>
      </c>
      <c r="N349" s="121">
        <f t="array" aca="1" ref="N349" ca="1">IFERROR(INDEX(INDIRECT($B$3&amp;"."&amp;$B$337&amp;".energy["&amp;This.year&amp;"]"),MATCH($C349&amp;N$5,INDIRECT($B$3&amp;"."&amp;$B$337&amp;".energy[Tech description]")&amp;INDIRECT($B$3&amp;"."&amp;$B$337&amp;".energy[Energy description]"),0)),0)</f>
        <v>0</v>
      </c>
      <c r="O349" s="121">
        <f t="array" aca="1" ref="O349" ca="1">IFERROR(INDEX(INDIRECT($B$3&amp;"."&amp;$B$337&amp;".energy["&amp;This.year&amp;"]"),MATCH($C349&amp;O$5,INDIRECT($B$3&amp;"."&amp;$B$337&amp;".energy[Tech description]")&amp;INDIRECT($B$3&amp;"."&amp;$B$337&amp;".energy[Energy description]"),0)),0)</f>
        <v>0</v>
      </c>
      <c r="P349" s="121">
        <f t="array" aca="1" ref="P349" ca="1">IFERROR(INDEX(INDIRECT($B$3&amp;"."&amp;$B$337&amp;".energy["&amp;This.year&amp;"]"),MATCH($C349&amp;P$5,INDIRECT($B$3&amp;"."&amp;$B$337&amp;".energy[Tech description]")&amp;INDIRECT($B$3&amp;"."&amp;$B$337&amp;".energy[Energy description]"),0)),0)</f>
        <v>0</v>
      </c>
      <c r="Q349" s="121">
        <f t="array" aca="1" ref="Q349" ca="1">IFERROR(INDEX(INDIRECT($B$3&amp;"."&amp;$B$337&amp;".energy["&amp;This.year&amp;"]"),MATCH($C349&amp;Q$5,INDIRECT($B$3&amp;"."&amp;$B$337&amp;".energy[Tech description]")&amp;INDIRECT($B$3&amp;"."&amp;$B$337&amp;".energy[Energy description]"),0)),0)</f>
        <v>0</v>
      </c>
      <c r="R349" s="121">
        <f t="array" aca="1" ref="R349" ca="1">IFERROR(INDEX(INDIRECT($B$3&amp;"."&amp;$B$337&amp;".energy["&amp;This.year&amp;"]"),MATCH($C349&amp;R$5,INDIRECT($B$3&amp;"."&amp;$B$337&amp;".energy[Tech description]")&amp;INDIRECT($B$3&amp;"."&amp;$B$337&amp;".energy[Energy description]"),0)),0)</f>
        <v>0</v>
      </c>
      <c r="S349" s="121">
        <f t="array" aca="1" ref="S349" ca="1">IFERROR(INDEX(INDIRECT($B$3&amp;"."&amp;$B$337&amp;".energy["&amp;This.year&amp;"]"),MATCH($C349&amp;S$5,INDIRECT($B$3&amp;"."&amp;$B$337&amp;".energy[Tech description]")&amp;INDIRECT($B$3&amp;"."&amp;$B$337&amp;".energy[Energy description]"),0)),0)</f>
        <v>0</v>
      </c>
      <c r="T349" s="121">
        <f t="shared" ref="T349" ca="1" si="145">SUM(E349:S349)</f>
        <v>0</v>
      </c>
      <c r="U349" s="58"/>
      <c r="V349" s="152">
        <f t="array" aca="1" ref="V349" ca="1">IFERROR(INDEX(INDIRECT($B$3&amp;"."&amp;$B$337&amp;".energy["&amp;This.year&amp;"]"),MATCH($C349&amp;V$5,INDIRECT($B$3&amp;"."&amp;$B$337&amp;".energy[Tech description]")&amp;INDIRECT($B$3&amp;"."&amp;$B$337&amp;".energy[Energy description]"),0)),0)</f>
        <v>0</v>
      </c>
      <c r="W349" s="152">
        <f t="array" aca="1" ref="W349" ca="1">IFERROR(INDEX(INDIRECT($B$3&amp;"."&amp;$B$337&amp;".energy["&amp;This.year&amp;"]"),MATCH($C349&amp;W$5,INDIRECT($B$3&amp;"."&amp;$B$337&amp;".energy[Tech description]")&amp;INDIRECT($B$3&amp;"."&amp;$B$337&amp;".energy[Energy description]"),0)),0)</f>
        <v>0</v>
      </c>
      <c r="X349" s="152">
        <f t="array" aca="1" ref="X349" ca="1">IFERROR(INDEX(INDIRECT($B$3&amp;"."&amp;$B$337&amp;".energy["&amp;This.year&amp;"]"),MATCH($C349&amp;X$5,INDIRECT($B$3&amp;"."&amp;$B$337&amp;".energy[Tech description]")&amp;INDIRECT($B$3&amp;"."&amp;$B$337&amp;".energy[Energy description]"),0)),0)</f>
        <v>0</v>
      </c>
      <c r="Y349" s="152">
        <f t="array" aca="1" ref="Y349" ca="1">IFERROR(INDEX(INDIRECT($B$3&amp;"."&amp;$B$337&amp;".energy["&amp;This.year&amp;"]"),MATCH($C349&amp;Y$5,INDIRECT($B$3&amp;"."&amp;$B$337&amp;".energy[Tech description]")&amp;INDIRECT($B$3&amp;"."&amp;$B$337&amp;".energy[Energy description]"),0)),0)</f>
        <v>0</v>
      </c>
      <c r="Z349" s="152">
        <f t="array" aca="1" ref="Z349" ca="1">IFERROR(INDEX(INDIRECT($B$3&amp;"."&amp;$B$337&amp;".energy["&amp;This.year&amp;"]"),MATCH($C349&amp;Z$5,INDIRECT($B$3&amp;"."&amp;$B$337&amp;".energy[Tech description]")&amp;INDIRECT($B$3&amp;"."&amp;$B$337&amp;".energy[Energy description]"),0)),0)</f>
        <v>0</v>
      </c>
      <c r="AA349" s="152">
        <f t="array" aca="1" ref="AA349" ca="1">IFERROR(INDEX(INDIRECT($B$3&amp;"."&amp;$B$337&amp;".energy["&amp;This.year&amp;"]"),MATCH($C349&amp;AA$5,INDIRECT($B$3&amp;"."&amp;$B$337&amp;".energy[Tech description]")&amp;INDIRECT($B$3&amp;"."&amp;$B$337&amp;".energy[Energy description]"),0)),0)</f>
        <v>0</v>
      </c>
      <c r="AB349" s="152">
        <f t="array" aca="1" ref="AB349" ca="1">IFERROR(INDEX(INDIRECT($B$3&amp;"."&amp;$B$337&amp;".energy["&amp;This.year&amp;"]"),MATCH($C349&amp;AB$5,INDIRECT($B$3&amp;"."&amp;$B$337&amp;".energy[Tech description]")&amp;INDIRECT($B$3&amp;"."&amp;$B$337&amp;".energy[Energy description]"),0)),0)</f>
        <v>0</v>
      </c>
      <c r="AC349" s="152">
        <f t="array" aca="1" ref="AC349" ca="1">IFERROR(INDEX(INDIRECT($B$3&amp;"."&amp;$B$337&amp;".energy["&amp;This.year&amp;"]"),MATCH($C349&amp;AC$5,INDIRECT($B$3&amp;"."&amp;$B$337&amp;".energy[Tech description]")&amp;INDIRECT($B$3&amp;"."&amp;$B$337&amp;".energy[Energy description]"),0)),0)</f>
        <v>0</v>
      </c>
      <c r="AD349" s="152">
        <f t="array" aca="1" ref="AD349" ca="1">IFERROR(INDEX(INDIRECT($B$3&amp;"."&amp;$B$337&amp;".energy["&amp;This.year&amp;"]"),MATCH($C349&amp;AD$5,INDIRECT($B$3&amp;"."&amp;$B$337&amp;".energy[Tech description]")&amp;INDIRECT($B$3&amp;"."&amp;$B$337&amp;".energy[Energy description]"),0)),0)</f>
        <v>0</v>
      </c>
      <c r="AE349" s="152">
        <f t="array" aca="1" ref="AE349" ca="1">IFERROR(INDEX(INDIRECT($B$3&amp;"."&amp;$B$337&amp;".energy["&amp;This.year&amp;"]"),MATCH($C349&amp;AE$5,INDIRECT($B$3&amp;"."&amp;$B$337&amp;".energy[Tech description]")&amp;INDIRECT($B$3&amp;"."&amp;$B$337&amp;".energy[Energy description]"),0)),0)</f>
        <v>0</v>
      </c>
      <c r="AF349" s="152">
        <f t="array" aca="1" ref="AF349" ca="1">IFERROR(INDEX(INDIRECT($B$3&amp;"."&amp;$B$337&amp;".energy["&amp;This.year&amp;"]"),MATCH($C349&amp;AF$5,INDIRECT($B$3&amp;"."&amp;$B$337&amp;".energy[Tech description]")&amp;INDIRECT($B$3&amp;"."&amp;$B$337&amp;".energy[Energy description]"),0)),0)</f>
        <v>0</v>
      </c>
      <c r="AG349" s="152">
        <f t="array" aca="1" ref="AG349" ca="1">IFERROR(INDEX(INDIRECT($B$3&amp;"."&amp;$B$337&amp;".energy["&amp;This.year&amp;"]"),MATCH($C349&amp;AG$5,INDIRECT($B$3&amp;"."&amp;$B$337&amp;".energy[Tech description]")&amp;INDIRECT($B$3&amp;"."&amp;$B$337&amp;".energy[Energy description]"),0)),0)</f>
        <v>0</v>
      </c>
      <c r="AH349" s="152">
        <f t="array" aca="1" ref="AH349" ca="1">IFERROR(INDEX(INDIRECT($B$3&amp;"."&amp;$B$337&amp;".energy["&amp;This.year&amp;"]"),MATCH($C349&amp;AH$5,INDIRECT($B$3&amp;"."&amp;$B$337&amp;".energy[Tech description]")&amp;INDIRECT($B$3&amp;"."&amp;$B$337&amp;".energy[Energy description]"),0)),0)</f>
        <v>0</v>
      </c>
      <c r="AI349" s="152">
        <f t="array" aca="1" ref="AI349" ca="1">IFERROR(INDEX(INDIRECT($B$3&amp;"."&amp;$B$337&amp;".energy["&amp;This.year&amp;"]"),MATCH($C349&amp;AI$5,INDIRECT($B$3&amp;"."&amp;$B$337&amp;".energy[Tech description]")&amp;INDIRECT($B$3&amp;"."&amp;$B$337&amp;".energy[Energy description]"),0)),0)</f>
        <v>0</v>
      </c>
      <c r="AJ349" s="152">
        <f t="array" aca="1" ref="AJ349" ca="1">IFERROR(INDEX(INDIRECT($B$3&amp;"."&amp;$B$337&amp;".energy["&amp;This.year&amp;"]"),MATCH($C349&amp;AJ$5,INDIRECT($B$3&amp;"."&amp;$B$337&amp;".energy[Tech description]")&amp;INDIRECT($B$3&amp;"."&amp;$B$337&amp;".energy[Energy description]"),0)),0)</f>
        <v>0</v>
      </c>
      <c r="AK349" s="152">
        <f t="array" aca="1" ref="AK349" ca="1">IFERROR(INDEX(INDIRECT($B$3&amp;"."&amp;$B$337&amp;".energy["&amp;This.year&amp;"]"),MATCH($C349&amp;AK$5,INDIRECT($B$3&amp;"."&amp;$B$337&amp;".energy[Tech description]")&amp;INDIRECT($B$3&amp;"."&amp;$B$337&amp;".energy[Energy description]"),0)),0)</f>
        <v>0</v>
      </c>
      <c r="AL349" s="152">
        <f t="array" aca="1" ref="AL349" ca="1">IFERROR(INDEX(INDIRECT($B$3&amp;"."&amp;$B$337&amp;".energy["&amp;This.year&amp;"]"),MATCH($C349&amp;AL$5,INDIRECT($B$3&amp;"."&amp;$B$337&amp;".energy[Tech description]")&amp;INDIRECT($B$3&amp;"."&amp;$B$337&amp;".energy[Energy description]"),0)),0)</f>
        <v>0</v>
      </c>
      <c r="AM349" s="152">
        <f t="array" aca="1" ref="AM349" ca="1">IFERROR(INDEX(INDIRECT($B$3&amp;"."&amp;$B$337&amp;".energy["&amp;This.year&amp;"]"),MATCH($C349&amp;AM$5,INDIRECT($B$3&amp;"."&amp;$B$337&amp;".energy[Tech description]")&amp;INDIRECT($B$3&amp;"."&amp;$B$337&amp;".energy[Energy description]"),0)),0)</f>
        <v>0</v>
      </c>
      <c r="AN349" s="152">
        <f t="array" aca="1" ref="AN349" ca="1">IFERROR(INDEX(INDIRECT($B$3&amp;"."&amp;$B$337&amp;".energy["&amp;This.year&amp;"]"),MATCH($C349&amp;AN$5,INDIRECT($B$3&amp;"."&amp;$B$337&amp;".energy[Tech description]")&amp;INDIRECT($B$3&amp;"."&amp;$B$337&amp;".energy[Energy description]"),0)),0)</f>
        <v>0</v>
      </c>
      <c r="AO349" s="171">
        <f t="shared" ca="1" si="143"/>
        <v>0</v>
      </c>
      <c r="AP349" s="58"/>
      <c r="AQ349" s="21">
        <f t="array" aca="1" ref="AQ349" ca="1">IFERROR(INDEX(INDIRECT($B$3&amp;"."&amp;$B$337&amp;".energy["&amp;This.year&amp;"]"),MATCH($C349&amp;AQ$5,INDIRECT($B$3&amp;"."&amp;$B$337&amp;".energy[Tech description]")&amp;INDIRECT($B$3&amp;"."&amp;$B$337&amp;".energy[Energy description]"),0)),0)</f>
        <v>0</v>
      </c>
      <c r="AR349" s="21">
        <f t="array" aca="1" ref="AR349" ca="1">IFERROR(INDEX(INDIRECT($B$3&amp;"."&amp;$B$337&amp;".energy["&amp;This.year&amp;"]"),MATCH($C349&amp;AR$5,INDIRECT($B$3&amp;"."&amp;$B$337&amp;".energy[Tech description]")&amp;INDIRECT($B$3&amp;"."&amp;$B$337&amp;".energy[Energy description]"),0)),0)</f>
        <v>0</v>
      </c>
      <c r="AS349" s="21">
        <f t="array" aca="1" ref="AS349" ca="1">IFERROR(INDEX(INDIRECT($B$3&amp;"."&amp;$B$337&amp;".energy["&amp;This.year&amp;"]"),MATCH($C349&amp;AS$5,INDIRECT($B$3&amp;"."&amp;$B$337&amp;".energy[Tech description]")&amp;INDIRECT($B$3&amp;"."&amp;$B$337&amp;".energy[Energy description]"),0)),0)</f>
        <v>0</v>
      </c>
      <c r="AT349" s="21">
        <f t="array" aca="1" ref="AT349" ca="1">IFERROR(INDEX(INDIRECT($B$3&amp;"."&amp;$B$337&amp;".energy["&amp;This.year&amp;"]"),MATCH($C349&amp;AT$5,INDIRECT($B$3&amp;"."&amp;$B$337&amp;".energy[Tech description]")&amp;INDIRECT($B$3&amp;"."&amp;$B$337&amp;".energy[Energy description]"),0)),0)</f>
        <v>0</v>
      </c>
      <c r="AU349" s="21">
        <f t="array" aca="1" ref="AU349" ca="1">IFERROR(INDEX(INDIRECT($B$3&amp;"."&amp;$B$337&amp;".energy["&amp;This.year&amp;"]"),MATCH($C349&amp;AU$5,INDIRECT($B$3&amp;"."&amp;$B$337&amp;".energy[Tech description]")&amp;INDIRECT($B$3&amp;"."&amp;$B$337&amp;".energy[Energy description]"),0)),0)</f>
        <v>0</v>
      </c>
      <c r="AV349" s="21">
        <f t="array" aca="1" ref="AV349" ca="1">IFERROR(INDEX(INDIRECT($B$3&amp;"."&amp;$B$337&amp;".energy["&amp;This.year&amp;"]"),MATCH($C349&amp;AV$5,INDIRECT($B$3&amp;"."&amp;$B$337&amp;".energy[Tech description]")&amp;INDIRECT($B$3&amp;"."&amp;$B$337&amp;".energy[Energy description]"),0)),0)</f>
        <v>0</v>
      </c>
      <c r="AW349" s="21">
        <f t="array" aca="1" ref="AW349" ca="1">IFERROR(INDEX(INDIRECT($B$3&amp;"."&amp;$B$337&amp;".energy["&amp;This.year&amp;"]"),MATCH($C349&amp;AW$5,INDIRECT($B$3&amp;"."&amp;$B$337&amp;".energy[Tech description]")&amp;INDIRECT($B$3&amp;"."&amp;$B$337&amp;".energy[Energy description]"),0)),0)</f>
        <v>0</v>
      </c>
      <c r="AX349" s="21">
        <f t="array" aca="1" ref="AX349" ca="1">IFERROR(INDEX(INDIRECT($B$3&amp;"."&amp;$B$337&amp;".energy["&amp;This.year&amp;"]"),MATCH($C349&amp;AX$5,INDIRECT($B$3&amp;"."&amp;$B$337&amp;".energy[Tech description]")&amp;INDIRECT($B$3&amp;"."&amp;$B$337&amp;".energy[Energy description]"),0)),0)</f>
        <v>0</v>
      </c>
      <c r="AY349" s="21">
        <f t="array" aca="1" ref="AY349" ca="1">IFERROR(INDEX(INDIRECT($B$3&amp;"."&amp;$B$337&amp;".energy["&amp;This.year&amp;"]"),MATCH($C349&amp;AY$5,INDIRECT($B$3&amp;"."&amp;$B$337&amp;".energy[Tech description]")&amp;INDIRECT($B$3&amp;"."&amp;$B$337&amp;".energy[Energy description]"),0)),0)</f>
        <v>0</v>
      </c>
      <c r="AZ349" s="21">
        <f t="array" aca="1" ref="AZ349" ca="1">IFERROR(INDEX(INDIRECT($B$3&amp;"."&amp;$B$337&amp;".energy["&amp;This.year&amp;"]"),MATCH($C349&amp;AZ$5,INDIRECT($B$3&amp;"."&amp;$B$337&amp;".energy[Tech description]")&amp;INDIRECT($B$3&amp;"."&amp;$B$337&amp;".energy[Energy description]"),0)),0)</f>
        <v>0</v>
      </c>
      <c r="BA349" s="21">
        <f t="array" aca="1" ref="BA349" ca="1">IFERROR(INDEX(INDIRECT($B$3&amp;"."&amp;$B$337&amp;".energy["&amp;This.year&amp;"]"),MATCH($C349&amp;BA$5,INDIRECT($B$3&amp;"."&amp;$B$337&amp;".energy[Tech description]")&amp;INDIRECT($B$3&amp;"."&amp;$B$337&amp;".energy[Energy description]"),0)),0)</f>
        <v>0</v>
      </c>
      <c r="BB349" s="21">
        <f t="array" aca="1" ref="BB349" ca="1">IFERROR(INDEX(INDIRECT($B$3&amp;"."&amp;$B$337&amp;".energy["&amp;This.year&amp;"]"),MATCH($C349&amp;BB$5,INDIRECT($B$3&amp;"."&amp;$B$337&amp;".energy[Tech description]")&amp;INDIRECT($B$3&amp;"."&amp;$B$337&amp;".energy[Energy description]"),0)),0)</f>
        <v>0</v>
      </c>
      <c r="BC349" s="21">
        <f t="array" aca="1" ref="BC349" ca="1">IFERROR(INDEX(INDIRECT($B$3&amp;"."&amp;$B$337&amp;".energy["&amp;This.year&amp;"]"),MATCH($C349&amp;BC$5,INDIRECT($B$3&amp;"."&amp;$B$337&amp;".energy[Tech description]")&amp;INDIRECT($B$3&amp;"."&amp;$B$337&amp;".energy[Energy description]"),0)),0)</f>
        <v>0</v>
      </c>
      <c r="BD349" s="173">
        <f t="shared" ref="BD349" ca="1" si="146">SUM(AQ349:BC349)</f>
        <v>0</v>
      </c>
      <c r="BE349" s="58"/>
      <c r="BF349" s="49">
        <f t="array" aca="1" ref="BF349" ca="1">IFERROR(INDEX(INDIRECT($B$3&amp;"."&amp;$B$337&amp;".energy["&amp;This.year&amp;"]"),MATCH($C349&amp;BF$5,INDIRECT($B$3&amp;"."&amp;$B$337&amp;".energy[Tech description]")&amp;INDIRECT($B$3&amp;"."&amp;$B$337&amp;".energy[Energy description]"),0)),0)</f>
        <v>0</v>
      </c>
      <c r="BG349" s="49">
        <f t="array" aca="1" ref="BG349" ca="1">IFERROR(INDEX(INDIRECT($B$3&amp;"."&amp;$B$337&amp;".energy["&amp;This.year&amp;"]"),MATCH($C349&amp;BG$5,INDIRECT($B$3&amp;"."&amp;$B$337&amp;".energy[Tech description]")&amp;INDIRECT($B$3&amp;"."&amp;$B$337&amp;".energy[Energy description]"),0)),0)</f>
        <v>0</v>
      </c>
      <c r="BH349" s="175">
        <f t="shared" ref="BH349" ca="1" si="147">SUM(BF349:BG349)</f>
        <v>0</v>
      </c>
      <c r="BI349" s="219">
        <f t="shared" ref="BI349" ca="1" si="148">SUM(T349,AO349,BD349,BH349)</f>
        <v>0</v>
      </c>
      <c r="BJ349" s="58"/>
    </row>
    <row r="350" spans="1:62">
      <c r="B350" s="176"/>
      <c r="D350" s="54"/>
      <c r="E350" s="121"/>
      <c r="F350" s="121"/>
      <c r="G350" s="121"/>
      <c r="H350" s="121"/>
      <c r="I350" s="121"/>
      <c r="J350" s="121"/>
      <c r="K350" s="121"/>
      <c r="L350" s="121"/>
      <c r="M350" s="121"/>
      <c r="N350" s="121"/>
      <c r="O350" s="121"/>
      <c r="P350" s="121"/>
      <c r="Q350" s="121"/>
      <c r="R350" s="121"/>
      <c r="S350" s="121"/>
      <c r="T350" s="121"/>
      <c r="U350" s="60"/>
      <c r="V350" s="152"/>
      <c r="W350" s="152"/>
      <c r="X350" s="152"/>
      <c r="Y350" s="152"/>
      <c r="Z350" s="152"/>
      <c r="AA350" s="152"/>
      <c r="AB350" s="152"/>
      <c r="AC350" s="152"/>
      <c r="AD350" s="152"/>
      <c r="AE350" s="152"/>
      <c r="AF350" s="152"/>
      <c r="AG350" s="152"/>
      <c r="AH350" s="152"/>
      <c r="AI350" s="152"/>
      <c r="AJ350" s="152"/>
      <c r="AK350" s="152"/>
      <c r="AL350" s="152"/>
      <c r="AM350" s="152"/>
      <c r="AN350" s="152"/>
      <c r="AO350" s="152"/>
      <c r="AP350" s="60"/>
      <c r="AQ350" s="21"/>
      <c r="AR350" s="21"/>
      <c r="AS350" s="21"/>
      <c r="AT350" s="21"/>
      <c r="AU350" s="21"/>
      <c r="AV350" s="21"/>
      <c r="AW350" s="21"/>
      <c r="AX350" s="21"/>
      <c r="AY350" s="21"/>
      <c r="AZ350" s="21"/>
      <c r="BA350" s="21"/>
      <c r="BB350" s="21"/>
      <c r="BC350" s="21"/>
      <c r="BD350" s="21"/>
      <c r="BE350" s="60"/>
      <c r="BF350" s="49"/>
      <c r="BG350" s="49"/>
      <c r="BH350" s="49"/>
      <c r="BJ350" s="60"/>
    </row>
    <row r="351" spans="1:62">
      <c r="B351" s="176"/>
      <c r="C351" s="56"/>
      <c r="D351" s="54"/>
      <c r="E351" s="121"/>
      <c r="F351" s="121"/>
      <c r="G351" s="121"/>
      <c r="H351" s="121"/>
      <c r="I351" s="121"/>
      <c r="J351" s="121"/>
      <c r="K351" s="121"/>
      <c r="L351" s="121"/>
      <c r="M351" s="121"/>
      <c r="N351" s="121"/>
      <c r="O351" s="121"/>
      <c r="P351" s="121"/>
      <c r="Q351" s="121"/>
      <c r="R351" s="121"/>
      <c r="S351" s="121"/>
      <c r="T351" s="121"/>
      <c r="U351" s="60"/>
      <c r="V351" s="152"/>
      <c r="W351" s="152"/>
      <c r="X351" s="152"/>
      <c r="Y351" s="152"/>
      <c r="Z351" s="152"/>
      <c r="AA351" s="152"/>
      <c r="AB351" s="152"/>
      <c r="AC351" s="152"/>
      <c r="AD351" s="152"/>
      <c r="AE351" s="152"/>
      <c r="AF351" s="152"/>
      <c r="AG351" s="152"/>
      <c r="AH351" s="152"/>
      <c r="AI351" s="152"/>
      <c r="AJ351" s="152"/>
      <c r="AK351" s="152"/>
      <c r="AL351" s="152"/>
      <c r="AM351" s="152"/>
      <c r="AN351" s="152"/>
      <c r="AO351" s="152"/>
      <c r="AP351" s="60"/>
      <c r="AQ351" s="21"/>
      <c r="AR351" s="21"/>
      <c r="AS351" s="21"/>
      <c r="AT351" s="21"/>
      <c r="AU351" s="21"/>
      <c r="AV351" s="21"/>
      <c r="AW351" s="21"/>
      <c r="AX351" s="21"/>
      <c r="AY351" s="21"/>
      <c r="AZ351" s="21"/>
      <c r="BA351" s="21"/>
      <c r="BB351" s="21"/>
      <c r="BC351" s="21"/>
      <c r="BD351" s="21"/>
      <c r="BE351" s="60"/>
      <c r="BF351" s="49"/>
      <c r="BG351" s="49"/>
      <c r="BH351" s="49"/>
      <c r="BJ351" s="60"/>
    </row>
    <row r="352" spans="1:62" ht="20">
      <c r="B352" s="167"/>
      <c r="C352" s="9" t="s">
        <v>413</v>
      </c>
      <c r="E352" s="121">
        <f t="shared" ref="E352:T352" ca="1" si="149">SUM(E267,E311,E337)</f>
        <v>0</v>
      </c>
      <c r="F352" s="121">
        <f t="shared" ca="1" si="149"/>
        <v>0</v>
      </c>
      <c r="G352" s="121">
        <f t="shared" ca="1" si="149"/>
        <v>0</v>
      </c>
      <c r="H352" s="121">
        <f t="shared" ca="1" si="149"/>
        <v>0</v>
      </c>
      <c r="I352" s="121">
        <f t="shared" ca="1" si="149"/>
        <v>0</v>
      </c>
      <c r="J352" s="121">
        <f t="shared" ca="1" si="149"/>
        <v>0</v>
      </c>
      <c r="K352" s="121">
        <f t="shared" ca="1" si="149"/>
        <v>0</v>
      </c>
      <c r="L352" s="121">
        <f t="shared" ca="1" si="149"/>
        <v>0</v>
      </c>
      <c r="M352" s="121">
        <f t="shared" ca="1" si="149"/>
        <v>0</v>
      </c>
      <c r="N352" s="121">
        <f t="shared" ca="1" si="149"/>
        <v>0</v>
      </c>
      <c r="O352" s="121">
        <f t="shared" ref="O352" ca="1" si="150">SUM(O267,O311,O337)</f>
        <v>0</v>
      </c>
      <c r="P352" s="121">
        <f t="shared" ca="1" si="149"/>
        <v>0</v>
      </c>
      <c r="Q352" s="121">
        <f t="shared" ca="1" si="149"/>
        <v>0</v>
      </c>
      <c r="R352" s="121">
        <f t="shared" ca="1" si="149"/>
        <v>0</v>
      </c>
      <c r="S352" s="121">
        <f t="shared" ca="1" si="149"/>
        <v>0</v>
      </c>
      <c r="T352" s="121">
        <f t="shared" ca="1" si="149"/>
        <v>0</v>
      </c>
      <c r="U352" s="60"/>
      <c r="V352" s="152">
        <f t="shared" ref="V352:AO352" ca="1" si="151">SUM(V267,V311,V337)</f>
        <v>0</v>
      </c>
      <c r="W352" s="152">
        <f t="shared" ca="1" si="151"/>
        <v>0</v>
      </c>
      <c r="X352" s="152">
        <f ca="1">SUM(X267,X311,X337)</f>
        <v>0</v>
      </c>
      <c r="Y352" s="152">
        <f ca="1">SUM(Y267,Y311,Y337)</f>
        <v>0</v>
      </c>
      <c r="Z352" s="152">
        <f ca="1">SUM(Z267,Z311,Z337)</f>
        <v>0</v>
      </c>
      <c r="AA352" s="152">
        <f t="shared" ca="1" si="151"/>
        <v>0</v>
      </c>
      <c r="AB352" s="152">
        <f t="shared" ca="1" si="151"/>
        <v>0</v>
      </c>
      <c r="AC352" s="152">
        <f t="shared" ca="1" si="151"/>
        <v>0</v>
      </c>
      <c r="AD352" s="152">
        <f t="shared" ca="1" si="151"/>
        <v>0</v>
      </c>
      <c r="AE352" s="152">
        <f t="shared" ca="1" si="151"/>
        <v>0</v>
      </c>
      <c r="AF352" s="152">
        <f t="shared" ca="1" si="151"/>
        <v>0</v>
      </c>
      <c r="AG352" s="152">
        <f t="shared" ca="1" si="151"/>
        <v>0</v>
      </c>
      <c r="AH352" s="152">
        <f t="shared" ca="1" si="151"/>
        <v>0</v>
      </c>
      <c r="AI352" s="152">
        <f t="shared" ca="1" si="151"/>
        <v>0</v>
      </c>
      <c r="AJ352" s="152">
        <f t="shared" ca="1" si="151"/>
        <v>0</v>
      </c>
      <c r="AK352" s="152">
        <f t="shared" ca="1" si="151"/>
        <v>0</v>
      </c>
      <c r="AL352" s="152">
        <f t="shared" ca="1" si="151"/>
        <v>0</v>
      </c>
      <c r="AM352" s="152">
        <f t="shared" ca="1" si="151"/>
        <v>0</v>
      </c>
      <c r="AN352" s="152">
        <f t="shared" ca="1" si="151"/>
        <v>0</v>
      </c>
      <c r="AO352" s="152">
        <f t="shared" ca="1" si="151"/>
        <v>0</v>
      </c>
      <c r="AP352" s="60"/>
      <c r="AQ352" s="21">
        <f t="shared" ref="AQ352:BD352" ca="1" si="152">SUM(AQ267,AQ311,AQ337)</f>
        <v>0</v>
      </c>
      <c r="AR352" s="21">
        <f t="shared" ca="1" si="152"/>
        <v>0</v>
      </c>
      <c r="AS352" s="21">
        <f t="shared" ca="1" si="152"/>
        <v>0</v>
      </c>
      <c r="AT352" s="21">
        <f t="shared" ca="1" si="152"/>
        <v>0</v>
      </c>
      <c r="AU352" s="21">
        <f t="shared" ca="1" si="152"/>
        <v>0</v>
      </c>
      <c r="AV352" s="21">
        <f t="shared" ca="1" si="152"/>
        <v>0</v>
      </c>
      <c r="AW352" s="21">
        <f t="shared" ca="1" si="152"/>
        <v>0</v>
      </c>
      <c r="AX352" s="21">
        <f t="shared" ca="1" si="152"/>
        <v>0</v>
      </c>
      <c r="AY352" s="21">
        <f t="shared" ca="1" si="152"/>
        <v>0</v>
      </c>
      <c r="AZ352" s="21">
        <f t="shared" ca="1" si="152"/>
        <v>0</v>
      </c>
      <c r="BA352" s="21">
        <f t="shared" ca="1" si="152"/>
        <v>0</v>
      </c>
      <c r="BB352" s="21">
        <f t="shared" ca="1" si="152"/>
        <v>0</v>
      </c>
      <c r="BC352" s="21">
        <f t="shared" ca="1" si="152"/>
        <v>0</v>
      </c>
      <c r="BD352" s="21">
        <f t="shared" ca="1" si="152"/>
        <v>0</v>
      </c>
      <c r="BE352" s="60"/>
      <c r="BF352" s="49">
        <f ca="1">SUM(BF267,BF311,BF337)</f>
        <v>0</v>
      </c>
      <c r="BG352" s="49">
        <f ca="1">SUM(BG267,BG311,BG337)</f>
        <v>0</v>
      </c>
      <c r="BH352" s="49">
        <f ca="1">SUM(BH267,BH311,BH337)</f>
        <v>0</v>
      </c>
      <c r="BI352" s="219">
        <f ca="1">SUM(BI267,BI311,BI337)</f>
        <v>0</v>
      </c>
      <c r="BJ352" s="58"/>
    </row>
    <row r="353" spans="2:62">
      <c r="B353" s="174"/>
      <c r="V353" s="168"/>
      <c r="W353" s="168"/>
      <c r="X353" s="168"/>
      <c r="Y353" s="168"/>
      <c r="Z353" s="168"/>
      <c r="AA353" s="168"/>
      <c r="AB353" s="168"/>
      <c r="AC353" s="168"/>
      <c r="AD353" s="168"/>
      <c r="AE353" s="168"/>
      <c r="AF353" s="168"/>
      <c r="AG353" s="168"/>
      <c r="AH353" s="168"/>
      <c r="AI353" s="168"/>
      <c r="AJ353" s="168"/>
      <c r="AK353" s="168"/>
      <c r="AL353" s="168"/>
      <c r="AM353" s="168"/>
      <c r="AN353" s="168"/>
      <c r="AO353" s="168"/>
    </row>
    <row r="354" spans="2:62">
      <c r="B354" s="174"/>
      <c r="V354" s="168"/>
      <c r="W354" s="168"/>
      <c r="X354" s="168"/>
      <c r="Y354" s="168"/>
      <c r="Z354" s="168"/>
      <c r="AA354" s="168"/>
      <c r="AB354" s="168"/>
      <c r="AC354" s="168"/>
      <c r="AD354" s="168"/>
      <c r="AE354" s="168"/>
      <c r="AF354" s="168"/>
      <c r="AG354" s="168"/>
      <c r="AH354" s="168"/>
      <c r="AI354" s="168"/>
      <c r="AJ354" s="168"/>
      <c r="AK354" s="168"/>
      <c r="AL354" s="168"/>
      <c r="AM354" s="168"/>
      <c r="AN354" s="168"/>
      <c r="AO354" s="168"/>
    </row>
    <row r="355" spans="2:62">
      <c r="B355" s="174"/>
      <c r="C355" s="219" t="s">
        <v>2418</v>
      </c>
      <c r="V355" s="168"/>
      <c r="W355" s="168"/>
      <c r="X355" s="168"/>
      <c r="Y355" s="168"/>
      <c r="Z355" s="168"/>
      <c r="AA355" s="168"/>
      <c r="AB355" s="168"/>
      <c r="AC355" s="168"/>
      <c r="AD355" s="168"/>
      <c r="AE355" s="168"/>
      <c r="AF355" s="168"/>
      <c r="AG355" s="168"/>
      <c r="AH355" s="168"/>
      <c r="AI355" s="168"/>
      <c r="AJ355" s="168"/>
      <c r="AK355" s="168"/>
      <c r="AL355" s="168"/>
      <c r="AM355" s="168"/>
      <c r="AN355" s="168"/>
      <c r="AO355" s="168"/>
    </row>
    <row r="356" spans="2:62">
      <c r="B356" s="174"/>
      <c r="C356" s="114" t="s">
        <v>2358</v>
      </c>
      <c r="V356" s="168"/>
      <c r="W356" s="168"/>
      <c r="X356" s="168"/>
      <c r="Y356" s="168"/>
      <c r="Z356" s="168"/>
      <c r="AA356" s="168"/>
      <c r="AB356" s="168"/>
      <c r="AC356" s="168">
        <f ca="1">IF(-Z263-Z352&lt;0,0,-Z263-Z352)</f>
        <v>0</v>
      </c>
      <c r="AD356" s="168"/>
      <c r="AE356" s="168"/>
      <c r="AF356" s="168"/>
      <c r="AG356" s="168"/>
      <c r="AH356" s="168"/>
      <c r="AI356" s="168"/>
      <c r="AJ356" s="168"/>
      <c r="AK356" s="168"/>
      <c r="AL356" s="168"/>
      <c r="AM356" s="168"/>
      <c r="AN356" s="168"/>
      <c r="AO356" s="168"/>
    </row>
    <row r="357" spans="2:62">
      <c r="B357" s="174"/>
      <c r="C357" s="114" t="s">
        <v>2357</v>
      </c>
      <c r="V357" s="168"/>
      <c r="W357" s="168"/>
      <c r="X357" s="168"/>
      <c r="Y357" s="168"/>
      <c r="Z357" s="168"/>
      <c r="AA357" s="168"/>
      <c r="AB357" s="168">
        <f ca="1">IF(-Y263-Y352&lt;0,0,-Y263-Y352)</f>
        <v>0</v>
      </c>
      <c r="AC357" s="168"/>
      <c r="AD357" s="168"/>
      <c r="AE357" s="168"/>
      <c r="AF357" s="168"/>
      <c r="AG357" s="168"/>
      <c r="AH357" s="168"/>
      <c r="AI357" s="168"/>
      <c r="AJ357" s="168"/>
      <c r="AK357" s="168"/>
      <c r="AL357" s="168"/>
      <c r="AM357" s="168"/>
      <c r="AN357" s="168"/>
      <c r="AO357" s="168"/>
    </row>
    <row r="358" spans="2:62">
      <c r="B358" s="174"/>
      <c r="C358" s="114" t="s">
        <v>2356</v>
      </c>
      <c r="V358" s="168"/>
      <c r="W358" s="168"/>
      <c r="X358" s="168"/>
      <c r="Y358" s="168"/>
      <c r="Z358" s="168"/>
      <c r="AA358" s="168">
        <f ca="1">IF(-X263-X352&lt;0,0,-X263-X352)</f>
        <v>8.0491322537491143</v>
      </c>
      <c r="AB358" s="168"/>
      <c r="AC358" s="168"/>
      <c r="AD358" s="168"/>
      <c r="AE358" s="168"/>
      <c r="AF358" s="168"/>
      <c r="AG358" s="168"/>
      <c r="AH358" s="168"/>
      <c r="AI358" s="168"/>
      <c r="AJ358" s="168"/>
      <c r="AK358" s="168"/>
      <c r="AL358" s="168"/>
      <c r="AM358" s="168"/>
      <c r="AN358" s="168"/>
      <c r="AO358" s="168"/>
    </row>
    <row r="359" spans="2:62">
      <c r="B359" s="174"/>
      <c r="C359" s="114" t="s">
        <v>2419</v>
      </c>
      <c r="V359" s="390">
        <f ca="1">-SUM(V10,V86,V158,V267,V313,V318,V324:V326,V329,V337)</f>
        <v>28.187233874425708</v>
      </c>
      <c r="W359" s="390"/>
      <c r="X359" s="168"/>
      <c r="Y359" s="168"/>
      <c r="Z359" s="168"/>
      <c r="AA359" s="168"/>
      <c r="AB359" s="168"/>
      <c r="AC359" s="168"/>
      <c r="AD359" s="168"/>
      <c r="AE359" s="168"/>
      <c r="AF359" s="168"/>
      <c r="AG359" s="168"/>
      <c r="AH359" s="168"/>
      <c r="AI359" s="168"/>
      <c r="AJ359" s="168"/>
      <c r="AK359" s="168"/>
      <c r="AL359" s="168"/>
      <c r="AM359" s="168"/>
      <c r="AN359" s="168"/>
      <c r="AO359" s="168"/>
    </row>
    <row r="360" spans="2:62">
      <c r="B360" s="174"/>
      <c r="C360" s="114" t="s">
        <v>641</v>
      </c>
      <c r="V360" s="168"/>
      <c r="W360" s="390">
        <f ca="1">SUM(W263,W278,W287,W290,W294,W297,W301,W305,W308,W311,W337)</f>
        <v>0</v>
      </c>
      <c r="X360" s="168"/>
      <c r="Y360" s="168"/>
      <c r="Z360" s="168"/>
      <c r="AA360" s="168"/>
      <c r="AB360" s="168"/>
      <c r="AC360" s="168"/>
      <c r="AD360" s="168"/>
      <c r="AE360" s="168"/>
      <c r="AF360" s="168"/>
      <c r="AG360" s="168"/>
      <c r="AH360" s="168"/>
      <c r="AI360" s="168"/>
      <c r="AJ360" s="168"/>
      <c r="AK360" s="168"/>
      <c r="AL360" s="168"/>
      <c r="AM360" s="168"/>
      <c r="AN360" s="168"/>
      <c r="AO360" s="168"/>
    </row>
    <row r="361" spans="2:62">
      <c r="B361" s="174"/>
      <c r="C361" s="114" t="s">
        <v>2420</v>
      </c>
      <c r="V361" s="168"/>
      <c r="W361" s="168"/>
      <c r="X361" s="168"/>
      <c r="Y361" s="168"/>
      <c r="Z361" s="168"/>
      <c r="AA361" s="168"/>
      <c r="AB361" s="168"/>
      <c r="AC361" s="168"/>
      <c r="AD361" s="168"/>
      <c r="AE361" s="168"/>
      <c r="AF361" s="168"/>
      <c r="AG361" s="168"/>
      <c r="AH361" s="168"/>
      <c r="AI361" s="168"/>
      <c r="AJ361" s="168"/>
      <c r="AK361" s="168"/>
      <c r="AL361" s="168"/>
      <c r="AM361" s="168"/>
      <c r="AN361" s="168"/>
      <c r="AO361" s="168"/>
    </row>
    <row r="362" spans="2:62">
      <c r="B362" s="174"/>
      <c r="C362" s="114" t="s">
        <v>2421</v>
      </c>
      <c r="V362" s="168"/>
      <c r="W362" s="168"/>
      <c r="X362" s="168"/>
      <c r="Y362" s="168"/>
      <c r="Z362" s="168"/>
      <c r="AA362" s="168"/>
      <c r="AB362" s="168"/>
      <c r="AC362" s="168"/>
      <c r="AD362" s="168"/>
      <c r="AE362" s="168"/>
      <c r="AF362" s="168"/>
      <c r="AG362" s="168"/>
      <c r="AH362" s="168">
        <f ca="1">SUM(AH263,AH267,AH313,AH318,AH323,AH337)</f>
        <v>0</v>
      </c>
      <c r="AK362" s="168"/>
      <c r="AL362" s="168"/>
      <c r="AM362" s="168"/>
      <c r="AN362" s="168"/>
      <c r="AO362" s="168"/>
    </row>
    <row r="363" spans="2:62">
      <c r="B363" s="174"/>
      <c r="C363" s="114" t="s">
        <v>2422</v>
      </c>
      <c r="V363" s="168"/>
      <c r="W363" s="168"/>
      <c r="X363" s="168"/>
      <c r="Y363" s="168"/>
      <c r="Z363" s="168"/>
      <c r="AA363" s="168"/>
      <c r="AB363" s="168"/>
      <c r="AC363" s="168"/>
      <c r="AD363" s="168"/>
      <c r="AE363" s="168"/>
      <c r="AF363" s="168"/>
      <c r="AG363" s="168"/>
      <c r="AH363" s="168"/>
      <c r="AI363" s="168">
        <f ca="1">SUM(AI263,AI267,AI313,AI318,AI323,AI337)</f>
        <v>0</v>
      </c>
      <c r="AJ363" s="168"/>
      <c r="AK363" s="168"/>
      <c r="AL363" s="168"/>
      <c r="AM363" s="168"/>
      <c r="AN363" s="168"/>
      <c r="AO363" s="168"/>
    </row>
    <row r="364" spans="2:62">
      <c r="B364" s="174"/>
      <c r="C364" s="114" t="s">
        <v>2423</v>
      </c>
      <c r="V364" s="168"/>
      <c r="W364" s="168"/>
      <c r="X364" s="168"/>
      <c r="Y364" s="168"/>
      <c r="Z364" s="168"/>
      <c r="AA364" s="168"/>
      <c r="AB364" s="168"/>
      <c r="AC364" s="168"/>
      <c r="AD364" s="168"/>
      <c r="AE364" s="168"/>
      <c r="AF364" s="168"/>
      <c r="AG364" s="168"/>
      <c r="AH364" s="168"/>
      <c r="AI364" s="168"/>
      <c r="AJ364" s="168">
        <f ca="1">SUM(AJ263,AJ267,AJ313,AJ318,AJ323,AJ337)</f>
        <v>0</v>
      </c>
      <c r="AK364" s="168"/>
      <c r="AL364" s="168"/>
      <c r="AM364" s="168"/>
      <c r="AN364" s="168"/>
      <c r="AO364" s="168"/>
    </row>
    <row r="365" spans="2:62">
      <c r="B365" s="174"/>
      <c r="C365" s="114"/>
      <c r="V365" s="168"/>
      <c r="W365" s="168"/>
      <c r="X365" s="168"/>
      <c r="Y365" s="168"/>
      <c r="Z365" s="168"/>
      <c r="AA365" s="168"/>
      <c r="AB365" s="168"/>
      <c r="AC365" s="168"/>
      <c r="AD365" s="168"/>
      <c r="AE365" s="168"/>
      <c r="AF365" s="168"/>
      <c r="AG365" s="168"/>
      <c r="AH365" s="168"/>
      <c r="AI365" s="168"/>
      <c r="AJ365" s="168"/>
      <c r="AK365" s="168"/>
      <c r="AL365" s="168"/>
      <c r="AM365" s="168"/>
      <c r="AN365" s="168"/>
      <c r="AO365" s="168"/>
    </row>
    <row r="366" spans="2:62">
      <c r="B366" s="174"/>
      <c r="C366" s="114"/>
      <c r="V366" s="168"/>
      <c r="W366" s="168"/>
      <c r="X366" s="168"/>
      <c r="Y366" s="168"/>
      <c r="Z366" s="168"/>
      <c r="AA366" s="168"/>
      <c r="AB366" s="168"/>
      <c r="AC366" s="168"/>
      <c r="AD366" s="168"/>
      <c r="AE366" s="168"/>
      <c r="AF366" s="168"/>
      <c r="AG366" s="168"/>
      <c r="AH366" s="168"/>
      <c r="AI366" s="168"/>
      <c r="AJ366" s="168"/>
      <c r="AK366" s="168"/>
      <c r="AL366" s="168"/>
      <c r="AM366" s="168"/>
      <c r="AN366" s="168"/>
      <c r="AO366" s="168"/>
    </row>
    <row r="367" spans="2:62" ht="20">
      <c r="B367" s="167"/>
      <c r="C367" s="9" t="s">
        <v>415</v>
      </c>
      <c r="E367" s="112">
        <f t="shared" ref="E367:T367" ca="1" si="153">SUM(E352,E263)</f>
        <v>0</v>
      </c>
      <c r="F367" s="50">
        <f t="shared" ca="1" si="153"/>
        <v>0</v>
      </c>
      <c r="G367" s="50">
        <f t="shared" ca="1" si="153"/>
        <v>0</v>
      </c>
      <c r="H367" s="50">
        <f t="shared" ca="1" si="153"/>
        <v>0</v>
      </c>
      <c r="I367" s="50">
        <f t="shared" ca="1" si="153"/>
        <v>0</v>
      </c>
      <c r="J367" s="50">
        <f t="shared" ca="1" si="153"/>
        <v>142.97457688351506</v>
      </c>
      <c r="K367" s="50">
        <f t="shared" ca="1" si="153"/>
        <v>0</v>
      </c>
      <c r="L367" s="50">
        <f t="shared" ca="1" si="153"/>
        <v>0</v>
      </c>
      <c r="M367" s="50">
        <f t="shared" ca="1" si="153"/>
        <v>0</v>
      </c>
      <c r="N367" s="50">
        <f t="shared" ca="1" si="153"/>
        <v>0</v>
      </c>
      <c r="O367" s="50">
        <f t="shared" ref="O367" ca="1" si="154">SUM(O352,O263)</f>
        <v>0</v>
      </c>
      <c r="P367" s="50">
        <f t="shared" ca="1" si="153"/>
        <v>0</v>
      </c>
      <c r="Q367" s="50">
        <f t="shared" ca="1" si="153"/>
        <v>0</v>
      </c>
      <c r="R367" s="50">
        <f t="shared" ca="1" si="153"/>
        <v>0</v>
      </c>
      <c r="S367" s="50">
        <f t="shared" ca="1" si="153"/>
        <v>0</v>
      </c>
      <c r="T367" s="112">
        <f t="shared" ca="1" si="153"/>
        <v>142.97457688351506</v>
      </c>
      <c r="U367" s="58"/>
      <c r="V367" s="157">
        <f t="shared" ref="V367:AO367" ca="1" si="155">SUM(V352,V263)</f>
        <v>-28.187233874425708</v>
      </c>
      <c r="W367" s="157">
        <f t="shared" ca="1" si="155"/>
        <v>0</v>
      </c>
      <c r="X367" s="157">
        <f t="shared" ca="1" si="155"/>
        <v>-8.0491322537491143</v>
      </c>
      <c r="Y367" s="157">
        <f t="shared" ca="1" si="155"/>
        <v>0</v>
      </c>
      <c r="Z367" s="157">
        <f t="shared" ca="1" si="155"/>
        <v>0</v>
      </c>
      <c r="AA367" s="157">
        <f t="shared" ca="1" si="155"/>
        <v>-42.287175675880007</v>
      </c>
      <c r="AB367" s="157">
        <f t="shared" ca="1" si="155"/>
        <v>240</v>
      </c>
      <c r="AC367" s="157">
        <f t="shared" ca="1" si="155"/>
        <v>-28.331425732791395</v>
      </c>
      <c r="AD367" s="157">
        <f t="shared" ca="1" si="155"/>
        <v>0</v>
      </c>
      <c r="AE367" s="157">
        <f t="shared" ca="1" si="155"/>
        <v>0</v>
      </c>
      <c r="AF367" s="157">
        <f t="shared" ca="1" si="155"/>
        <v>0</v>
      </c>
      <c r="AG367" s="157">
        <f t="shared" ca="1" si="155"/>
        <v>0</v>
      </c>
      <c r="AH367" s="157">
        <f t="shared" ca="1" si="155"/>
        <v>0</v>
      </c>
      <c r="AI367" s="157">
        <f t="shared" ca="1" si="155"/>
        <v>0</v>
      </c>
      <c r="AJ367" s="157">
        <f t="shared" ca="1" si="155"/>
        <v>0</v>
      </c>
      <c r="AK367" s="157">
        <f t="shared" ca="1" si="155"/>
        <v>0</v>
      </c>
      <c r="AL367" s="157">
        <f t="shared" ca="1" si="155"/>
        <v>-5.3101024473450966</v>
      </c>
      <c r="AM367" s="157">
        <f t="shared" ca="1" si="155"/>
        <v>0</v>
      </c>
      <c r="AN367" s="157">
        <f t="shared" ca="1" si="155"/>
        <v>0</v>
      </c>
      <c r="AO367" s="157">
        <f t="shared" ca="1" si="155"/>
        <v>-142.97457688351506</v>
      </c>
      <c r="AP367" s="58"/>
      <c r="AQ367" s="172">
        <f t="shared" ref="AQ367:BD367" ca="1" si="156">SUM(AQ352,AQ263)</f>
        <v>0</v>
      </c>
      <c r="AR367" s="172">
        <f t="shared" ca="1" si="156"/>
        <v>0</v>
      </c>
      <c r="AS367" s="172">
        <f t="shared" ca="1" si="156"/>
        <v>0</v>
      </c>
      <c r="AT367" s="172">
        <f t="shared" ca="1" si="156"/>
        <v>0</v>
      </c>
      <c r="AU367" s="172">
        <f t="shared" ca="1" si="156"/>
        <v>0</v>
      </c>
      <c r="AV367" s="172">
        <f t="shared" ca="1" si="156"/>
        <v>0</v>
      </c>
      <c r="AW367" s="172">
        <f t="shared" ca="1" si="156"/>
        <v>0</v>
      </c>
      <c r="AX367" s="172">
        <f t="shared" ca="1" si="156"/>
        <v>0</v>
      </c>
      <c r="AY367" s="172">
        <f t="shared" ca="1" si="156"/>
        <v>0</v>
      </c>
      <c r="AZ367" s="172">
        <f t="shared" ca="1" si="156"/>
        <v>0</v>
      </c>
      <c r="BA367" s="172">
        <f t="shared" ca="1" si="156"/>
        <v>0</v>
      </c>
      <c r="BB367" s="172">
        <f t="shared" ca="1" si="156"/>
        <v>0</v>
      </c>
      <c r="BC367" s="172">
        <f t="shared" ca="1" si="156"/>
        <v>0</v>
      </c>
      <c r="BD367" s="172">
        <f t="shared" ca="1" si="156"/>
        <v>0</v>
      </c>
      <c r="BE367" s="58"/>
      <c r="BF367" s="164">
        <f ca="1">SUM(BF352,BF263)</f>
        <v>0</v>
      </c>
      <c r="BG367" s="164">
        <f ca="1">SUM(BG352,BG263)</f>
        <v>0</v>
      </c>
      <c r="BH367" s="164">
        <f ca="1">SUM(BH352,BH263)</f>
        <v>0</v>
      </c>
      <c r="BI367" s="219">
        <f ca="1">SUM(BI352,BI263)</f>
        <v>0</v>
      </c>
      <c r="BJ367" s="58"/>
    </row>
    <row r="368" spans="2:62">
      <c r="B368" s="167"/>
      <c r="E368" s="113"/>
      <c r="V368" s="168"/>
      <c r="W368" s="168"/>
      <c r="X368" s="168"/>
      <c r="Y368" s="168"/>
      <c r="Z368" s="168"/>
      <c r="AA368" s="168"/>
      <c r="AB368" s="168"/>
      <c r="AC368" s="168"/>
      <c r="AD368" s="168"/>
      <c r="AE368" s="168"/>
      <c r="AF368" s="168"/>
      <c r="AG368" s="168"/>
      <c r="AH368" s="168"/>
      <c r="AI368" s="168"/>
      <c r="AJ368" s="168"/>
      <c r="AK368" s="168"/>
      <c r="AL368" s="168"/>
      <c r="AM368" s="168"/>
      <c r="AN368" s="168"/>
      <c r="AO368" s="168"/>
    </row>
    <row r="369" spans="2:60" ht="20">
      <c r="B369" s="167"/>
      <c r="C369" s="9" t="s">
        <v>639</v>
      </c>
    </row>
    <row r="370" spans="2:60">
      <c r="B370" s="167"/>
    </row>
    <row r="371" spans="2:60">
      <c r="B371" s="174"/>
    </row>
    <row r="372" spans="2:60">
      <c r="B372" s="167"/>
      <c r="E372" s="36"/>
      <c r="F372" s="36"/>
      <c r="G372" s="36"/>
      <c r="H372" s="36"/>
      <c r="I372" s="36"/>
      <c r="J372" s="36"/>
      <c r="K372" s="36"/>
      <c r="L372" s="36"/>
      <c r="M372" s="36"/>
      <c r="N372" s="36"/>
      <c r="O372" s="36"/>
      <c r="P372" s="36"/>
      <c r="Q372" s="36"/>
      <c r="R372" s="36"/>
      <c r="V372" s="36"/>
      <c r="W372" s="36"/>
      <c r="X372" s="36"/>
      <c r="Y372" s="36"/>
      <c r="Z372" s="36"/>
      <c r="AA372" s="36"/>
      <c r="AB372" s="36"/>
      <c r="AC372" s="36"/>
      <c r="AD372" s="36"/>
      <c r="AE372" s="36"/>
      <c r="AF372" s="36"/>
      <c r="AG372" s="36"/>
      <c r="AH372" s="36"/>
      <c r="AI372" s="36"/>
      <c r="AJ372" s="36"/>
      <c r="AK372" s="36"/>
      <c r="AL372" s="36"/>
      <c r="AM372" s="36"/>
      <c r="AN372" s="36"/>
      <c r="AO372" s="36"/>
      <c r="AQ372" s="36"/>
      <c r="AR372" s="36"/>
      <c r="AS372" s="36"/>
      <c r="AT372" s="36"/>
      <c r="AU372" s="36"/>
      <c r="AV372" s="36"/>
      <c r="AW372" s="36"/>
      <c r="AX372" s="36"/>
      <c r="AY372" s="36"/>
      <c r="AZ372" s="36"/>
      <c r="BA372" s="36"/>
      <c r="BB372" s="36"/>
      <c r="BC372" s="36"/>
      <c r="BD372" s="36"/>
      <c r="BF372" s="36"/>
      <c r="BG372" s="36"/>
      <c r="BH372" s="36"/>
    </row>
    <row r="373" spans="2:60">
      <c r="E373" s="36"/>
      <c r="F373" s="36"/>
      <c r="G373" s="36"/>
      <c r="H373" s="36"/>
      <c r="I373" s="36"/>
      <c r="J373" s="36"/>
      <c r="K373" s="36"/>
      <c r="L373" s="36"/>
      <c r="M373" s="36"/>
      <c r="N373" s="36"/>
      <c r="O373" s="36"/>
      <c r="P373" s="36"/>
      <c r="Q373" s="36"/>
      <c r="R373" s="36"/>
      <c r="V373" s="36"/>
      <c r="W373" s="36"/>
      <c r="X373" s="36"/>
      <c r="Y373" s="36"/>
      <c r="Z373" s="36"/>
      <c r="AA373" s="36"/>
      <c r="AB373" s="36"/>
      <c r="AC373" s="36"/>
      <c r="AD373" s="36"/>
      <c r="AE373" s="36"/>
      <c r="AF373" s="36"/>
      <c r="AG373" s="36"/>
      <c r="AH373" s="36"/>
      <c r="AI373" s="36"/>
      <c r="AJ373" s="36"/>
      <c r="AK373" s="36"/>
      <c r="AL373" s="36"/>
      <c r="AM373" s="36"/>
      <c r="AN373" s="36"/>
      <c r="AO373" s="36"/>
      <c r="AQ373" s="36"/>
      <c r="AR373" s="36"/>
      <c r="AS373" s="36"/>
      <c r="AT373" s="36"/>
      <c r="AU373" s="36"/>
      <c r="AV373" s="36"/>
      <c r="AW373" s="36"/>
      <c r="AX373" s="36"/>
      <c r="AY373" s="36"/>
      <c r="AZ373" s="36"/>
      <c r="BA373" s="36"/>
      <c r="BB373" s="36"/>
      <c r="BC373" s="36"/>
      <c r="BD373" s="36"/>
      <c r="BF373" s="36"/>
      <c r="BG373" s="36"/>
      <c r="BH373" s="36"/>
    </row>
    <row r="374" spans="2:60">
      <c r="E374" s="36"/>
      <c r="F374" s="36"/>
      <c r="G374" s="36"/>
      <c r="H374" s="36"/>
      <c r="I374" s="36"/>
      <c r="J374" s="36"/>
      <c r="K374" s="36"/>
      <c r="L374" s="36"/>
      <c r="M374" s="36"/>
      <c r="N374" s="36"/>
      <c r="O374" s="36"/>
      <c r="P374" s="36"/>
      <c r="Q374" s="36"/>
      <c r="R374" s="36"/>
      <c r="V374" s="36"/>
      <c r="W374" s="36"/>
      <c r="X374" s="36"/>
      <c r="Y374" s="36"/>
      <c r="Z374" s="36"/>
      <c r="AA374" s="36"/>
      <c r="AB374" s="36"/>
      <c r="AC374" s="36"/>
      <c r="AD374" s="36"/>
      <c r="AE374" s="36"/>
      <c r="AF374" s="36"/>
      <c r="AG374" s="36"/>
      <c r="AH374" s="36"/>
      <c r="AI374" s="36"/>
      <c r="AJ374" s="36"/>
      <c r="AK374" s="36"/>
      <c r="AL374" s="36"/>
      <c r="AM374" s="36"/>
      <c r="AN374" s="36"/>
      <c r="AO374" s="36"/>
      <c r="AQ374" s="36"/>
      <c r="AR374" s="36"/>
      <c r="AS374" s="36"/>
      <c r="AT374" s="36"/>
      <c r="AU374" s="36"/>
      <c r="AV374" s="36"/>
      <c r="AW374" s="36"/>
      <c r="AX374" s="36"/>
      <c r="AY374" s="36"/>
      <c r="AZ374" s="36"/>
      <c r="BA374" s="36"/>
      <c r="BB374" s="36"/>
      <c r="BC374" s="36"/>
      <c r="BD374" s="36"/>
      <c r="BF374" s="36"/>
      <c r="BG374" s="36"/>
      <c r="BH374" s="36"/>
    </row>
    <row r="375" spans="2:60">
      <c r="E375" s="36"/>
      <c r="F375" s="36"/>
      <c r="G375" s="36"/>
      <c r="H375" s="36"/>
      <c r="I375" s="36"/>
      <c r="J375" s="36"/>
      <c r="K375" s="36"/>
      <c r="L375" s="36"/>
      <c r="M375" s="36"/>
      <c r="N375" s="36"/>
      <c r="O375" s="36"/>
      <c r="P375" s="36"/>
      <c r="Q375" s="36"/>
      <c r="R375" s="36"/>
      <c r="V375" s="36"/>
      <c r="W375" s="36"/>
      <c r="X375" s="36"/>
      <c r="Y375" s="36"/>
      <c r="Z375" s="36"/>
      <c r="AA375" s="36"/>
      <c r="AB375" s="36"/>
      <c r="AC375" s="36"/>
      <c r="AD375" s="36"/>
      <c r="AE375" s="36"/>
      <c r="AF375" s="36"/>
      <c r="AG375" s="36"/>
      <c r="AH375" s="36"/>
      <c r="AI375" s="36"/>
      <c r="AJ375" s="36"/>
      <c r="AK375" s="36"/>
      <c r="AL375" s="36"/>
      <c r="AM375" s="36"/>
      <c r="AN375" s="36"/>
      <c r="AO375" s="36"/>
      <c r="AQ375" s="36"/>
      <c r="AR375" s="36"/>
      <c r="AS375" s="36"/>
      <c r="AT375" s="36"/>
      <c r="AU375" s="36"/>
      <c r="AV375" s="36"/>
      <c r="AW375" s="36"/>
      <c r="AX375" s="36"/>
      <c r="AY375" s="36"/>
      <c r="AZ375" s="36"/>
      <c r="BA375" s="36"/>
      <c r="BB375" s="36"/>
      <c r="BC375" s="36"/>
      <c r="BD375" s="36"/>
      <c r="BF375" s="36"/>
      <c r="BG375" s="36"/>
      <c r="BH375" s="36"/>
    </row>
    <row r="376" spans="2:60">
      <c r="E376" s="36"/>
      <c r="F376" s="36"/>
      <c r="G376" s="36"/>
      <c r="H376" s="36"/>
      <c r="I376" s="36"/>
      <c r="J376" s="36"/>
      <c r="K376" s="36"/>
      <c r="L376" s="36"/>
      <c r="M376" s="36"/>
      <c r="N376" s="36"/>
      <c r="O376" s="36"/>
      <c r="P376" s="36"/>
      <c r="Q376" s="36"/>
      <c r="R376" s="36"/>
      <c r="V376" s="36"/>
      <c r="W376" s="36"/>
      <c r="X376" s="36"/>
      <c r="Y376" s="36"/>
      <c r="Z376" s="36"/>
      <c r="AA376" s="36"/>
      <c r="AB376" s="36"/>
      <c r="AC376" s="36"/>
      <c r="AD376" s="36"/>
      <c r="AE376" s="36"/>
      <c r="AF376" s="36"/>
      <c r="AG376" s="36"/>
      <c r="AH376" s="36"/>
      <c r="AI376" s="36"/>
      <c r="AJ376" s="36"/>
      <c r="AK376" s="36"/>
      <c r="AL376" s="36"/>
      <c r="AM376" s="36"/>
      <c r="AN376" s="36"/>
      <c r="AO376" s="36"/>
      <c r="AQ376" s="36"/>
      <c r="AR376" s="36"/>
      <c r="AS376" s="36"/>
      <c r="AT376" s="36"/>
      <c r="AU376" s="36"/>
      <c r="AV376" s="36"/>
      <c r="AW376" s="36"/>
      <c r="AX376" s="36"/>
      <c r="AY376" s="36"/>
      <c r="AZ376" s="36"/>
      <c r="BA376" s="36"/>
      <c r="BB376" s="36"/>
      <c r="BC376" s="36"/>
      <c r="BD376" s="36"/>
      <c r="BF376" s="36"/>
      <c r="BG376" s="36"/>
      <c r="BH376" s="36"/>
    </row>
    <row r="377" spans="2:60">
      <c r="E377" s="36"/>
      <c r="F377" s="36"/>
      <c r="G377" s="36"/>
      <c r="H377" s="36"/>
      <c r="I377" s="36"/>
      <c r="J377" s="36"/>
      <c r="K377" s="36"/>
      <c r="L377" s="36"/>
      <c r="M377" s="36"/>
      <c r="N377" s="36"/>
      <c r="O377" s="36"/>
      <c r="P377" s="36"/>
      <c r="Q377" s="36"/>
      <c r="R377" s="36"/>
      <c r="V377" s="36"/>
      <c r="W377" s="36"/>
      <c r="X377" s="36"/>
      <c r="Y377" s="36"/>
      <c r="Z377" s="36"/>
      <c r="AA377" s="36"/>
      <c r="AB377" s="36"/>
      <c r="AC377" s="36"/>
      <c r="AD377" s="36"/>
      <c r="AE377" s="36"/>
      <c r="AF377" s="36"/>
      <c r="AG377" s="36"/>
      <c r="AH377" s="36"/>
      <c r="AI377" s="36"/>
      <c r="AJ377" s="36"/>
      <c r="AK377" s="36"/>
      <c r="AL377" s="36"/>
      <c r="AM377" s="36"/>
      <c r="AN377" s="36"/>
      <c r="AO377" s="36"/>
      <c r="AQ377" s="36"/>
      <c r="AR377" s="36"/>
      <c r="AS377" s="36"/>
      <c r="AT377" s="36"/>
      <c r="AU377" s="36"/>
      <c r="AV377" s="36"/>
      <c r="AW377" s="36"/>
      <c r="AX377" s="36"/>
      <c r="AY377" s="36"/>
      <c r="AZ377" s="36"/>
      <c r="BA377" s="36"/>
      <c r="BB377" s="36"/>
      <c r="BC377" s="36"/>
      <c r="BD377" s="36"/>
      <c r="BF377" s="36"/>
      <c r="BG377" s="36"/>
      <c r="BH377" s="36"/>
    </row>
    <row r="378" spans="2:60">
      <c r="E378" s="36"/>
      <c r="F378" s="36"/>
      <c r="G378" s="36"/>
      <c r="H378" s="36"/>
      <c r="I378" s="36"/>
      <c r="J378" s="36"/>
      <c r="K378" s="36"/>
      <c r="L378" s="36"/>
      <c r="M378" s="36"/>
      <c r="N378" s="36"/>
      <c r="O378" s="36"/>
      <c r="P378" s="36"/>
      <c r="Q378" s="36"/>
      <c r="R378" s="36"/>
      <c r="V378" s="36"/>
      <c r="W378" s="36"/>
      <c r="X378" s="36"/>
      <c r="Y378" s="36"/>
      <c r="Z378" s="36"/>
      <c r="AA378" s="36"/>
      <c r="AB378" s="36"/>
      <c r="AC378" s="36"/>
      <c r="AD378" s="36"/>
      <c r="AE378" s="36"/>
      <c r="AF378" s="36"/>
      <c r="AG378" s="36"/>
      <c r="AH378" s="36"/>
      <c r="AI378" s="36"/>
      <c r="AJ378" s="36"/>
      <c r="AK378" s="36"/>
      <c r="AL378" s="36"/>
      <c r="AM378" s="36"/>
      <c r="AN378" s="36"/>
      <c r="AO378" s="36"/>
      <c r="AQ378" s="36"/>
      <c r="AR378" s="36"/>
      <c r="AS378" s="36"/>
      <c r="AT378" s="36"/>
      <c r="AU378" s="36"/>
      <c r="AV378" s="36"/>
      <c r="AW378" s="36"/>
      <c r="AX378" s="36"/>
      <c r="AY378" s="36"/>
      <c r="AZ378" s="36"/>
      <c r="BA378" s="36"/>
      <c r="BB378" s="36"/>
      <c r="BC378" s="36"/>
      <c r="BD378" s="36"/>
      <c r="BF378" s="36"/>
      <c r="BG378" s="36"/>
      <c r="BH378" s="36"/>
    </row>
    <row r="379" spans="2:60">
      <c r="E379" s="36"/>
      <c r="F379" s="36"/>
      <c r="G379" s="36"/>
      <c r="H379" s="36"/>
      <c r="I379" s="36"/>
      <c r="J379" s="36"/>
      <c r="K379" s="36"/>
      <c r="L379" s="36"/>
      <c r="M379" s="36"/>
      <c r="N379" s="36"/>
      <c r="O379" s="36"/>
      <c r="P379" s="36"/>
      <c r="Q379" s="36"/>
      <c r="R379" s="36"/>
      <c r="V379" s="36"/>
      <c r="W379" s="36"/>
      <c r="X379" s="36"/>
      <c r="Y379" s="36"/>
      <c r="Z379" s="36"/>
      <c r="AA379" s="36"/>
      <c r="AB379" s="36"/>
      <c r="AC379" s="36"/>
      <c r="AD379" s="36"/>
      <c r="AE379" s="36"/>
      <c r="AF379" s="36"/>
      <c r="AG379" s="36"/>
      <c r="AH379" s="36"/>
      <c r="AI379" s="36"/>
      <c r="AJ379" s="36"/>
      <c r="AK379" s="36"/>
      <c r="AL379" s="36"/>
      <c r="AM379" s="36"/>
      <c r="AN379" s="36"/>
      <c r="AO379" s="36"/>
      <c r="AQ379" s="36"/>
      <c r="AR379" s="36"/>
      <c r="AS379" s="36"/>
      <c r="AT379" s="36"/>
      <c r="AU379" s="36"/>
      <c r="AV379" s="36"/>
      <c r="AW379" s="36"/>
      <c r="AX379" s="36"/>
      <c r="AY379" s="36"/>
      <c r="AZ379" s="36"/>
      <c r="BA379" s="36"/>
      <c r="BB379" s="36"/>
      <c r="BC379" s="36"/>
      <c r="BD379" s="36"/>
      <c r="BF379" s="36"/>
      <c r="BG379" s="36"/>
      <c r="BH379" s="36"/>
    </row>
    <row r="380" spans="2:60">
      <c r="E380" s="36"/>
      <c r="F380" s="36"/>
      <c r="G380" s="36"/>
      <c r="H380" s="36"/>
      <c r="I380" s="36"/>
      <c r="J380" s="36"/>
      <c r="K380" s="36"/>
      <c r="L380" s="36"/>
      <c r="M380" s="36"/>
      <c r="N380" s="36"/>
      <c r="O380" s="36"/>
      <c r="P380" s="36"/>
      <c r="Q380" s="36"/>
      <c r="R380" s="36"/>
      <c r="V380" s="36"/>
      <c r="W380" s="36"/>
      <c r="X380" s="36"/>
      <c r="Y380" s="36"/>
      <c r="Z380" s="36"/>
      <c r="AA380" s="36"/>
      <c r="AB380" s="36"/>
      <c r="AC380" s="36"/>
      <c r="AD380" s="36"/>
      <c r="AE380" s="36"/>
      <c r="AF380" s="36"/>
      <c r="AG380" s="36"/>
      <c r="AH380" s="36"/>
      <c r="AI380" s="36"/>
      <c r="AJ380" s="36"/>
      <c r="AK380" s="36"/>
      <c r="AL380" s="36"/>
      <c r="AM380" s="36"/>
      <c r="AN380" s="36"/>
      <c r="AO380" s="36"/>
      <c r="AQ380" s="36"/>
      <c r="AR380" s="36"/>
      <c r="AS380" s="36"/>
      <c r="AT380" s="36"/>
      <c r="AU380" s="36"/>
      <c r="AV380" s="36"/>
      <c r="AW380" s="36"/>
      <c r="AX380" s="36"/>
      <c r="AY380" s="36"/>
      <c r="AZ380" s="36"/>
      <c r="BA380" s="36"/>
      <c r="BB380" s="36"/>
      <c r="BC380" s="36"/>
      <c r="BD380" s="36"/>
      <c r="BF380" s="36"/>
      <c r="BG380" s="36"/>
      <c r="BH380" s="36"/>
    </row>
    <row r="381" spans="2:60">
      <c r="E381" s="36"/>
      <c r="F381" s="36"/>
      <c r="G381" s="36"/>
      <c r="H381" s="36"/>
      <c r="I381" s="36"/>
      <c r="J381" s="36"/>
      <c r="K381" s="36"/>
      <c r="L381" s="36"/>
      <c r="M381" s="36"/>
      <c r="N381" s="36"/>
      <c r="O381" s="36"/>
      <c r="P381" s="36"/>
      <c r="Q381" s="36"/>
      <c r="R381" s="36"/>
      <c r="V381" s="36"/>
      <c r="W381" s="36"/>
      <c r="X381" s="36"/>
      <c r="Y381" s="36"/>
      <c r="Z381" s="36"/>
      <c r="AA381" s="36"/>
      <c r="AB381" s="36"/>
      <c r="AC381" s="36"/>
      <c r="AD381" s="36"/>
      <c r="AE381" s="36"/>
      <c r="AF381" s="36"/>
      <c r="AG381" s="36"/>
      <c r="AH381" s="36"/>
      <c r="AI381" s="36"/>
      <c r="AJ381" s="36"/>
      <c r="AK381" s="36"/>
      <c r="AL381" s="36"/>
      <c r="AM381" s="36"/>
      <c r="AN381" s="36"/>
      <c r="AO381" s="36"/>
      <c r="AQ381" s="36"/>
      <c r="AR381" s="36"/>
      <c r="AS381" s="36"/>
      <c r="AT381" s="36"/>
      <c r="AU381" s="36"/>
      <c r="AV381" s="36"/>
      <c r="AW381" s="36"/>
      <c r="AX381" s="36"/>
      <c r="AY381" s="36"/>
      <c r="AZ381" s="36"/>
      <c r="BA381" s="36"/>
      <c r="BB381" s="36"/>
      <c r="BC381" s="36"/>
      <c r="BD381" s="36"/>
      <c r="BF381" s="36"/>
      <c r="BG381" s="36"/>
      <c r="BH381" s="36"/>
    </row>
  </sheetData>
  <mergeCells count="4">
    <mergeCell ref="E4:S4"/>
    <mergeCell ref="V4:AO4"/>
    <mergeCell ref="AQ4:BD4"/>
    <mergeCell ref="BF4:BH4"/>
  </mergeCells>
  <phoneticPr fontId="79" type="noConversion"/>
  <hyperlinks>
    <hyperlink ref="E2" location="Contents!A1" display="Click here to go to the &quot;contents&quot; pag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249977111117893"/>
    <pageSetUpPr fitToPage="1"/>
  </sheetPr>
  <dimension ref="A1:H138"/>
  <sheetViews>
    <sheetView showGridLines="0" zoomScale="85" zoomScaleNormal="85" zoomScalePageLayoutView="85" workbookViewId="0">
      <selection activeCell="F5" sqref="F5"/>
    </sheetView>
  </sheetViews>
  <sheetFormatPr baseColWidth="10" defaultColWidth="8.83203125" defaultRowHeight="14" x14ac:dyDescent="0"/>
  <cols>
    <col min="1" max="1" width="2.6640625" customWidth="1"/>
    <col min="2" max="2" width="5.83203125" customWidth="1"/>
    <col min="3" max="3" width="32" customWidth="1"/>
    <col min="4" max="4" width="113.83203125" customWidth="1"/>
    <col min="5" max="5" width="75.6640625" bestFit="1" customWidth="1"/>
    <col min="6" max="6" width="106.5" customWidth="1"/>
    <col min="7" max="7" width="107.5" bestFit="1" customWidth="1"/>
    <col min="8" max="8" width="87.6640625" customWidth="1"/>
  </cols>
  <sheetData>
    <row r="1" spans="2:7" ht="9" customHeight="1"/>
    <row r="2" spans="2:7" ht="20">
      <c r="B2" s="9" t="s">
        <v>691</v>
      </c>
      <c r="G2" s="99" t="s">
        <v>350</v>
      </c>
    </row>
    <row r="4" spans="2:7" s="111" customFormat="1" ht="15">
      <c r="B4" s="15" t="s">
        <v>692</v>
      </c>
    </row>
    <row r="5" spans="2:7" s="111" customFormat="1">
      <c r="B5" s="111" t="s">
        <v>792</v>
      </c>
    </row>
    <row r="6" spans="2:7" s="111" customFormat="1">
      <c r="B6" s="111" t="s">
        <v>793</v>
      </c>
    </row>
    <row r="7" spans="2:7" s="111" customFormat="1">
      <c r="B7" s="111" t="s">
        <v>693</v>
      </c>
    </row>
    <row r="8" spans="2:7" s="111" customFormat="1">
      <c r="B8" s="111" t="s">
        <v>794</v>
      </c>
    </row>
    <row r="9" spans="2:7" s="111" customFormat="1">
      <c r="B9" s="111" t="s">
        <v>798</v>
      </c>
    </row>
    <row r="10" spans="2:7" s="111" customFormat="1">
      <c r="B10" t="s">
        <v>829</v>
      </c>
    </row>
    <row r="11" spans="2:7" s="111" customFormat="1">
      <c r="B11" s="111" t="s">
        <v>854</v>
      </c>
    </row>
    <row r="12" spans="2:7" s="111" customFormat="1"/>
    <row r="13" spans="2:7" ht="15">
      <c r="B13" s="15" t="s">
        <v>389</v>
      </c>
    </row>
    <row r="14" spans="2:7">
      <c r="B14" t="s">
        <v>795</v>
      </c>
    </row>
    <row r="16" spans="2:7" s="39" customFormat="1" ht="15">
      <c r="B16" s="15" t="s">
        <v>428</v>
      </c>
      <c r="C16" s="15"/>
    </row>
    <row r="17" spans="2:8" s="39" customFormat="1" ht="12.75" customHeight="1">
      <c r="B17" s="39" t="s">
        <v>650</v>
      </c>
      <c r="C17" s="15"/>
    </row>
    <row r="18" spans="2:8" s="39" customFormat="1">
      <c r="B18" s="39" t="s">
        <v>796</v>
      </c>
    </row>
    <row r="19" spans="2:8" s="39" customFormat="1" ht="12.75" customHeight="1">
      <c r="B19" s="92" t="s">
        <v>651</v>
      </c>
      <c r="C19" s="15"/>
    </row>
    <row r="20" spans="2:8" s="39" customFormat="1">
      <c r="B20" s="39" t="s">
        <v>478</v>
      </c>
    </row>
    <row r="21" spans="2:8" ht="12.75" customHeight="1">
      <c r="B21" s="39" t="s">
        <v>479</v>
      </c>
      <c r="C21" s="15"/>
    </row>
    <row r="22" spans="2:8" s="111" customFormat="1" ht="12.75" customHeight="1">
      <c r="C22" s="15"/>
    </row>
    <row r="23" spans="2:8" ht="15">
      <c r="B23" s="15" t="s">
        <v>429</v>
      </c>
      <c r="C23" s="15"/>
    </row>
    <row r="24" spans="2:8" ht="15" thickBot="1"/>
    <row r="25" spans="2:8">
      <c r="B25" s="100" t="s">
        <v>279</v>
      </c>
      <c r="C25" s="100" t="s">
        <v>445</v>
      </c>
      <c r="D25" s="100" t="s">
        <v>436</v>
      </c>
      <c r="E25" s="100" t="s">
        <v>808</v>
      </c>
      <c r="F25" s="100" t="s">
        <v>797</v>
      </c>
      <c r="G25" s="100" t="s">
        <v>799</v>
      </c>
      <c r="H25" s="100" t="s">
        <v>802</v>
      </c>
    </row>
    <row r="26" spans="2:8" ht="12.75" customHeight="1">
      <c r="B26" s="139">
        <v>10</v>
      </c>
      <c r="C26" s="77" t="s">
        <v>51</v>
      </c>
      <c r="D26" s="43" t="s">
        <v>438</v>
      </c>
      <c r="E26" s="43" t="s">
        <v>812</v>
      </c>
      <c r="F26" s="43" t="s">
        <v>814</v>
      </c>
      <c r="G26" t="s">
        <v>801</v>
      </c>
      <c r="H26" t="s">
        <v>811</v>
      </c>
    </row>
    <row r="27" spans="2:8">
      <c r="B27" s="139">
        <v>20</v>
      </c>
      <c r="C27" s="77" t="s">
        <v>56</v>
      </c>
      <c r="D27" s="43" t="s">
        <v>822</v>
      </c>
      <c r="E27" s="43" t="s">
        <v>806</v>
      </c>
      <c r="F27" s="43" t="s">
        <v>815</v>
      </c>
      <c r="G27" s="111" t="s">
        <v>800</v>
      </c>
      <c r="H27" s="111" t="s">
        <v>821</v>
      </c>
    </row>
    <row r="28" spans="2:8" ht="12.75" customHeight="1">
      <c r="B28" s="139">
        <v>30</v>
      </c>
      <c r="C28" s="77" t="s">
        <v>55</v>
      </c>
      <c r="D28" s="43" t="s">
        <v>823</v>
      </c>
      <c r="E28" s="43" t="s">
        <v>806</v>
      </c>
      <c r="F28" s="43" t="s">
        <v>816</v>
      </c>
      <c r="G28" s="111" t="s">
        <v>803</v>
      </c>
      <c r="H28" s="111" t="s">
        <v>819</v>
      </c>
    </row>
    <row r="29" spans="2:8" ht="12.75" customHeight="1">
      <c r="B29" s="139">
        <v>40</v>
      </c>
      <c r="C29" s="77" t="s">
        <v>50</v>
      </c>
      <c r="D29" s="28" t="s">
        <v>824</v>
      </c>
      <c r="E29" s="25" t="s">
        <v>805</v>
      </c>
      <c r="F29" s="25" t="s">
        <v>817</v>
      </c>
      <c r="G29" t="s">
        <v>810</v>
      </c>
      <c r="H29" s="111" t="s">
        <v>804</v>
      </c>
    </row>
    <row r="30" spans="2:8" ht="12.75" customHeight="1">
      <c r="B30" s="139">
        <v>50</v>
      </c>
      <c r="C30" s="77" t="s">
        <v>497</v>
      </c>
      <c r="D30" s="43" t="s">
        <v>489</v>
      </c>
      <c r="E30" s="43" t="s">
        <v>807</v>
      </c>
      <c r="F30" s="43" t="s">
        <v>447</v>
      </c>
      <c r="G30" s="44" t="s">
        <v>809</v>
      </c>
      <c r="H30" s="111" t="s">
        <v>804</v>
      </c>
    </row>
    <row r="31" spans="2:8" ht="12.75" customHeight="1" thickBot="1">
      <c r="B31" s="140">
        <v>60</v>
      </c>
      <c r="C31" s="141" t="s">
        <v>461</v>
      </c>
      <c r="D31" s="141" t="s">
        <v>818</v>
      </c>
      <c r="E31" s="141" t="s">
        <v>813</v>
      </c>
      <c r="F31" s="138" t="s">
        <v>826</v>
      </c>
      <c r="G31" s="138" t="s">
        <v>820</v>
      </c>
      <c r="H31" s="138" t="s">
        <v>804</v>
      </c>
    </row>
    <row r="32" spans="2:8">
      <c r="B32" t="s">
        <v>825</v>
      </c>
    </row>
    <row r="35" spans="1:2" ht="15">
      <c r="B35" s="15" t="s">
        <v>706</v>
      </c>
    </row>
    <row r="36" spans="1:2" s="111" customFormat="1">
      <c r="B36" s="111" t="s">
        <v>827</v>
      </c>
    </row>
    <row r="37" spans="1:2" s="111" customFormat="1">
      <c r="B37" s="111" t="s">
        <v>828</v>
      </c>
    </row>
    <row r="38" spans="1:2" s="111" customFormat="1">
      <c r="B38" s="111" t="s">
        <v>707</v>
      </c>
    </row>
    <row r="39" spans="1:2">
      <c r="B39" s="111" t="s">
        <v>779</v>
      </c>
    </row>
    <row r="40" spans="1:2">
      <c r="B40" t="s">
        <v>654</v>
      </c>
    </row>
    <row r="41" spans="1:2" s="39" customFormat="1">
      <c r="A41"/>
      <c r="B41" s="39" t="s">
        <v>419</v>
      </c>
    </row>
    <row r="42" spans="1:2" s="111" customFormat="1">
      <c r="A42" s="39"/>
      <c r="B42" s="111" t="s">
        <v>830</v>
      </c>
    </row>
    <row r="43" spans="1:2" s="111" customFormat="1"/>
    <row r="44" spans="1:2">
      <c r="A44" s="111"/>
      <c r="B44" s="94" t="s">
        <v>831</v>
      </c>
    </row>
    <row r="45" spans="1:2">
      <c r="B45" t="s">
        <v>832</v>
      </c>
    </row>
    <row r="46" spans="1:2">
      <c r="B46" t="s">
        <v>833</v>
      </c>
    </row>
    <row r="47" spans="1:2">
      <c r="B47" t="s">
        <v>834</v>
      </c>
    </row>
    <row r="48" spans="1:2" s="111" customFormat="1">
      <c r="A48"/>
    </row>
    <row r="49" spans="1:8" s="111" customFormat="1">
      <c r="B49" s="94" t="s">
        <v>835</v>
      </c>
    </row>
    <row r="50" spans="1:8">
      <c r="A50" s="111"/>
      <c r="B50" t="s">
        <v>836</v>
      </c>
    </row>
    <row r="51" spans="1:8" s="39" customFormat="1">
      <c r="A51"/>
      <c r="B51" s="62"/>
      <c r="C51" s="43"/>
    </row>
    <row r="52" spans="1:8" s="39" customFormat="1">
      <c r="B52" s="82" t="s">
        <v>837</v>
      </c>
      <c r="C52" s="26"/>
    </row>
    <row r="53" spans="1:8" s="39" customFormat="1">
      <c r="B53" s="82"/>
      <c r="C53" s="78"/>
      <c r="D53" s="14"/>
      <c r="E53" s="14"/>
      <c r="F53" s="14"/>
      <c r="G53" s="14"/>
      <c r="H53" s="14"/>
    </row>
    <row r="54" spans="1:8" s="39" customFormat="1" ht="15" thickBot="1">
      <c r="B54" s="85" t="s">
        <v>432</v>
      </c>
      <c r="C54" s="85"/>
      <c r="D54" s="86" t="s">
        <v>484</v>
      </c>
    </row>
    <row r="55" spans="1:8" s="65" customFormat="1">
      <c r="A55" s="39"/>
      <c r="B55" s="142" t="s">
        <v>430</v>
      </c>
      <c r="C55" s="87"/>
      <c r="D55" s="88" t="s">
        <v>655</v>
      </c>
    </row>
    <row r="56" spans="1:8" s="65" customFormat="1">
      <c r="B56" s="142" t="s">
        <v>316</v>
      </c>
      <c r="C56" s="87"/>
      <c r="D56" s="88"/>
    </row>
    <row r="57" spans="1:8" s="65" customFormat="1">
      <c r="B57" s="142" t="s">
        <v>225</v>
      </c>
      <c r="C57" s="87"/>
      <c r="D57" s="88"/>
    </row>
    <row r="58" spans="1:8" s="65" customFormat="1">
      <c r="B58" s="142" t="s">
        <v>273</v>
      </c>
      <c r="C58" s="87"/>
      <c r="D58" s="88"/>
    </row>
    <row r="59" spans="1:8" s="65" customFormat="1">
      <c r="B59" s="142" t="s">
        <v>487</v>
      </c>
      <c r="C59" s="87"/>
      <c r="D59" s="88" t="s">
        <v>488</v>
      </c>
    </row>
    <row r="60" spans="1:8" s="65" customFormat="1">
      <c r="B60" s="142" t="s">
        <v>431</v>
      </c>
      <c r="C60" s="87"/>
      <c r="D60" s="88"/>
    </row>
    <row r="61" spans="1:8" s="65" customFormat="1" ht="15" thickBot="1">
      <c r="B61" s="143" t="s">
        <v>486</v>
      </c>
      <c r="C61" s="89"/>
      <c r="D61" s="90" t="s">
        <v>656</v>
      </c>
    </row>
    <row r="62" spans="1:8" s="65" customFormat="1">
      <c r="B62" s="62"/>
      <c r="C62" s="62"/>
    </row>
    <row r="63" spans="1:8" s="65" customFormat="1">
      <c r="B63" s="83"/>
      <c r="C63" s="83"/>
      <c r="D63" s="84"/>
    </row>
    <row r="64" spans="1:8" s="65" customFormat="1" ht="15" thickBot="1">
      <c r="B64" s="85" t="s">
        <v>433</v>
      </c>
      <c r="C64" s="85"/>
      <c r="D64" s="86" t="s">
        <v>484</v>
      </c>
    </row>
    <row r="65" spans="1:4" s="65" customFormat="1">
      <c r="B65" s="142" t="s">
        <v>250</v>
      </c>
      <c r="C65" s="87"/>
      <c r="D65" s="88" t="s">
        <v>657</v>
      </c>
    </row>
    <row r="66" spans="1:4" s="65" customFormat="1">
      <c r="B66" s="142" t="s">
        <v>51</v>
      </c>
      <c r="C66" s="87"/>
      <c r="D66" s="88" t="s">
        <v>658</v>
      </c>
    </row>
    <row r="67" spans="1:4" s="65" customFormat="1">
      <c r="B67" s="142" t="s">
        <v>434</v>
      </c>
      <c r="C67" s="87"/>
      <c r="D67" s="88"/>
    </row>
    <row r="68" spans="1:4" s="65" customFormat="1" ht="15" thickBot="1">
      <c r="B68" s="143" t="s">
        <v>482</v>
      </c>
      <c r="C68" s="89"/>
      <c r="D68" s="90" t="s">
        <v>485</v>
      </c>
    </row>
    <row r="69" spans="1:4" s="65" customFormat="1">
      <c r="B69" s="62"/>
      <c r="D69" s="62"/>
    </row>
    <row r="70" spans="1:4" s="65" customFormat="1">
      <c r="B70" s="62"/>
      <c r="D70" s="82" t="s">
        <v>659</v>
      </c>
    </row>
    <row r="71" spans="1:4" s="65" customFormat="1">
      <c r="B71" s="62"/>
      <c r="D71" s="62" t="s">
        <v>483</v>
      </c>
    </row>
    <row r="72" spans="1:4" s="65" customFormat="1">
      <c r="B72" s="62"/>
      <c r="D72" s="62"/>
    </row>
    <row r="73" spans="1:4" s="39" customFormat="1" ht="15">
      <c r="A73" s="65"/>
      <c r="B73" s="15" t="s">
        <v>51</v>
      </c>
    </row>
    <row r="74" spans="1:4" s="39" customFormat="1">
      <c r="B74" s="39" t="s">
        <v>353</v>
      </c>
    </row>
    <row r="75" spans="1:4" s="39" customFormat="1"/>
    <row r="76" spans="1:4" s="39" customFormat="1" ht="15">
      <c r="B76" s="15" t="s">
        <v>55</v>
      </c>
    </row>
    <row r="77" spans="1:4" s="39" customFormat="1">
      <c r="B77" s="62" t="s">
        <v>652</v>
      </c>
      <c r="C77" s="43"/>
    </row>
    <row r="78" spans="1:4" s="39" customFormat="1">
      <c r="B78" s="43"/>
      <c r="C78" s="43"/>
    </row>
    <row r="79" spans="1:4" s="39" customFormat="1" ht="15">
      <c r="B79" s="15" t="s">
        <v>24</v>
      </c>
      <c r="C79" s="43"/>
    </row>
    <row r="80" spans="1:4" s="39" customFormat="1">
      <c r="B80" s="62" t="s">
        <v>660</v>
      </c>
      <c r="C80" s="43"/>
    </row>
    <row r="81" spans="1:3" s="39" customFormat="1">
      <c r="B81" s="80"/>
      <c r="C81" s="43"/>
    </row>
    <row r="82" spans="1:3" s="39" customFormat="1" ht="15">
      <c r="B82" s="15" t="s">
        <v>472</v>
      </c>
      <c r="C82" s="15"/>
    </row>
    <row r="83" spans="1:3" s="39" customFormat="1">
      <c r="B83" s="81" t="s">
        <v>661</v>
      </c>
      <c r="C83" s="43"/>
    </row>
    <row r="84" spans="1:3" s="39" customFormat="1">
      <c r="B84" s="63"/>
      <c r="C84" s="43"/>
    </row>
    <row r="85" spans="1:3" s="39" customFormat="1" ht="15">
      <c r="B85" s="15" t="s">
        <v>56</v>
      </c>
      <c r="C85" s="43"/>
    </row>
    <row r="86" spans="1:3" s="39" customFormat="1">
      <c r="B86" t="s">
        <v>838</v>
      </c>
      <c r="C86" s="43"/>
    </row>
    <row r="87" spans="1:3" s="39" customFormat="1">
      <c r="B87" s="63"/>
      <c r="C87" s="43"/>
    </row>
    <row r="88" spans="1:3" s="39" customFormat="1" ht="15">
      <c r="B88" s="15" t="s">
        <v>839</v>
      </c>
      <c r="C88" s="43"/>
    </row>
    <row r="89" spans="1:3" s="39" customFormat="1">
      <c r="B89" s="81" t="s">
        <v>840</v>
      </c>
      <c r="C89" s="43"/>
    </row>
    <row r="90" spans="1:3" s="39" customFormat="1"/>
    <row r="91" spans="1:3" ht="15">
      <c r="A91" s="39"/>
      <c r="B91" s="15" t="s">
        <v>381</v>
      </c>
    </row>
    <row r="92" spans="1:3">
      <c r="B92" t="s">
        <v>390</v>
      </c>
    </row>
    <row r="94" spans="1:3" ht="15">
      <c r="B94" s="15" t="s">
        <v>393</v>
      </c>
    </row>
    <row r="95" spans="1:3">
      <c r="B95" t="s">
        <v>421</v>
      </c>
    </row>
    <row r="97" spans="1:3" ht="15">
      <c r="B97" s="15" t="s">
        <v>416</v>
      </c>
    </row>
    <row r="98" spans="1:3">
      <c r="B98" s="92" t="s">
        <v>841</v>
      </c>
    </row>
    <row r="99" spans="1:3">
      <c r="C99" s="91"/>
    </row>
    <row r="100" spans="1:3" s="111" customFormat="1" ht="15">
      <c r="A100"/>
      <c r="B100" s="15" t="s">
        <v>842</v>
      </c>
      <c r="C100" s="91"/>
    </row>
    <row r="101" spans="1:3" s="111" customFormat="1">
      <c r="B101" t="s">
        <v>843</v>
      </c>
      <c r="C101" s="91"/>
    </row>
    <row r="102" spans="1:3" s="111" customFormat="1">
      <c r="C102" s="91"/>
    </row>
    <row r="103" spans="1:3" ht="15">
      <c r="A103" s="111"/>
      <c r="B103" s="15" t="s">
        <v>418</v>
      </c>
    </row>
    <row r="104" spans="1:3" s="98" customFormat="1">
      <c r="A104"/>
      <c r="B104" s="98" t="s">
        <v>629</v>
      </c>
    </row>
    <row r="105" spans="1:3" s="111" customFormat="1">
      <c r="A105" s="98"/>
      <c r="B105" s="111" t="s">
        <v>844</v>
      </c>
    </row>
    <row r="106" spans="1:3">
      <c r="A106" s="111"/>
    </row>
    <row r="107" spans="1:3" ht="15">
      <c r="B107" s="15" t="s">
        <v>422</v>
      </c>
    </row>
    <row r="108" spans="1:3">
      <c r="B108" t="s">
        <v>423</v>
      </c>
    </row>
    <row r="109" spans="1:3">
      <c r="B109" t="s">
        <v>424</v>
      </c>
    </row>
    <row r="110" spans="1:3">
      <c r="B110" t="s">
        <v>425</v>
      </c>
    </row>
    <row r="111" spans="1:3">
      <c r="B111" t="s">
        <v>615</v>
      </c>
    </row>
    <row r="112" spans="1:3">
      <c r="B112" s="39" t="s">
        <v>455</v>
      </c>
    </row>
    <row r="113" spans="1:2" s="39" customFormat="1">
      <c r="A113"/>
      <c r="B113" s="39" t="s">
        <v>508</v>
      </c>
    </row>
    <row r="114" spans="1:2">
      <c r="A114" s="39"/>
      <c r="B114" t="s">
        <v>704</v>
      </c>
    </row>
    <row r="115" spans="1:2" s="39" customFormat="1">
      <c r="A115"/>
      <c r="B115" s="39" t="s">
        <v>614</v>
      </c>
    </row>
    <row r="116" spans="1:2" s="39" customFormat="1">
      <c r="B116" s="39" t="s">
        <v>599</v>
      </c>
    </row>
    <row r="117" spans="1:2" s="39" customFormat="1">
      <c r="B117" s="98" t="s">
        <v>662</v>
      </c>
    </row>
    <row r="118" spans="1:2" s="39" customFormat="1">
      <c r="B118" t="s">
        <v>498</v>
      </c>
    </row>
    <row r="119" spans="1:2" s="111" customFormat="1">
      <c r="A119" s="39"/>
      <c r="B119" s="111" t="s">
        <v>845</v>
      </c>
    </row>
    <row r="120" spans="1:2" s="111" customFormat="1">
      <c r="B120" s="111" t="s">
        <v>853</v>
      </c>
    </row>
    <row r="121" spans="1:2" s="111" customFormat="1"/>
    <row r="122" spans="1:2" ht="15">
      <c r="A122" s="111"/>
      <c r="B122" s="15" t="s">
        <v>490</v>
      </c>
    </row>
    <row r="123" spans="1:2">
      <c r="B123" t="s">
        <v>663</v>
      </c>
    </row>
    <row r="124" spans="1:2">
      <c r="B124" t="s">
        <v>846</v>
      </c>
    </row>
    <row r="125" spans="1:2">
      <c r="B125" t="s">
        <v>847</v>
      </c>
    </row>
    <row r="127" spans="1:2" ht="15">
      <c r="B127" s="15" t="s">
        <v>610</v>
      </c>
    </row>
    <row r="128" spans="1:2">
      <c r="B128" t="s">
        <v>653</v>
      </c>
    </row>
    <row r="129" spans="2:2">
      <c r="B129" s="40" t="s">
        <v>848</v>
      </c>
    </row>
    <row r="131" spans="2:2" ht="15">
      <c r="B131" s="15" t="s">
        <v>772</v>
      </c>
    </row>
    <row r="132" spans="2:2">
      <c r="B132" t="s">
        <v>771</v>
      </c>
    </row>
    <row r="133" spans="2:2">
      <c r="B133" t="s">
        <v>774</v>
      </c>
    </row>
    <row r="134" spans="2:2">
      <c r="B134" t="s">
        <v>775</v>
      </c>
    </row>
    <row r="135" spans="2:2">
      <c r="B135" t="s">
        <v>776</v>
      </c>
    </row>
    <row r="136" spans="2:2">
      <c r="B136" s="137" t="s">
        <v>777</v>
      </c>
    </row>
    <row r="137" spans="2:2">
      <c r="B137" s="137" t="s">
        <v>849</v>
      </c>
    </row>
    <row r="138" spans="2:2">
      <c r="B138" t="s">
        <v>850</v>
      </c>
    </row>
  </sheetData>
  <phoneticPr fontId="79" type="noConversion"/>
  <hyperlinks>
    <hyperlink ref="G2" location="Contents!A1" display="Click here to go to the &quot;contents&quot; page"/>
  </hyperlinks>
  <pageMargins left="0.25" right="0.25" top="0.75" bottom="0.75" header="0.3" footer="0.3"/>
  <pageSetup paperSize="9" scale="31" orientation="landscape"/>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249977111117893"/>
  </sheetPr>
  <dimension ref="B1:G27"/>
  <sheetViews>
    <sheetView showGridLines="0" zoomScale="85" zoomScaleNormal="85" zoomScalePageLayoutView="85" workbookViewId="0">
      <selection activeCell="B4" sqref="B4"/>
    </sheetView>
  </sheetViews>
  <sheetFormatPr baseColWidth="10" defaultColWidth="8.83203125" defaultRowHeight="14" x14ac:dyDescent="0"/>
  <cols>
    <col min="1" max="1" width="3.5" customWidth="1"/>
    <col min="2" max="2" width="14.5" customWidth="1"/>
    <col min="3" max="3" width="17.6640625" customWidth="1"/>
    <col min="4" max="4" width="16.6640625" customWidth="1"/>
    <col min="5" max="5" width="27.1640625" customWidth="1"/>
    <col min="6" max="6" width="137" customWidth="1"/>
    <col min="7" max="7" width="17.33203125" customWidth="1"/>
  </cols>
  <sheetData>
    <row r="1" spans="2:7" s="23" customFormat="1" ht="8.25" customHeight="1"/>
    <row r="2" spans="2:7" ht="20">
      <c r="B2" s="9" t="str">
        <f>Translation!F46</f>
        <v>Version control</v>
      </c>
      <c r="E2" s="99" t="s">
        <v>350</v>
      </c>
    </row>
    <row r="3" spans="2:7" ht="15" thickBot="1"/>
    <row r="4" spans="2:7">
      <c r="B4" s="100" t="s">
        <v>41</v>
      </c>
      <c r="C4" s="100" t="s">
        <v>42</v>
      </c>
      <c r="D4" s="100" t="s">
        <v>43</v>
      </c>
      <c r="E4" s="100" t="s">
        <v>44</v>
      </c>
      <c r="F4" s="100" t="s">
        <v>45</v>
      </c>
      <c r="G4" s="100" t="s">
        <v>49</v>
      </c>
    </row>
    <row r="5" spans="2:7" ht="30" customHeight="1">
      <c r="B5" s="7" t="s">
        <v>668</v>
      </c>
      <c r="C5" s="7" t="s">
        <v>47</v>
      </c>
      <c r="D5" s="7" t="s">
        <v>48</v>
      </c>
      <c r="E5" s="7" t="s">
        <v>46</v>
      </c>
      <c r="F5" s="206" t="s">
        <v>594</v>
      </c>
      <c r="G5" s="7" t="s">
        <v>46</v>
      </c>
    </row>
    <row r="6" spans="2:7" ht="30" customHeight="1">
      <c r="B6" t="s">
        <v>667</v>
      </c>
      <c r="C6" t="s">
        <v>47</v>
      </c>
      <c r="D6" t="s">
        <v>48</v>
      </c>
      <c r="E6" t="s">
        <v>48</v>
      </c>
      <c r="F6" s="206" t="s">
        <v>593</v>
      </c>
    </row>
    <row r="7" spans="2:7" ht="30" customHeight="1">
      <c r="B7" t="s">
        <v>592</v>
      </c>
      <c r="C7" t="s">
        <v>47</v>
      </c>
      <c r="D7" t="s">
        <v>48</v>
      </c>
      <c r="E7" t="s">
        <v>48</v>
      </c>
      <c r="F7" s="206" t="s">
        <v>791</v>
      </c>
      <c r="G7" t="s">
        <v>595</v>
      </c>
    </row>
    <row r="8" spans="2:7" ht="30" customHeight="1">
      <c r="B8" t="s">
        <v>600</v>
      </c>
      <c r="C8" s="111" t="s">
        <v>47</v>
      </c>
      <c r="D8" s="111" t="s">
        <v>48</v>
      </c>
      <c r="E8" s="111" t="s">
        <v>48</v>
      </c>
      <c r="F8" s="206" t="s">
        <v>664</v>
      </c>
    </row>
    <row r="9" spans="2:7" ht="30" customHeight="1">
      <c r="B9" t="s">
        <v>666</v>
      </c>
      <c r="C9" s="111" t="s">
        <v>47</v>
      </c>
      <c r="D9" s="111" t="s">
        <v>48</v>
      </c>
      <c r="E9" s="111" t="s">
        <v>48</v>
      </c>
      <c r="F9" s="206" t="s">
        <v>616</v>
      </c>
      <c r="G9" t="s">
        <v>617</v>
      </c>
    </row>
    <row r="10" spans="2:7" ht="30" customHeight="1">
      <c r="B10" t="s">
        <v>632</v>
      </c>
      <c r="C10" s="111" t="s">
        <v>47</v>
      </c>
      <c r="D10" s="111" t="s">
        <v>48</v>
      </c>
      <c r="E10" s="111" t="s">
        <v>48</v>
      </c>
      <c r="F10" s="206" t="s">
        <v>633</v>
      </c>
    </row>
    <row r="11" spans="2:7" ht="30" customHeight="1">
      <c r="B11" t="s">
        <v>648</v>
      </c>
      <c r="C11" s="111" t="s">
        <v>47</v>
      </c>
      <c r="D11" s="111" t="s">
        <v>48</v>
      </c>
      <c r="E11" s="111" t="s">
        <v>48</v>
      </c>
      <c r="F11" s="206" t="s">
        <v>649</v>
      </c>
      <c r="G11" t="s">
        <v>665</v>
      </c>
    </row>
    <row r="12" spans="2:7" ht="30" customHeight="1">
      <c r="B12" t="s">
        <v>784</v>
      </c>
      <c r="C12" s="111" t="s">
        <v>47</v>
      </c>
      <c r="D12" s="111" t="s">
        <v>48</v>
      </c>
      <c r="E12" s="111" t="s">
        <v>48</v>
      </c>
      <c r="F12" s="206" t="s">
        <v>785</v>
      </c>
      <c r="G12" t="s">
        <v>786</v>
      </c>
    </row>
    <row r="13" spans="2:7" ht="30" customHeight="1">
      <c r="B13" t="s">
        <v>851</v>
      </c>
      <c r="C13" t="s">
        <v>47</v>
      </c>
      <c r="D13" t="s">
        <v>48</v>
      </c>
      <c r="E13" t="s">
        <v>48</v>
      </c>
      <c r="F13" s="206" t="s">
        <v>859</v>
      </c>
      <c r="G13" t="s">
        <v>852</v>
      </c>
    </row>
    <row r="14" spans="2:7" ht="30" customHeight="1">
      <c r="B14" t="s">
        <v>862</v>
      </c>
      <c r="C14" t="s">
        <v>47</v>
      </c>
      <c r="D14" t="s">
        <v>48</v>
      </c>
      <c r="E14" t="s">
        <v>426</v>
      </c>
      <c r="F14" s="206" t="s">
        <v>863</v>
      </c>
    </row>
    <row r="15" spans="2:7" ht="30" customHeight="1">
      <c r="B15" t="s">
        <v>864</v>
      </c>
      <c r="C15" t="s">
        <v>47</v>
      </c>
      <c r="D15" t="s">
        <v>48</v>
      </c>
      <c r="E15" t="s">
        <v>48</v>
      </c>
      <c r="F15" s="206" t="s">
        <v>865</v>
      </c>
      <c r="G15" t="s">
        <v>866</v>
      </c>
    </row>
    <row r="16" spans="2:7" ht="30" customHeight="1">
      <c r="B16" t="s">
        <v>891</v>
      </c>
      <c r="C16" t="s">
        <v>47</v>
      </c>
      <c r="D16" t="s">
        <v>48</v>
      </c>
      <c r="E16" t="s">
        <v>48</v>
      </c>
      <c r="F16" s="206" t="s">
        <v>892</v>
      </c>
    </row>
    <row r="17" spans="2:7" ht="30" customHeight="1">
      <c r="B17" t="s">
        <v>1140</v>
      </c>
      <c r="C17" t="s">
        <v>47</v>
      </c>
      <c r="D17" t="s">
        <v>48</v>
      </c>
      <c r="E17" t="s">
        <v>48</v>
      </c>
      <c r="F17" s="206" t="s">
        <v>1142</v>
      </c>
      <c r="G17" t="s">
        <v>1139</v>
      </c>
    </row>
    <row r="18" spans="2:7" ht="30" customHeight="1">
      <c r="B18" t="s">
        <v>1152</v>
      </c>
      <c r="C18" t="s">
        <v>47</v>
      </c>
      <c r="D18" t="s">
        <v>48</v>
      </c>
      <c r="E18" t="s">
        <v>48</v>
      </c>
      <c r="F18" s="206" t="s">
        <v>1205</v>
      </c>
    </row>
    <row r="19" spans="2:7" ht="30" customHeight="1">
      <c r="B19" t="s">
        <v>1203</v>
      </c>
      <c r="C19" t="s">
        <v>47</v>
      </c>
      <c r="D19" t="s">
        <v>48</v>
      </c>
      <c r="E19" t="s">
        <v>48</v>
      </c>
      <c r="F19" s="206" t="s">
        <v>1204</v>
      </c>
    </row>
    <row r="20" spans="2:7" ht="30" customHeight="1">
      <c r="B20" t="s">
        <v>1368</v>
      </c>
      <c r="C20" t="s">
        <v>1369</v>
      </c>
      <c r="F20" s="206" t="s">
        <v>1370</v>
      </c>
    </row>
    <row r="21" spans="2:7" ht="30" customHeight="1">
      <c r="B21" t="s">
        <v>1371</v>
      </c>
      <c r="C21" t="s">
        <v>1372</v>
      </c>
      <c r="F21" s="206" t="s">
        <v>1373</v>
      </c>
      <c r="G21" t="s">
        <v>1374</v>
      </c>
    </row>
    <row r="22" spans="2:7" ht="30" customHeight="1">
      <c r="B22" t="s">
        <v>1719</v>
      </c>
      <c r="C22" t="s">
        <v>1720</v>
      </c>
      <c r="F22" s="206" t="s">
        <v>1722</v>
      </c>
    </row>
    <row r="23" spans="2:7" ht="30" customHeight="1">
      <c r="B23" t="s">
        <v>1721</v>
      </c>
      <c r="C23" t="s">
        <v>1660</v>
      </c>
      <c r="F23" s="206" t="s">
        <v>1723</v>
      </c>
      <c r="G23" t="s">
        <v>1724</v>
      </c>
    </row>
    <row r="24" spans="2:7" ht="30" customHeight="1">
      <c r="B24" s="219" t="s">
        <v>1776</v>
      </c>
      <c r="C24" t="s">
        <v>1777</v>
      </c>
      <c r="F24" s="206" t="s">
        <v>1778</v>
      </c>
      <c r="G24" t="s">
        <v>1779</v>
      </c>
    </row>
    <row r="25" spans="2:7" ht="30" customHeight="1">
      <c r="B25" t="s">
        <v>2228</v>
      </c>
      <c r="C25" t="s">
        <v>2229</v>
      </c>
      <c r="F25" s="206" t="s">
        <v>2230</v>
      </c>
    </row>
    <row r="26" spans="2:7" ht="30" customHeight="1">
      <c r="B26" t="s">
        <v>2364</v>
      </c>
    </row>
    <row r="27" spans="2:7" ht="30" customHeight="1">
      <c r="B27" t="s">
        <v>2365</v>
      </c>
      <c r="C27" t="s">
        <v>1777</v>
      </c>
      <c r="F27" s="206" t="s">
        <v>2366</v>
      </c>
    </row>
  </sheetData>
  <phoneticPr fontId="79" type="noConversion"/>
  <hyperlinks>
    <hyperlink ref="E2" location="Contents!A1" display="Click here to go to the &quot;contents&quot; pag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249977111117893"/>
  </sheetPr>
  <dimension ref="B2:E20"/>
  <sheetViews>
    <sheetView showGridLines="0" zoomScale="85" zoomScaleNormal="85" zoomScalePageLayoutView="85" workbookViewId="0">
      <selection activeCell="B7" sqref="B7"/>
    </sheetView>
  </sheetViews>
  <sheetFormatPr baseColWidth="10" defaultColWidth="8.83203125" defaultRowHeight="14" x14ac:dyDescent="0"/>
  <cols>
    <col min="1" max="1" width="5.83203125" customWidth="1"/>
    <col min="2" max="2" width="31.6640625" customWidth="1"/>
    <col min="3" max="3" width="106.5" customWidth="1"/>
    <col min="4" max="4" width="7.33203125" style="219" customWidth="1"/>
    <col min="5" max="5" width="110" customWidth="1"/>
  </cols>
  <sheetData>
    <row r="2" spans="2:5" ht="18">
      <c r="B2" s="226" t="s">
        <v>1291</v>
      </c>
      <c r="C2" s="99" t="s">
        <v>350</v>
      </c>
      <c r="D2" s="99"/>
    </row>
    <row r="4" spans="2:5" ht="15" thickBot="1">
      <c r="B4" s="273" t="s">
        <v>1292</v>
      </c>
      <c r="C4" s="273" t="s">
        <v>1293</v>
      </c>
      <c r="D4" s="273" t="s">
        <v>509</v>
      </c>
      <c r="E4" s="273" t="s">
        <v>481</v>
      </c>
    </row>
    <row r="5" spans="2:5" ht="72">
      <c r="B5" s="228" t="s">
        <v>1258</v>
      </c>
      <c r="C5" s="229" t="s">
        <v>1294</v>
      </c>
      <c r="D5" s="229"/>
      <c r="E5" s="228" t="s">
        <v>1295</v>
      </c>
    </row>
    <row r="6" spans="2:5" ht="36">
      <c r="B6" s="228" t="s">
        <v>1297</v>
      </c>
      <c r="C6" s="229" t="s">
        <v>1296</v>
      </c>
      <c r="D6" s="229"/>
      <c r="E6" s="228" t="s">
        <v>1295</v>
      </c>
    </row>
    <row r="7" spans="2:5" ht="72">
      <c r="B7" s="228" t="s">
        <v>1193</v>
      </c>
      <c r="C7" s="229" t="s">
        <v>1323</v>
      </c>
      <c r="D7" s="229"/>
      <c r="E7" s="228" t="s">
        <v>1295</v>
      </c>
    </row>
    <row r="8" spans="2:5" ht="36">
      <c r="B8" s="228" t="s">
        <v>1299</v>
      </c>
      <c r="C8" s="229" t="s">
        <v>1298</v>
      </c>
      <c r="D8" s="229"/>
      <c r="E8" s="228" t="s">
        <v>1295</v>
      </c>
    </row>
    <row r="9" spans="2:5" ht="24">
      <c r="B9" s="228" t="s">
        <v>1301</v>
      </c>
      <c r="C9" s="229" t="s">
        <v>1300</v>
      </c>
      <c r="D9" s="229"/>
      <c r="E9" s="229" t="s">
        <v>1302</v>
      </c>
    </row>
    <row r="10" spans="2:5" ht="250.5" customHeight="1">
      <c r="B10" s="228" t="s">
        <v>1304</v>
      </c>
      <c r="C10" s="229" t="s">
        <v>1303</v>
      </c>
      <c r="D10" s="229"/>
      <c r="E10" s="228" t="s">
        <v>1305</v>
      </c>
    </row>
    <row r="11" spans="2:5" ht="182.25" customHeight="1">
      <c r="B11" s="228" t="s">
        <v>1306</v>
      </c>
      <c r="C11" s="229" t="s">
        <v>1307</v>
      </c>
      <c r="D11" s="229"/>
      <c r="E11" s="228" t="s">
        <v>1308</v>
      </c>
    </row>
    <row r="12" spans="2:5" ht="24">
      <c r="B12" s="229" t="s">
        <v>1310</v>
      </c>
      <c r="C12" s="229" t="s">
        <v>1309</v>
      </c>
      <c r="D12" s="229"/>
      <c r="E12" s="229" t="s">
        <v>1311</v>
      </c>
    </row>
    <row r="13" spans="2:5">
      <c r="B13" s="229" t="s">
        <v>1198</v>
      </c>
      <c r="C13" s="229" t="s">
        <v>1312</v>
      </c>
      <c r="D13" s="229"/>
      <c r="E13" s="229" t="s">
        <v>1313</v>
      </c>
    </row>
    <row r="14" spans="2:5">
      <c r="B14" s="229" t="s">
        <v>1315</v>
      </c>
      <c r="C14" s="229" t="s">
        <v>1314</v>
      </c>
      <c r="D14" s="229"/>
      <c r="E14" s="228" t="s">
        <v>1295</v>
      </c>
    </row>
    <row r="15" spans="2:5" ht="36">
      <c r="B15" s="229" t="s">
        <v>1317</v>
      </c>
      <c r="C15" s="229" t="s">
        <v>1316</v>
      </c>
      <c r="D15" s="229"/>
      <c r="E15" s="228" t="s">
        <v>1305</v>
      </c>
    </row>
    <row r="16" spans="2:5" ht="24">
      <c r="B16" s="228" t="s">
        <v>1259</v>
      </c>
      <c r="C16" s="229" t="s">
        <v>1318</v>
      </c>
      <c r="D16" s="229"/>
      <c r="E16" s="228" t="s">
        <v>1295</v>
      </c>
    </row>
    <row r="17" spans="2:5" ht="24">
      <c r="B17" s="228" t="s">
        <v>453</v>
      </c>
      <c r="C17" s="228" t="s">
        <v>1319</v>
      </c>
      <c r="D17" s="228"/>
      <c r="E17" s="229" t="s">
        <v>1311</v>
      </c>
    </row>
    <row r="18" spans="2:5" ht="15" thickBot="1">
      <c r="B18" s="115" t="s">
        <v>1321</v>
      </c>
      <c r="C18" s="115" t="s">
        <v>1320</v>
      </c>
      <c r="D18" s="115"/>
      <c r="E18" s="115" t="s">
        <v>1322</v>
      </c>
    </row>
    <row r="19" spans="2:5">
      <c r="B19" s="227"/>
      <c r="C19" s="227"/>
      <c r="D19" s="227"/>
      <c r="E19" s="227"/>
    </row>
    <row r="20" spans="2:5">
      <c r="B20" s="227"/>
      <c r="C20" s="227"/>
      <c r="D20" s="227"/>
      <c r="E20" s="227"/>
    </row>
  </sheetData>
  <phoneticPr fontId="79" type="noConversion"/>
  <hyperlinks>
    <hyperlink ref="C2" location="Contents!A1" display="Click here to go to the &quot;contents&quot; page"/>
  </hyperlinks>
  <pageMargins left="0.7" right="0.7" top="0.75" bottom="0.75" header="0.3" footer="0.3"/>
  <pageSetup paperSize="220" orientation="portrait" horizontalDpi="300" verticalDpi="300"/>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Front page</vt:lpstr>
      <vt:lpstr>Contents</vt:lpstr>
      <vt:lpstr>User guide</vt:lpstr>
      <vt:lpstr>User inputs</vt:lpstr>
      <vt:lpstr>User output preferences</vt:lpstr>
      <vt:lpstr>Detailed lever guides</vt:lpstr>
      <vt:lpstr>Outputs - Energy</vt:lpstr>
      <vt:lpstr>Structure of the model</vt:lpstr>
      <vt:lpstr>Constants</vt:lpstr>
      <vt:lpstr>Conversion</vt:lpstr>
      <vt:lpstr>Translation</vt:lpstr>
      <vt:lpstr>G.Universal data</vt:lpstr>
      <vt:lpstr>G.30 (data)</vt:lpstr>
      <vt:lpstr>G.30</vt:lpstr>
      <vt:lpstr>G.2011.energy</vt:lpstr>
      <vt:lpstr>Developer's notes</vt:lpstr>
      <vt:lpstr>Version control</vt:lpstr>
      <vt:lpstr>Glossary</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Bain Tom (Strategy)</dc:creator>
  <cp:lastModifiedBy>Thomas Counsell</cp:lastModifiedBy>
  <cp:lastPrinted>2013-07-30T08:52:01Z</cp:lastPrinted>
  <dcterms:created xsi:type="dcterms:W3CDTF">2013-04-04T12:37:16Z</dcterms:created>
  <dcterms:modified xsi:type="dcterms:W3CDTF">2013-12-13T08:20:29Z</dcterms:modified>
</cp:coreProperties>
</file>